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023992A5-A6FE-4BA9-A71D-946526511713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Log'!$A$1:$G$884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11" i="7" l="1"/>
  <c r="G12" i="7"/>
  <c r="G13" i="7"/>
  <c r="G14" i="7"/>
  <c r="B9" i="8"/>
  <c r="B8" i="8"/>
  <c r="B11" i="8"/>
  <c r="B10" i="8"/>
  <c r="B14" i="8"/>
  <c r="B13" i="8"/>
  <c r="B7" i="8"/>
  <c r="J34" i="5"/>
  <c r="E34" i="5"/>
  <c r="O16" i="5"/>
  <c r="J16" i="5"/>
  <c r="E16" i="5"/>
  <c r="F14" i="2"/>
  <c r="F2" i="2" s="1"/>
  <c r="B12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I33" i="12"/>
  <c r="J32" i="12"/>
  <c r="E32" i="12"/>
  <c r="J31" i="12"/>
  <c r="J29" i="12"/>
  <c r="E29" i="12"/>
  <c r="J28" i="12"/>
  <c r="I27" i="12"/>
  <c r="J26" i="12"/>
  <c r="J24" i="12"/>
  <c r="C24" i="12"/>
  <c r="J23" i="12"/>
  <c r="C22" i="12"/>
  <c r="J21" i="12"/>
  <c r="I20" i="12"/>
  <c r="J19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G791" i="10"/>
  <c r="C791" i="10"/>
  <c r="B791" i="10"/>
  <c r="H791" i="10" s="1"/>
  <c r="N790" i="10"/>
  <c r="H790" i="10"/>
  <c r="G790" i="10"/>
  <c r="C790" i="10"/>
  <c r="B790" i="10"/>
  <c r="N789" i="10"/>
  <c r="I789" i="10"/>
  <c r="H789" i="10"/>
  <c r="G789" i="10"/>
  <c r="E789" i="10"/>
  <c r="C789" i="10"/>
  <c r="B789" i="10"/>
  <c r="N788" i="10"/>
  <c r="G788" i="10"/>
  <c r="C788" i="10"/>
  <c r="I788" i="10" s="1"/>
  <c r="B788" i="10"/>
  <c r="H788" i="10" s="1"/>
  <c r="G787" i="10"/>
  <c r="C787" i="10"/>
  <c r="B787" i="10"/>
  <c r="H787" i="10" s="1"/>
  <c r="H786" i="10"/>
  <c r="G786" i="10"/>
  <c r="C786" i="10"/>
  <c r="B786" i="10"/>
  <c r="I785" i="10"/>
  <c r="H785" i="10"/>
  <c r="G785" i="10"/>
  <c r="E785" i="10"/>
  <c r="C785" i="10"/>
  <c r="B785" i="10"/>
  <c r="G784" i="10"/>
  <c r="C784" i="10"/>
  <c r="I784" i="10" s="1"/>
  <c r="B784" i="10"/>
  <c r="H784" i="10" s="1"/>
  <c r="G783" i="10"/>
  <c r="C783" i="10"/>
  <c r="B783" i="10"/>
  <c r="H783" i="10" s="1"/>
  <c r="H782" i="10"/>
  <c r="G782" i="10"/>
  <c r="C782" i="10"/>
  <c r="B782" i="10"/>
  <c r="N781" i="10"/>
  <c r="I781" i="10"/>
  <c r="G781" i="10"/>
  <c r="E781" i="10"/>
  <c r="C781" i="10"/>
  <c r="B781" i="10"/>
  <c r="H781" i="10" s="1"/>
  <c r="N780" i="10"/>
  <c r="G780" i="10"/>
  <c r="C780" i="10"/>
  <c r="I780" i="10" s="1"/>
  <c r="B780" i="10"/>
  <c r="H780" i="10" s="1"/>
  <c r="N779" i="10"/>
  <c r="G779" i="10"/>
  <c r="C779" i="10"/>
  <c r="B779" i="10"/>
  <c r="H779" i="10" s="1"/>
  <c r="N778" i="10"/>
  <c r="H778" i="10"/>
  <c r="G778" i="10"/>
  <c r="C778" i="10"/>
  <c r="B778" i="10"/>
  <c r="N777" i="10"/>
  <c r="I777" i="10"/>
  <c r="G777" i="10"/>
  <c r="E777" i="10"/>
  <c r="C777" i="10"/>
  <c r="B777" i="10"/>
  <c r="H777" i="10" s="1"/>
  <c r="N776" i="10"/>
  <c r="G776" i="10"/>
  <c r="C776" i="10"/>
  <c r="I776" i="10" s="1"/>
  <c r="B776" i="10"/>
  <c r="H776" i="10" s="1"/>
  <c r="N775" i="10"/>
  <c r="G775" i="10"/>
  <c r="C775" i="10"/>
  <c r="B775" i="10"/>
  <c r="H775" i="10" s="1"/>
  <c r="N774" i="10"/>
  <c r="H774" i="10"/>
  <c r="G774" i="10"/>
  <c r="C774" i="10"/>
  <c r="B774" i="10"/>
  <c r="N773" i="10"/>
  <c r="I773" i="10"/>
  <c r="G773" i="10"/>
  <c r="E773" i="10"/>
  <c r="C773" i="10"/>
  <c r="B773" i="10"/>
  <c r="H773" i="10" s="1"/>
  <c r="N772" i="10"/>
  <c r="G772" i="10"/>
  <c r="C772" i="10"/>
  <c r="I772" i="10" s="1"/>
  <c r="B772" i="10"/>
  <c r="H772" i="10" s="1"/>
  <c r="N771" i="10"/>
  <c r="G771" i="10"/>
  <c r="C771" i="10"/>
  <c r="B771" i="10"/>
  <c r="H771" i="10" s="1"/>
  <c r="N770" i="10"/>
  <c r="H770" i="10"/>
  <c r="G770" i="10"/>
  <c r="C770" i="10"/>
  <c r="B770" i="10"/>
  <c r="N769" i="10"/>
  <c r="I769" i="10"/>
  <c r="G769" i="10"/>
  <c r="E769" i="10"/>
  <c r="C769" i="10"/>
  <c r="B769" i="10"/>
  <c r="H769" i="10" s="1"/>
  <c r="N768" i="10"/>
  <c r="G768" i="10"/>
  <c r="C768" i="10"/>
  <c r="I768" i="10" s="1"/>
  <c r="B768" i="10"/>
  <c r="H768" i="10" s="1"/>
  <c r="N767" i="10"/>
  <c r="G767" i="10"/>
  <c r="C767" i="10"/>
  <c r="B767" i="10"/>
  <c r="H767" i="10" s="1"/>
  <c r="N766" i="10"/>
  <c r="H766" i="10"/>
  <c r="G766" i="10"/>
  <c r="C766" i="10"/>
  <c r="B766" i="10"/>
  <c r="N765" i="10"/>
  <c r="I765" i="10"/>
  <c r="G765" i="10"/>
  <c r="E765" i="10"/>
  <c r="C765" i="10"/>
  <c r="B765" i="10"/>
  <c r="H765" i="10" s="1"/>
  <c r="N764" i="10"/>
  <c r="G764" i="10"/>
  <c r="C764" i="10"/>
  <c r="I764" i="10" s="1"/>
  <c r="B764" i="10"/>
  <c r="H764" i="10" s="1"/>
  <c r="N763" i="10"/>
  <c r="G763" i="10"/>
  <c r="C763" i="10"/>
  <c r="B763" i="10"/>
  <c r="H763" i="10" s="1"/>
  <c r="N762" i="10"/>
  <c r="H762" i="10"/>
  <c r="G762" i="10"/>
  <c r="C762" i="10"/>
  <c r="B762" i="10"/>
  <c r="N761" i="10"/>
  <c r="I761" i="10"/>
  <c r="G761" i="10"/>
  <c r="E761" i="10"/>
  <c r="C761" i="10"/>
  <c r="B761" i="10"/>
  <c r="H761" i="10" s="1"/>
  <c r="N760" i="10"/>
  <c r="G760" i="10"/>
  <c r="C760" i="10"/>
  <c r="I760" i="10" s="1"/>
  <c r="B760" i="10"/>
  <c r="H760" i="10" s="1"/>
  <c r="N759" i="10"/>
  <c r="G759" i="10"/>
  <c r="C759" i="10"/>
  <c r="B759" i="10"/>
  <c r="H759" i="10" s="1"/>
  <c r="N758" i="10"/>
  <c r="H758" i="10"/>
  <c r="G758" i="10"/>
  <c r="C758" i="10"/>
  <c r="B758" i="10"/>
  <c r="N757" i="10"/>
  <c r="I757" i="10"/>
  <c r="G757" i="10"/>
  <c r="E757" i="10"/>
  <c r="C757" i="10"/>
  <c r="B757" i="10"/>
  <c r="H757" i="10" s="1"/>
  <c r="N756" i="10"/>
  <c r="G756" i="10"/>
  <c r="C756" i="10"/>
  <c r="I756" i="10" s="1"/>
  <c r="B756" i="10"/>
  <c r="H756" i="10" s="1"/>
  <c r="N755" i="10"/>
  <c r="G755" i="10"/>
  <c r="C755" i="10"/>
  <c r="B755" i="10"/>
  <c r="H755" i="10" s="1"/>
  <c r="N754" i="10"/>
  <c r="H754" i="10"/>
  <c r="G754" i="10"/>
  <c r="C754" i="10"/>
  <c r="B754" i="10"/>
  <c r="N753" i="10"/>
  <c r="I753" i="10"/>
  <c r="G753" i="10"/>
  <c r="E753" i="10"/>
  <c r="C753" i="10"/>
  <c r="B753" i="10"/>
  <c r="H753" i="10" s="1"/>
  <c r="N752" i="10"/>
  <c r="G752" i="10"/>
  <c r="C752" i="10"/>
  <c r="I752" i="10" s="1"/>
  <c r="B752" i="10"/>
  <c r="H752" i="10" s="1"/>
  <c r="N751" i="10"/>
  <c r="G751" i="10"/>
  <c r="C751" i="10"/>
  <c r="B751" i="10"/>
  <c r="H751" i="10" s="1"/>
  <c r="N750" i="10"/>
  <c r="H750" i="10"/>
  <c r="G750" i="10"/>
  <c r="C750" i="10"/>
  <c r="B750" i="10"/>
  <c r="N749" i="10"/>
  <c r="I749" i="10"/>
  <c r="G749" i="10"/>
  <c r="E749" i="10"/>
  <c r="C749" i="10"/>
  <c r="B749" i="10"/>
  <c r="H749" i="10" s="1"/>
  <c r="N748" i="10"/>
  <c r="G748" i="10"/>
  <c r="C748" i="10"/>
  <c r="I748" i="10" s="1"/>
  <c r="B748" i="10"/>
  <c r="H748" i="10" s="1"/>
  <c r="N747" i="10"/>
  <c r="G747" i="10"/>
  <c r="C747" i="10"/>
  <c r="B747" i="10"/>
  <c r="H747" i="10" s="1"/>
  <c r="N746" i="10"/>
  <c r="H746" i="10"/>
  <c r="G746" i="10"/>
  <c r="C746" i="10"/>
  <c r="B746" i="10"/>
  <c r="N745" i="10"/>
  <c r="I745" i="10"/>
  <c r="G745" i="10"/>
  <c r="E745" i="10"/>
  <c r="C745" i="10"/>
  <c r="B745" i="10"/>
  <c r="H745" i="10" s="1"/>
  <c r="N744" i="10"/>
  <c r="G744" i="10"/>
  <c r="C744" i="10"/>
  <c r="I744" i="10" s="1"/>
  <c r="B744" i="10"/>
  <c r="H744" i="10" s="1"/>
  <c r="N743" i="10"/>
  <c r="G743" i="10"/>
  <c r="C743" i="10"/>
  <c r="B743" i="10"/>
  <c r="H743" i="10" s="1"/>
  <c r="N742" i="10"/>
  <c r="H742" i="10"/>
  <c r="G742" i="10"/>
  <c r="C742" i="10"/>
  <c r="B742" i="10"/>
  <c r="N741" i="10"/>
  <c r="I741" i="10"/>
  <c r="G741" i="10"/>
  <c r="E741" i="10"/>
  <c r="C741" i="10"/>
  <c r="B741" i="10"/>
  <c r="H741" i="10" s="1"/>
  <c r="N740" i="10"/>
  <c r="G740" i="10"/>
  <c r="C740" i="10"/>
  <c r="I740" i="10" s="1"/>
  <c r="B740" i="10"/>
  <c r="H740" i="10" s="1"/>
  <c r="N739" i="10"/>
  <c r="G739" i="10"/>
  <c r="C739" i="10"/>
  <c r="B739" i="10"/>
  <c r="H739" i="10" s="1"/>
  <c r="N738" i="10"/>
  <c r="H738" i="10"/>
  <c r="G738" i="10"/>
  <c r="C738" i="10"/>
  <c r="B738" i="10"/>
  <c r="N737" i="10"/>
  <c r="I737" i="10"/>
  <c r="G737" i="10"/>
  <c r="E737" i="10"/>
  <c r="C737" i="10"/>
  <c r="B737" i="10"/>
  <c r="H737" i="10" s="1"/>
  <c r="N736" i="10"/>
  <c r="G736" i="10"/>
  <c r="C736" i="10"/>
  <c r="I736" i="10" s="1"/>
  <c r="B736" i="10"/>
  <c r="H736" i="10" s="1"/>
  <c r="N735" i="10"/>
  <c r="G735" i="10"/>
  <c r="C735" i="10"/>
  <c r="B735" i="10"/>
  <c r="H735" i="10" s="1"/>
  <c r="N734" i="10"/>
  <c r="H734" i="10"/>
  <c r="G734" i="10"/>
  <c r="C734" i="10"/>
  <c r="B734" i="10"/>
  <c r="N733" i="10"/>
  <c r="I733" i="10"/>
  <c r="G733" i="10"/>
  <c r="E733" i="10"/>
  <c r="C733" i="10"/>
  <c r="B733" i="10"/>
  <c r="H733" i="10" s="1"/>
  <c r="N732" i="10"/>
  <c r="G732" i="10"/>
  <c r="C732" i="10"/>
  <c r="I732" i="10" s="1"/>
  <c r="B732" i="10"/>
  <c r="H732" i="10" s="1"/>
  <c r="N731" i="10"/>
  <c r="G731" i="10"/>
  <c r="C731" i="10"/>
  <c r="B731" i="10"/>
  <c r="H731" i="10" s="1"/>
  <c r="N730" i="10"/>
  <c r="H730" i="10"/>
  <c r="G730" i="10"/>
  <c r="C730" i="10"/>
  <c r="B730" i="10"/>
  <c r="N729" i="10"/>
  <c r="I729" i="10"/>
  <c r="G729" i="10"/>
  <c r="E729" i="10"/>
  <c r="C729" i="10"/>
  <c r="B729" i="10"/>
  <c r="H729" i="10" s="1"/>
  <c r="N728" i="10"/>
  <c r="G728" i="10"/>
  <c r="C728" i="10"/>
  <c r="I728" i="10" s="1"/>
  <c r="B728" i="10"/>
  <c r="H728" i="10" s="1"/>
  <c r="N727" i="10"/>
  <c r="G727" i="10"/>
  <c r="C727" i="10"/>
  <c r="B727" i="10"/>
  <c r="H727" i="10" s="1"/>
  <c r="N726" i="10"/>
  <c r="H726" i="10"/>
  <c r="G726" i="10"/>
  <c r="C726" i="10"/>
  <c r="B726" i="10"/>
  <c r="N725" i="10"/>
  <c r="I725" i="10"/>
  <c r="G725" i="10"/>
  <c r="E725" i="10"/>
  <c r="C725" i="10"/>
  <c r="B725" i="10"/>
  <c r="H725" i="10" s="1"/>
  <c r="N724" i="10"/>
  <c r="G724" i="10"/>
  <c r="C724" i="10"/>
  <c r="I724" i="10" s="1"/>
  <c r="B724" i="10"/>
  <c r="H724" i="10" s="1"/>
  <c r="N723" i="10"/>
  <c r="G723" i="10"/>
  <c r="C723" i="10"/>
  <c r="B723" i="10"/>
  <c r="H723" i="10" s="1"/>
  <c r="N722" i="10"/>
  <c r="H722" i="10"/>
  <c r="G722" i="10"/>
  <c r="C722" i="10"/>
  <c r="B722" i="10"/>
  <c r="N721" i="10"/>
  <c r="I721" i="10"/>
  <c r="G721" i="10"/>
  <c r="E721" i="10"/>
  <c r="C721" i="10"/>
  <c r="B721" i="10"/>
  <c r="H721" i="10" s="1"/>
  <c r="N720" i="10"/>
  <c r="G720" i="10"/>
  <c r="C720" i="10"/>
  <c r="I720" i="10" s="1"/>
  <c r="B720" i="10"/>
  <c r="H720" i="10" s="1"/>
  <c r="N719" i="10"/>
  <c r="G719" i="10"/>
  <c r="C719" i="10"/>
  <c r="B719" i="10"/>
  <c r="H719" i="10" s="1"/>
  <c r="N718" i="10"/>
  <c r="H718" i="10"/>
  <c r="G718" i="10"/>
  <c r="C718" i="10"/>
  <c r="B718" i="10"/>
  <c r="N717" i="10"/>
  <c r="I717" i="10"/>
  <c r="G717" i="10"/>
  <c r="E717" i="10"/>
  <c r="C717" i="10"/>
  <c r="B717" i="10"/>
  <c r="H717" i="10" s="1"/>
  <c r="N716" i="10"/>
  <c r="G716" i="10"/>
  <c r="C716" i="10"/>
  <c r="I716" i="10" s="1"/>
  <c r="B716" i="10"/>
  <c r="H716" i="10" s="1"/>
  <c r="N715" i="10"/>
  <c r="G715" i="10"/>
  <c r="C715" i="10"/>
  <c r="B715" i="10"/>
  <c r="H715" i="10" s="1"/>
  <c r="N714" i="10"/>
  <c r="H714" i="10"/>
  <c r="G714" i="10"/>
  <c r="C714" i="10"/>
  <c r="B714" i="10"/>
  <c r="N713" i="10"/>
  <c r="I713" i="10"/>
  <c r="G713" i="10"/>
  <c r="E713" i="10"/>
  <c r="C713" i="10"/>
  <c r="B713" i="10"/>
  <c r="H713" i="10" s="1"/>
  <c r="N712" i="10"/>
  <c r="G712" i="10"/>
  <c r="C712" i="10"/>
  <c r="I712" i="10" s="1"/>
  <c r="B712" i="10"/>
  <c r="H712" i="10" s="1"/>
  <c r="N711" i="10"/>
  <c r="G711" i="10"/>
  <c r="C711" i="10"/>
  <c r="B711" i="10"/>
  <c r="H711" i="10" s="1"/>
  <c r="N710" i="10"/>
  <c r="H710" i="10"/>
  <c r="G710" i="10"/>
  <c r="C710" i="10"/>
  <c r="B710" i="10"/>
  <c r="N709" i="10"/>
  <c r="I709" i="10"/>
  <c r="G709" i="10"/>
  <c r="E709" i="10"/>
  <c r="C709" i="10"/>
  <c r="B709" i="10"/>
  <c r="H709" i="10" s="1"/>
  <c r="N708" i="10"/>
  <c r="G708" i="10"/>
  <c r="C708" i="10"/>
  <c r="I708" i="10" s="1"/>
  <c r="B708" i="10"/>
  <c r="H708" i="10" s="1"/>
  <c r="N707" i="10"/>
  <c r="G707" i="10"/>
  <c r="C707" i="10"/>
  <c r="B707" i="10"/>
  <c r="H707" i="10" s="1"/>
  <c r="N706" i="10"/>
  <c r="H706" i="10"/>
  <c r="G706" i="10"/>
  <c r="C706" i="10"/>
  <c r="B706" i="10"/>
  <c r="N705" i="10"/>
  <c r="I705" i="10"/>
  <c r="G705" i="10"/>
  <c r="E705" i="10"/>
  <c r="C705" i="10"/>
  <c r="B705" i="10"/>
  <c r="H705" i="10" s="1"/>
  <c r="N704" i="10"/>
  <c r="G704" i="10"/>
  <c r="C704" i="10"/>
  <c r="I704" i="10" s="1"/>
  <c r="B704" i="10"/>
  <c r="H704" i="10" s="1"/>
  <c r="N703" i="10"/>
  <c r="G703" i="10"/>
  <c r="C703" i="10"/>
  <c r="B703" i="10"/>
  <c r="H703" i="10" s="1"/>
  <c r="N702" i="10"/>
  <c r="H702" i="10"/>
  <c r="G702" i="10"/>
  <c r="C702" i="10"/>
  <c r="B702" i="10"/>
  <c r="N701" i="10"/>
  <c r="I701" i="10"/>
  <c r="G701" i="10"/>
  <c r="E701" i="10"/>
  <c r="C701" i="10"/>
  <c r="B701" i="10"/>
  <c r="H701" i="10" s="1"/>
  <c r="N700" i="10"/>
  <c r="G700" i="10"/>
  <c r="C700" i="10"/>
  <c r="I700" i="10" s="1"/>
  <c r="B700" i="10"/>
  <c r="H700" i="10" s="1"/>
  <c r="N699" i="10"/>
  <c r="G699" i="10"/>
  <c r="C699" i="10"/>
  <c r="B699" i="10"/>
  <c r="H699" i="10" s="1"/>
  <c r="N698" i="10"/>
  <c r="H698" i="10"/>
  <c r="G698" i="10"/>
  <c r="C698" i="10"/>
  <c r="B698" i="10"/>
  <c r="N697" i="10"/>
  <c r="I697" i="10"/>
  <c r="G697" i="10"/>
  <c r="E697" i="10"/>
  <c r="C697" i="10"/>
  <c r="B697" i="10"/>
  <c r="H697" i="10" s="1"/>
  <c r="N696" i="10"/>
  <c r="G696" i="10"/>
  <c r="C696" i="10"/>
  <c r="I696" i="10" s="1"/>
  <c r="B696" i="10"/>
  <c r="H696" i="10" s="1"/>
  <c r="N695" i="10"/>
  <c r="G695" i="10"/>
  <c r="C695" i="10"/>
  <c r="B695" i="10"/>
  <c r="H695" i="10" s="1"/>
  <c r="N694" i="10"/>
  <c r="H694" i="10"/>
  <c r="G694" i="10"/>
  <c r="C694" i="10"/>
  <c r="B694" i="10"/>
  <c r="N693" i="10"/>
  <c r="I693" i="10"/>
  <c r="G693" i="10"/>
  <c r="E693" i="10"/>
  <c r="C693" i="10"/>
  <c r="B693" i="10"/>
  <c r="H693" i="10" s="1"/>
  <c r="N692" i="10"/>
  <c r="G692" i="10"/>
  <c r="C692" i="10"/>
  <c r="I692" i="10" s="1"/>
  <c r="B692" i="10"/>
  <c r="H692" i="10" s="1"/>
  <c r="N691" i="10"/>
  <c r="G691" i="10"/>
  <c r="C691" i="10"/>
  <c r="B691" i="10"/>
  <c r="H691" i="10" s="1"/>
  <c r="N690" i="10"/>
  <c r="H690" i="10"/>
  <c r="G690" i="10"/>
  <c r="C690" i="10"/>
  <c r="B690" i="10"/>
  <c r="N689" i="10"/>
  <c r="I689" i="10"/>
  <c r="G689" i="10"/>
  <c r="E689" i="10"/>
  <c r="C689" i="10"/>
  <c r="B689" i="10"/>
  <c r="H689" i="10" s="1"/>
  <c r="N688" i="10"/>
  <c r="G688" i="10"/>
  <c r="C688" i="10"/>
  <c r="I688" i="10" s="1"/>
  <c r="B688" i="10"/>
  <c r="H688" i="10" s="1"/>
  <c r="N687" i="10"/>
  <c r="G687" i="10"/>
  <c r="C687" i="10"/>
  <c r="B687" i="10"/>
  <c r="H687" i="10" s="1"/>
  <c r="N686" i="10"/>
  <c r="H686" i="10"/>
  <c r="G686" i="10"/>
  <c r="C686" i="10"/>
  <c r="B686" i="10"/>
  <c r="N685" i="10"/>
  <c r="I685" i="10"/>
  <c r="G685" i="10"/>
  <c r="E685" i="10"/>
  <c r="C685" i="10"/>
  <c r="B685" i="10"/>
  <c r="H685" i="10" s="1"/>
  <c r="N684" i="10"/>
  <c r="G684" i="10"/>
  <c r="C684" i="10"/>
  <c r="I684" i="10" s="1"/>
  <c r="B684" i="10"/>
  <c r="H684" i="10" s="1"/>
  <c r="N683" i="10"/>
  <c r="G683" i="10"/>
  <c r="C683" i="10"/>
  <c r="B683" i="10"/>
  <c r="H683" i="10" s="1"/>
  <c r="N682" i="10"/>
  <c r="H682" i="10"/>
  <c r="G682" i="10"/>
  <c r="C682" i="10"/>
  <c r="B682" i="10"/>
  <c r="N681" i="10"/>
  <c r="I681" i="10"/>
  <c r="G681" i="10"/>
  <c r="E681" i="10"/>
  <c r="C681" i="10"/>
  <c r="B681" i="10"/>
  <c r="H681" i="10" s="1"/>
  <c r="N680" i="10"/>
  <c r="G680" i="10"/>
  <c r="C680" i="10"/>
  <c r="I680" i="10" s="1"/>
  <c r="B680" i="10"/>
  <c r="H680" i="10" s="1"/>
  <c r="N679" i="10"/>
  <c r="G679" i="10"/>
  <c r="C679" i="10"/>
  <c r="B679" i="10"/>
  <c r="H679" i="10" s="1"/>
  <c r="N678" i="10"/>
  <c r="H678" i="10"/>
  <c r="G678" i="10"/>
  <c r="C678" i="10"/>
  <c r="B678" i="10"/>
  <c r="N677" i="10"/>
  <c r="I677" i="10"/>
  <c r="G677" i="10"/>
  <c r="E677" i="10"/>
  <c r="C677" i="10"/>
  <c r="B677" i="10"/>
  <c r="H677" i="10" s="1"/>
  <c r="N676" i="10"/>
  <c r="G676" i="10"/>
  <c r="C676" i="10"/>
  <c r="I676" i="10" s="1"/>
  <c r="B676" i="10"/>
  <c r="H676" i="10" s="1"/>
  <c r="N675" i="10"/>
  <c r="G675" i="10"/>
  <c r="C675" i="10"/>
  <c r="B675" i="10"/>
  <c r="H675" i="10" s="1"/>
  <c r="N674" i="10"/>
  <c r="H674" i="10"/>
  <c r="G674" i="10"/>
  <c r="C674" i="10"/>
  <c r="B674" i="10"/>
  <c r="N673" i="10"/>
  <c r="I673" i="10"/>
  <c r="G673" i="10"/>
  <c r="E673" i="10"/>
  <c r="C673" i="10"/>
  <c r="B673" i="10"/>
  <c r="H673" i="10" s="1"/>
  <c r="N672" i="10"/>
  <c r="G672" i="10"/>
  <c r="C672" i="10"/>
  <c r="I672" i="10" s="1"/>
  <c r="B672" i="10"/>
  <c r="H672" i="10" s="1"/>
  <c r="N671" i="10"/>
  <c r="G671" i="10"/>
  <c r="C671" i="10"/>
  <c r="B671" i="10"/>
  <c r="H671" i="10" s="1"/>
  <c r="N670" i="10"/>
  <c r="H670" i="10"/>
  <c r="G670" i="10"/>
  <c r="C670" i="10"/>
  <c r="B670" i="10"/>
  <c r="N669" i="10"/>
  <c r="I669" i="10"/>
  <c r="G669" i="10"/>
  <c r="E669" i="10"/>
  <c r="C669" i="10"/>
  <c r="B669" i="10"/>
  <c r="H669" i="10" s="1"/>
  <c r="N668" i="10"/>
  <c r="G668" i="10"/>
  <c r="C668" i="10"/>
  <c r="I668" i="10" s="1"/>
  <c r="B668" i="10"/>
  <c r="H668" i="10" s="1"/>
  <c r="N667" i="10"/>
  <c r="G667" i="10"/>
  <c r="C667" i="10"/>
  <c r="B667" i="10"/>
  <c r="H667" i="10" s="1"/>
  <c r="N666" i="10"/>
  <c r="H666" i="10"/>
  <c r="G666" i="10"/>
  <c r="C666" i="10"/>
  <c r="B666" i="10"/>
  <c r="N665" i="10"/>
  <c r="I665" i="10"/>
  <c r="G665" i="10"/>
  <c r="E665" i="10"/>
  <c r="C665" i="10"/>
  <c r="B665" i="10"/>
  <c r="H665" i="10" s="1"/>
  <c r="N664" i="10"/>
  <c r="G664" i="10"/>
  <c r="C664" i="10"/>
  <c r="I664" i="10" s="1"/>
  <c r="B664" i="10"/>
  <c r="H664" i="10" s="1"/>
  <c r="N663" i="10"/>
  <c r="G663" i="10"/>
  <c r="C663" i="10"/>
  <c r="B663" i="10"/>
  <c r="H663" i="10" s="1"/>
  <c r="N662" i="10"/>
  <c r="H662" i="10"/>
  <c r="G662" i="10"/>
  <c r="C662" i="10"/>
  <c r="B662" i="10"/>
  <c r="N661" i="10"/>
  <c r="I661" i="10"/>
  <c r="G661" i="10"/>
  <c r="E661" i="10"/>
  <c r="C661" i="10"/>
  <c r="B661" i="10"/>
  <c r="H661" i="10" s="1"/>
  <c r="N660" i="10"/>
  <c r="G660" i="10"/>
  <c r="C660" i="10"/>
  <c r="I660" i="10" s="1"/>
  <c r="B660" i="10"/>
  <c r="H660" i="10" s="1"/>
  <c r="N659" i="10"/>
  <c r="G659" i="10"/>
  <c r="C659" i="10"/>
  <c r="B659" i="10"/>
  <c r="H659" i="10" s="1"/>
  <c r="N658" i="10"/>
  <c r="H658" i="10"/>
  <c r="G658" i="10"/>
  <c r="C658" i="10"/>
  <c r="B658" i="10"/>
  <c r="N657" i="10"/>
  <c r="I657" i="10"/>
  <c r="G657" i="10"/>
  <c r="E657" i="10"/>
  <c r="C657" i="10"/>
  <c r="B657" i="10"/>
  <c r="H657" i="10" s="1"/>
  <c r="N656" i="10"/>
  <c r="G656" i="10"/>
  <c r="C656" i="10"/>
  <c r="I656" i="10" s="1"/>
  <c r="B656" i="10"/>
  <c r="H656" i="10" s="1"/>
  <c r="N655" i="10"/>
  <c r="G655" i="10"/>
  <c r="C655" i="10"/>
  <c r="B655" i="10"/>
  <c r="H655" i="10" s="1"/>
  <c r="N654" i="10"/>
  <c r="H654" i="10"/>
  <c r="G654" i="10"/>
  <c r="C654" i="10"/>
  <c r="B654" i="10"/>
  <c r="N653" i="10"/>
  <c r="I653" i="10"/>
  <c r="G653" i="10"/>
  <c r="E653" i="10"/>
  <c r="C653" i="10"/>
  <c r="B653" i="10"/>
  <c r="H653" i="10" s="1"/>
  <c r="N652" i="10"/>
  <c r="G652" i="10"/>
  <c r="C652" i="10"/>
  <c r="I652" i="10" s="1"/>
  <c r="B652" i="10"/>
  <c r="H652" i="10" s="1"/>
  <c r="N651" i="10"/>
  <c r="G651" i="10"/>
  <c r="C651" i="10"/>
  <c r="B651" i="10"/>
  <c r="H651" i="10" s="1"/>
  <c r="N650" i="10"/>
  <c r="H650" i="10"/>
  <c r="G650" i="10"/>
  <c r="C650" i="10"/>
  <c r="B650" i="10"/>
  <c r="N649" i="10"/>
  <c r="I649" i="10"/>
  <c r="G649" i="10"/>
  <c r="E649" i="10"/>
  <c r="C649" i="10"/>
  <c r="B649" i="10"/>
  <c r="H649" i="10" s="1"/>
  <c r="N648" i="10"/>
  <c r="G648" i="10"/>
  <c r="C648" i="10"/>
  <c r="I648" i="10" s="1"/>
  <c r="B648" i="10"/>
  <c r="H648" i="10" s="1"/>
  <c r="N647" i="10"/>
  <c r="G647" i="10"/>
  <c r="C647" i="10"/>
  <c r="B647" i="10"/>
  <c r="H647" i="10" s="1"/>
  <c r="N646" i="10"/>
  <c r="H646" i="10"/>
  <c r="G646" i="10"/>
  <c r="C646" i="10"/>
  <c r="B646" i="10"/>
  <c r="N645" i="10"/>
  <c r="I645" i="10"/>
  <c r="G645" i="10"/>
  <c r="E645" i="10"/>
  <c r="C645" i="10"/>
  <c r="B645" i="10"/>
  <c r="H645" i="10" s="1"/>
  <c r="N644" i="10"/>
  <c r="G644" i="10"/>
  <c r="C644" i="10"/>
  <c r="I644" i="10" s="1"/>
  <c r="B644" i="10"/>
  <c r="H644" i="10" s="1"/>
  <c r="N643" i="10"/>
  <c r="G643" i="10"/>
  <c r="C643" i="10"/>
  <c r="B643" i="10"/>
  <c r="H643" i="10" s="1"/>
  <c r="N642" i="10"/>
  <c r="H642" i="10"/>
  <c r="G642" i="10"/>
  <c r="C642" i="10"/>
  <c r="B642" i="10"/>
  <c r="N641" i="10"/>
  <c r="I641" i="10"/>
  <c r="G641" i="10"/>
  <c r="E641" i="10"/>
  <c r="C641" i="10"/>
  <c r="B641" i="10"/>
  <c r="H641" i="10" s="1"/>
  <c r="N640" i="10"/>
  <c r="G640" i="10"/>
  <c r="C640" i="10"/>
  <c r="I640" i="10" s="1"/>
  <c r="B640" i="10"/>
  <c r="H640" i="10" s="1"/>
  <c r="N639" i="10"/>
  <c r="G639" i="10"/>
  <c r="C639" i="10"/>
  <c r="B639" i="10"/>
  <c r="H639" i="10" s="1"/>
  <c r="N638" i="10"/>
  <c r="H638" i="10"/>
  <c r="G638" i="10"/>
  <c r="C638" i="10"/>
  <c r="B638" i="10"/>
  <c r="N637" i="10"/>
  <c r="I637" i="10"/>
  <c r="G637" i="10"/>
  <c r="E637" i="10"/>
  <c r="C637" i="10"/>
  <c r="B637" i="10"/>
  <c r="H637" i="10" s="1"/>
  <c r="N636" i="10"/>
  <c r="G636" i="10"/>
  <c r="C636" i="10"/>
  <c r="I636" i="10" s="1"/>
  <c r="B636" i="10"/>
  <c r="H636" i="10" s="1"/>
  <c r="N635" i="10"/>
  <c r="G635" i="10"/>
  <c r="C635" i="10"/>
  <c r="B635" i="10"/>
  <c r="H635" i="10" s="1"/>
  <c r="N634" i="10"/>
  <c r="H634" i="10"/>
  <c r="G634" i="10"/>
  <c r="C634" i="10"/>
  <c r="B634" i="10"/>
  <c r="N633" i="10"/>
  <c r="I633" i="10"/>
  <c r="G633" i="10"/>
  <c r="E633" i="10"/>
  <c r="C633" i="10"/>
  <c r="B633" i="10"/>
  <c r="H633" i="10" s="1"/>
  <c r="N632" i="10"/>
  <c r="G632" i="10"/>
  <c r="C632" i="10"/>
  <c r="I632" i="10" s="1"/>
  <c r="B632" i="10"/>
  <c r="H632" i="10" s="1"/>
  <c r="N631" i="10"/>
  <c r="G631" i="10"/>
  <c r="C631" i="10"/>
  <c r="B631" i="10"/>
  <c r="H631" i="10" s="1"/>
  <c r="N630" i="10"/>
  <c r="H630" i="10"/>
  <c r="G630" i="10"/>
  <c r="C630" i="10"/>
  <c r="B630" i="10"/>
  <c r="N629" i="10"/>
  <c r="I629" i="10"/>
  <c r="G629" i="10"/>
  <c r="E629" i="10"/>
  <c r="C629" i="10"/>
  <c r="B629" i="10"/>
  <c r="H629" i="10" s="1"/>
  <c r="N628" i="10"/>
  <c r="G628" i="10"/>
  <c r="C628" i="10"/>
  <c r="I628" i="10" s="1"/>
  <c r="B628" i="10"/>
  <c r="H628" i="10" s="1"/>
  <c r="N627" i="10"/>
  <c r="G627" i="10"/>
  <c r="C627" i="10"/>
  <c r="B627" i="10"/>
  <c r="H627" i="10" s="1"/>
  <c r="N626" i="10"/>
  <c r="H626" i="10"/>
  <c r="G626" i="10"/>
  <c r="C626" i="10"/>
  <c r="B626" i="10"/>
  <c r="N625" i="10"/>
  <c r="I625" i="10"/>
  <c r="G625" i="10"/>
  <c r="E625" i="10"/>
  <c r="C625" i="10"/>
  <c r="B625" i="10"/>
  <c r="H625" i="10" s="1"/>
  <c r="N624" i="10"/>
  <c r="G624" i="10"/>
  <c r="C624" i="10"/>
  <c r="I624" i="10" s="1"/>
  <c r="B624" i="10"/>
  <c r="H624" i="10" s="1"/>
  <c r="N623" i="10"/>
  <c r="G623" i="10"/>
  <c r="C623" i="10"/>
  <c r="B623" i="10"/>
  <c r="H623" i="10" s="1"/>
  <c r="N622" i="10"/>
  <c r="H622" i="10"/>
  <c r="G622" i="10"/>
  <c r="C622" i="10"/>
  <c r="B622" i="10"/>
  <c r="N621" i="10"/>
  <c r="I621" i="10"/>
  <c r="G621" i="10"/>
  <c r="E621" i="10"/>
  <c r="C621" i="10"/>
  <c r="B621" i="10"/>
  <c r="H621" i="10" s="1"/>
  <c r="N620" i="10"/>
  <c r="G620" i="10"/>
  <c r="C620" i="10"/>
  <c r="I620" i="10" s="1"/>
  <c r="B620" i="10"/>
  <c r="H620" i="10" s="1"/>
  <c r="N619" i="10"/>
  <c r="G619" i="10"/>
  <c r="C619" i="10"/>
  <c r="B619" i="10"/>
  <c r="H619" i="10" s="1"/>
  <c r="N618" i="10"/>
  <c r="H618" i="10"/>
  <c r="G618" i="10"/>
  <c r="C618" i="10"/>
  <c r="B618" i="10"/>
  <c r="N617" i="10"/>
  <c r="I617" i="10"/>
  <c r="G617" i="10"/>
  <c r="E617" i="10"/>
  <c r="C617" i="10"/>
  <c r="B617" i="10"/>
  <c r="H617" i="10" s="1"/>
  <c r="N616" i="10"/>
  <c r="G616" i="10"/>
  <c r="C616" i="10"/>
  <c r="I616" i="10" s="1"/>
  <c r="B616" i="10"/>
  <c r="H616" i="10" s="1"/>
  <c r="N615" i="10"/>
  <c r="G615" i="10"/>
  <c r="C615" i="10"/>
  <c r="B615" i="10"/>
  <c r="H615" i="10" s="1"/>
  <c r="N614" i="10"/>
  <c r="H614" i="10"/>
  <c r="G614" i="10"/>
  <c r="C614" i="10"/>
  <c r="B614" i="10"/>
  <c r="N613" i="10"/>
  <c r="I613" i="10"/>
  <c r="G613" i="10"/>
  <c r="E613" i="10"/>
  <c r="C613" i="10"/>
  <c r="B613" i="10"/>
  <c r="H613" i="10" s="1"/>
  <c r="N612" i="10"/>
  <c r="G612" i="10"/>
  <c r="C612" i="10"/>
  <c r="I612" i="10" s="1"/>
  <c r="B612" i="10"/>
  <c r="H612" i="10" s="1"/>
  <c r="N611" i="10"/>
  <c r="G611" i="10"/>
  <c r="C611" i="10"/>
  <c r="B611" i="10"/>
  <c r="H611" i="10" s="1"/>
  <c r="N610" i="10"/>
  <c r="H610" i="10"/>
  <c r="G610" i="10"/>
  <c r="C610" i="10"/>
  <c r="B610" i="10"/>
  <c r="N609" i="10"/>
  <c r="I609" i="10"/>
  <c r="G609" i="10"/>
  <c r="E609" i="10"/>
  <c r="C609" i="10"/>
  <c r="B609" i="10"/>
  <c r="H609" i="10" s="1"/>
  <c r="N608" i="10"/>
  <c r="G608" i="10"/>
  <c r="C608" i="10"/>
  <c r="I608" i="10" s="1"/>
  <c r="B608" i="10"/>
  <c r="H608" i="10" s="1"/>
  <c r="N607" i="10"/>
  <c r="G607" i="10"/>
  <c r="C607" i="10"/>
  <c r="B607" i="10"/>
  <c r="H607" i="10" s="1"/>
  <c r="N606" i="10"/>
  <c r="H606" i="10"/>
  <c r="G606" i="10"/>
  <c r="C606" i="10"/>
  <c r="B606" i="10"/>
  <c r="N605" i="10"/>
  <c r="I605" i="10"/>
  <c r="G605" i="10"/>
  <c r="E605" i="10"/>
  <c r="C605" i="10"/>
  <c r="B605" i="10"/>
  <c r="H605" i="10" s="1"/>
  <c r="N604" i="10"/>
  <c r="G604" i="10"/>
  <c r="C604" i="10"/>
  <c r="I604" i="10" s="1"/>
  <c r="B604" i="10"/>
  <c r="H604" i="10" s="1"/>
  <c r="N603" i="10"/>
  <c r="G603" i="10"/>
  <c r="C603" i="10"/>
  <c r="B603" i="10"/>
  <c r="H603" i="10" s="1"/>
  <c r="N602" i="10"/>
  <c r="H602" i="10"/>
  <c r="G602" i="10"/>
  <c r="C602" i="10"/>
  <c r="B602" i="10"/>
  <c r="N601" i="10"/>
  <c r="I601" i="10"/>
  <c r="G601" i="10"/>
  <c r="E601" i="10"/>
  <c r="C601" i="10"/>
  <c r="B601" i="10"/>
  <c r="H601" i="10" s="1"/>
  <c r="N600" i="10"/>
  <c r="G600" i="10"/>
  <c r="C600" i="10"/>
  <c r="I600" i="10" s="1"/>
  <c r="B600" i="10"/>
  <c r="H600" i="10" s="1"/>
  <c r="N599" i="10"/>
  <c r="G599" i="10"/>
  <c r="C599" i="10"/>
  <c r="B599" i="10"/>
  <c r="H599" i="10" s="1"/>
  <c r="N598" i="10"/>
  <c r="H598" i="10"/>
  <c r="G598" i="10"/>
  <c r="C598" i="10"/>
  <c r="B598" i="10"/>
  <c r="N597" i="10"/>
  <c r="I597" i="10"/>
  <c r="G597" i="10"/>
  <c r="E597" i="10"/>
  <c r="C597" i="10"/>
  <c r="B597" i="10"/>
  <c r="H597" i="10" s="1"/>
  <c r="N596" i="10"/>
  <c r="G596" i="10"/>
  <c r="C596" i="10"/>
  <c r="I596" i="10" s="1"/>
  <c r="B596" i="10"/>
  <c r="H596" i="10" s="1"/>
  <c r="N595" i="10"/>
  <c r="G595" i="10"/>
  <c r="C595" i="10"/>
  <c r="B595" i="10"/>
  <c r="H595" i="10" s="1"/>
  <c r="N594" i="10"/>
  <c r="H594" i="10"/>
  <c r="G594" i="10"/>
  <c r="C594" i="10"/>
  <c r="B594" i="10"/>
  <c r="N593" i="10"/>
  <c r="I593" i="10"/>
  <c r="G593" i="10"/>
  <c r="E593" i="10"/>
  <c r="C593" i="10"/>
  <c r="B593" i="10"/>
  <c r="H593" i="10" s="1"/>
  <c r="N592" i="10"/>
  <c r="G592" i="10"/>
  <c r="C592" i="10"/>
  <c r="I592" i="10" s="1"/>
  <c r="B592" i="10"/>
  <c r="H592" i="10" s="1"/>
  <c r="N591" i="10"/>
  <c r="G591" i="10"/>
  <c r="C591" i="10"/>
  <c r="B591" i="10"/>
  <c r="H591" i="10" s="1"/>
  <c r="N590" i="10"/>
  <c r="H590" i="10"/>
  <c r="G590" i="10"/>
  <c r="C590" i="10"/>
  <c r="B590" i="10"/>
  <c r="N589" i="10"/>
  <c r="I589" i="10"/>
  <c r="G589" i="10"/>
  <c r="E589" i="10"/>
  <c r="C589" i="10"/>
  <c r="B589" i="10"/>
  <c r="H589" i="10" s="1"/>
  <c r="N588" i="10"/>
  <c r="G588" i="10"/>
  <c r="C588" i="10"/>
  <c r="I588" i="10" s="1"/>
  <c r="B588" i="10"/>
  <c r="H588" i="10" s="1"/>
  <c r="N587" i="10"/>
  <c r="G587" i="10"/>
  <c r="C587" i="10"/>
  <c r="B587" i="10"/>
  <c r="H587" i="10" s="1"/>
  <c r="N586" i="10"/>
  <c r="H586" i="10"/>
  <c r="G586" i="10"/>
  <c r="C586" i="10"/>
  <c r="B586" i="10"/>
  <c r="N585" i="10"/>
  <c r="I585" i="10"/>
  <c r="G585" i="10"/>
  <c r="E585" i="10"/>
  <c r="C585" i="10"/>
  <c r="B585" i="10"/>
  <c r="H585" i="10" s="1"/>
  <c r="N584" i="10"/>
  <c r="G584" i="10"/>
  <c r="C584" i="10"/>
  <c r="I584" i="10" s="1"/>
  <c r="B584" i="10"/>
  <c r="H584" i="10" s="1"/>
  <c r="N583" i="10"/>
  <c r="G583" i="10"/>
  <c r="C583" i="10"/>
  <c r="B583" i="10"/>
  <c r="H583" i="10" s="1"/>
  <c r="N582" i="10"/>
  <c r="H582" i="10"/>
  <c r="G582" i="10"/>
  <c r="C582" i="10"/>
  <c r="B582" i="10"/>
  <c r="N581" i="10"/>
  <c r="I581" i="10"/>
  <c r="G581" i="10"/>
  <c r="E581" i="10"/>
  <c r="C581" i="10"/>
  <c r="B581" i="10"/>
  <c r="H581" i="10" s="1"/>
  <c r="N580" i="10"/>
  <c r="G580" i="10"/>
  <c r="C580" i="10"/>
  <c r="I580" i="10" s="1"/>
  <c r="B580" i="10"/>
  <c r="H580" i="10" s="1"/>
  <c r="N579" i="10"/>
  <c r="G579" i="10"/>
  <c r="C579" i="10"/>
  <c r="B579" i="10"/>
  <c r="H579" i="10" s="1"/>
  <c r="N578" i="10"/>
  <c r="H578" i="10"/>
  <c r="G578" i="10"/>
  <c r="C578" i="10"/>
  <c r="B578" i="10"/>
  <c r="N577" i="10"/>
  <c r="I577" i="10"/>
  <c r="G577" i="10"/>
  <c r="E577" i="10"/>
  <c r="C577" i="10"/>
  <c r="B577" i="10"/>
  <c r="H577" i="10" s="1"/>
  <c r="N576" i="10"/>
  <c r="G576" i="10"/>
  <c r="C576" i="10"/>
  <c r="I576" i="10" s="1"/>
  <c r="B576" i="10"/>
  <c r="H576" i="10" s="1"/>
  <c r="N575" i="10"/>
  <c r="G575" i="10"/>
  <c r="C575" i="10"/>
  <c r="B575" i="10"/>
  <c r="H575" i="10" s="1"/>
  <c r="N574" i="10"/>
  <c r="H574" i="10"/>
  <c r="G574" i="10"/>
  <c r="C574" i="10"/>
  <c r="B574" i="10"/>
  <c r="N573" i="10"/>
  <c r="I573" i="10"/>
  <c r="G573" i="10"/>
  <c r="E573" i="10"/>
  <c r="C573" i="10"/>
  <c r="B573" i="10"/>
  <c r="H573" i="10" s="1"/>
  <c r="N572" i="10"/>
  <c r="G572" i="10"/>
  <c r="C572" i="10"/>
  <c r="I572" i="10" s="1"/>
  <c r="B572" i="10"/>
  <c r="H572" i="10" s="1"/>
  <c r="N571" i="10"/>
  <c r="G571" i="10"/>
  <c r="C571" i="10"/>
  <c r="B571" i="10"/>
  <c r="H571" i="10" s="1"/>
  <c r="N570" i="10"/>
  <c r="H570" i="10"/>
  <c r="G570" i="10"/>
  <c r="C570" i="10"/>
  <c r="B570" i="10"/>
  <c r="N569" i="10"/>
  <c r="I569" i="10"/>
  <c r="G569" i="10"/>
  <c r="E569" i="10"/>
  <c r="C569" i="10"/>
  <c r="B569" i="10"/>
  <c r="H569" i="10" s="1"/>
  <c r="N568" i="10"/>
  <c r="G568" i="10"/>
  <c r="C568" i="10"/>
  <c r="I568" i="10" s="1"/>
  <c r="B568" i="10"/>
  <c r="H568" i="10" s="1"/>
  <c r="N567" i="10"/>
  <c r="G567" i="10"/>
  <c r="C567" i="10"/>
  <c r="B567" i="10"/>
  <c r="H567" i="10" s="1"/>
  <c r="N566" i="10"/>
  <c r="H566" i="10"/>
  <c r="G566" i="10"/>
  <c r="C566" i="10"/>
  <c r="B566" i="10"/>
  <c r="N565" i="10"/>
  <c r="I565" i="10"/>
  <c r="G565" i="10"/>
  <c r="E565" i="10"/>
  <c r="C565" i="10"/>
  <c r="B565" i="10"/>
  <c r="H565" i="10" s="1"/>
  <c r="N564" i="10"/>
  <c r="G564" i="10"/>
  <c r="C564" i="10"/>
  <c r="I564" i="10" s="1"/>
  <c r="B564" i="10"/>
  <c r="H564" i="10" s="1"/>
  <c r="N563" i="10"/>
  <c r="G563" i="10"/>
  <c r="C563" i="10"/>
  <c r="B563" i="10"/>
  <c r="H563" i="10" s="1"/>
  <c r="N562" i="10"/>
  <c r="H562" i="10"/>
  <c r="G562" i="10"/>
  <c r="C562" i="10"/>
  <c r="B562" i="10"/>
  <c r="N561" i="10"/>
  <c r="I561" i="10"/>
  <c r="G561" i="10"/>
  <c r="E561" i="10"/>
  <c r="C561" i="10"/>
  <c r="B561" i="10"/>
  <c r="H561" i="10" s="1"/>
  <c r="N560" i="10"/>
  <c r="G560" i="10"/>
  <c r="C560" i="10"/>
  <c r="I560" i="10" s="1"/>
  <c r="B560" i="10"/>
  <c r="H560" i="10" s="1"/>
  <c r="N559" i="10"/>
  <c r="G559" i="10"/>
  <c r="C559" i="10"/>
  <c r="B559" i="10"/>
  <c r="H559" i="10" s="1"/>
  <c r="N558" i="10"/>
  <c r="H558" i="10"/>
  <c r="G558" i="10"/>
  <c r="C558" i="10"/>
  <c r="B558" i="10"/>
  <c r="N557" i="10"/>
  <c r="I557" i="10"/>
  <c r="G557" i="10"/>
  <c r="E557" i="10"/>
  <c r="C557" i="10"/>
  <c r="B557" i="10"/>
  <c r="H557" i="10" s="1"/>
  <c r="N556" i="10"/>
  <c r="G556" i="10"/>
  <c r="C556" i="10"/>
  <c r="I556" i="10" s="1"/>
  <c r="B556" i="10"/>
  <c r="H556" i="10" s="1"/>
  <c r="N555" i="10"/>
  <c r="G555" i="10"/>
  <c r="C555" i="10"/>
  <c r="B555" i="10"/>
  <c r="H555" i="10" s="1"/>
  <c r="N554" i="10"/>
  <c r="H554" i="10"/>
  <c r="G554" i="10"/>
  <c r="C554" i="10"/>
  <c r="B554" i="10"/>
  <c r="N553" i="10"/>
  <c r="I553" i="10"/>
  <c r="G553" i="10"/>
  <c r="E553" i="10"/>
  <c r="C553" i="10"/>
  <c r="B553" i="10"/>
  <c r="H553" i="10" s="1"/>
  <c r="N552" i="10"/>
  <c r="G552" i="10"/>
  <c r="C552" i="10"/>
  <c r="I552" i="10" s="1"/>
  <c r="B552" i="10"/>
  <c r="H552" i="10" s="1"/>
  <c r="N551" i="10"/>
  <c r="G551" i="10"/>
  <c r="C551" i="10"/>
  <c r="B551" i="10"/>
  <c r="H551" i="10" s="1"/>
  <c r="N550" i="10"/>
  <c r="H550" i="10"/>
  <c r="G550" i="10"/>
  <c r="C550" i="10"/>
  <c r="B550" i="10"/>
  <c r="N549" i="10"/>
  <c r="I549" i="10"/>
  <c r="G549" i="10"/>
  <c r="E549" i="10"/>
  <c r="C549" i="10"/>
  <c r="B549" i="10"/>
  <c r="H549" i="10" s="1"/>
  <c r="N548" i="10"/>
  <c r="G548" i="10"/>
  <c r="C548" i="10"/>
  <c r="I548" i="10" s="1"/>
  <c r="B548" i="10"/>
  <c r="H548" i="10" s="1"/>
  <c r="N547" i="10"/>
  <c r="G547" i="10"/>
  <c r="C547" i="10"/>
  <c r="B547" i="10"/>
  <c r="H547" i="10" s="1"/>
  <c r="N546" i="10"/>
  <c r="H546" i="10"/>
  <c r="G546" i="10"/>
  <c r="C546" i="10"/>
  <c r="B546" i="10"/>
  <c r="N545" i="10"/>
  <c r="I545" i="10"/>
  <c r="G545" i="10"/>
  <c r="E545" i="10"/>
  <c r="C545" i="10"/>
  <c r="B545" i="10"/>
  <c r="H545" i="10" s="1"/>
  <c r="N544" i="10"/>
  <c r="G544" i="10"/>
  <c r="C544" i="10"/>
  <c r="I544" i="10" s="1"/>
  <c r="B544" i="10"/>
  <c r="H544" i="10" s="1"/>
  <c r="N543" i="10"/>
  <c r="G543" i="10"/>
  <c r="C543" i="10"/>
  <c r="B543" i="10"/>
  <c r="H543" i="10" s="1"/>
  <c r="N542" i="10"/>
  <c r="H542" i="10"/>
  <c r="G542" i="10"/>
  <c r="C542" i="10"/>
  <c r="B542" i="10"/>
  <c r="N541" i="10"/>
  <c r="I541" i="10"/>
  <c r="G541" i="10"/>
  <c r="E541" i="10"/>
  <c r="C541" i="10"/>
  <c r="B541" i="10"/>
  <c r="H541" i="10" s="1"/>
  <c r="N540" i="10"/>
  <c r="G540" i="10"/>
  <c r="C540" i="10"/>
  <c r="I540" i="10" s="1"/>
  <c r="B540" i="10"/>
  <c r="H540" i="10" s="1"/>
  <c r="N539" i="10"/>
  <c r="G539" i="10"/>
  <c r="C539" i="10"/>
  <c r="B539" i="10"/>
  <c r="H539" i="10" s="1"/>
  <c r="N538" i="10"/>
  <c r="H538" i="10"/>
  <c r="G538" i="10"/>
  <c r="C538" i="10"/>
  <c r="B538" i="10"/>
  <c r="N537" i="10"/>
  <c r="I537" i="10"/>
  <c r="G537" i="10"/>
  <c r="E537" i="10"/>
  <c r="C537" i="10"/>
  <c r="B537" i="10"/>
  <c r="H537" i="10" s="1"/>
  <c r="N536" i="10"/>
  <c r="G536" i="10"/>
  <c r="C536" i="10"/>
  <c r="I536" i="10" s="1"/>
  <c r="B536" i="10"/>
  <c r="H536" i="10" s="1"/>
  <c r="N535" i="10"/>
  <c r="G535" i="10"/>
  <c r="C535" i="10"/>
  <c r="B535" i="10"/>
  <c r="H535" i="10" s="1"/>
  <c r="N534" i="10"/>
  <c r="H534" i="10"/>
  <c r="G534" i="10"/>
  <c r="C534" i="10"/>
  <c r="B534" i="10"/>
  <c r="N533" i="10"/>
  <c r="I533" i="10"/>
  <c r="H533" i="10"/>
  <c r="G533" i="10"/>
  <c r="E533" i="10"/>
  <c r="C533" i="10"/>
  <c r="B533" i="10"/>
  <c r="N532" i="10"/>
  <c r="G532" i="10"/>
  <c r="C532" i="10"/>
  <c r="I532" i="10" s="1"/>
  <c r="B532" i="10"/>
  <c r="H532" i="10" s="1"/>
  <c r="N531" i="10"/>
  <c r="G531" i="10"/>
  <c r="C531" i="10"/>
  <c r="B531" i="10"/>
  <c r="H531" i="10" s="1"/>
  <c r="N530" i="10"/>
  <c r="H530" i="10"/>
  <c r="G530" i="10"/>
  <c r="C530" i="10"/>
  <c r="B530" i="10"/>
  <c r="N529" i="10"/>
  <c r="I529" i="10"/>
  <c r="H529" i="10"/>
  <c r="G529" i="10"/>
  <c r="E529" i="10"/>
  <c r="C529" i="10"/>
  <c r="B529" i="10"/>
  <c r="N528" i="10"/>
  <c r="G528" i="10"/>
  <c r="C528" i="10"/>
  <c r="I528" i="10" s="1"/>
  <c r="B528" i="10"/>
  <c r="H528" i="10" s="1"/>
  <c r="N527" i="10"/>
  <c r="G527" i="10"/>
  <c r="C527" i="10"/>
  <c r="B527" i="10"/>
  <c r="H527" i="10" s="1"/>
  <c r="N526" i="10"/>
  <c r="H526" i="10"/>
  <c r="G526" i="10"/>
  <c r="C526" i="10"/>
  <c r="B526" i="10"/>
  <c r="N525" i="10"/>
  <c r="I525" i="10"/>
  <c r="H525" i="10"/>
  <c r="G525" i="10"/>
  <c r="E525" i="10"/>
  <c r="C525" i="10"/>
  <c r="B525" i="10"/>
  <c r="N524" i="10"/>
  <c r="G524" i="10"/>
  <c r="C524" i="10"/>
  <c r="I524" i="10" s="1"/>
  <c r="B524" i="10"/>
  <c r="H524" i="10" s="1"/>
  <c r="N523" i="10"/>
  <c r="G523" i="10"/>
  <c r="C523" i="10"/>
  <c r="B523" i="10"/>
  <c r="H523" i="10" s="1"/>
  <c r="N522" i="10"/>
  <c r="H522" i="10"/>
  <c r="G522" i="10"/>
  <c r="C522" i="10"/>
  <c r="B522" i="10"/>
  <c r="N521" i="10"/>
  <c r="I521" i="10"/>
  <c r="G521" i="10"/>
  <c r="E521" i="10"/>
  <c r="C521" i="10"/>
  <c r="B521" i="10"/>
  <c r="H521" i="10" s="1"/>
  <c r="N520" i="10"/>
  <c r="G520" i="10"/>
  <c r="C520" i="10"/>
  <c r="I520" i="10" s="1"/>
  <c r="B520" i="10"/>
  <c r="H520" i="10" s="1"/>
  <c r="N519" i="10"/>
  <c r="G519" i="10"/>
  <c r="C519" i="10"/>
  <c r="B519" i="10"/>
  <c r="H519" i="10" s="1"/>
  <c r="N518" i="10"/>
  <c r="H518" i="10"/>
  <c r="G518" i="10"/>
  <c r="C518" i="10"/>
  <c r="B518" i="10"/>
  <c r="N517" i="10"/>
  <c r="I517" i="10"/>
  <c r="H517" i="10"/>
  <c r="G517" i="10"/>
  <c r="E517" i="10"/>
  <c r="C517" i="10"/>
  <c r="B517" i="10"/>
  <c r="N516" i="10"/>
  <c r="G516" i="10"/>
  <c r="C516" i="10"/>
  <c r="I516" i="10" s="1"/>
  <c r="B516" i="10"/>
  <c r="H516" i="10" s="1"/>
  <c r="N515" i="10"/>
  <c r="G515" i="10"/>
  <c r="C515" i="10"/>
  <c r="B515" i="10"/>
  <c r="H515" i="10" s="1"/>
  <c r="N514" i="10"/>
  <c r="H514" i="10"/>
  <c r="G514" i="10"/>
  <c r="C514" i="10"/>
  <c r="B514" i="10"/>
  <c r="N513" i="10"/>
  <c r="I513" i="10"/>
  <c r="H513" i="10"/>
  <c r="G513" i="10"/>
  <c r="E513" i="10"/>
  <c r="C513" i="10"/>
  <c r="B513" i="10"/>
  <c r="N512" i="10"/>
  <c r="G512" i="10"/>
  <c r="C512" i="10"/>
  <c r="I512" i="10" s="1"/>
  <c r="B512" i="10"/>
  <c r="H512" i="10" s="1"/>
  <c r="N511" i="10"/>
  <c r="G511" i="10"/>
  <c r="C511" i="10"/>
  <c r="B511" i="10"/>
  <c r="H511" i="10" s="1"/>
  <c r="N510" i="10"/>
  <c r="H510" i="10"/>
  <c r="G510" i="10"/>
  <c r="C510" i="10"/>
  <c r="B510" i="10"/>
  <c r="N509" i="10"/>
  <c r="I509" i="10"/>
  <c r="H509" i="10"/>
  <c r="G509" i="10"/>
  <c r="E509" i="10"/>
  <c r="C509" i="10"/>
  <c r="B509" i="10"/>
  <c r="N508" i="10"/>
  <c r="I508" i="10"/>
  <c r="G508" i="10"/>
  <c r="E508" i="10"/>
  <c r="C508" i="10"/>
  <c r="B508" i="10"/>
  <c r="H508" i="10" s="1"/>
  <c r="N507" i="10"/>
  <c r="G507" i="10"/>
  <c r="C507" i="10"/>
  <c r="B507" i="10"/>
  <c r="H507" i="10" s="1"/>
  <c r="N506" i="10"/>
  <c r="H506" i="10"/>
  <c r="G506" i="10"/>
  <c r="C506" i="10"/>
  <c r="B506" i="10"/>
  <c r="N505" i="10"/>
  <c r="I505" i="10"/>
  <c r="H505" i="10"/>
  <c r="G505" i="10"/>
  <c r="E505" i="10"/>
  <c r="C505" i="10"/>
  <c r="B505" i="10"/>
  <c r="N504" i="10"/>
  <c r="I504" i="10"/>
  <c r="G504" i="10"/>
  <c r="E504" i="10"/>
  <c r="C504" i="10"/>
  <c r="B504" i="10"/>
  <c r="H504" i="10" s="1"/>
  <c r="N503" i="10"/>
  <c r="G503" i="10"/>
  <c r="C503" i="10"/>
  <c r="B503" i="10"/>
  <c r="H503" i="10" s="1"/>
  <c r="N502" i="10"/>
  <c r="H502" i="10"/>
  <c r="G502" i="10"/>
  <c r="C502" i="10"/>
  <c r="B502" i="10"/>
  <c r="N501" i="10"/>
  <c r="I501" i="10"/>
  <c r="H501" i="10"/>
  <c r="G501" i="10"/>
  <c r="E501" i="10"/>
  <c r="C501" i="10"/>
  <c r="B501" i="10"/>
  <c r="N500" i="10"/>
  <c r="I500" i="10"/>
  <c r="G500" i="10"/>
  <c r="E500" i="10"/>
  <c r="C500" i="10"/>
  <c r="B500" i="10"/>
  <c r="H500" i="10" s="1"/>
  <c r="N499" i="10"/>
  <c r="G499" i="10"/>
  <c r="C499" i="10"/>
  <c r="B499" i="10"/>
  <c r="H499" i="10" s="1"/>
  <c r="N498" i="10"/>
  <c r="H498" i="10"/>
  <c r="G498" i="10"/>
  <c r="C498" i="10"/>
  <c r="B498" i="10"/>
  <c r="N497" i="10"/>
  <c r="I497" i="10"/>
  <c r="H497" i="10"/>
  <c r="G497" i="10"/>
  <c r="E497" i="10"/>
  <c r="C497" i="10"/>
  <c r="B497" i="10"/>
  <c r="N496" i="10"/>
  <c r="I496" i="10"/>
  <c r="G496" i="10"/>
  <c r="E496" i="10"/>
  <c r="C496" i="10"/>
  <c r="B496" i="10"/>
  <c r="H496" i="10" s="1"/>
  <c r="N495" i="10"/>
  <c r="G495" i="10"/>
  <c r="C495" i="10"/>
  <c r="B495" i="10"/>
  <c r="H495" i="10" s="1"/>
  <c r="N494" i="10"/>
  <c r="H494" i="10"/>
  <c r="G494" i="10"/>
  <c r="C494" i="10"/>
  <c r="B494" i="10"/>
  <c r="N493" i="10"/>
  <c r="I493" i="10"/>
  <c r="H493" i="10"/>
  <c r="G493" i="10"/>
  <c r="E493" i="10"/>
  <c r="C493" i="10"/>
  <c r="B493" i="10"/>
  <c r="N492" i="10"/>
  <c r="I492" i="10"/>
  <c r="G492" i="10"/>
  <c r="E492" i="10"/>
  <c r="C492" i="10"/>
  <c r="B492" i="10"/>
  <c r="H492" i="10" s="1"/>
  <c r="N491" i="10"/>
  <c r="G491" i="10"/>
  <c r="C491" i="10"/>
  <c r="B491" i="10"/>
  <c r="H491" i="10" s="1"/>
  <c r="N490" i="10"/>
  <c r="H490" i="10"/>
  <c r="G490" i="10"/>
  <c r="C490" i="10"/>
  <c r="B490" i="10"/>
  <c r="N489" i="10"/>
  <c r="I489" i="10"/>
  <c r="H489" i="10"/>
  <c r="G489" i="10"/>
  <c r="E489" i="10"/>
  <c r="C489" i="10"/>
  <c r="B489" i="10"/>
  <c r="N488" i="10"/>
  <c r="I488" i="10"/>
  <c r="G488" i="10"/>
  <c r="E488" i="10"/>
  <c r="C488" i="10"/>
  <c r="B488" i="10"/>
  <c r="H488" i="10" s="1"/>
  <c r="N487" i="10"/>
  <c r="G487" i="10"/>
  <c r="C487" i="10"/>
  <c r="B487" i="10"/>
  <c r="H487" i="10" s="1"/>
  <c r="N486" i="10"/>
  <c r="H486" i="10"/>
  <c r="G486" i="10"/>
  <c r="C486" i="10"/>
  <c r="B486" i="10"/>
  <c r="N485" i="10"/>
  <c r="I485" i="10"/>
  <c r="H485" i="10"/>
  <c r="G485" i="10"/>
  <c r="E485" i="10"/>
  <c r="C485" i="10"/>
  <c r="B485" i="10"/>
  <c r="N484" i="10"/>
  <c r="I484" i="10"/>
  <c r="G484" i="10"/>
  <c r="E484" i="10"/>
  <c r="C484" i="10"/>
  <c r="B484" i="10"/>
  <c r="H484" i="10" s="1"/>
  <c r="N483" i="10"/>
  <c r="G483" i="10"/>
  <c r="C483" i="10"/>
  <c r="B483" i="10"/>
  <c r="H483" i="10" s="1"/>
  <c r="N482" i="10"/>
  <c r="H482" i="10"/>
  <c r="G482" i="10"/>
  <c r="C482" i="10"/>
  <c r="B482" i="10"/>
  <c r="N481" i="10"/>
  <c r="I481" i="10"/>
  <c r="H481" i="10"/>
  <c r="G481" i="10"/>
  <c r="E481" i="10"/>
  <c r="C481" i="10"/>
  <c r="B481" i="10"/>
  <c r="N480" i="10"/>
  <c r="I480" i="10"/>
  <c r="G480" i="10"/>
  <c r="E480" i="10"/>
  <c r="C480" i="10"/>
  <c r="B480" i="10"/>
  <c r="H480" i="10" s="1"/>
  <c r="N479" i="10"/>
  <c r="G479" i="10"/>
  <c r="C479" i="10"/>
  <c r="B479" i="10"/>
  <c r="H479" i="10" s="1"/>
  <c r="N478" i="10"/>
  <c r="H478" i="10"/>
  <c r="G478" i="10"/>
  <c r="C478" i="10"/>
  <c r="B478" i="10"/>
  <c r="N477" i="10"/>
  <c r="I477" i="10"/>
  <c r="H477" i="10"/>
  <c r="G477" i="10"/>
  <c r="E477" i="10"/>
  <c r="C477" i="10"/>
  <c r="B477" i="10"/>
  <c r="N476" i="10"/>
  <c r="I476" i="10"/>
  <c r="G476" i="10"/>
  <c r="E476" i="10"/>
  <c r="C476" i="10"/>
  <c r="B476" i="10"/>
  <c r="H476" i="10" s="1"/>
  <c r="N475" i="10"/>
  <c r="G475" i="10"/>
  <c r="C475" i="10"/>
  <c r="B475" i="10"/>
  <c r="H475" i="10" s="1"/>
  <c r="N474" i="10"/>
  <c r="H474" i="10"/>
  <c r="G474" i="10"/>
  <c r="C474" i="10"/>
  <c r="B474" i="10"/>
  <c r="N473" i="10"/>
  <c r="I473" i="10"/>
  <c r="H473" i="10"/>
  <c r="G473" i="10"/>
  <c r="E473" i="10"/>
  <c r="C473" i="10"/>
  <c r="B473" i="10"/>
  <c r="N472" i="10"/>
  <c r="I472" i="10"/>
  <c r="G472" i="10"/>
  <c r="E472" i="10"/>
  <c r="C472" i="10"/>
  <c r="B472" i="10"/>
  <c r="H472" i="10" s="1"/>
  <c r="N471" i="10"/>
  <c r="G471" i="10"/>
  <c r="C471" i="10"/>
  <c r="B471" i="10"/>
  <c r="H471" i="10" s="1"/>
  <c r="N470" i="10"/>
  <c r="H470" i="10"/>
  <c r="G470" i="10"/>
  <c r="C470" i="10"/>
  <c r="B470" i="10"/>
  <c r="N469" i="10"/>
  <c r="I469" i="10"/>
  <c r="H469" i="10"/>
  <c r="G469" i="10"/>
  <c r="E469" i="10"/>
  <c r="C469" i="10"/>
  <c r="B469" i="10"/>
  <c r="N468" i="10"/>
  <c r="I468" i="10"/>
  <c r="G468" i="10"/>
  <c r="E468" i="10"/>
  <c r="C468" i="10"/>
  <c r="B468" i="10"/>
  <c r="H468" i="10" s="1"/>
  <c r="N467" i="10"/>
  <c r="G467" i="10"/>
  <c r="C467" i="10"/>
  <c r="B467" i="10"/>
  <c r="H467" i="10" s="1"/>
  <c r="N466" i="10"/>
  <c r="H466" i="10"/>
  <c r="G466" i="10"/>
  <c r="C466" i="10"/>
  <c r="B466" i="10"/>
  <c r="N465" i="10"/>
  <c r="I465" i="10"/>
  <c r="H465" i="10"/>
  <c r="G465" i="10"/>
  <c r="E465" i="10"/>
  <c r="C465" i="10"/>
  <c r="B465" i="10"/>
  <c r="N464" i="10"/>
  <c r="I464" i="10"/>
  <c r="G464" i="10"/>
  <c r="E464" i="10"/>
  <c r="C464" i="10"/>
  <c r="B464" i="10"/>
  <c r="H464" i="10" s="1"/>
  <c r="N463" i="10"/>
  <c r="G463" i="10"/>
  <c r="C463" i="10"/>
  <c r="B463" i="10"/>
  <c r="H463" i="10" s="1"/>
  <c r="N462" i="10"/>
  <c r="H462" i="10"/>
  <c r="G462" i="10"/>
  <c r="C462" i="10"/>
  <c r="B462" i="10"/>
  <c r="N461" i="10"/>
  <c r="I461" i="10"/>
  <c r="H461" i="10"/>
  <c r="G461" i="10"/>
  <c r="E461" i="10"/>
  <c r="C461" i="10"/>
  <c r="B461" i="10"/>
  <c r="N460" i="10"/>
  <c r="I460" i="10"/>
  <c r="G460" i="10"/>
  <c r="E460" i="10"/>
  <c r="C460" i="10"/>
  <c r="B460" i="10"/>
  <c r="H460" i="10" s="1"/>
  <c r="N459" i="10"/>
  <c r="G459" i="10"/>
  <c r="C459" i="10"/>
  <c r="B459" i="10"/>
  <c r="H459" i="10" s="1"/>
  <c r="N458" i="10"/>
  <c r="H458" i="10"/>
  <c r="G458" i="10"/>
  <c r="C458" i="10"/>
  <c r="B458" i="10"/>
  <c r="N457" i="10"/>
  <c r="I457" i="10"/>
  <c r="H457" i="10"/>
  <c r="G457" i="10"/>
  <c r="E457" i="10"/>
  <c r="C457" i="10"/>
  <c r="B457" i="10"/>
  <c r="N456" i="10"/>
  <c r="I456" i="10"/>
  <c r="G456" i="10"/>
  <c r="E456" i="10"/>
  <c r="C456" i="10"/>
  <c r="B456" i="10"/>
  <c r="H456" i="10" s="1"/>
  <c r="N455" i="10"/>
  <c r="G455" i="10"/>
  <c r="C455" i="10"/>
  <c r="B455" i="10"/>
  <c r="H455" i="10" s="1"/>
  <c r="N454" i="10"/>
  <c r="H454" i="10"/>
  <c r="G454" i="10"/>
  <c r="C454" i="10"/>
  <c r="B454" i="10"/>
  <c r="N453" i="10"/>
  <c r="I453" i="10"/>
  <c r="H453" i="10"/>
  <c r="G453" i="10"/>
  <c r="E453" i="10"/>
  <c r="C453" i="10"/>
  <c r="B453" i="10"/>
  <c r="N452" i="10"/>
  <c r="I452" i="10"/>
  <c r="G452" i="10"/>
  <c r="E452" i="10"/>
  <c r="C452" i="10"/>
  <c r="B452" i="10"/>
  <c r="H452" i="10" s="1"/>
  <c r="N451" i="10"/>
  <c r="G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G353" i="10"/>
  <c r="E353" i="10"/>
  <c r="C353" i="10"/>
  <c r="B353" i="10"/>
  <c r="H353" i="10" s="1"/>
  <c r="N352" i="10"/>
  <c r="H352" i="10"/>
  <c r="G352" i="10"/>
  <c r="C352" i="10"/>
  <c r="I352" i="10" s="1"/>
  <c r="B352" i="10"/>
  <c r="N351" i="10"/>
  <c r="I351" i="10"/>
  <c r="G351" i="10"/>
  <c r="E351" i="10"/>
  <c r="C351" i="10"/>
  <c r="B351" i="10"/>
  <c r="H351" i="10" s="1"/>
  <c r="N350" i="10"/>
  <c r="H350" i="10"/>
  <c r="G350" i="10"/>
  <c r="C350" i="10"/>
  <c r="B350" i="10"/>
  <c r="N349" i="10"/>
  <c r="I349" i="10"/>
  <c r="G349" i="10"/>
  <c r="E349" i="10"/>
  <c r="C349" i="10"/>
  <c r="B349" i="10"/>
  <c r="H349" i="10" s="1"/>
  <c r="N348" i="10"/>
  <c r="H348" i="10"/>
  <c r="G348" i="10"/>
  <c r="C348" i="10"/>
  <c r="I348" i="10" s="1"/>
  <c r="B348" i="10"/>
  <c r="N347" i="10"/>
  <c r="I347" i="10"/>
  <c r="G347" i="10"/>
  <c r="E347" i="10"/>
  <c r="C347" i="10"/>
  <c r="B347" i="10"/>
  <c r="H347" i="10" s="1"/>
  <c r="H346" i="10"/>
  <c r="G346" i="10"/>
  <c r="C346" i="10"/>
  <c r="B346" i="10"/>
  <c r="I345" i="10"/>
  <c r="G345" i="10"/>
  <c r="E345" i="10"/>
  <c r="C345" i="10"/>
  <c r="B345" i="10"/>
  <c r="H345" i="10" s="1"/>
  <c r="H344" i="10"/>
  <c r="G344" i="10"/>
  <c r="C344" i="10"/>
  <c r="I344" i="10" s="1"/>
  <c r="B344" i="10"/>
  <c r="I343" i="10"/>
  <c r="G343" i="10"/>
  <c r="E343" i="10"/>
  <c r="C343" i="10"/>
  <c r="B343" i="10"/>
  <c r="H343" i="10" s="1"/>
  <c r="H342" i="10"/>
  <c r="G342" i="10"/>
  <c r="C342" i="10"/>
  <c r="B342" i="10"/>
  <c r="I341" i="10"/>
  <c r="G341" i="10"/>
  <c r="E341" i="10"/>
  <c r="C341" i="10"/>
  <c r="B341" i="10"/>
  <c r="H341" i="10" s="1"/>
  <c r="H340" i="10"/>
  <c r="G340" i="10"/>
  <c r="C340" i="10"/>
  <c r="I340" i="10" s="1"/>
  <c r="B340" i="10"/>
  <c r="I339" i="10"/>
  <c r="G339" i="10"/>
  <c r="E339" i="10"/>
  <c r="C339" i="10"/>
  <c r="B339" i="10"/>
  <c r="H339" i="10" s="1"/>
  <c r="H338" i="10"/>
  <c r="G338" i="10"/>
  <c r="C338" i="10"/>
  <c r="B338" i="10"/>
  <c r="I337" i="10"/>
  <c r="G337" i="10"/>
  <c r="E337" i="10"/>
  <c r="C337" i="10"/>
  <c r="B337" i="10"/>
  <c r="H337" i="10" s="1"/>
  <c r="H336" i="10"/>
  <c r="G336" i="10"/>
  <c r="C336" i="10"/>
  <c r="I336" i="10" s="1"/>
  <c r="B336" i="10"/>
  <c r="I335" i="10"/>
  <c r="G335" i="10"/>
  <c r="E335" i="10"/>
  <c r="C335" i="10"/>
  <c r="B335" i="10"/>
  <c r="H335" i="10" s="1"/>
  <c r="H334" i="10"/>
  <c r="G334" i="10"/>
  <c r="C334" i="10"/>
  <c r="B334" i="10"/>
  <c r="I333" i="10"/>
  <c r="G333" i="10"/>
  <c r="E333" i="10"/>
  <c r="C333" i="10"/>
  <c r="B333" i="10"/>
  <c r="H333" i="10" s="1"/>
  <c r="H332" i="10"/>
  <c r="G332" i="10"/>
  <c r="C332" i="10"/>
  <c r="I332" i="10" s="1"/>
  <c r="B332" i="10"/>
  <c r="I331" i="10"/>
  <c r="G331" i="10"/>
  <c r="E331" i="10"/>
  <c r="C331" i="10"/>
  <c r="B331" i="10"/>
  <c r="H331" i="10" s="1"/>
  <c r="H330" i="10"/>
  <c r="G330" i="10"/>
  <c r="C330" i="10"/>
  <c r="B330" i="10"/>
  <c r="I329" i="10"/>
  <c r="G329" i="10"/>
  <c r="E329" i="10"/>
  <c r="C329" i="10"/>
  <c r="B329" i="10"/>
  <c r="H329" i="10" s="1"/>
  <c r="H328" i="10"/>
  <c r="G328" i="10"/>
  <c r="C328" i="10"/>
  <c r="I328" i="10" s="1"/>
  <c r="B328" i="10"/>
  <c r="I327" i="10"/>
  <c r="G327" i="10"/>
  <c r="E327" i="10"/>
  <c r="C327" i="10"/>
  <c r="B327" i="10"/>
  <c r="H327" i="10" s="1"/>
  <c r="H326" i="10"/>
  <c r="G326" i="10"/>
  <c r="C326" i="10"/>
  <c r="B326" i="10"/>
  <c r="I325" i="10"/>
  <c r="G325" i="10"/>
  <c r="E325" i="10"/>
  <c r="C325" i="10"/>
  <c r="B325" i="10"/>
  <c r="H325" i="10" s="1"/>
  <c r="H324" i="10"/>
  <c r="G324" i="10"/>
  <c r="C324" i="10"/>
  <c r="I324" i="10" s="1"/>
  <c r="B324" i="10"/>
  <c r="I323" i="10"/>
  <c r="G323" i="10"/>
  <c r="E323" i="10"/>
  <c r="C323" i="10"/>
  <c r="B323" i="10"/>
  <c r="H323" i="10" s="1"/>
  <c r="H322" i="10"/>
  <c r="G322" i="10"/>
  <c r="C322" i="10"/>
  <c r="B322" i="10"/>
  <c r="I321" i="10"/>
  <c r="G321" i="10"/>
  <c r="E321" i="10"/>
  <c r="C321" i="10"/>
  <c r="B321" i="10"/>
  <c r="H321" i="10" s="1"/>
  <c r="H320" i="10"/>
  <c r="G320" i="10"/>
  <c r="C320" i="10"/>
  <c r="I320" i="10" s="1"/>
  <c r="B320" i="10"/>
  <c r="I319" i="10"/>
  <c r="G319" i="10"/>
  <c r="E319" i="10"/>
  <c r="C319" i="10"/>
  <c r="B319" i="10"/>
  <c r="H319" i="10" s="1"/>
  <c r="H318" i="10"/>
  <c r="G318" i="10"/>
  <c r="C318" i="10"/>
  <c r="B318" i="10"/>
  <c r="I317" i="10"/>
  <c r="G317" i="10"/>
  <c r="E317" i="10"/>
  <c r="C317" i="10"/>
  <c r="B317" i="10"/>
  <c r="H317" i="10" s="1"/>
  <c r="H316" i="10"/>
  <c r="G316" i="10"/>
  <c r="C316" i="10"/>
  <c r="I316" i="10" s="1"/>
  <c r="B316" i="10"/>
  <c r="I315" i="10"/>
  <c r="G315" i="10"/>
  <c r="E315" i="10"/>
  <c r="C315" i="10"/>
  <c r="B315" i="10"/>
  <c r="H315" i="10" s="1"/>
  <c r="H314" i="10"/>
  <c r="G314" i="10"/>
  <c r="C314" i="10"/>
  <c r="B314" i="10"/>
  <c r="I313" i="10"/>
  <c r="G313" i="10"/>
  <c r="E313" i="10"/>
  <c r="C313" i="10"/>
  <c r="B313" i="10"/>
  <c r="H313" i="10" s="1"/>
  <c r="H312" i="10"/>
  <c r="G312" i="10"/>
  <c r="C312" i="10"/>
  <c r="I312" i="10" s="1"/>
  <c r="B312" i="10"/>
  <c r="I311" i="10"/>
  <c r="G311" i="10"/>
  <c r="E311" i="10"/>
  <c r="C311" i="10"/>
  <c r="B311" i="10"/>
  <c r="H311" i="10" s="1"/>
  <c r="H310" i="10"/>
  <c r="G310" i="10"/>
  <c r="C310" i="10"/>
  <c r="B310" i="10"/>
  <c r="I309" i="10"/>
  <c r="G309" i="10"/>
  <c r="E309" i="10"/>
  <c r="C309" i="10"/>
  <c r="B309" i="10"/>
  <c r="H309" i="10" s="1"/>
  <c r="H308" i="10"/>
  <c r="G308" i="10"/>
  <c r="C308" i="10"/>
  <c r="I308" i="10" s="1"/>
  <c r="B308" i="10"/>
  <c r="I307" i="10"/>
  <c r="G307" i="10"/>
  <c r="E307" i="10"/>
  <c r="C307" i="10"/>
  <c r="B307" i="10"/>
  <c r="H307" i="10" s="1"/>
  <c r="H306" i="10"/>
  <c r="G306" i="10"/>
  <c r="C306" i="10"/>
  <c r="B306" i="10"/>
  <c r="I305" i="10"/>
  <c r="G305" i="10"/>
  <c r="E305" i="10"/>
  <c r="C305" i="10"/>
  <c r="B305" i="10"/>
  <c r="H305" i="10" s="1"/>
  <c r="H304" i="10"/>
  <c r="G304" i="10"/>
  <c r="C304" i="10"/>
  <c r="I304" i="10" s="1"/>
  <c r="B304" i="10"/>
  <c r="I303" i="10"/>
  <c r="G303" i="10"/>
  <c r="E303" i="10"/>
  <c r="C303" i="10"/>
  <c r="B303" i="10"/>
  <c r="H303" i="10" s="1"/>
  <c r="H302" i="10"/>
  <c r="G302" i="10"/>
  <c r="C302" i="10"/>
  <c r="B302" i="10"/>
  <c r="I301" i="10"/>
  <c r="G301" i="10"/>
  <c r="E301" i="10"/>
  <c r="C301" i="10"/>
  <c r="B301" i="10"/>
  <c r="H301" i="10" s="1"/>
  <c r="H300" i="10"/>
  <c r="G300" i="10"/>
  <c r="C300" i="10"/>
  <c r="I300" i="10" s="1"/>
  <c r="B300" i="10"/>
  <c r="N299" i="10"/>
  <c r="I299" i="10"/>
  <c r="G299" i="10"/>
  <c r="E299" i="10"/>
  <c r="C299" i="10"/>
  <c r="B299" i="10"/>
  <c r="H299" i="10" s="1"/>
  <c r="N298" i="10"/>
  <c r="H298" i="10"/>
  <c r="G298" i="10"/>
  <c r="C298" i="10"/>
  <c r="B298" i="10"/>
  <c r="N297" i="10"/>
  <c r="I297" i="10"/>
  <c r="G297" i="10"/>
  <c r="E297" i="10"/>
  <c r="C297" i="10"/>
  <c r="B297" i="10"/>
  <c r="H297" i="10" s="1"/>
  <c r="N296" i="10"/>
  <c r="H296" i="10"/>
  <c r="G296" i="10"/>
  <c r="C296" i="10"/>
  <c r="I296" i="10" s="1"/>
  <c r="B296" i="10"/>
  <c r="N295" i="10"/>
  <c r="I295" i="10"/>
  <c r="G295" i="10"/>
  <c r="E295" i="10"/>
  <c r="C295" i="10"/>
  <c r="B295" i="10"/>
  <c r="H295" i="10" s="1"/>
  <c r="N294" i="10"/>
  <c r="H294" i="10"/>
  <c r="G294" i="10"/>
  <c r="C294" i="10"/>
  <c r="B294" i="10"/>
  <c r="N293" i="10"/>
  <c r="I293" i="10"/>
  <c r="G293" i="10"/>
  <c r="E293" i="10"/>
  <c r="C293" i="10"/>
  <c r="B293" i="10"/>
  <c r="H293" i="10" s="1"/>
  <c r="N292" i="10"/>
  <c r="H292" i="10"/>
  <c r="G292" i="10"/>
  <c r="C292" i="10"/>
  <c r="I292" i="10" s="1"/>
  <c r="B292" i="10"/>
  <c r="N291" i="10"/>
  <c r="I291" i="10"/>
  <c r="G291" i="10"/>
  <c r="E291" i="10"/>
  <c r="C291" i="10"/>
  <c r="B291" i="10"/>
  <c r="H291" i="10" s="1"/>
  <c r="N290" i="10"/>
  <c r="H290" i="10"/>
  <c r="G290" i="10"/>
  <c r="C290" i="10"/>
  <c r="B290" i="10"/>
  <c r="N289" i="10"/>
  <c r="I289" i="10"/>
  <c r="G289" i="10"/>
  <c r="E289" i="10"/>
  <c r="C289" i="10"/>
  <c r="B289" i="10"/>
  <c r="H289" i="10" s="1"/>
  <c r="N288" i="10"/>
  <c r="H288" i="10"/>
  <c r="G288" i="10"/>
  <c r="C288" i="10"/>
  <c r="I288" i="10" s="1"/>
  <c r="B288" i="10"/>
  <c r="N287" i="10"/>
  <c r="I287" i="10"/>
  <c r="G287" i="10"/>
  <c r="E287" i="10"/>
  <c r="C287" i="10"/>
  <c r="B287" i="10"/>
  <c r="H287" i="10" s="1"/>
  <c r="N286" i="10"/>
  <c r="H286" i="10"/>
  <c r="G286" i="10"/>
  <c r="C286" i="10"/>
  <c r="B286" i="10"/>
  <c r="N285" i="10"/>
  <c r="I285" i="10"/>
  <c r="G285" i="10"/>
  <c r="E285" i="10"/>
  <c r="C285" i="10"/>
  <c r="B285" i="10"/>
  <c r="H285" i="10" s="1"/>
  <c r="N284" i="10"/>
  <c r="H284" i="10"/>
  <c r="G284" i="10"/>
  <c r="C284" i="10"/>
  <c r="I284" i="10" s="1"/>
  <c r="B284" i="10"/>
  <c r="N283" i="10"/>
  <c r="I283" i="10"/>
  <c r="G283" i="10"/>
  <c r="E283" i="10"/>
  <c r="C283" i="10"/>
  <c r="B283" i="10"/>
  <c r="H283" i="10" s="1"/>
  <c r="N282" i="10"/>
  <c r="H282" i="10"/>
  <c r="G282" i="10"/>
  <c r="C282" i="10"/>
  <c r="B282" i="10"/>
  <c r="N281" i="10"/>
  <c r="I281" i="10"/>
  <c r="G281" i="10"/>
  <c r="E281" i="10"/>
  <c r="C281" i="10"/>
  <c r="B281" i="10"/>
  <c r="H281" i="10" s="1"/>
  <c r="N280" i="10"/>
  <c r="H280" i="10"/>
  <c r="G280" i="10"/>
  <c r="C280" i="10"/>
  <c r="I280" i="10" s="1"/>
  <c r="B280" i="10"/>
  <c r="N279" i="10"/>
  <c r="I279" i="10"/>
  <c r="G279" i="10"/>
  <c r="E279" i="10"/>
  <c r="C279" i="10"/>
  <c r="B279" i="10"/>
  <c r="H279" i="10" s="1"/>
  <c r="N278" i="10"/>
  <c r="H278" i="10"/>
  <c r="G278" i="10"/>
  <c r="C278" i="10"/>
  <c r="B278" i="10"/>
  <c r="N277" i="10"/>
  <c r="I277" i="10"/>
  <c r="G277" i="10"/>
  <c r="E277" i="10"/>
  <c r="C277" i="10"/>
  <c r="B277" i="10"/>
  <c r="H277" i="10" s="1"/>
  <c r="N276" i="10"/>
  <c r="H276" i="10"/>
  <c r="G276" i="10"/>
  <c r="C276" i="10"/>
  <c r="I276" i="10" s="1"/>
  <c r="B276" i="10"/>
  <c r="N275" i="10"/>
  <c r="I275" i="10"/>
  <c r="G275" i="10"/>
  <c r="E275" i="10"/>
  <c r="C275" i="10"/>
  <c r="B275" i="10"/>
  <c r="H275" i="10" s="1"/>
  <c r="N274" i="10"/>
  <c r="H274" i="10"/>
  <c r="G274" i="10"/>
  <c r="C274" i="10"/>
  <c r="B274" i="10"/>
  <c r="N273" i="10"/>
  <c r="I273" i="10"/>
  <c r="G273" i="10"/>
  <c r="E273" i="10"/>
  <c r="C273" i="10"/>
  <c r="B273" i="10"/>
  <c r="H273" i="10" s="1"/>
  <c r="N272" i="10"/>
  <c r="H272" i="10"/>
  <c r="G272" i="10"/>
  <c r="C272" i="10"/>
  <c r="I272" i="10" s="1"/>
  <c r="B272" i="10"/>
  <c r="N271" i="10"/>
  <c r="I271" i="10"/>
  <c r="G271" i="10"/>
  <c r="E271" i="10"/>
  <c r="C271" i="10"/>
  <c r="B271" i="10"/>
  <c r="H271" i="10" s="1"/>
  <c r="N270" i="10"/>
  <c r="H270" i="10"/>
  <c r="G270" i="10"/>
  <c r="C270" i="10"/>
  <c r="B270" i="10"/>
  <c r="N269" i="10"/>
  <c r="I269" i="10"/>
  <c r="G269" i="10"/>
  <c r="E269" i="10"/>
  <c r="C269" i="10"/>
  <c r="B269" i="10"/>
  <c r="H269" i="10" s="1"/>
  <c r="N268" i="10"/>
  <c r="H268" i="10"/>
  <c r="G268" i="10"/>
  <c r="C268" i="10"/>
  <c r="I268" i="10" s="1"/>
  <c r="B268" i="10"/>
  <c r="N267" i="10"/>
  <c r="I267" i="10"/>
  <c r="G267" i="10"/>
  <c r="E267" i="10"/>
  <c r="C267" i="10"/>
  <c r="B267" i="10"/>
  <c r="H267" i="10" s="1"/>
  <c r="N266" i="10"/>
  <c r="H266" i="10"/>
  <c r="G266" i="10"/>
  <c r="C266" i="10"/>
  <c r="B266" i="10"/>
  <c r="N265" i="10"/>
  <c r="I265" i="10"/>
  <c r="G265" i="10"/>
  <c r="E265" i="10"/>
  <c r="C265" i="10"/>
  <c r="B265" i="10"/>
  <c r="H265" i="10" s="1"/>
  <c r="N264" i="10"/>
  <c r="H264" i="10"/>
  <c r="G264" i="10"/>
  <c r="C264" i="10"/>
  <c r="I264" i="10" s="1"/>
  <c r="B264" i="10"/>
  <c r="N263" i="10"/>
  <c r="I263" i="10"/>
  <c r="G263" i="10"/>
  <c r="E263" i="10"/>
  <c r="C263" i="10"/>
  <c r="B263" i="10"/>
  <c r="H263" i="10" s="1"/>
  <c r="N262" i="10"/>
  <c r="H262" i="10"/>
  <c r="G262" i="10"/>
  <c r="C262" i="10"/>
  <c r="B262" i="10"/>
  <c r="N261" i="10"/>
  <c r="I261" i="10"/>
  <c r="G261" i="10"/>
  <c r="E261" i="10"/>
  <c r="C261" i="10"/>
  <c r="B261" i="10"/>
  <c r="H261" i="10" s="1"/>
  <c r="N260" i="10"/>
  <c r="H260" i="10"/>
  <c r="G260" i="10"/>
  <c r="C260" i="10"/>
  <c r="I260" i="10" s="1"/>
  <c r="B260" i="10"/>
  <c r="N259" i="10"/>
  <c r="I259" i="10"/>
  <c r="G259" i="10"/>
  <c r="E259" i="10"/>
  <c r="C259" i="10"/>
  <c r="B259" i="10"/>
  <c r="H259" i="10" s="1"/>
  <c r="N258" i="10"/>
  <c r="H258" i="10"/>
  <c r="G258" i="10"/>
  <c r="C258" i="10"/>
  <c r="B258" i="10"/>
  <c r="N257" i="10"/>
  <c r="I257" i="10"/>
  <c r="G257" i="10"/>
  <c r="E257" i="10"/>
  <c r="C257" i="10"/>
  <c r="B257" i="10"/>
  <c r="H257" i="10" s="1"/>
  <c r="N256" i="10"/>
  <c r="H256" i="10"/>
  <c r="G256" i="10"/>
  <c r="C256" i="10"/>
  <c r="I256" i="10" s="1"/>
  <c r="B256" i="10"/>
  <c r="N255" i="10"/>
  <c r="I255" i="10"/>
  <c r="G255" i="10"/>
  <c r="E255" i="10"/>
  <c r="C255" i="10"/>
  <c r="B255" i="10"/>
  <c r="H255" i="10" s="1"/>
  <c r="N254" i="10"/>
  <c r="H254" i="10"/>
  <c r="G254" i="10"/>
  <c r="C254" i="10"/>
  <c r="B254" i="10"/>
  <c r="N253" i="10"/>
  <c r="I253" i="10"/>
  <c r="G253" i="10"/>
  <c r="E253" i="10"/>
  <c r="C253" i="10"/>
  <c r="B253" i="10"/>
  <c r="H253" i="10" s="1"/>
  <c r="N252" i="10"/>
  <c r="H252" i="10"/>
  <c r="G252" i="10"/>
  <c r="C252" i="10"/>
  <c r="I252" i="10" s="1"/>
  <c r="B252" i="10"/>
  <c r="N251" i="10"/>
  <c r="I251" i="10"/>
  <c r="G251" i="10"/>
  <c r="E251" i="10"/>
  <c r="C251" i="10"/>
  <c r="B251" i="10"/>
  <c r="H251" i="10" s="1"/>
  <c r="N250" i="10"/>
  <c r="H250" i="10"/>
  <c r="G250" i="10"/>
  <c r="C250" i="10"/>
  <c r="B250" i="10"/>
  <c r="N249" i="10"/>
  <c r="I249" i="10"/>
  <c r="G249" i="10"/>
  <c r="E249" i="10"/>
  <c r="C249" i="10"/>
  <c r="B249" i="10"/>
  <c r="H249" i="10" s="1"/>
  <c r="N248" i="10"/>
  <c r="H248" i="10"/>
  <c r="G248" i="10"/>
  <c r="C248" i="10"/>
  <c r="I248" i="10" s="1"/>
  <c r="B248" i="10"/>
  <c r="N247" i="10"/>
  <c r="I247" i="10"/>
  <c r="G247" i="10"/>
  <c r="E247" i="10"/>
  <c r="C247" i="10"/>
  <c r="B247" i="10"/>
  <c r="H247" i="10" s="1"/>
  <c r="N246" i="10"/>
  <c r="H246" i="10"/>
  <c r="G246" i="10"/>
  <c r="C246" i="10"/>
  <c r="B246" i="10"/>
  <c r="N245" i="10"/>
  <c r="I245" i="10"/>
  <c r="G245" i="10"/>
  <c r="E245" i="10"/>
  <c r="C245" i="10"/>
  <c r="B245" i="10"/>
  <c r="H245" i="10" s="1"/>
  <c r="N244" i="10"/>
  <c r="H244" i="10"/>
  <c r="G244" i="10"/>
  <c r="C244" i="10"/>
  <c r="I244" i="10" s="1"/>
  <c r="B244" i="10"/>
  <c r="N243" i="10"/>
  <c r="I243" i="10"/>
  <c r="G243" i="10"/>
  <c r="E243" i="10"/>
  <c r="C243" i="10"/>
  <c r="B243" i="10"/>
  <c r="H243" i="10" s="1"/>
  <c r="N242" i="10"/>
  <c r="H242" i="10"/>
  <c r="G242" i="10"/>
  <c r="C242" i="10"/>
  <c r="B242" i="10"/>
  <c r="N241" i="10"/>
  <c r="I241" i="10"/>
  <c r="G241" i="10"/>
  <c r="E241" i="10"/>
  <c r="C241" i="10"/>
  <c r="B241" i="10"/>
  <c r="H241" i="10" s="1"/>
  <c r="N240" i="10"/>
  <c r="H240" i="10"/>
  <c r="G240" i="10"/>
  <c r="C240" i="10"/>
  <c r="I240" i="10" s="1"/>
  <c r="B240" i="10"/>
  <c r="N239" i="10"/>
  <c r="I239" i="10"/>
  <c r="G239" i="10"/>
  <c r="E239" i="10"/>
  <c r="C239" i="10"/>
  <c r="B239" i="10"/>
  <c r="H239" i="10" s="1"/>
  <c r="N238" i="10"/>
  <c r="H238" i="10"/>
  <c r="G238" i="10"/>
  <c r="C238" i="10"/>
  <c r="B238" i="10"/>
  <c r="N237" i="10"/>
  <c r="I237" i="10"/>
  <c r="G237" i="10"/>
  <c r="E237" i="10"/>
  <c r="C237" i="10"/>
  <c r="B237" i="10"/>
  <c r="H237" i="10" s="1"/>
  <c r="N236" i="10"/>
  <c r="H236" i="10"/>
  <c r="G236" i="10"/>
  <c r="C236" i="10"/>
  <c r="I236" i="10" s="1"/>
  <c r="B236" i="10"/>
  <c r="N235" i="10"/>
  <c r="I235" i="10"/>
  <c r="G235" i="10"/>
  <c r="E235" i="10"/>
  <c r="C235" i="10"/>
  <c r="B235" i="10"/>
  <c r="H235" i="10" s="1"/>
  <c r="N234" i="10"/>
  <c r="H234" i="10"/>
  <c r="G234" i="10"/>
  <c r="C234" i="10"/>
  <c r="B234" i="10"/>
  <c r="N233" i="10"/>
  <c r="I233" i="10"/>
  <c r="G233" i="10"/>
  <c r="E233" i="10"/>
  <c r="C233" i="10"/>
  <c r="B233" i="10"/>
  <c r="H233" i="10" s="1"/>
  <c r="N232" i="10"/>
  <c r="H232" i="10"/>
  <c r="G232" i="10"/>
  <c r="C232" i="10"/>
  <c r="I232" i="10" s="1"/>
  <c r="B232" i="10"/>
  <c r="N231" i="10"/>
  <c r="I231" i="10"/>
  <c r="G231" i="10"/>
  <c r="E231" i="10"/>
  <c r="C231" i="10"/>
  <c r="B231" i="10"/>
  <c r="H231" i="10" s="1"/>
  <c r="N230" i="10"/>
  <c r="H230" i="10"/>
  <c r="G230" i="10"/>
  <c r="C230" i="10"/>
  <c r="B230" i="10"/>
  <c r="N229" i="10"/>
  <c r="I229" i="10"/>
  <c r="G229" i="10"/>
  <c r="E229" i="10"/>
  <c r="C229" i="10"/>
  <c r="B229" i="10"/>
  <c r="H229" i="10" s="1"/>
  <c r="N228" i="10"/>
  <c r="H228" i="10"/>
  <c r="G228" i="10"/>
  <c r="C228" i="10"/>
  <c r="I228" i="10" s="1"/>
  <c r="B228" i="10"/>
  <c r="N227" i="10"/>
  <c r="I227" i="10"/>
  <c r="G227" i="10"/>
  <c r="E227" i="10"/>
  <c r="C227" i="10"/>
  <c r="B227" i="10"/>
  <c r="H227" i="10" s="1"/>
  <c r="N226" i="10"/>
  <c r="H226" i="10"/>
  <c r="G226" i="10"/>
  <c r="C226" i="10"/>
  <c r="B226" i="10"/>
  <c r="N225" i="10"/>
  <c r="I225" i="10"/>
  <c r="G225" i="10"/>
  <c r="E225" i="10"/>
  <c r="C225" i="10"/>
  <c r="B225" i="10"/>
  <c r="H225" i="10" s="1"/>
  <c r="N224" i="10"/>
  <c r="H224" i="10"/>
  <c r="G224" i="10"/>
  <c r="C224" i="10"/>
  <c r="I224" i="10" s="1"/>
  <c r="B224" i="10"/>
  <c r="N223" i="10"/>
  <c r="I223" i="10"/>
  <c r="G223" i="10"/>
  <c r="E223" i="10"/>
  <c r="C223" i="10"/>
  <c r="B223" i="10"/>
  <c r="H223" i="10" s="1"/>
  <c r="N222" i="10"/>
  <c r="H222" i="10"/>
  <c r="G222" i="10"/>
  <c r="C222" i="10"/>
  <c r="B222" i="10"/>
  <c r="N221" i="10"/>
  <c r="I221" i="10"/>
  <c r="G221" i="10"/>
  <c r="E221" i="10"/>
  <c r="C221" i="10"/>
  <c r="B221" i="10"/>
  <c r="H221" i="10" s="1"/>
  <c r="N220" i="10"/>
  <c r="H220" i="10"/>
  <c r="G220" i="10"/>
  <c r="C220" i="10"/>
  <c r="I220" i="10" s="1"/>
  <c r="B220" i="10"/>
  <c r="N219" i="10"/>
  <c r="I219" i="10"/>
  <c r="G219" i="10"/>
  <c r="E219" i="10"/>
  <c r="C219" i="10"/>
  <c r="B219" i="10"/>
  <c r="H219" i="10" s="1"/>
  <c r="N218" i="10"/>
  <c r="H218" i="10"/>
  <c r="G218" i="10"/>
  <c r="C218" i="10"/>
  <c r="B218" i="10"/>
  <c r="N217" i="10"/>
  <c r="I217" i="10"/>
  <c r="G217" i="10"/>
  <c r="E217" i="10"/>
  <c r="C217" i="10"/>
  <c r="B217" i="10"/>
  <c r="H217" i="10" s="1"/>
  <c r="N216" i="10"/>
  <c r="H216" i="10"/>
  <c r="G216" i="10"/>
  <c r="C216" i="10"/>
  <c r="I216" i="10" s="1"/>
  <c r="B216" i="10"/>
  <c r="N215" i="10"/>
  <c r="I215" i="10"/>
  <c r="G215" i="10"/>
  <c r="E215" i="10"/>
  <c r="C215" i="10"/>
  <c r="B215" i="10"/>
  <c r="H215" i="10" s="1"/>
  <c r="N214" i="10"/>
  <c r="H214" i="10"/>
  <c r="G214" i="10"/>
  <c r="C214" i="10"/>
  <c r="B214" i="10"/>
  <c r="N213" i="10"/>
  <c r="I213" i="10"/>
  <c r="G213" i="10"/>
  <c r="E213" i="10"/>
  <c r="C213" i="10"/>
  <c r="B213" i="10"/>
  <c r="H213" i="10" s="1"/>
  <c r="N212" i="10"/>
  <c r="H212" i="10"/>
  <c r="G212" i="10"/>
  <c r="C212" i="10"/>
  <c r="I212" i="10" s="1"/>
  <c r="B212" i="10"/>
  <c r="N211" i="10"/>
  <c r="I211" i="10"/>
  <c r="G211" i="10"/>
  <c r="E211" i="10"/>
  <c r="C211" i="10"/>
  <c r="B211" i="10"/>
  <c r="H211" i="10" s="1"/>
  <c r="N210" i="10"/>
  <c r="H210" i="10"/>
  <c r="G210" i="10"/>
  <c r="C210" i="10"/>
  <c r="B210" i="10"/>
  <c r="N209" i="10"/>
  <c r="I209" i="10"/>
  <c r="G209" i="10"/>
  <c r="E209" i="10"/>
  <c r="C209" i="10"/>
  <c r="B209" i="10"/>
  <c r="H209" i="10" s="1"/>
  <c r="N208" i="10"/>
  <c r="H208" i="10"/>
  <c r="G208" i="10"/>
  <c r="C208" i="10"/>
  <c r="I208" i="10" s="1"/>
  <c r="B208" i="10"/>
  <c r="N207" i="10"/>
  <c r="I207" i="10"/>
  <c r="G207" i="10"/>
  <c r="E207" i="10"/>
  <c r="C207" i="10"/>
  <c r="B207" i="10"/>
  <c r="H207" i="10" s="1"/>
  <c r="N206" i="10"/>
  <c r="H206" i="10"/>
  <c r="G206" i="10"/>
  <c r="C206" i="10"/>
  <c r="B206" i="10"/>
  <c r="N205" i="10"/>
  <c r="I205" i="10"/>
  <c r="G205" i="10"/>
  <c r="E205" i="10"/>
  <c r="C205" i="10"/>
  <c r="B205" i="10"/>
  <c r="H205" i="10" s="1"/>
  <c r="N204" i="10"/>
  <c r="H204" i="10"/>
  <c r="G204" i="10"/>
  <c r="C204" i="10"/>
  <c r="I204" i="10" s="1"/>
  <c r="B204" i="10"/>
  <c r="N203" i="10"/>
  <c r="I203" i="10"/>
  <c r="G203" i="10"/>
  <c r="E203" i="10"/>
  <c r="C203" i="10"/>
  <c r="B203" i="10"/>
  <c r="H203" i="10" s="1"/>
  <c r="N202" i="10"/>
  <c r="H202" i="10"/>
  <c r="G202" i="10"/>
  <c r="C202" i="10"/>
  <c r="B202" i="10"/>
  <c r="N201" i="10"/>
  <c r="I201" i="10"/>
  <c r="G201" i="10"/>
  <c r="E201" i="10"/>
  <c r="C201" i="10"/>
  <c r="B201" i="10"/>
  <c r="H201" i="10" s="1"/>
  <c r="N200" i="10"/>
  <c r="H200" i="10"/>
  <c r="G200" i="10"/>
  <c r="C200" i="10"/>
  <c r="I200" i="10" s="1"/>
  <c r="B200" i="10"/>
  <c r="N199" i="10"/>
  <c r="I199" i="10"/>
  <c r="G199" i="10"/>
  <c r="E199" i="10"/>
  <c r="C199" i="10"/>
  <c r="B199" i="10"/>
  <c r="H199" i="10" s="1"/>
  <c r="N198" i="10"/>
  <c r="H198" i="10"/>
  <c r="G198" i="10"/>
  <c r="C198" i="10"/>
  <c r="B198" i="10"/>
  <c r="N197" i="10"/>
  <c r="I197" i="10"/>
  <c r="G197" i="10"/>
  <c r="E197" i="10"/>
  <c r="C197" i="10"/>
  <c r="B197" i="10"/>
  <c r="H197" i="10" s="1"/>
  <c r="N196" i="10"/>
  <c r="H196" i="10"/>
  <c r="G196" i="10"/>
  <c r="C196" i="10"/>
  <c r="I196" i="10" s="1"/>
  <c r="B196" i="10"/>
  <c r="N195" i="10"/>
  <c r="I195" i="10"/>
  <c r="G195" i="10"/>
  <c r="E195" i="10"/>
  <c r="C195" i="10"/>
  <c r="B195" i="10"/>
  <c r="H195" i="10" s="1"/>
  <c r="N194" i="10"/>
  <c r="H194" i="10"/>
  <c r="G194" i="10"/>
  <c r="C194" i="10"/>
  <c r="B194" i="10"/>
  <c r="N193" i="10"/>
  <c r="I193" i="10"/>
  <c r="G193" i="10"/>
  <c r="E193" i="10"/>
  <c r="C193" i="10"/>
  <c r="B193" i="10"/>
  <c r="H193" i="10" s="1"/>
  <c r="N192" i="10"/>
  <c r="H192" i="10"/>
  <c r="G192" i="10"/>
  <c r="C192" i="10"/>
  <c r="I192" i="10" s="1"/>
  <c r="B192" i="10"/>
  <c r="N191" i="10"/>
  <c r="I191" i="10"/>
  <c r="G191" i="10"/>
  <c r="E191" i="10"/>
  <c r="C191" i="10"/>
  <c r="B191" i="10"/>
  <c r="H191" i="10" s="1"/>
  <c r="N190" i="10"/>
  <c r="H190" i="10"/>
  <c r="G190" i="10"/>
  <c r="C190" i="10"/>
  <c r="B190" i="10"/>
  <c r="N189" i="10"/>
  <c r="I189" i="10"/>
  <c r="G189" i="10"/>
  <c r="E189" i="10"/>
  <c r="C189" i="10"/>
  <c r="B189" i="10"/>
  <c r="H189" i="10" s="1"/>
  <c r="N188" i="10"/>
  <c r="H188" i="10"/>
  <c r="G188" i="10"/>
  <c r="C188" i="10"/>
  <c r="I188" i="10" s="1"/>
  <c r="B188" i="10"/>
  <c r="N187" i="10"/>
  <c r="I187" i="10"/>
  <c r="G187" i="10"/>
  <c r="E187" i="10"/>
  <c r="C187" i="10"/>
  <c r="B187" i="10"/>
  <c r="H187" i="10" s="1"/>
  <c r="N186" i="10"/>
  <c r="H186" i="10"/>
  <c r="G186" i="10"/>
  <c r="C186" i="10"/>
  <c r="B186" i="10"/>
  <c r="N185" i="10"/>
  <c r="I185" i="10"/>
  <c r="G185" i="10"/>
  <c r="E185" i="10"/>
  <c r="C185" i="10"/>
  <c r="B185" i="10"/>
  <c r="H185" i="10" s="1"/>
  <c r="N184" i="10"/>
  <c r="H184" i="10"/>
  <c r="G184" i="10"/>
  <c r="C184" i="10"/>
  <c r="I184" i="10" s="1"/>
  <c r="B184" i="10"/>
  <c r="N183" i="10"/>
  <c r="I183" i="10"/>
  <c r="G183" i="10"/>
  <c r="E183" i="10"/>
  <c r="C183" i="10"/>
  <c r="B183" i="10"/>
  <c r="H183" i="10" s="1"/>
  <c r="N182" i="10"/>
  <c r="H182" i="10"/>
  <c r="G182" i="10"/>
  <c r="C182" i="10"/>
  <c r="B182" i="10"/>
  <c r="N181" i="10"/>
  <c r="I181" i="10"/>
  <c r="G181" i="10"/>
  <c r="E181" i="10"/>
  <c r="C181" i="10"/>
  <c r="B181" i="10"/>
  <c r="H181" i="10" s="1"/>
  <c r="N180" i="10"/>
  <c r="H180" i="10"/>
  <c r="G180" i="10"/>
  <c r="C180" i="10"/>
  <c r="I180" i="10" s="1"/>
  <c r="B180" i="10"/>
  <c r="N179" i="10"/>
  <c r="I179" i="10"/>
  <c r="G179" i="10"/>
  <c r="E179" i="10"/>
  <c r="C179" i="10"/>
  <c r="B179" i="10"/>
  <c r="H179" i="10" s="1"/>
  <c r="N178" i="10"/>
  <c r="H178" i="10"/>
  <c r="G178" i="10"/>
  <c r="C178" i="10"/>
  <c r="B178" i="10"/>
  <c r="N177" i="10"/>
  <c r="I177" i="10"/>
  <c r="G177" i="10"/>
  <c r="E177" i="10"/>
  <c r="C177" i="10"/>
  <c r="B177" i="10"/>
  <c r="H177" i="10" s="1"/>
  <c r="N176" i="10"/>
  <c r="H176" i="10"/>
  <c r="G176" i="10"/>
  <c r="C176" i="10"/>
  <c r="I176" i="10" s="1"/>
  <c r="B176" i="10"/>
  <c r="N175" i="10"/>
  <c r="I175" i="10"/>
  <c r="G175" i="10"/>
  <c r="E175" i="10"/>
  <c r="C175" i="10"/>
  <c r="B175" i="10"/>
  <c r="H175" i="10" s="1"/>
  <c r="N174" i="10"/>
  <c r="H174" i="10"/>
  <c r="G174" i="10"/>
  <c r="C174" i="10"/>
  <c r="B174" i="10"/>
  <c r="N173" i="10"/>
  <c r="I173" i="10"/>
  <c r="G173" i="10"/>
  <c r="E173" i="10"/>
  <c r="C173" i="10"/>
  <c r="B173" i="10"/>
  <c r="H173" i="10" s="1"/>
  <c r="N172" i="10"/>
  <c r="H172" i="10"/>
  <c r="G172" i="10"/>
  <c r="C172" i="10"/>
  <c r="I172" i="10" s="1"/>
  <c r="B172" i="10"/>
  <c r="N171" i="10"/>
  <c r="I171" i="10"/>
  <c r="G171" i="10"/>
  <c r="E171" i="10"/>
  <c r="C171" i="10"/>
  <c r="B171" i="10"/>
  <c r="H171" i="10" s="1"/>
  <c r="N170" i="10"/>
  <c r="H170" i="10"/>
  <c r="G170" i="10"/>
  <c r="C170" i="10"/>
  <c r="B170" i="10"/>
  <c r="N169" i="10"/>
  <c r="I169" i="10"/>
  <c r="G169" i="10"/>
  <c r="E169" i="10"/>
  <c r="C169" i="10"/>
  <c r="B169" i="10"/>
  <c r="H169" i="10" s="1"/>
  <c r="N168" i="10"/>
  <c r="H168" i="10"/>
  <c r="G168" i="10"/>
  <c r="C168" i="10"/>
  <c r="I168" i="10" s="1"/>
  <c r="B168" i="10"/>
  <c r="N167" i="10"/>
  <c r="I167" i="10"/>
  <c r="G167" i="10"/>
  <c r="E167" i="10"/>
  <c r="C167" i="10"/>
  <c r="B167" i="10"/>
  <c r="H167" i="10" s="1"/>
  <c r="N166" i="10"/>
  <c r="H166" i="10"/>
  <c r="G166" i="10"/>
  <c r="C166" i="10"/>
  <c r="B166" i="10"/>
  <c r="N165" i="10"/>
  <c r="I165" i="10"/>
  <c r="G165" i="10"/>
  <c r="E165" i="10"/>
  <c r="C165" i="10"/>
  <c r="B165" i="10"/>
  <c r="H165" i="10" s="1"/>
  <c r="N164" i="10"/>
  <c r="H164" i="10"/>
  <c r="G164" i="10"/>
  <c r="C164" i="10"/>
  <c r="I164" i="10" s="1"/>
  <c r="B164" i="10"/>
  <c r="N163" i="10"/>
  <c r="I163" i="10"/>
  <c r="G163" i="10"/>
  <c r="E163" i="10"/>
  <c r="C163" i="10"/>
  <c r="B163" i="10"/>
  <c r="H163" i="10" s="1"/>
  <c r="N162" i="10"/>
  <c r="H162" i="10"/>
  <c r="G162" i="10"/>
  <c r="C162" i="10"/>
  <c r="B162" i="10"/>
  <c r="N161" i="10"/>
  <c r="I161" i="10"/>
  <c r="G161" i="10"/>
  <c r="E161" i="10"/>
  <c r="C161" i="10"/>
  <c r="B161" i="10"/>
  <c r="H161" i="10" s="1"/>
  <c r="N160" i="10"/>
  <c r="H160" i="10"/>
  <c r="G160" i="10"/>
  <c r="C160" i="10"/>
  <c r="I160" i="10" s="1"/>
  <c r="B160" i="10"/>
  <c r="N159" i="10"/>
  <c r="I159" i="10"/>
  <c r="G159" i="10"/>
  <c r="E159" i="10"/>
  <c r="C159" i="10"/>
  <c r="B159" i="10"/>
  <c r="H159" i="10" s="1"/>
  <c r="N158" i="10"/>
  <c r="H158" i="10"/>
  <c r="G158" i="10"/>
  <c r="C158" i="10"/>
  <c r="B158" i="10"/>
  <c r="N157" i="10"/>
  <c r="I157" i="10"/>
  <c r="G157" i="10"/>
  <c r="E157" i="10"/>
  <c r="C157" i="10"/>
  <c r="B157" i="10"/>
  <c r="H157" i="10" s="1"/>
  <c r="N156" i="10"/>
  <c r="H156" i="10"/>
  <c r="G156" i="10"/>
  <c r="C156" i="10"/>
  <c r="I156" i="10" s="1"/>
  <c r="B156" i="10"/>
  <c r="N155" i="10"/>
  <c r="I155" i="10"/>
  <c r="G155" i="10"/>
  <c r="E155" i="10"/>
  <c r="C155" i="10"/>
  <c r="B155" i="10"/>
  <c r="H155" i="10" s="1"/>
  <c r="N154" i="10"/>
  <c r="H154" i="10"/>
  <c r="G154" i="10"/>
  <c r="C154" i="10"/>
  <c r="B154" i="10"/>
  <c r="N153" i="10"/>
  <c r="I153" i="10"/>
  <c r="G153" i="10"/>
  <c r="E153" i="10"/>
  <c r="C153" i="10"/>
  <c r="B153" i="10"/>
  <c r="H153" i="10" s="1"/>
  <c r="N152" i="10"/>
  <c r="H152" i="10"/>
  <c r="G152" i="10"/>
  <c r="C152" i="10"/>
  <c r="I152" i="10" s="1"/>
  <c r="B152" i="10"/>
  <c r="N151" i="10"/>
  <c r="I151" i="10"/>
  <c r="G151" i="10"/>
  <c r="E151" i="10"/>
  <c r="C151" i="10"/>
  <c r="B151" i="10"/>
  <c r="H151" i="10" s="1"/>
  <c r="N150" i="10"/>
  <c r="H150" i="10"/>
  <c r="G150" i="10"/>
  <c r="C150" i="10"/>
  <c r="B150" i="10"/>
  <c r="N149" i="10"/>
  <c r="I149" i="10"/>
  <c r="G149" i="10"/>
  <c r="E149" i="10"/>
  <c r="C149" i="10"/>
  <c r="B149" i="10"/>
  <c r="H149" i="10" s="1"/>
  <c r="N148" i="10"/>
  <c r="H148" i="10"/>
  <c r="G148" i="10"/>
  <c r="C148" i="10"/>
  <c r="I148" i="10" s="1"/>
  <c r="B148" i="10"/>
  <c r="N147" i="10"/>
  <c r="I147" i="10"/>
  <c r="G147" i="10"/>
  <c r="E147" i="10"/>
  <c r="C147" i="10"/>
  <c r="B147" i="10"/>
  <c r="H147" i="10" s="1"/>
  <c r="N146" i="10"/>
  <c r="H146" i="10"/>
  <c r="G146" i="10"/>
  <c r="C146" i="10"/>
  <c r="B146" i="10"/>
  <c r="N145" i="10"/>
  <c r="I145" i="10"/>
  <c r="G145" i="10"/>
  <c r="E145" i="10"/>
  <c r="C145" i="10"/>
  <c r="B145" i="10"/>
  <c r="H145" i="10" s="1"/>
  <c r="N144" i="10"/>
  <c r="H144" i="10"/>
  <c r="G144" i="10"/>
  <c r="C144" i="10"/>
  <c r="I144" i="10" s="1"/>
  <c r="B144" i="10"/>
  <c r="N143" i="10"/>
  <c r="I143" i="10"/>
  <c r="G143" i="10"/>
  <c r="E143" i="10"/>
  <c r="C143" i="10"/>
  <c r="B143" i="10"/>
  <c r="H143" i="10" s="1"/>
  <c r="N142" i="10"/>
  <c r="H142" i="10"/>
  <c r="G142" i="10"/>
  <c r="C142" i="10"/>
  <c r="B142" i="10"/>
  <c r="N141" i="10"/>
  <c r="I141" i="10"/>
  <c r="G141" i="10"/>
  <c r="E141" i="10"/>
  <c r="C141" i="10"/>
  <c r="B141" i="10"/>
  <c r="H141" i="10" s="1"/>
  <c r="N140" i="10"/>
  <c r="H140" i="10"/>
  <c r="G140" i="10"/>
  <c r="C140" i="10"/>
  <c r="I140" i="10" s="1"/>
  <c r="B140" i="10"/>
  <c r="N139" i="10"/>
  <c r="I139" i="10"/>
  <c r="G139" i="10"/>
  <c r="E139" i="10"/>
  <c r="C139" i="10"/>
  <c r="B139" i="10"/>
  <c r="H139" i="10" s="1"/>
  <c r="N138" i="10"/>
  <c r="H138" i="10"/>
  <c r="G138" i="10"/>
  <c r="C138" i="10"/>
  <c r="B138" i="10"/>
  <c r="N137" i="10"/>
  <c r="I137" i="10"/>
  <c r="G137" i="10"/>
  <c r="E137" i="10"/>
  <c r="C137" i="10"/>
  <c r="B137" i="10"/>
  <c r="H137" i="10" s="1"/>
  <c r="N136" i="10"/>
  <c r="H136" i="10"/>
  <c r="G136" i="10"/>
  <c r="C136" i="10"/>
  <c r="I136" i="10" s="1"/>
  <c r="B136" i="10"/>
  <c r="N135" i="10"/>
  <c r="I135" i="10"/>
  <c r="G135" i="10"/>
  <c r="E135" i="10"/>
  <c r="C135" i="10"/>
  <c r="B135" i="10"/>
  <c r="H135" i="10" s="1"/>
  <c r="N134" i="10"/>
  <c r="H134" i="10"/>
  <c r="G134" i="10"/>
  <c r="C134" i="10"/>
  <c r="B134" i="10"/>
  <c r="N133" i="10"/>
  <c r="I133" i="10"/>
  <c r="G133" i="10"/>
  <c r="E133" i="10"/>
  <c r="C133" i="10"/>
  <c r="B133" i="10"/>
  <c r="H133" i="10" s="1"/>
  <c r="N132" i="10"/>
  <c r="H132" i="10"/>
  <c r="G132" i="10"/>
  <c r="C132" i="10"/>
  <c r="I132" i="10" s="1"/>
  <c r="B132" i="10"/>
  <c r="N131" i="10"/>
  <c r="I131" i="10"/>
  <c r="G131" i="10"/>
  <c r="E131" i="10"/>
  <c r="C131" i="10"/>
  <c r="B131" i="10"/>
  <c r="H131" i="10" s="1"/>
  <c r="N130" i="10"/>
  <c r="H130" i="10"/>
  <c r="G130" i="10"/>
  <c r="C130" i="10"/>
  <c r="B130" i="10"/>
  <c r="N129" i="10"/>
  <c r="I129" i="10"/>
  <c r="G129" i="10"/>
  <c r="E129" i="10"/>
  <c r="C129" i="10"/>
  <c r="B129" i="10"/>
  <c r="H129" i="10" s="1"/>
  <c r="N128" i="10"/>
  <c r="H128" i="10"/>
  <c r="G128" i="10"/>
  <c r="C128" i="10"/>
  <c r="I128" i="10" s="1"/>
  <c r="B128" i="10"/>
  <c r="N127" i="10"/>
  <c r="I127" i="10"/>
  <c r="G127" i="10"/>
  <c r="E127" i="10"/>
  <c r="C127" i="10"/>
  <c r="B127" i="10"/>
  <c r="H127" i="10" s="1"/>
  <c r="N126" i="10"/>
  <c r="H126" i="10"/>
  <c r="G126" i="10"/>
  <c r="C126" i="10"/>
  <c r="B126" i="10"/>
  <c r="N125" i="10"/>
  <c r="I125" i="10"/>
  <c r="G125" i="10"/>
  <c r="E125" i="10"/>
  <c r="C125" i="10"/>
  <c r="B125" i="10"/>
  <c r="H125" i="10" s="1"/>
  <c r="N124" i="10"/>
  <c r="H124" i="10"/>
  <c r="G124" i="10"/>
  <c r="C124" i="10"/>
  <c r="I124" i="10" s="1"/>
  <c r="B124" i="10"/>
  <c r="N123" i="10"/>
  <c r="I123" i="10"/>
  <c r="G123" i="10"/>
  <c r="E123" i="10"/>
  <c r="C123" i="10"/>
  <c r="B123" i="10"/>
  <c r="H123" i="10" s="1"/>
  <c r="N122" i="10"/>
  <c r="H122" i="10"/>
  <c r="G122" i="10"/>
  <c r="C122" i="10"/>
  <c r="B122" i="10"/>
  <c r="N121" i="10"/>
  <c r="I121" i="10"/>
  <c r="G121" i="10"/>
  <c r="E121" i="10"/>
  <c r="C121" i="10"/>
  <c r="B121" i="10"/>
  <c r="H121" i="10" s="1"/>
  <c r="N120" i="10"/>
  <c r="H120" i="10"/>
  <c r="G120" i="10"/>
  <c r="C120" i="10"/>
  <c r="I120" i="10" s="1"/>
  <c r="B120" i="10"/>
  <c r="N119" i="10"/>
  <c r="I119" i="10"/>
  <c r="G119" i="10"/>
  <c r="E119" i="10"/>
  <c r="C119" i="10"/>
  <c r="B119" i="10"/>
  <c r="H119" i="10" s="1"/>
  <c r="N118" i="10"/>
  <c r="H118" i="10"/>
  <c r="G118" i="10"/>
  <c r="C118" i="10"/>
  <c r="B118" i="10"/>
  <c r="N117" i="10"/>
  <c r="I117" i="10"/>
  <c r="G117" i="10"/>
  <c r="E117" i="10"/>
  <c r="C117" i="10"/>
  <c r="B117" i="10"/>
  <c r="H117" i="10" s="1"/>
  <c r="N116" i="10"/>
  <c r="H116" i="10"/>
  <c r="G116" i="10"/>
  <c r="C116" i="10"/>
  <c r="I116" i="10" s="1"/>
  <c r="B116" i="10"/>
  <c r="N115" i="10"/>
  <c r="I115" i="10"/>
  <c r="G115" i="10"/>
  <c r="E115" i="10"/>
  <c r="C115" i="10"/>
  <c r="B115" i="10"/>
  <c r="H115" i="10" s="1"/>
  <c r="N114" i="10"/>
  <c r="H114" i="10"/>
  <c r="G114" i="10"/>
  <c r="C114" i="10"/>
  <c r="B114" i="10"/>
  <c r="N113" i="10"/>
  <c r="I113" i="10"/>
  <c r="G113" i="10"/>
  <c r="E113" i="10"/>
  <c r="C113" i="10"/>
  <c r="B113" i="10"/>
  <c r="H113" i="10" s="1"/>
  <c r="N112" i="10"/>
  <c r="H112" i="10"/>
  <c r="G112" i="10"/>
  <c r="C112" i="10"/>
  <c r="I112" i="10" s="1"/>
  <c r="B112" i="10"/>
  <c r="N111" i="10"/>
  <c r="I111" i="10"/>
  <c r="G111" i="10"/>
  <c r="E111" i="10"/>
  <c r="C111" i="10"/>
  <c r="B111" i="10"/>
  <c r="H111" i="10" s="1"/>
  <c r="N110" i="10"/>
  <c r="H110" i="10"/>
  <c r="G110" i="10"/>
  <c r="C110" i="10"/>
  <c r="B110" i="10"/>
  <c r="N109" i="10"/>
  <c r="I109" i="10"/>
  <c r="G109" i="10"/>
  <c r="E109" i="10"/>
  <c r="C109" i="10"/>
  <c r="B109" i="10"/>
  <c r="H109" i="10" s="1"/>
  <c r="N108" i="10"/>
  <c r="H108" i="10"/>
  <c r="G108" i="10"/>
  <c r="C108" i="10"/>
  <c r="I108" i="10" s="1"/>
  <c r="B108" i="10"/>
  <c r="N107" i="10"/>
  <c r="I107" i="10"/>
  <c r="G107" i="10"/>
  <c r="E107" i="10"/>
  <c r="C107" i="10"/>
  <c r="B107" i="10"/>
  <c r="H107" i="10" s="1"/>
  <c r="N106" i="10"/>
  <c r="H106" i="10"/>
  <c r="G106" i="10"/>
  <c r="C106" i="10"/>
  <c r="B106" i="10"/>
  <c r="N105" i="10"/>
  <c r="I105" i="10"/>
  <c r="G105" i="10"/>
  <c r="E105" i="10"/>
  <c r="C105" i="10"/>
  <c r="B105" i="10"/>
  <c r="H105" i="10" s="1"/>
  <c r="N104" i="10"/>
  <c r="H104" i="10"/>
  <c r="G104" i="10"/>
  <c r="C104" i="10"/>
  <c r="I104" i="10" s="1"/>
  <c r="B104" i="10"/>
  <c r="N103" i="10"/>
  <c r="I103" i="10"/>
  <c r="G103" i="10"/>
  <c r="E103" i="10"/>
  <c r="C103" i="10"/>
  <c r="B103" i="10"/>
  <c r="H103" i="10" s="1"/>
  <c r="N102" i="10"/>
  <c r="H102" i="10"/>
  <c r="G102" i="10"/>
  <c r="C102" i="10"/>
  <c r="B102" i="10"/>
  <c r="N101" i="10"/>
  <c r="I101" i="10"/>
  <c r="G101" i="10"/>
  <c r="E101" i="10"/>
  <c r="C101" i="10"/>
  <c r="B101" i="10"/>
  <c r="H101" i="10" s="1"/>
  <c r="N100" i="10"/>
  <c r="H100" i="10"/>
  <c r="G100" i="10"/>
  <c r="C100" i="10"/>
  <c r="I100" i="10" s="1"/>
  <c r="B100" i="10"/>
  <c r="N99" i="10"/>
  <c r="I99" i="10"/>
  <c r="G99" i="10"/>
  <c r="E99" i="10"/>
  <c r="C99" i="10"/>
  <c r="B99" i="10"/>
  <c r="H99" i="10" s="1"/>
  <c r="N98" i="10"/>
  <c r="H98" i="10"/>
  <c r="G98" i="10"/>
  <c r="C98" i="10"/>
  <c r="B98" i="10"/>
  <c r="N97" i="10"/>
  <c r="I97" i="10"/>
  <c r="G97" i="10"/>
  <c r="E97" i="10"/>
  <c r="C97" i="10"/>
  <c r="B97" i="10"/>
  <c r="H97" i="10" s="1"/>
  <c r="N96" i="10"/>
  <c r="H96" i="10"/>
  <c r="G96" i="10"/>
  <c r="C96" i="10"/>
  <c r="I96" i="10" s="1"/>
  <c r="B96" i="10"/>
  <c r="N95" i="10"/>
  <c r="I95" i="10"/>
  <c r="G95" i="10"/>
  <c r="E95" i="10"/>
  <c r="C95" i="10"/>
  <c r="B95" i="10"/>
  <c r="H95" i="10" s="1"/>
  <c r="N94" i="10"/>
  <c r="H94" i="10"/>
  <c r="G94" i="10"/>
  <c r="C94" i="10"/>
  <c r="B94" i="10"/>
  <c r="N93" i="10"/>
  <c r="I93" i="10"/>
  <c r="G93" i="10"/>
  <c r="E93" i="10"/>
  <c r="C93" i="10"/>
  <c r="B93" i="10"/>
  <c r="H93" i="10" s="1"/>
  <c r="N92" i="10"/>
  <c r="H92" i="10"/>
  <c r="G92" i="10"/>
  <c r="C92" i="10"/>
  <c r="I92" i="10" s="1"/>
  <c r="B92" i="10"/>
  <c r="N91" i="10"/>
  <c r="I91" i="10"/>
  <c r="G91" i="10"/>
  <c r="E91" i="10"/>
  <c r="C91" i="10"/>
  <c r="B91" i="10"/>
  <c r="H91" i="10" s="1"/>
  <c r="N90" i="10"/>
  <c r="H90" i="10"/>
  <c r="G90" i="10"/>
  <c r="C90" i="10"/>
  <c r="B90" i="10"/>
  <c r="N89" i="10"/>
  <c r="I89" i="10"/>
  <c r="G89" i="10"/>
  <c r="E89" i="10"/>
  <c r="C89" i="10"/>
  <c r="B89" i="10"/>
  <c r="H89" i="10" s="1"/>
  <c r="N88" i="10"/>
  <c r="H88" i="10"/>
  <c r="G88" i="10"/>
  <c r="C88" i="10"/>
  <c r="I88" i="10" s="1"/>
  <c r="B88" i="10"/>
  <c r="N87" i="10"/>
  <c r="I87" i="10"/>
  <c r="G87" i="10"/>
  <c r="E87" i="10"/>
  <c r="C87" i="10"/>
  <c r="B87" i="10"/>
  <c r="H87" i="10" s="1"/>
  <c r="N86" i="10"/>
  <c r="H86" i="10"/>
  <c r="G86" i="10"/>
  <c r="C86" i="10"/>
  <c r="B86" i="10"/>
  <c r="N85" i="10"/>
  <c r="I85" i="10"/>
  <c r="G85" i="10"/>
  <c r="E85" i="10"/>
  <c r="C85" i="10"/>
  <c r="B85" i="10"/>
  <c r="H85" i="10" s="1"/>
  <c r="N84" i="10"/>
  <c r="H84" i="10"/>
  <c r="G84" i="10"/>
  <c r="C84" i="10"/>
  <c r="I84" i="10" s="1"/>
  <c r="B84" i="10"/>
  <c r="N83" i="10"/>
  <c r="I83" i="10"/>
  <c r="G83" i="10"/>
  <c r="E83" i="10"/>
  <c r="C83" i="10"/>
  <c r="B83" i="10"/>
  <c r="H83" i="10" s="1"/>
  <c r="N82" i="10"/>
  <c r="H82" i="10"/>
  <c r="G82" i="10"/>
  <c r="C82" i="10"/>
  <c r="B82" i="10"/>
  <c r="N81" i="10"/>
  <c r="I81" i="10"/>
  <c r="G81" i="10"/>
  <c r="E81" i="10"/>
  <c r="C81" i="10"/>
  <c r="B81" i="10"/>
  <c r="H81" i="10" s="1"/>
  <c r="N80" i="10"/>
  <c r="H80" i="10"/>
  <c r="G80" i="10"/>
  <c r="C80" i="10"/>
  <c r="I80" i="10" s="1"/>
  <c r="B80" i="10"/>
  <c r="N79" i="10"/>
  <c r="I79" i="10"/>
  <c r="G79" i="10"/>
  <c r="E79" i="10"/>
  <c r="C79" i="10"/>
  <c r="B79" i="10"/>
  <c r="H79" i="10" s="1"/>
  <c r="N78" i="10"/>
  <c r="H78" i="10"/>
  <c r="G78" i="10"/>
  <c r="C78" i="10"/>
  <c r="B78" i="10"/>
  <c r="N77" i="10"/>
  <c r="K77" i="10"/>
  <c r="I77" i="10"/>
  <c r="G77" i="10"/>
  <c r="E77" i="10"/>
  <c r="C77" i="10"/>
  <c r="B77" i="10"/>
  <c r="H77" i="10" s="1"/>
  <c r="N76" i="10"/>
  <c r="H76" i="10"/>
  <c r="G76" i="10"/>
  <c r="C76" i="10"/>
  <c r="I76" i="10" s="1"/>
  <c r="B76" i="10"/>
  <c r="N75" i="10"/>
  <c r="K75" i="10"/>
  <c r="I75" i="10"/>
  <c r="G75" i="10"/>
  <c r="E75" i="10"/>
  <c r="C75" i="10"/>
  <c r="B75" i="10"/>
  <c r="H75" i="10" s="1"/>
  <c r="N74" i="10"/>
  <c r="H74" i="10"/>
  <c r="G74" i="10"/>
  <c r="C74" i="10"/>
  <c r="K74" i="10" s="1"/>
  <c r="B74" i="10"/>
  <c r="N73" i="10"/>
  <c r="K73" i="10"/>
  <c r="I73" i="10"/>
  <c r="G73" i="10"/>
  <c r="E73" i="10"/>
  <c r="C73" i="10"/>
  <c r="B73" i="10"/>
  <c r="H73" i="10" s="1"/>
  <c r="N72" i="10"/>
  <c r="H72" i="10"/>
  <c r="G72" i="10"/>
  <c r="C72" i="10"/>
  <c r="I72" i="10" s="1"/>
  <c r="B72" i="10"/>
  <c r="N71" i="10"/>
  <c r="K71" i="10"/>
  <c r="I71" i="10"/>
  <c r="G71" i="10"/>
  <c r="E71" i="10"/>
  <c r="C71" i="10"/>
  <c r="B71" i="10"/>
  <c r="H71" i="10" s="1"/>
  <c r="N70" i="10"/>
  <c r="H70" i="10"/>
  <c r="G70" i="10"/>
  <c r="C70" i="10"/>
  <c r="K70" i="10" s="1"/>
  <c r="B70" i="10"/>
  <c r="N69" i="10"/>
  <c r="K69" i="10"/>
  <c r="I69" i="10"/>
  <c r="G69" i="10"/>
  <c r="E69" i="10"/>
  <c r="C69" i="10"/>
  <c r="B69" i="10"/>
  <c r="H69" i="10" s="1"/>
  <c r="N68" i="10"/>
  <c r="H68" i="10"/>
  <c r="G68" i="10"/>
  <c r="C68" i="10"/>
  <c r="I68" i="10" s="1"/>
  <c r="B68" i="10"/>
  <c r="N67" i="10"/>
  <c r="K67" i="10"/>
  <c r="I67" i="10"/>
  <c r="G67" i="10"/>
  <c r="E67" i="10"/>
  <c r="C67" i="10"/>
  <c r="B67" i="10"/>
  <c r="H67" i="10" s="1"/>
  <c r="N66" i="10"/>
  <c r="H66" i="10"/>
  <c r="G66" i="10"/>
  <c r="C66" i="10"/>
  <c r="K66" i="10" s="1"/>
  <c r="B66" i="10"/>
  <c r="N65" i="10"/>
  <c r="K65" i="10"/>
  <c r="I65" i="10"/>
  <c r="G65" i="10"/>
  <c r="E65" i="10"/>
  <c r="C65" i="10"/>
  <c r="B65" i="10"/>
  <c r="H65" i="10" s="1"/>
  <c r="N64" i="10"/>
  <c r="H64" i="10"/>
  <c r="G64" i="10"/>
  <c r="C64" i="10"/>
  <c r="I64" i="10" s="1"/>
  <c r="B64" i="10"/>
  <c r="N63" i="10"/>
  <c r="K63" i="10"/>
  <c r="I63" i="10"/>
  <c r="G63" i="10"/>
  <c r="E63" i="10"/>
  <c r="C63" i="10"/>
  <c r="B63" i="10"/>
  <c r="H63" i="10" s="1"/>
  <c r="N62" i="10"/>
  <c r="H62" i="10"/>
  <c r="G62" i="10"/>
  <c r="C62" i="10"/>
  <c r="K62" i="10" s="1"/>
  <c r="B62" i="10"/>
  <c r="N61" i="10"/>
  <c r="K61" i="10"/>
  <c r="I61" i="10"/>
  <c r="G61" i="10"/>
  <c r="E61" i="10"/>
  <c r="C61" i="10"/>
  <c r="B61" i="10"/>
  <c r="H61" i="10" s="1"/>
  <c r="N60" i="10"/>
  <c r="H60" i="10"/>
  <c r="G60" i="10"/>
  <c r="C60" i="10"/>
  <c r="I60" i="10" s="1"/>
  <c r="B60" i="10"/>
  <c r="N59" i="10"/>
  <c r="K59" i="10"/>
  <c r="I59" i="10"/>
  <c r="G59" i="10"/>
  <c r="E59" i="10"/>
  <c r="C59" i="10"/>
  <c r="B59" i="10"/>
  <c r="H59" i="10" s="1"/>
  <c r="N58" i="10"/>
  <c r="H58" i="10"/>
  <c r="G58" i="10"/>
  <c r="C58" i="10"/>
  <c r="K58" i="10" s="1"/>
  <c r="B58" i="10"/>
  <c r="N57" i="10"/>
  <c r="K57" i="10"/>
  <c r="I57" i="10"/>
  <c r="G57" i="10"/>
  <c r="E57" i="10"/>
  <c r="C57" i="10"/>
  <c r="B57" i="10"/>
  <c r="H57" i="10" s="1"/>
  <c r="N56" i="10"/>
  <c r="H56" i="10"/>
  <c r="G56" i="10"/>
  <c r="C56" i="10"/>
  <c r="I56" i="10" s="1"/>
  <c r="B56" i="10"/>
  <c r="N55" i="10"/>
  <c r="K55" i="10"/>
  <c r="I55" i="10"/>
  <c r="G55" i="10"/>
  <c r="E55" i="10"/>
  <c r="C55" i="10"/>
  <c r="B55" i="10"/>
  <c r="H55" i="10" s="1"/>
  <c r="N54" i="10"/>
  <c r="H54" i="10"/>
  <c r="G54" i="10"/>
  <c r="C54" i="10"/>
  <c r="K54" i="10" s="1"/>
  <c r="B54" i="10"/>
  <c r="N53" i="10"/>
  <c r="K53" i="10"/>
  <c r="I53" i="10"/>
  <c r="G53" i="10"/>
  <c r="E53" i="10"/>
  <c r="C53" i="10"/>
  <c r="B53" i="10"/>
  <c r="H53" i="10" s="1"/>
  <c r="N52" i="10"/>
  <c r="H52" i="10"/>
  <c r="G52" i="10"/>
  <c r="C52" i="10"/>
  <c r="I52" i="10" s="1"/>
  <c r="B52" i="10"/>
  <c r="N51" i="10"/>
  <c r="K51" i="10"/>
  <c r="I51" i="10"/>
  <c r="G51" i="10"/>
  <c r="E51" i="10"/>
  <c r="C51" i="10"/>
  <c r="B51" i="10"/>
  <c r="H51" i="10" s="1"/>
  <c r="N50" i="10"/>
  <c r="H50" i="10"/>
  <c r="G50" i="10"/>
  <c r="C50" i="10"/>
  <c r="K50" i="10" s="1"/>
  <c r="B50" i="10"/>
  <c r="N49" i="10"/>
  <c r="K49" i="10"/>
  <c r="I49" i="10"/>
  <c r="G49" i="10"/>
  <c r="E49" i="10"/>
  <c r="C49" i="10"/>
  <c r="B49" i="10"/>
  <c r="H49" i="10" s="1"/>
  <c r="N48" i="10"/>
  <c r="H48" i="10"/>
  <c r="G48" i="10"/>
  <c r="C48" i="10"/>
  <c r="I48" i="10" s="1"/>
  <c r="B48" i="10"/>
  <c r="N47" i="10"/>
  <c r="K47" i="10"/>
  <c r="I47" i="10"/>
  <c r="G47" i="10"/>
  <c r="E47" i="10"/>
  <c r="C47" i="10"/>
  <c r="B47" i="10"/>
  <c r="H47" i="10" s="1"/>
  <c r="N46" i="10"/>
  <c r="H46" i="10"/>
  <c r="G46" i="10"/>
  <c r="C46" i="10"/>
  <c r="K46" i="10" s="1"/>
  <c r="B46" i="10"/>
  <c r="N45" i="10"/>
  <c r="K45" i="10"/>
  <c r="I45" i="10"/>
  <c r="G45" i="10"/>
  <c r="E45" i="10"/>
  <c r="C45" i="10"/>
  <c r="B45" i="10"/>
  <c r="H45" i="10" s="1"/>
  <c r="N44" i="10"/>
  <c r="H44" i="10"/>
  <c r="G44" i="10"/>
  <c r="C44" i="10"/>
  <c r="I44" i="10" s="1"/>
  <c r="B44" i="10"/>
  <c r="N43" i="10"/>
  <c r="K43" i="10"/>
  <c r="I43" i="10"/>
  <c r="G43" i="10"/>
  <c r="E43" i="10"/>
  <c r="C43" i="10"/>
  <c r="B43" i="10"/>
  <c r="H43" i="10" s="1"/>
  <c r="N42" i="10"/>
  <c r="H42" i="10"/>
  <c r="G42" i="10"/>
  <c r="C42" i="10"/>
  <c r="K42" i="10" s="1"/>
  <c r="B42" i="10"/>
  <c r="N41" i="10"/>
  <c r="K41" i="10"/>
  <c r="I41" i="10"/>
  <c r="G41" i="10"/>
  <c r="E41" i="10"/>
  <c r="C41" i="10"/>
  <c r="B41" i="10"/>
  <c r="H41" i="10" s="1"/>
  <c r="N40" i="10"/>
  <c r="H40" i="10"/>
  <c r="G40" i="10"/>
  <c r="C40" i="10"/>
  <c r="I40" i="10" s="1"/>
  <c r="B40" i="10"/>
  <c r="N39" i="10"/>
  <c r="K39" i="10"/>
  <c r="I39" i="10"/>
  <c r="G39" i="10"/>
  <c r="E39" i="10"/>
  <c r="C39" i="10"/>
  <c r="B39" i="10"/>
  <c r="H39" i="10" s="1"/>
  <c r="N38" i="10"/>
  <c r="H38" i="10"/>
  <c r="G38" i="10"/>
  <c r="C38" i="10"/>
  <c r="K38" i="10" s="1"/>
  <c r="B38" i="10"/>
  <c r="N37" i="10"/>
  <c r="K37" i="10"/>
  <c r="I37" i="10"/>
  <c r="G37" i="10"/>
  <c r="E37" i="10"/>
  <c r="C37" i="10"/>
  <c r="B37" i="10"/>
  <c r="H37" i="10" s="1"/>
  <c r="N36" i="10"/>
  <c r="H36" i="10"/>
  <c r="G36" i="10"/>
  <c r="C36" i="10"/>
  <c r="I36" i="10" s="1"/>
  <c r="B36" i="10"/>
  <c r="N35" i="10"/>
  <c r="K35" i="10"/>
  <c r="I35" i="10"/>
  <c r="G35" i="10"/>
  <c r="E35" i="10"/>
  <c r="C35" i="10"/>
  <c r="B35" i="10"/>
  <c r="H35" i="10" s="1"/>
  <c r="N34" i="10"/>
  <c r="H34" i="10"/>
  <c r="G34" i="10"/>
  <c r="C34" i="10"/>
  <c r="K34" i="10" s="1"/>
  <c r="B34" i="10"/>
  <c r="N33" i="10"/>
  <c r="K33" i="10"/>
  <c r="I33" i="10"/>
  <c r="G33" i="10"/>
  <c r="E33" i="10"/>
  <c r="C33" i="10"/>
  <c r="B33" i="10"/>
  <c r="H33" i="10" s="1"/>
  <c r="N32" i="10"/>
  <c r="H32" i="10"/>
  <c r="G32" i="10"/>
  <c r="C32" i="10"/>
  <c r="I32" i="10" s="1"/>
  <c r="B32" i="10"/>
  <c r="N31" i="10"/>
  <c r="K31" i="10"/>
  <c r="I31" i="10"/>
  <c r="G31" i="10"/>
  <c r="E31" i="10"/>
  <c r="C31" i="10"/>
  <c r="B31" i="10"/>
  <c r="H31" i="10" s="1"/>
  <c r="N30" i="10"/>
  <c r="H30" i="10"/>
  <c r="G30" i="10"/>
  <c r="C30" i="10"/>
  <c r="K30" i="10" s="1"/>
  <c r="B30" i="10"/>
  <c r="N29" i="10"/>
  <c r="K29" i="10"/>
  <c r="I29" i="10"/>
  <c r="G29" i="10"/>
  <c r="E29" i="10"/>
  <c r="C29" i="10"/>
  <c r="B29" i="10"/>
  <c r="H29" i="10" s="1"/>
  <c r="N28" i="10"/>
  <c r="H28" i="10"/>
  <c r="G28" i="10"/>
  <c r="C28" i="10"/>
  <c r="I28" i="10" s="1"/>
  <c r="B28" i="10"/>
  <c r="N27" i="10"/>
  <c r="K27" i="10"/>
  <c r="I27" i="10"/>
  <c r="G27" i="10"/>
  <c r="E27" i="10"/>
  <c r="C27" i="10"/>
  <c r="B27" i="10"/>
  <c r="H27" i="10" s="1"/>
  <c r="N26" i="10"/>
  <c r="H26" i="10"/>
  <c r="G26" i="10"/>
  <c r="C26" i="10"/>
  <c r="K26" i="10" s="1"/>
  <c r="B26" i="10"/>
  <c r="N25" i="10"/>
  <c r="K25" i="10"/>
  <c r="I25" i="10"/>
  <c r="G25" i="10"/>
  <c r="E25" i="10"/>
  <c r="C25" i="10"/>
  <c r="B25" i="10"/>
  <c r="H25" i="10" s="1"/>
  <c r="N24" i="10"/>
  <c r="H24" i="10"/>
  <c r="G24" i="10"/>
  <c r="C24" i="10"/>
  <c r="I24" i="10" s="1"/>
  <c r="B24" i="10"/>
  <c r="N23" i="10"/>
  <c r="K23" i="10"/>
  <c r="I23" i="10"/>
  <c r="G23" i="10"/>
  <c r="E23" i="10"/>
  <c r="C23" i="10"/>
  <c r="B23" i="10"/>
  <c r="H23" i="10" s="1"/>
  <c r="N22" i="10"/>
  <c r="H22" i="10"/>
  <c r="G22" i="10"/>
  <c r="C22" i="10"/>
  <c r="K22" i="10" s="1"/>
  <c r="B22" i="10"/>
  <c r="N21" i="10"/>
  <c r="K21" i="10"/>
  <c r="I21" i="10"/>
  <c r="G21" i="10"/>
  <c r="E21" i="10"/>
  <c r="C21" i="10"/>
  <c r="B21" i="10"/>
  <c r="H21" i="10" s="1"/>
  <c r="N20" i="10"/>
  <c r="H20" i="10"/>
  <c r="G20" i="10"/>
  <c r="C20" i="10"/>
  <c r="I20" i="10" s="1"/>
  <c r="B20" i="10"/>
  <c r="N19" i="10"/>
  <c r="K19" i="10"/>
  <c r="I19" i="10"/>
  <c r="G19" i="10"/>
  <c r="E19" i="10"/>
  <c r="C19" i="10"/>
  <c r="B19" i="10"/>
  <c r="H19" i="10" s="1"/>
  <c r="N18" i="10"/>
  <c r="H18" i="10"/>
  <c r="G18" i="10"/>
  <c r="C18" i="10"/>
  <c r="K18" i="10" s="1"/>
  <c r="B18" i="10"/>
  <c r="N17" i="10"/>
  <c r="K17" i="10"/>
  <c r="I17" i="10"/>
  <c r="G17" i="10"/>
  <c r="E17" i="10"/>
  <c r="C17" i="10"/>
  <c r="B17" i="10"/>
  <c r="H17" i="10" s="1"/>
  <c r="N16" i="10"/>
  <c r="H16" i="10"/>
  <c r="G16" i="10"/>
  <c r="C16" i="10"/>
  <c r="I16" i="10" s="1"/>
  <c r="B16" i="10"/>
  <c r="N15" i="10"/>
  <c r="K15" i="10"/>
  <c r="I15" i="10"/>
  <c r="G15" i="10"/>
  <c r="E15" i="10"/>
  <c r="C15" i="10"/>
  <c r="B15" i="10"/>
  <c r="H15" i="10" s="1"/>
  <c r="N14" i="10"/>
  <c r="H14" i="10"/>
  <c r="G14" i="10"/>
  <c r="C14" i="10"/>
  <c r="K14" i="10" s="1"/>
  <c r="B14" i="10"/>
  <c r="N13" i="10"/>
  <c r="K13" i="10"/>
  <c r="I13" i="10"/>
  <c r="G13" i="10"/>
  <c r="E13" i="10"/>
  <c r="C13" i="10"/>
  <c r="B13" i="10"/>
  <c r="H13" i="10" s="1"/>
  <c r="N12" i="10"/>
  <c r="H12" i="10"/>
  <c r="G12" i="10"/>
  <c r="C12" i="10"/>
  <c r="I12" i="10" s="1"/>
  <c r="B12" i="10"/>
  <c r="N11" i="10"/>
  <c r="K11" i="10"/>
  <c r="I11" i="10"/>
  <c r="G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L3" i="10"/>
  <c r="K3" i="10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AC5" i="8"/>
  <c r="AB5" i="8"/>
  <c r="J23" i="3" s="1"/>
  <c r="AA5" i="8"/>
  <c r="Z5" i="8"/>
  <c r="J19" i="3" s="1"/>
  <c r="Y5" i="8"/>
  <c r="X5" i="8"/>
  <c r="J21" i="3" s="1"/>
  <c r="W5" i="8"/>
  <c r="V5" i="8"/>
  <c r="J20" i="3" s="1"/>
  <c r="U5" i="8"/>
  <c r="T5" i="8"/>
  <c r="J10" i="3" s="1"/>
  <c r="S5" i="8"/>
  <c r="R5" i="8"/>
  <c r="P7" i="3" s="1"/>
  <c r="Q5" i="8"/>
  <c r="P5" i="8"/>
  <c r="J17" i="3" s="1"/>
  <c r="O5" i="8"/>
  <c r="N5" i="8"/>
  <c r="J18" i="3" s="1"/>
  <c r="M5" i="8"/>
  <c r="L5" i="8"/>
  <c r="J24" i="3" s="1"/>
  <c r="K5" i="8"/>
  <c r="J5" i="8"/>
  <c r="J12" i="3" s="1"/>
  <c r="I5" i="8"/>
  <c r="H5" i="8"/>
  <c r="J1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883" i="7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AF26" i="6" s="1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AF22" i="6" s="1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AF5" i="6" s="1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23" i="3" s="1"/>
  <c r="F42" i="4"/>
  <c r="G42" i="4" s="1"/>
  <c r="J41" i="4"/>
  <c r="L41" i="4" s="1"/>
  <c r="F41" i="4"/>
  <c r="H21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6" i="3" s="1"/>
  <c r="L21" i="4"/>
  <c r="F21" i="4"/>
  <c r="N18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N17" i="3" s="1"/>
  <c r="G14" i="4"/>
  <c r="F14" i="4"/>
  <c r="J12" i="4"/>
  <c r="F12" i="4"/>
  <c r="N6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4" i="3"/>
  <c r="G24" i="3"/>
  <c r="G23" i="3"/>
  <c r="G22" i="3"/>
  <c r="G21" i="3"/>
  <c r="H20" i="3"/>
  <c r="G20" i="3"/>
  <c r="N19" i="3"/>
  <c r="M19" i="3"/>
  <c r="G19" i="3"/>
  <c r="M18" i="3"/>
  <c r="H18" i="3"/>
  <c r="G18" i="3"/>
  <c r="M17" i="3"/>
  <c r="H17" i="3"/>
  <c r="G17" i="3"/>
  <c r="M16" i="3"/>
  <c r="H16" i="3"/>
  <c r="G16" i="3"/>
  <c r="M15" i="3"/>
  <c r="H15" i="3"/>
  <c r="G15" i="3"/>
  <c r="N14" i="3"/>
  <c r="M14" i="3"/>
  <c r="H14" i="3"/>
  <c r="G14" i="3"/>
  <c r="M13" i="3"/>
  <c r="H13" i="3"/>
  <c r="G13" i="3"/>
  <c r="N12" i="3"/>
  <c r="M12" i="3"/>
  <c r="H12" i="3"/>
  <c r="G12" i="3"/>
  <c r="N11" i="3"/>
  <c r="M11" i="3"/>
  <c r="H11" i="3"/>
  <c r="G11" i="3"/>
  <c r="N10" i="3"/>
  <c r="M10" i="3"/>
  <c r="H10" i="3"/>
  <c r="G10" i="3"/>
  <c r="N9" i="3"/>
  <c r="M9" i="3"/>
  <c r="G9" i="3"/>
  <c r="M8" i="3"/>
  <c r="H8" i="3"/>
  <c r="G8" i="3"/>
  <c r="M7" i="3"/>
  <c r="H7" i="3"/>
  <c r="G7" i="3"/>
  <c r="B7" i="3"/>
  <c r="M6" i="3"/>
  <c r="H6" i="3"/>
  <c r="G6" i="3"/>
  <c r="B6" i="3"/>
  <c r="T5" i="3"/>
  <c r="S5" i="3"/>
  <c r="M5" i="3"/>
  <c r="H5" i="3"/>
  <c r="G5" i="3"/>
  <c r="S4" i="3"/>
  <c r="M4" i="3"/>
  <c r="H4" i="3"/>
  <c r="G4" i="3"/>
  <c r="B38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14" i="6" l="1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128" i="7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H23" i="5"/>
  <c r="G23" i="5"/>
  <c r="H31" i="5"/>
  <c r="G31" i="5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9" i="3"/>
  <c r="H22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5" i="3"/>
  <c r="N2" i="3" s="1"/>
  <c r="H19" i="3"/>
  <c r="L12" i="4"/>
  <c r="J59" i="4"/>
  <c r="K64" i="4"/>
  <c r="F20" i="5"/>
  <c r="K20" i="5"/>
  <c r="K28" i="5"/>
  <c r="M28" i="5" s="1"/>
  <c r="U3" i="6"/>
  <c r="N13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G21" i="5" l="1"/>
  <c r="P16" i="5"/>
  <c r="F16" i="5"/>
  <c r="G20" i="5"/>
  <c r="F34" i="5"/>
  <c r="H34" i="5" s="1"/>
  <c r="L20" i="5"/>
  <c r="K34" i="5"/>
  <c r="M34" i="5" s="1"/>
  <c r="G100" i="7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K5" i="5"/>
  <c r="L5" i="5" s="1"/>
  <c r="D52" i="6"/>
  <c r="D51" i="6"/>
  <c r="G29" i="5"/>
  <c r="D49" i="6"/>
  <c r="J14" i="3"/>
  <c r="H30" i="5"/>
  <c r="K4" i="5"/>
  <c r="M4" i="5" s="1"/>
  <c r="H22" i="5"/>
  <c r="D50" i="6"/>
  <c r="D4" i="3"/>
  <c r="D2" i="3" s="1"/>
  <c r="M26" i="5"/>
  <c r="H27" i="5"/>
  <c r="P34" i="5"/>
  <c r="G25" i="5"/>
  <c r="D45" i="6"/>
  <c r="K8" i="5"/>
  <c r="M8" i="5" s="1"/>
  <c r="F43" i="6"/>
  <c r="G43" i="6" s="1"/>
  <c r="F39" i="6"/>
  <c r="G39" i="6" s="1"/>
  <c r="F35" i="6"/>
  <c r="G35" i="6" s="1"/>
  <c r="F30" i="6"/>
  <c r="G30" i="6" s="1"/>
  <c r="F26" i="6"/>
  <c r="G26" i="6" s="1"/>
  <c r="F22" i="6"/>
  <c r="G22" i="6" s="1"/>
  <c r="F18" i="6"/>
  <c r="G18" i="6" s="1"/>
  <c r="F14" i="6"/>
  <c r="G14" i="6" s="1"/>
  <c r="F9" i="6"/>
  <c r="G9" i="6" s="1"/>
  <c r="F5" i="6"/>
  <c r="G5" i="6" s="1"/>
  <c r="V4" i="3"/>
  <c r="J22" i="3"/>
  <c r="H26" i="5"/>
  <c r="Q34" i="5"/>
  <c r="D28" i="6"/>
  <c r="J6" i="3"/>
  <c r="F29" i="6"/>
  <c r="G29" i="6" s="1"/>
  <c r="F25" i="6"/>
  <c r="G25" i="6" s="1"/>
  <c r="F21" i="6"/>
  <c r="G21" i="6" s="1"/>
  <c r="M30" i="5"/>
  <c r="D30" i="6"/>
  <c r="J16" i="3"/>
  <c r="K12" i="5"/>
  <c r="M12" i="5" s="1"/>
  <c r="F28" i="6"/>
  <c r="G28" i="6" s="1"/>
  <c r="F24" i="6"/>
  <c r="G24" i="6" s="1"/>
  <c r="F20" i="6"/>
  <c r="G20" i="6" s="1"/>
  <c r="F16" i="6"/>
  <c r="G16" i="6" s="1"/>
  <c r="F11" i="6"/>
  <c r="G11" i="6" s="1"/>
  <c r="F7" i="6"/>
  <c r="G7" i="6" s="1"/>
  <c r="K2" i="5"/>
  <c r="F17" i="6"/>
  <c r="G17" i="6" s="1"/>
  <c r="F12" i="6"/>
  <c r="G12" i="6" s="1"/>
  <c r="F8" i="6"/>
  <c r="G8" i="6" s="1"/>
  <c r="F40" i="6"/>
  <c r="G40" i="6" s="1"/>
  <c r="F36" i="6"/>
  <c r="G36" i="6" s="1"/>
  <c r="F31" i="6"/>
  <c r="G31" i="6" s="1"/>
  <c r="F27" i="6"/>
  <c r="G27" i="6" s="1"/>
  <c r="F23" i="6"/>
  <c r="G23" i="6" s="1"/>
  <c r="F19" i="6"/>
  <c r="G19" i="6" s="1"/>
  <c r="F15" i="6"/>
  <c r="G15" i="6" s="1"/>
  <c r="F10" i="6"/>
  <c r="G10" i="6" s="1"/>
  <c r="F6" i="6"/>
  <c r="G6" i="6" s="1"/>
  <c r="E54" i="6"/>
  <c r="G59" i="14"/>
  <c r="M12" i="14"/>
  <c r="K3" i="5"/>
  <c r="M21" i="5"/>
  <c r="P17" i="3"/>
  <c r="D15" i="6"/>
  <c r="F42" i="6"/>
  <c r="G42" i="6" s="1"/>
  <c r="F38" i="6"/>
  <c r="G38" i="6" s="1"/>
  <c r="F34" i="6"/>
  <c r="G34" i="6" s="1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10" i="3"/>
  <c r="P4" i="3"/>
  <c r="D6" i="6"/>
  <c r="P13" i="3"/>
  <c r="D19" i="6"/>
  <c r="G24" i="5"/>
  <c r="L28" i="5"/>
  <c r="F45" i="6"/>
  <c r="G45" i="6" s="1"/>
  <c r="K37" i="4"/>
  <c r="J39" i="4"/>
  <c r="K35" i="4"/>
  <c r="J40" i="4"/>
  <c r="L40" i="4" s="1"/>
  <c r="K38" i="4"/>
  <c r="L35" i="4"/>
  <c r="L21" i="5"/>
  <c r="D18" i="9"/>
  <c r="E18" i="9" s="1"/>
  <c r="D27" i="6"/>
  <c r="P14" i="3"/>
  <c r="D12" i="6"/>
  <c r="P6" i="3"/>
  <c r="Z20" i="11"/>
  <c r="Y20" i="11"/>
  <c r="F41" i="6"/>
  <c r="G41" i="6" s="1"/>
  <c r="F37" i="6"/>
  <c r="G37" i="6" s="1"/>
  <c r="F33" i="6"/>
  <c r="G33" i="6" s="1"/>
  <c r="M27" i="5"/>
  <c r="L27" i="5"/>
  <c r="H20" i="5"/>
  <c r="P19" i="3"/>
  <c r="D25" i="6"/>
  <c r="J4" i="3"/>
  <c r="D14" i="6"/>
  <c r="U22" i="11"/>
  <c r="T22" i="11"/>
  <c r="D23" i="6"/>
  <c r="J9" i="3"/>
  <c r="D18" i="6"/>
  <c r="J13" i="3"/>
  <c r="L22" i="5"/>
  <c r="M22" i="5"/>
  <c r="Q4" i="12"/>
  <c r="K6" i="5"/>
  <c r="M32" i="4"/>
  <c r="J6" i="4"/>
  <c r="H2" i="3"/>
  <c r="J12" i="11"/>
  <c r="K12" i="11"/>
  <c r="F11" i="11"/>
  <c r="G12" i="11" s="1"/>
  <c r="K11" i="5"/>
  <c r="M29" i="5"/>
  <c r="P15" i="3"/>
  <c r="D26" i="6"/>
  <c r="D9" i="6"/>
  <c r="P5" i="3"/>
  <c r="M23" i="5"/>
  <c r="L23" i="5"/>
  <c r="P11" i="3"/>
  <c r="D24" i="6"/>
  <c r="D10" i="6"/>
  <c r="J7" i="3"/>
  <c r="N8" i="14"/>
  <c r="C4" i="12"/>
  <c r="C5" i="12" s="1"/>
  <c r="D21" i="6"/>
  <c r="P18" i="3"/>
  <c r="D11" i="6"/>
  <c r="P8" i="3"/>
  <c r="N9" i="13"/>
  <c r="K10" i="5"/>
  <c r="G28" i="5"/>
  <c r="M11" i="13"/>
  <c r="K7" i="5"/>
  <c r="M25" i="5"/>
  <c r="P9" i="3"/>
  <c r="D16" i="6"/>
  <c r="D5" i="6"/>
  <c r="J5" i="3"/>
  <c r="E3" i="6"/>
  <c r="P12" i="11"/>
  <c r="O12" i="11"/>
  <c r="D22" i="6"/>
  <c r="P16" i="3"/>
  <c r="D7" i="6"/>
  <c r="P12" i="3"/>
  <c r="D20" i="6"/>
  <c r="J15" i="3"/>
  <c r="D8" i="6"/>
  <c r="J8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L34" i="5"/>
  <c r="T2" i="5"/>
  <c r="K16" i="5"/>
  <c r="M16" i="5" s="1"/>
  <c r="G88" i="7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T5" i="5"/>
  <c r="M5" i="5"/>
  <c r="T8" i="5"/>
  <c r="L4" i="5"/>
  <c r="L8" i="5"/>
  <c r="E4" i="3"/>
  <c r="E7" i="3"/>
  <c r="K8" i="3"/>
  <c r="Q11" i="3"/>
  <c r="K7" i="3"/>
  <c r="K13" i="3"/>
  <c r="Q8" i="3"/>
  <c r="Q15" i="3"/>
  <c r="Q5" i="3"/>
  <c r="T4" i="5"/>
  <c r="L12" i="5"/>
  <c r="L2" i="5"/>
  <c r="T12" i="5"/>
  <c r="M2" i="5"/>
  <c r="Q16" i="3"/>
  <c r="Q19" i="3"/>
  <c r="K15" i="3"/>
  <c r="Q12" i="3"/>
  <c r="K5" i="3"/>
  <c r="Q9" i="3"/>
  <c r="Q18" i="3"/>
  <c r="K9" i="3"/>
  <c r="B4" i="3"/>
  <c r="O68" i="4"/>
  <c r="P13" i="11"/>
  <c r="O13" i="11"/>
  <c r="K13" i="11"/>
  <c r="F12" i="11"/>
  <c r="G13" i="11" s="1"/>
  <c r="J13" i="11"/>
  <c r="K4" i="3"/>
  <c r="J2" i="3"/>
  <c r="K2" i="3" s="1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Q17" i="3"/>
  <c r="N10" i="13"/>
  <c r="J8" i="14" a="1"/>
  <c r="J8" i="14" s="1"/>
  <c r="N9" i="14"/>
  <c r="W7" i="3"/>
  <c r="Q14" i="3"/>
  <c r="M35" i="4"/>
  <c r="J9" i="4"/>
  <c r="L39" i="4"/>
  <c r="J42" i="4"/>
  <c r="Q13" i="3"/>
  <c r="M9" i="5"/>
  <c r="T9" i="5"/>
  <c r="L9" i="5"/>
  <c r="M6" i="5"/>
  <c r="T6" i="5"/>
  <c r="L6" i="5"/>
  <c r="U23" i="11"/>
  <c r="T23" i="11"/>
  <c r="K21" i="3"/>
  <c r="W5" i="3"/>
  <c r="K23" i="3"/>
  <c r="E6" i="3"/>
  <c r="K24" i="3"/>
  <c r="K11" i="3"/>
  <c r="K6" i="3"/>
  <c r="K14" i="3"/>
  <c r="K18" i="3"/>
  <c r="K20" i="3"/>
  <c r="E5" i="3"/>
  <c r="K10" i="3"/>
  <c r="K19" i="3"/>
  <c r="K12" i="3"/>
  <c r="K16" i="3"/>
  <c r="K22" i="3"/>
  <c r="W4" i="3"/>
  <c r="K17" i="3"/>
  <c r="Q7" i="3"/>
  <c r="Q6" i="3"/>
  <c r="P2" i="3"/>
  <c r="Q2" i="3" s="1"/>
  <c r="Q4" i="3"/>
  <c r="M3" i="5"/>
  <c r="T3" i="5"/>
  <c r="L3" i="5"/>
  <c r="G60" i="14"/>
  <c r="G54" i="7" l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0" i="7" s="1"/>
  <c r="G9" i="7" s="1"/>
  <c r="G8" i="7" s="1"/>
  <c r="G7" i="7" s="1"/>
  <c r="G6" i="7" s="1"/>
  <c r="G5" i="7" s="1"/>
  <c r="L16" i="5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" i="7" l="1" a="1"/>
  <c r="G1" i="7" s="1"/>
  <c r="B5" i="2" s="1"/>
  <c r="B7" i="2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F25" i="2" l="1"/>
  <c r="F16" i="2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1" i="3" l="1"/>
  <c r="C7" i="3"/>
  <c r="U5" i="3"/>
  <c r="O9" i="3"/>
  <c r="I5" i="3"/>
  <c r="O19" i="3"/>
  <c r="C6" i="3"/>
  <c r="O14" i="3"/>
  <c r="O12" i="3"/>
  <c r="O10" i="3"/>
  <c r="I23" i="3"/>
  <c r="I17" i="3"/>
  <c r="O16" i="3"/>
  <c r="I12" i="3"/>
  <c r="I18" i="3"/>
  <c r="I7" i="3"/>
  <c r="I15" i="3"/>
  <c r="O18" i="3"/>
  <c r="O4" i="3"/>
  <c r="I21" i="3"/>
  <c r="I6" i="3"/>
  <c r="I14" i="3"/>
  <c r="I10" i="3"/>
  <c r="O6" i="3"/>
  <c r="I11" i="3"/>
  <c r="O17" i="3"/>
  <c r="I8" i="3"/>
  <c r="I16" i="3"/>
  <c r="I20" i="3"/>
  <c r="I13" i="3"/>
  <c r="I24" i="3"/>
  <c r="I4" i="3"/>
  <c r="O2" i="3"/>
  <c r="I9" i="3"/>
  <c r="O7" i="3"/>
  <c r="O15" i="3"/>
  <c r="O8" i="3"/>
  <c r="I19" i="3"/>
  <c r="O13" i="3"/>
  <c r="O5" i="3"/>
  <c r="I22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T32" i="11" l="1"/>
  <c r="U32" i="11"/>
  <c r="J18" i="13" a="1"/>
  <c r="J18" i="13" s="1"/>
  <c r="N19" i="13"/>
  <c r="M22" i="14"/>
  <c r="O22" i="11"/>
  <c r="P22" i="11"/>
  <c r="F46" i="6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96" i="11"/>
  <c r="A74" i="11"/>
  <c r="A80" i="11" l="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1" i="2"/>
  <c r="F3" i="2" s="1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8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K285" i="13"/>
  <c r="L285" i="13" s="1"/>
  <c r="I286" i="13" s="1"/>
  <c r="N412" i="14"/>
  <c r="J411" i="14" a="1"/>
  <c r="J411" i="14" s="1"/>
  <c r="M415" i="13"/>
  <c r="N413" i="13"/>
  <c r="J412" i="13" a="1"/>
  <c r="J412" i="13" s="1"/>
  <c r="M416" i="14"/>
  <c r="K286" i="13" l="1"/>
  <c r="L286" i="13" s="1"/>
  <c r="I287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302" i="14" l="1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/>
  <c r="L287" i="13" s="1"/>
  <c r="I288" i="13" s="1"/>
  <c r="K288" i="13" l="1"/>
  <c r="L288" i="13" s="1"/>
  <c r="I289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9" i="13" l="1"/>
  <c r="L289" i="13" s="1"/>
  <c r="I290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305" i="14" l="1"/>
  <c r="L305" i="14" s="1"/>
  <c r="I306" i="14" s="1"/>
  <c r="K290" i="13"/>
  <c r="L290" i="13" s="1"/>
  <c r="I291" i="13" s="1"/>
  <c r="M420" i="13"/>
  <c r="N417" i="14"/>
  <c r="J416" i="14" a="1"/>
  <c r="J416" i="14" s="1"/>
  <c r="M421" i="14"/>
  <c r="N418" i="13"/>
  <c r="J417" i="13" a="1"/>
  <c r="J417" i="13" s="1"/>
  <c r="K291" i="13" l="1"/>
  <c r="L291" i="13" s="1"/>
  <c r="I292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2" i="13" l="1"/>
  <c r="L292" i="13" s="1"/>
  <c r="I293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308" i="14" l="1"/>
  <c r="L308" i="14" s="1"/>
  <c r="I309" i="14" s="1"/>
  <c r="K293" i="13"/>
  <c r="L293" i="13" s="1"/>
  <c r="I294" i="13" s="1"/>
  <c r="M424" i="14"/>
  <c r="N420" i="14"/>
  <c r="J419" i="14" a="1"/>
  <c r="J419" i="14" s="1"/>
  <c r="M423" i="13"/>
  <c r="N421" i="13"/>
  <c r="J420" i="13" a="1"/>
  <c r="J420" i="13" s="1"/>
  <c r="K294" i="13" l="1"/>
  <c r="L294" i="13" s="1"/>
  <c r="I295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5" i="13" l="1"/>
  <c r="L295" i="13" s="1"/>
  <c r="I296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6" i="13" l="1"/>
  <c r="L296" i="13" s="1"/>
  <c r="I297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312" i="14" l="1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/>
  <c r="L297" i="13" s="1"/>
  <c r="I298" i="13" s="1"/>
  <c r="K313" i="14" l="1"/>
  <c r="L313" i="14" s="1"/>
  <c r="I314" i="14" s="1"/>
  <c r="M429" i="14"/>
  <c r="K298" i="13"/>
  <c r="N426" i="13"/>
  <c r="J425" i="13" a="1"/>
  <c r="J425" i="13" s="1"/>
  <c r="M428" i="13"/>
  <c r="N425" i="14"/>
  <c r="J424" i="14" a="1"/>
  <c r="J424" i="14" s="1"/>
  <c r="K314" i="14" l="1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/>
  <c r="I299" i="13" s="1"/>
  <c r="K315" i="14" l="1"/>
  <c r="L315" i="14" s="1"/>
  <c r="I316" i="14" s="1"/>
  <c r="K299" i="13"/>
  <c r="L299" i="13" s="1"/>
  <c r="I300" i="13" s="1"/>
  <c r="M431" i="14"/>
  <c r="N428" i="13"/>
  <c r="J427" i="13" a="1"/>
  <c r="J427" i="13" s="1"/>
  <c r="M430" i="13"/>
  <c r="N427" i="14"/>
  <c r="J426" i="14" a="1"/>
  <c r="J426" i="14" s="1"/>
  <c r="K300" i="13" l="1"/>
  <c r="L300" i="13" s="1"/>
  <c r="I301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17" i="14" l="1"/>
  <c r="L317" i="14" s="1"/>
  <c r="I318" i="14" s="1"/>
  <c r="K301" i="13"/>
  <c r="L301" i="13" s="1"/>
  <c r="I302" i="13" s="1"/>
  <c r="M433" i="14"/>
  <c r="M432" i="13"/>
  <c r="N429" i="14"/>
  <c r="J428" i="14" a="1"/>
  <c r="J428" i="14" s="1"/>
  <c r="N430" i="13"/>
  <c r="J429" i="13" a="1"/>
  <c r="J429" i="13" s="1"/>
  <c r="K302" i="13" l="1"/>
  <c r="L302" i="13" s="1"/>
  <c r="I303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3" i="13" l="1"/>
  <c r="L303" i="13" s="1"/>
  <c r="I304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20" i="14" l="1"/>
  <c r="L320" i="14" s="1"/>
  <c r="I321" i="14" s="1"/>
  <c r="K304" i="13"/>
  <c r="L304" i="13" s="1"/>
  <c r="I305" i="13" s="1"/>
  <c r="M436" i="14"/>
  <c r="N432" i="14"/>
  <c r="J431" i="14" a="1"/>
  <c r="J431" i="14" s="1"/>
  <c r="N433" i="13"/>
  <c r="J432" i="13" a="1"/>
  <c r="J432" i="13" s="1"/>
  <c r="M435" i="13"/>
  <c r="K305" i="13" l="1"/>
  <c r="L305" i="13" s="1"/>
  <c r="I306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6" i="13" l="1"/>
  <c r="L306" i="13" s="1"/>
  <c r="I307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23" i="14" l="1"/>
  <c r="L323" i="14" s="1"/>
  <c r="I324" i="14" s="1"/>
  <c r="K307" i="13"/>
  <c r="L307" i="13" s="1"/>
  <c r="I308" i="13" s="1"/>
  <c r="N436" i="13"/>
  <c r="J435" i="13" a="1"/>
  <c r="J435" i="13" s="1"/>
  <c r="M439" i="14"/>
  <c r="M438" i="13"/>
  <c r="N435" i="14"/>
  <c r="J434" i="14" a="1"/>
  <c r="J434" i="14" s="1"/>
  <c r="K308" i="13" l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25" i="14" l="1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/>
  <c r="I309" i="13" s="1"/>
  <c r="K326" i="14" l="1"/>
  <c r="L326" i="14" s="1"/>
  <c r="I327" i="14" s="1"/>
  <c r="K309" i="13"/>
  <c r="L309" i="13" s="1"/>
  <c r="I310" i="13" s="1"/>
  <c r="M441" i="13"/>
  <c r="N438" i="14"/>
  <c r="J437" i="14" a="1"/>
  <c r="J437" i="14" s="1"/>
  <c r="M442" i="14"/>
  <c r="N439" i="13"/>
  <c r="J438" i="13" a="1"/>
  <c r="J438" i="13" s="1"/>
  <c r="K310" i="13" l="1"/>
  <c r="L310" i="13" s="1"/>
  <c r="I311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28" i="14" l="1"/>
  <c r="L328" i="14" s="1"/>
  <c r="I329" i="14" s="1"/>
  <c r="K311" i="13"/>
  <c r="L311" i="13" s="1"/>
  <c r="I312" i="13" s="1"/>
  <c r="N441" i="13"/>
  <c r="J440" i="13" a="1"/>
  <c r="J440" i="13" s="1"/>
  <c r="M444" i="14"/>
  <c r="M443" i="13"/>
  <c r="N440" i="14"/>
  <c r="J439" i="14" a="1"/>
  <c r="J439" i="14" s="1"/>
  <c r="K312" i="13" l="1"/>
  <c r="L312" i="13" s="1"/>
  <c r="I313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3" i="13" l="1"/>
  <c r="L313" i="13" s="1"/>
  <c r="I314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31" i="14" l="1"/>
  <c r="L331" i="14" s="1"/>
  <c r="I332" i="14" s="1"/>
  <c r="M447" i="14"/>
  <c r="N443" i="14"/>
  <c r="J442" i="14" a="1"/>
  <c r="J442" i="14" s="1"/>
  <c r="N444" i="13"/>
  <c r="J443" i="13" a="1"/>
  <c r="J443" i="13" s="1"/>
  <c r="K314" i="13"/>
  <c r="L314" i="13" s="1"/>
  <c r="I315" i="13" s="1"/>
  <c r="M446" i="13"/>
  <c r="K315" i="13" l="1"/>
  <c r="L315" i="13" s="1"/>
  <c r="I316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6" i="13" l="1"/>
  <c r="L316" i="13" s="1"/>
  <c r="I317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7" i="13" l="1"/>
  <c r="L317" i="13" s="1"/>
  <c r="I318" i="13" s="1"/>
  <c r="K334" i="14"/>
  <c r="N446" i="14"/>
  <c r="J445" i="14" a="1"/>
  <c r="J445" i="14" s="1"/>
  <c r="M450" i="14"/>
  <c r="M449" i="13"/>
  <c r="N447" i="13"/>
  <c r="J446" i="13" a="1"/>
  <c r="J446" i="13" s="1"/>
  <c r="K318" i="13" l="1"/>
  <c r="L318" i="13" s="1"/>
  <c r="I319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9" i="13" l="1"/>
  <c r="L319" i="13" s="1"/>
  <c r="I320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36" i="14" l="1"/>
  <c r="L336" i="14" s="1"/>
  <c r="I337" i="14" s="1"/>
  <c r="K320" i="13"/>
  <c r="M453" i="14"/>
  <c r="N450" i="13"/>
  <c r="J449" i="13" a="1"/>
  <c r="J449" i="13" s="1"/>
  <c r="M452" i="13"/>
  <c r="N449" i="14"/>
  <c r="J448" i="14" a="1"/>
  <c r="J448" i="14" s="1"/>
  <c r="K337" i="14" l="1"/>
  <c r="L337" i="14" s="1"/>
  <c r="I338" i="14" s="1"/>
  <c r="N450" i="14"/>
  <c r="J449" i="14" a="1"/>
  <c r="J449" i="14" s="1"/>
  <c r="L320" i="13"/>
  <c r="I321" i="13" s="1"/>
  <c r="N451" i="13"/>
  <c r="J450" i="13" a="1"/>
  <c r="J450" i="13" s="1"/>
  <c r="M453" i="13"/>
  <c r="M454" i="14"/>
  <c r="K338" i="14" l="1"/>
  <c r="L338" i="14" s="1"/>
  <c r="I339" i="14" s="1"/>
  <c r="N451" i="14"/>
  <c r="J450" i="14" a="1"/>
  <c r="J450" i="14" s="1"/>
  <c r="N452" i="13"/>
  <c r="J451" i="13" a="1"/>
  <c r="J451" i="13" s="1"/>
  <c r="M454" i="13"/>
  <c r="K321" i="13"/>
  <c r="M455" i="14"/>
  <c r="K339" i="14" l="1"/>
  <c r="L339" i="14" s="1"/>
  <c r="I340" i="14" s="1"/>
  <c r="M456" i="14"/>
  <c r="M455" i="13"/>
  <c r="N452" i="14"/>
  <c r="J451" i="14" a="1"/>
  <c r="J451" i="14" s="1"/>
  <c r="L321" i="13"/>
  <c r="I322" i="13" s="1"/>
  <c r="N453" i="13"/>
  <c r="J452" i="13" a="1"/>
  <c r="J452" i="13" s="1"/>
  <c r="K340" i="14" l="1"/>
  <c r="L340" i="14" s="1"/>
  <c r="I341" i="14" s="1"/>
  <c r="M457" i="14"/>
  <c r="N453" i="14"/>
  <c r="J452" i="14" a="1"/>
  <c r="J452" i="14" s="1"/>
  <c r="N454" i="13"/>
  <c r="J453" i="13" a="1"/>
  <c r="J453" i="13" s="1"/>
  <c r="K322" i="13"/>
  <c r="L322" i="13" s="1"/>
  <c r="I323" i="13" s="1"/>
  <c r="M456" i="13"/>
  <c r="K323" i="13" l="1"/>
  <c r="L323" i="13" s="1"/>
  <c r="I324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42" i="14" l="1"/>
  <c r="L342" i="14" s="1"/>
  <c r="I343" i="14" s="1"/>
  <c r="K324" i="13"/>
  <c r="L324" i="13" s="1"/>
  <c r="I325" i="13" s="1"/>
  <c r="N455" i="14"/>
  <c r="J454" i="14" a="1"/>
  <c r="J454" i="14" s="1"/>
  <c r="N456" i="13"/>
  <c r="J455" i="13" a="1"/>
  <c r="J455" i="13" s="1"/>
  <c r="M459" i="14"/>
  <c r="M458" i="13"/>
  <c r="K325" i="13" l="1"/>
  <c r="L325" i="13" s="1"/>
  <c r="I326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44" i="14" l="1"/>
  <c r="K326" i="13"/>
  <c r="L326" i="13" s="1"/>
  <c r="I327" i="13" s="1"/>
  <c r="N457" i="14"/>
  <c r="J456" i="14" a="1"/>
  <c r="J456" i="14" s="1"/>
  <c r="M461" i="14"/>
  <c r="M460" i="13"/>
  <c r="N458" i="13"/>
  <c r="J457" i="13" a="1"/>
  <c r="J457" i="13" s="1"/>
  <c r="K327" i="13" l="1"/>
  <c r="L327" i="13" s="1"/>
  <c r="I328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8" i="13" l="1"/>
  <c r="L328" i="13" s="1"/>
  <c r="I329" i="13" s="1"/>
  <c r="M463" i="14"/>
  <c r="N460" i="13"/>
  <c r="J459" i="13" a="1"/>
  <c r="J459" i="13" s="1"/>
  <c r="K345" i="14"/>
  <c r="N459" i="14"/>
  <c r="J458" i="14" a="1"/>
  <c r="J458" i="14" s="1"/>
  <c r="M462" i="13"/>
  <c r="K329" i="13" l="1"/>
  <c r="L329" i="13" s="1"/>
  <c r="I330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30" i="13" l="1"/>
  <c r="L330" i="13" s="1"/>
  <c r="I331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1" i="13" l="1"/>
  <c r="L331" i="13" s="1"/>
  <c r="I332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48" i="14" l="1"/>
  <c r="L348" i="14" s="1"/>
  <c r="I349" i="14" s="1"/>
  <c r="K332" i="13"/>
  <c r="L332" i="13" s="1"/>
  <c r="I333" i="13" s="1"/>
  <c r="N464" i="13"/>
  <c r="J463" i="13" a="1"/>
  <c r="J463" i="13" s="1"/>
  <c r="M467" i="14"/>
  <c r="M466" i="13"/>
  <c r="N463" i="14"/>
  <c r="J462" i="14" a="1"/>
  <c r="J462" i="14" s="1"/>
  <c r="K333" i="13" l="1"/>
  <c r="L333" i="13" s="1"/>
  <c r="I334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4" i="13" l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51" i="14" l="1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/>
  <c r="I335" i="13" s="1"/>
  <c r="K352" i="14" l="1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/>
  <c r="L335" i="13" s="1"/>
  <c r="I336" i="13" s="1"/>
  <c r="K336" i="13" l="1"/>
  <c r="L336" i="13" s="1"/>
  <c r="I337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54" i="14" l="1"/>
  <c r="L354" i="14" s="1"/>
  <c r="I355" i="14" s="1"/>
  <c r="K337" i="13"/>
  <c r="L337" i="13" s="1"/>
  <c r="I338" i="13" s="1"/>
  <c r="N469" i="14"/>
  <c r="J468" i="14" a="1"/>
  <c r="J468" i="14" s="1"/>
  <c r="M473" i="14"/>
  <c r="M472" i="13"/>
  <c r="N470" i="13"/>
  <c r="J469" i="13" a="1"/>
  <c r="J469" i="13" s="1"/>
  <c r="K338" i="13" l="1"/>
  <c r="L338" i="13" s="1"/>
  <c r="I339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56" i="14" l="1"/>
  <c r="K339" i="13"/>
  <c r="L339" i="13" s="1"/>
  <c r="I340" i="13" s="1"/>
  <c r="N472" i="13"/>
  <c r="J471" i="13" a="1"/>
  <c r="J471" i="13" s="1"/>
  <c r="N471" i="14"/>
  <c r="J470" i="14" a="1"/>
  <c r="J470" i="14" s="1"/>
  <c r="M474" i="13"/>
  <c r="M475" i="14"/>
  <c r="K340" i="13" l="1"/>
  <c r="L340" i="13" s="1"/>
  <c r="I341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1" i="13" l="1"/>
  <c r="L341" i="13" s="1"/>
  <c r="I342" i="13" s="1"/>
  <c r="N474" i="13"/>
  <c r="J473" i="13" a="1"/>
  <c r="J473" i="13" s="1"/>
  <c r="M476" i="13"/>
  <c r="K357" i="14"/>
  <c r="M477" i="14"/>
  <c r="N473" i="14"/>
  <c r="J472" i="14" a="1"/>
  <c r="J472" i="14" s="1"/>
  <c r="K342" i="13" l="1"/>
  <c r="L342" i="13" s="1"/>
  <c r="I343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3" i="13" l="1"/>
  <c r="L343" i="13" s="1"/>
  <c r="I344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59" i="14" l="1"/>
  <c r="L359" i="14" s="1"/>
  <c r="I360" i="14" s="1"/>
  <c r="K344" i="13"/>
  <c r="N477" i="13"/>
  <c r="J476" i="13" a="1"/>
  <c r="J476" i="13" s="1"/>
  <c r="M479" i="13"/>
  <c r="M480" i="14"/>
  <c r="N476" i="14"/>
  <c r="J475" i="14" a="1"/>
  <c r="J475" i="14" s="1"/>
  <c r="K360" i="14" l="1"/>
  <c r="L360" i="14" s="1"/>
  <c r="I361" i="14" s="1"/>
  <c r="M480" i="13"/>
  <c r="N477" i="14"/>
  <c r="J476" i="14" a="1"/>
  <c r="J476" i="14" s="1"/>
  <c r="L344" i="13"/>
  <c r="I345" i="13" s="1"/>
  <c r="M481" i="14"/>
  <c r="N478" i="13"/>
  <c r="J477" i="13" a="1"/>
  <c r="J477" i="13" s="1"/>
  <c r="K361" i="14" l="1"/>
  <c r="L361" i="14" s="1"/>
  <c r="I362" i="14" s="1"/>
  <c r="M482" i="14"/>
  <c r="N478" i="14"/>
  <c r="J477" i="14" a="1"/>
  <c r="J477" i="14" s="1"/>
  <c r="N479" i="13"/>
  <c r="J478" i="13" a="1"/>
  <c r="J478" i="13" s="1"/>
  <c r="K345" i="13"/>
  <c r="L345" i="13" s="1"/>
  <c r="I346" i="13" s="1"/>
  <c r="M481" i="13"/>
  <c r="K346" i="13" l="1"/>
  <c r="L346" i="13" s="1"/>
  <c r="I347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7" i="13" l="1"/>
  <c r="L347" i="13" s="1"/>
  <c r="I348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64" i="14" l="1"/>
  <c r="L364" i="14" s="1"/>
  <c r="I365" i="14" s="1"/>
  <c r="K348" i="13"/>
  <c r="L348" i="13" s="1"/>
  <c r="I349" i="13" s="1"/>
  <c r="M484" i="13"/>
  <c r="N482" i="13"/>
  <c r="J481" i="13" a="1"/>
  <c r="J481" i="13" s="1"/>
  <c r="M485" i="14"/>
  <c r="N481" i="14"/>
  <c r="J480" i="14" a="1"/>
  <c r="J480" i="14" s="1"/>
  <c r="K349" i="13" l="1"/>
  <c r="L349" i="13" s="1"/>
  <c r="I350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66" i="14" l="1"/>
  <c r="L366" i="14" s="1"/>
  <c r="I367" i="14" s="1"/>
  <c r="K350" i="13"/>
  <c r="L350" i="13" s="1"/>
  <c r="I351" i="13" s="1"/>
  <c r="M486" i="13"/>
  <c r="N484" i="13"/>
  <c r="J483" i="13" a="1"/>
  <c r="J483" i="13" s="1"/>
  <c r="M487" i="14"/>
  <c r="N483" i="14"/>
  <c r="J482" i="14" a="1"/>
  <c r="J482" i="14" s="1"/>
  <c r="K351" i="13" l="1"/>
  <c r="L351" i="13" s="1"/>
  <c r="I352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68" i="14" l="1"/>
  <c r="L368" i="14" s="1"/>
  <c r="I369" i="14" s="1"/>
  <c r="K352" i="13"/>
  <c r="L352" i="13" s="1"/>
  <c r="I353" i="13" s="1"/>
  <c r="M489" i="14"/>
  <c r="N485" i="14"/>
  <c r="J484" i="14" a="1"/>
  <c r="J484" i="14" s="1"/>
  <c r="M488" i="13"/>
  <c r="N486" i="13"/>
  <c r="J485" i="13" a="1"/>
  <c r="J485" i="13" s="1"/>
  <c r="N487" i="13" l="1"/>
  <c r="J486" i="13" a="1"/>
  <c r="J486" i="13" s="1"/>
  <c r="N486" i="14"/>
  <c r="J485" i="14" a="1"/>
  <c r="J485" i="14" s="1"/>
  <c r="K353" i="13"/>
  <c r="L353" i="13" s="1"/>
  <c r="I354" i="13" s="1"/>
  <c r="M489" i="13"/>
  <c r="M490" i="14"/>
  <c r="K369" i="14"/>
  <c r="L369" i="14" s="1"/>
  <c r="I370" i="14" s="1"/>
  <c r="K354" i="13" l="1"/>
  <c r="L354" i="13" s="1"/>
  <c r="I355" i="13" s="1"/>
  <c r="N487" i="14"/>
  <c r="J486" i="14" a="1"/>
  <c r="J486" i="14" s="1"/>
  <c r="K370" i="14"/>
  <c r="M490" i="13"/>
  <c r="M491" i="14"/>
  <c r="N488" i="13"/>
  <c r="J487" i="13" a="1"/>
  <c r="J487" i="13" s="1"/>
  <c r="K355" i="13" l="1"/>
  <c r="L355" i="13" s="1"/>
  <c r="I356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6" i="13" l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N490" i="14" l="1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/>
  <c r="I357" i="13" s="1"/>
  <c r="K373" i="14" l="1"/>
  <c r="L373" i="14" s="1"/>
  <c r="I374" i="14" s="1"/>
  <c r="N492" i="13"/>
  <c r="J491" i="13" a="1"/>
  <c r="J491" i="13" s="1"/>
  <c r="M494" i="13"/>
  <c r="K357" i="13"/>
  <c r="M495" i="14"/>
  <c r="N491" i="14"/>
  <c r="J490" i="14" a="1"/>
  <c r="J490" i="14" s="1"/>
  <c r="K374" i="14" l="1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/>
  <c r="I358" i="13" s="1"/>
  <c r="K375" i="14" l="1"/>
  <c r="L375" i="14" s="1"/>
  <c r="I376" i="14" s="1"/>
  <c r="K358" i="13"/>
  <c r="L358" i="13" s="1"/>
  <c r="I359" i="13" s="1"/>
  <c r="N494" i="13"/>
  <c r="J493" i="13" a="1"/>
  <c r="J493" i="13" s="1"/>
  <c r="M497" i="14"/>
  <c r="N493" i="14"/>
  <c r="J492" i="14" a="1"/>
  <c r="J492" i="14" s="1"/>
  <c r="M496" i="13"/>
  <c r="K376" i="14" l="1"/>
  <c r="L376" i="14" s="1"/>
  <c r="I377" i="14" s="1"/>
  <c r="K359" i="13"/>
  <c r="L359" i="13" s="1"/>
  <c r="I360" i="13" s="1"/>
  <c r="N494" i="14"/>
  <c r="J493" i="14" a="1"/>
  <c r="J493" i="14" s="1"/>
  <c r="M497" i="13"/>
  <c r="M498" i="14"/>
  <c r="N495" i="13"/>
  <c r="J494" i="13" a="1"/>
  <c r="J494" i="13" s="1"/>
  <c r="K377" i="14" l="1"/>
  <c r="L377" i="14" s="1"/>
  <c r="I378" i="14" s="1"/>
  <c r="K360" i="13"/>
  <c r="L360" i="13" s="1"/>
  <c r="I361" i="13" s="1"/>
  <c r="N496" i="13"/>
  <c r="J495" i="13" a="1"/>
  <c r="J495" i="13" s="1"/>
  <c r="M498" i="13"/>
  <c r="M499" i="14"/>
  <c r="N495" i="14"/>
  <c r="J494" i="14" a="1"/>
  <c r="J494" i="14" s="1"/>
  <c r="K361" i="13" l="1"/>
  <c r="L361" i="13" s="1"/>
  <c r="I362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79" i="14" l="1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/>
  <c r="L362" i="13" s="1"/>
  <c r="I363" i="13" s="1"/>
  <c r="K363" i="13" l="1"/>
  <c r="L363" i="13" s="1"/>
  <c r="I364" i="13" s="1"/>
  <c r="K380" i="14"/>
  <c r="M502" i="14"/>
  <c r="N499" i="13"/>
  <c r="J498" i="13" a="1"/>
  <c r="J498" i="13" s="1"/>
  <c r="M501" i="13"/>
  <c r="N498" i="14"/>
  <c r="J497" i="14" a="1"/>
  <c r="J497" i="14" s="1"/>
  <c r="K364" i="13" l="1"/>
  <c r="L364" i="13" s="1"/>
  <c r="I365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5" i="13" l="1"/>
  <c r="L365" i="13" s="1"/>
  <c r="I366" i="13" s="1"/>
  <c r="N500" i="14"/>
  <c r="J499" i="14" a="1"/>
  <c r="J499" i="14" s="1"/>
  <c r="M504" i="14"/>
  <c r="K381" i="14"/>
  <c r="M503" i="13"/>
  <c r="N501" i="13"/>
  <c r="J500" i="13" a="1"/>
  <c r="J500" i="13" s="1"/>
  <c r="K366" i="13" l="1"/>
  <c r="L366" i="13" s="1"/>
  <c r="I367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7" i="13" l="1"/>
  <c r="L367" i="13" s="1"/>
  <c r="I368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8" i="13" l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84" i="14" l="1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/>
  <c r="I369" i="13" s="1"/>
  <c r="K385" i="14" l="1"/>
  <c r="L385" i="14" s="1"/>
  <c r="I386" i="14" s="1"/>
  <c r="K369" i="13"/>
  <c r="L369" i="13" s="1"/>
  <c r="I370" i="13" s="1"/>
  <c r="M508" i="13"/>
  <c r="M509" i="14"/>
  <c r="N505" i="14"/>
  <c r="J504" i="14" a="1"/>
  <c r="J504" i="14" s="1"/>
  <c r="N506" i="13"/>
  <c r="J505" i="13" a="1"/>
  <c r="J505" i="13" s="1"/>
  <c r="K370" i="13" l="1"/>
  <c r="L370" i="13" s="1"/>
  <c r="I371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1" i="13" l="1"/>
  <c r="L371" i="13" s="1"/>
  <c r="I372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88" i="14" l="1"/>
  <c r="L388" i="14" s="1"/>
  <c r="I389" i="14" s="1"/>
  <c r="K372" i="13"/>
  <c r="L372" i="13" s="1"/>
  <c r="I373" i="13" s="1"/>
  <c r="N508" i="14"/>
  <c r="J507" i="14" a="1"/>
  <c r="J507" i="14" s="1"/>
  <c r="N509" i="13"/>
  <c r="J508" i="13" a="1"/>
  <c r="J508" i="13" s="1"/>
  <c r="M511" i="13"/>
  <c r="M512" i="14"/>
  <c r="K373" i="13" l="1"/>
  <c r="L373" i="13" s="1"/>
  <c r="I374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90" i="14" l="1"/>
  <c r="L390" i="14" s="1"/>
  <c r="I391" i="14" s="1"/>
  <c r="K374" i="13"/>
  <c r="L374" i="13" s="1"/>
  <c r="I375" i="13" s="1"/>
  <c r="M513" i="13"/>
  <c r="J509" i="14" a="1"/>
  <c r="J509" i="14" s="1"/>
  <c r="N510" i="14"/>
  <c r="M514" i="14"/>
  <c r="N511" i="13"/>
  <c r="J510" i="13" a="1"/>
  <c r="J510" i="13" s="1"/>
  <c r="K375" i="13" l="1"/>
  <c r="L375" i="13" s="1"/>
  <c r="I376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92" i="14" l="1"/>
  <c r="L392" i="14" s="1"/>
  <c r="I393" i="14" s="1"/>
  <c r="K376" i="13"/>
  <c r="L376" i="13" s="1"/>
  <c r="I377" i="13" s="1"/>
  <c r="M515" i="13"/>
  <c r="N513" i="13"/>
  <c r="J512" i="13" a="1"/>
  <c r="J512" i="13" s="1"/>
  <c r="M516" i="14"/>
  <c r="J511" i="14" a="1"/>
  <c r="J511" i="14" s="1"/>
  <c r="N512" i="14"/>
  <c r="K377" i="13" l="1"/>
  <c r="L377" i="13" s="1"/>
  <c r="I378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94" i="14" l="1"/>
  <c r="K378" i="13"/>
  <c r="L378" i="13" s="1"/>
  <c r="I379" i="13" s="1"/>
  <c r="J513" i="14" a="1"/>
  <c r="J513" i="14" s="1"/>
  <c r="N514" i="14"/>
  <c r="N515" i="13"/>
  <c r="J514" i="13" a="1"/>
  <c r="J514" i="13" s="1"/>
  <c r="M517" i="13"/>
  <c r="M518" i="14"/>
  <c r="K379" i="13" l="1"/>
  <c r="L379" i="13" s="1"/>
  <c r="I380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80" i="13" l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N518" i="13" l="1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/>
  <c r="I381" i="13" s="1"/>
  <c r="K397" i="14" l="1"/>
  <c r="L397" i="14" s="1"/>
  <c r="I398" i="14" s="1"/>
  <c r="K381" i="13"/>
  <c r="J517" i="14" a="1"/>
  <c r="J517" i="14" s="1"/>
  <c r="N518" i="14"/>
  <c r="M522" i="14"/>
  <c r="M521" i="13"/>
  <c r="N519" i="13"/>
  <c r="J518" i="13" a="1"/>
  <c r="J518" i="13" s="1"/>
  <c r="K398" i="14" l="1"/>
  <c r="L398" i="14" s="1"/>
  <c r="I399" i="14" s="1"/>
  <c r="N520" i="13"/>
  <c r="J519" i="13" a="1"/>
  <c r="J519" i="13" s="1"/>
  <c r="L381" i="13"/>
  <c r="I382" i="13" s="1"/>
  <c r="M523" i="14"/>
  <c r="M522" i="13"/>
  <c r="J518" i="14" a="1"/>
  <c r="J518" i="14" s="1"/>
  <c r="N519" i="14"/>
  <c r="J519" i="14" l="1" a="1"/>
  <c r="J519" i="14" s="1"/>
  <c r="N520" i="14"/>
  <c r="M524" i="14"/>
  <c r="N521" i="13"/>
  <c r="J520" i="13" a="1"/>
  <c r="J520" i="13" s="1"/>
  <c r="M523" i="13"/>
  <c r="K382" i="13"/>
  <c r="L382" i="13" s="1"/>
  <c r="I383" i="13" s="1"/>
  <c r="K399" i="14"/>
  <c r="L399" i="14" s="1"/>
  <c r="I400" i="14" s="1"/>
  <c r="K383" i="13" l="1"/>
  <c r="L383" i="13" s="1"/>
  <c r="I384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401" i="14" l="1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/>
  <c r="L384" i="13" s="1"/>
  <c r="I385" i="13" s="1"/>
  <c r="K385" i="13" l="1"/>
  <c r="L385" i="13" s="1"/>
  <c r="I386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403" i="14" l="1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/>
  <c r="L386" i="13" s="1"/>
  <c r="I387" i="13" s="1"/>
  <c r="K387" i="13" l="1"/>
  <c r="L387" i="13" s="1"/>
  <c r="I388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N527" i="13" l="1"/>
  <c r="J526" i="13" a="1"/>
  <c r="J526" i="13" s="1"/>
  <c r="M530" i="14"/>
  <c r="K405" i="14"/>
  <c r="J525" i="14" a="1"/>
  <c r="J525" i="14" s="1"/>
  <c r="N526" i="14"/>
  <c r="M529" i="13"/>
  <c r="K388" i="13"/>
  <c r="L388" i="13" s="1"/>
  <c r="I389" i="13" s="1"/>
  <c r="K389" i="13" l="1"/>
  <c r="L389" i="13" s="1"/>
  <c r="I390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90" i="13" l="1"/>
  <c r="L390" i="13" s="1"/>
  <c r="I391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407" i="14" l="1"/>
  <c r="L407" i="14" s="1"/>
  <c r="I408" i="14" s="1"/>
  <c r="K391" i="13"/>
  <c r="L391" i="13" s="1"/>
  <c r="I392" i="13" s="1"/>
  <c r="J528" i="14" a="1"/>
  <c r="J528" i="14" s="1"/>
  <c r="N529" i="14"/>
  <c r="M532" i="13"/>
  <c r="N530" i="13"/>
  <c r="J529" i="13" a="1"/>
  <c r="J529" i="13" s="1"/>
  <c r="M533" i="14"/>
  <c r="K408" i="14" l="1"/>
  <c r="L408" i="14" s="1"/>
  <c r="I409" i="14" s="1"/>
  <c r="N531" i="13"/>
  <c r="J530" i="13" a="1"/>
  <c r="J530" i="13" s="1"/>
  <c r="M534" i="14"/>
  <c r="M533" i="13"/>
  <c r="K392" i="13"/>
  <c r="J529" i="14" a="1"/>
  <c r="J529" i="14" s="1"/>
  <c r="N530" i="14"/>
  <c r="K409" i="14" l="1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/>
  <c r="I393" i="13" s="1"/>
  <c r="K410" i="14" l="1"/>
  <c r="L410" i="14" s="1"/>
  <c r="I411" i="14" s="1"/>
  <c r="J531" i="14" a="1"/>
  <c r="J531" i="14" s="1"/>
  <c r="N532" i="14"/>
  <c r="K393" i="13"/>
  <c r="M536" i="14"/>
  <c r="N533" i="13"/>
  <c r="J532" i="13" a="1"/>
  <c r="J532" i="13" s="1"/>
  <c r="M535" i="13"/>
  <c r="K411" i="14" l="1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/>
  <c r="I394" i="13" s="1"/>
  <c r="K412" i="14" l="1"/>
  <c r="L412" i="14" s="1"/>
  <c r="I413" i="14" s="1"/>
  <c r="J533" i="14" a="1"/>
  <c r="J533" i="14" s="1"/>
  <c r="N534" i="14"/>
  <c r="M537" i="13"/>
  <c r="K394" i="13"/>
  <c r="L394" i="13" s="1"/>
  <c r="I395" i="13" s="1"/>
  <c r="N535" i="13"/>
  <c r="J534" i="13" a="1"/>
  <c r="J534" i="13" s="1"/>
  <c r="M538" i="14"/>
  <c r="K395" i="13" l="1"/>
  <c r="L395" i="13" s="1"/>
  <c r="I396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414" i="14" l="1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/>
  <c r="L396" i="13" s="1"/>
  <c r="I397" i="13" s="1"/>
  <c r="K397" i="13" l="1"/>
  <c r="L397" i="13" s="1"/>
  <c r="I398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416" i="14" l="1"/>
  <c r="K398" i="13"/>
  <c r="L398" i="13" s="1"/>
  <c r="I399" i="13" s="1"/>
  <c r="J537" i="14" a="1"/>
  <c r="J537" i="14" s="1"/>
  <c r="N538" i="14"/>
  <c r="M541" i="13"/>
  <c r="N539" i="13"/>
  <c r="J538" i="13" a="1"/>
  <c r="J538" i="13" s="1"/>
  <c r="M542" i="14"/>
  <c r="K399" i="13" l="1"/>
  <c r="L399" i="13" s="1"/>
  <c r="I400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400" i="13" l="1"/>
  <c r="L400" i="13" s="1"/>
  <c r="I401" i="13" s="1"/>
  <c r="M544" i="14"/>
  <c r="J539" i="14" a="1"/>
  <c r="J539" i="14" s="1"/>
  <c r="N540" i="14"/>
  <c r="M543" i="13"/>
  <c r="K417" i="14"/>
  <c r="N541" i="13"/>
  <c r="J540" i="13" a="1"/>
  <c r="J540" i="13" s="1"/>
  <c r="K401" i="13" l="1"/>
  <c r="L401" i="13" s="1"/>
  <c r="I402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2" i="13" l="1"/>
  <c r="L402" i="13" s="1"/>
  <c r="I403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19" i="14" l="1"/>
  <c r="L419" i="14" s="1"/>
  <c r="I420" i="14" s="1"/>
  <c r="K403" i="13"/>
  <c r="L403" i="13" s="1"/>
  <c r="I404" i="13" s="1"/>
  <c r="M546" i="13"/>
  <c r="M547" i="14"/>
  <c r="N544" i="13"/>
  <c r="J543" i="13" a="1"/>
  <c r="J543" i="13" s="1"/>
  <c r="J542" i="14" a="1"/>
  <c r="J542" i="14" s="1"/>
  <c r="N543" i="14"/>
  <c r="K404" i="13" l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21" i="14" l="1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/>
  <c r="I405" i="13" s="1"/>
  <c r="K422" i="14" l="1"/>
  <c r="L422" i="14" s="1"/>
  <c r="I423" i="14" s="1"/>
  <c r="K405" i="13"/>
  <c r="M549" i="13"/>
  <c r="M550" i="14"/>
  <c r="J545" i="14" a="1"/>
  <c r="J545" i="14" s="1"/>
  <c r="N546" i="14"/>
  <c r="N547" i="13"/>
  <c r="J546" i="13" a="1"/>
  <c r="J546" i="13" s="1"/>
  <c r="K423" i="14" l="1"/>
  <c r="L423" i="14" s="1"/>
  <c r="I424" i="14" s="1"/>
  <c r="L405" i="13"/>
  <c r="I406" i="13" s="1"/>
  <c r="J546" i="14" a="1"/>
  <c r="J546" i="14" s="1"/>
  <c r="N547" i="14"/>
  <c r="M550" i="13"/>
  <c r="M551" i="14"/>
  <c r="N548" i="13"/>
  <c r="J547" i="13" a="1"/>
  <c r="J547" i="13" s="1"/>
  <c r="K424" i="14" l="1"/>
  <c r="L424" i="14" s="1"/>
  <c r="I425" i="14" s="1"/>
  <c r="K406" i="13"/>
  <c r="L406" i="13" s="1"/>
  <c r="I407" i="13" s="1"/>
  <c r="J547" i="14" a="1"/>
  <c r="J547" i="14" s="1"/>
  <c r="N548" i="14"/>
  <c r="M551" i="13"/>
  <c r="N549" i="13"/>
  <c r="J548" i="13" a="1"/>
  <c r="J548" i="13" s="1"/>
  <c r="M552" i="14"/>
  <c r="K407" i="13" l="1"/>
  <c r="L407" i="13" s="1"/>
  <c r="I408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26" i="14" l="1"/>
  <c r="L426" i="14" s="1"/>
  <c r="I427" i="14" s="1"/>
  <c r="K408" i="13"/>
  <c r="L408" i="13" s="1"/>
  <c r="I409" i="13" s="1"/>
  <c r="M554" i="14"/>
  <c r="M553" i="13"/>
  <c r="J549" i="14" a="1"/>
  <c r="J549" i="14" s="1"/>
  <c r="N550" i="14"/>
  <c r="N551" i="13"/>
  <c r="J550" i="13" a="1"/>
  <c r="J550" i="13" s="1"/>
  <c r="K409" i="13" l="1"/>
  <c r="L409" i="13" s="1"/>
  <c r="I410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10" i="13" l="1"/>
  <c r="L410" i="13" s="1"/>
  <c r="I411" i="13" s="1"/>
  <c r="K428" i="14"/>
  <c r="N553" i="13"/>
  <c r="J552" i="13" a="1"/>
  <c r="J552" i="13" s="1"/>
  <c r="J551" i="14" a="1"/>
  <c r="J551" i="14" s="1"/>
  <c r="N552" i="14"/>
  <c r="M556" i="14"/>
  <c r="M555" i="13"/>
  <c r="K411" i="13" l="1"/>
  <c r="L411" i="13" s="1"/>
  <c r="I412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2" i="13" l="1"/>
  <c r="L412" i="13" s="1"/>
  <c r="I413" i="13" s="1"/>
  <c r="K429" i="14"/>
  <c r="J553" i="14" a="1"/>
  <c r="J553" i="14" s="1"/>
  <c r="N554" i="14"/>
  <c r="M558" i="14"/>
  <c r="N555" i="13"/>
  <c r="J554" i="13" a="1"/>
  <c r="J554" i="13" s="1"/>
  <c r="M557" i="13"/>
  <c r="K413" i="13" l="1"/>
  <c r="L413" i="13" s="1"/>
  <c r="I414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4" i="13" l="1"/>
  <c r="L414" i="13" s="1"/>
  <c r="I415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31" i="14" l="1"/>
  <c r="L431" i="14" s="1"/>
  <c r="I432" i="14" s="1"/>
  <c r="K415" i="13"/>
  <c r="L415" i="13" s="1"/>
  <c r="I416" i="13" s="1"/>
  <c r="M561" i="14"/>
  <c r="M560" i="13"/>
  <c r="N558" i="13"/>
  <c r="J557" i="13" a="1"/>
  <c r="J557" i="13" s="1"/>
  <c r="J556" i="14" a="1"/>
  <c r="J556" i="14" s="1"/>
  <c r="N557" i="14"/>
  <c r="K416" i="13" l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33" i="14" l="1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/>
  <c r="I417" i="13" s="1"/>
  <c r="K434" i="14" l="1"/>
  <c r="L434" i="14" s="1"/>
  <c r="I435" i="14" s="1"/>
  <c r="M564" i="14"/>
  <c r="K417" i="13"/>
  <c r="J559" i="14" a="1"/>
  <c r="J559" i="14" s="1"/>
  <c r="N560" i="14"/>
  <c r="M563" i="13"/>
  <c r="N561" i="13"/>
  <c r="J560" i="13" a="1"/>
  <c r="J560" i="13" s="1"/>
  <c r="K435" i="14" l="1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/>
  <c r="I418" i="13" s="1"/>
  <c r="K436" i="14" l="1"/>
  <c r="L436" i="14" s="1"/>
  <c r="I437" i="14" s="1"/>
  <c r="K418" i="13"/>
  <c r="L418" i="13" s="1"/>
  <c r="I419" i="13" s="1"/>
  <c r="J561" i="14" a="1"/>
  <c r="J561" i="14" s="1"/>
  <c r="N562" i="14"/>
  <c r="M565" i="13"/>
  <c r="N563" i="13"/>
  <c r="J562" i="13" a="1"/>
  <c r="J562" i="13" s="1"/>
  <c r="M566" i="14"/>
  <c r="K419" i="13" l="1"/>
  <c r="L419" i="13" s="1"/>
  <c r="I420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38" i="14" l="1"/>
  <c r="L438" i="14" s="1"/>
  <c r="I439" i="14" s="1"/>
  <c r="K420" i="13"/>
  <c r="L420" i="13" s="1"/>
  <c r="I421" i="13" s="1"/>
  <c r="M568" i="14"/>
  <c r="N565" i="13"/>
  <c r="J564" i="13" a="1"/>
  <c r="J564" i="13" s="1"/>
  <c r="J563" i="14" a="1"/>
  <c r="J563" i="14" s="1"/>
  <c r="N564" i="14"/>
  <c r="M567" i="13"/>
  <c r="K421" i="13" l="1"/>
  <c r="L421" i="13" s="1"/>
  <c r="I422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40" i="14" l="1"/>
  <c r="K422" i="13"/>
  <c r="L422" i="13" s="1"/>
  <c r="I423" i="13" s="1"/>
  <c r="M570" i="14"/>
  <c r="N567" i="13"/>
  <c r="J566" i="13" a="1"/>
  <c r="J566" i="13" s="1"/>
  <c r="J565" i="14" a="1"/>
  <c r="J565" i="14" s="1"/>
  <c r="N566" i="14"/>
  <c r="M569" i="13"/>
  <c r="K423" i="13" l="1"/>
  <c r="L423" i="13" s="1"/>
  <c r="I424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4" i="13" l="1"/>
  <c r="L424" i="13" s="1"/>
  <c r="I425" i="13" s="1"/>
  <c r="M572" i="14"/>
  <c r="N569" i="13"/>
  <c r="J568" i="13" a="1"/>
  <c r="J568" i="13" s="1"/>
  <c r="K441" i="14"/>
  <c r="J567" i="14" a="1"/>
  <c r="J567" i="14" s="1"/>
  <c r="N568" i="14"/>
  <c r="M571" i="13"/>
  <c r="K425" i="13" l="1"/>
  <c r="L425" i="13" s="1"/>
  <c r="I426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6" i="13" l="1"/>
  <c r="L426" i="13" s="1"/>
  <c r="I427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43" i="14" l="1"/>
  <c r="L443" i="14" s="1"/>
  <c r="I444" i="14" s="1"/>
  <c r="K427" i="13"/>
  <c r="L427" i="13" s="1"/>
  <c r="I428" i="13" s="1"/>
  <c r="M575" i="14"/>
  <c r="M574" i="13"/>
  <c r="J570" i="14" a="1"/>
  <c r="J570" i="14" s="1"/>
  <c r="N571" i="14"/>
  <c r="N572" i="13"/>
  <c r="J571" i="13" a="1"/>
  <c r="J571" i="13" s="1"/>
  <c r="K428" i="13" l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45" i="14" l="1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/>
  <c r="I429" i="13" s="1"/>
  <c r="K446" i="14" l="1"/>
  <c r="L446" i="14" s="1"/>
  <c r="I447" i="14" s="1"/>
  <c r="J573" i="14" a="1"/>
  <c r="J573" i="14" s="1"/>
  <c r="N574" i="14"/>
  <c r="N575" i="13"/>
  <c r="J574" i="13" a="1"/>
  <c r="J574" i="13" s="1"/>
  <c r="M578" i="14"/>
  <c r="K429" i="13"/>
  <c r="L429" i="13" s="1"/>
  <c r="I430" i="13" s="1"/>
  <c r="M577" i="13"/>
  <c r="K430" i="13" l="1"/>
  <c r="L430" i="13" s="1"/>
  <c r="I431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1" i="13" l="1"/>
  <c r="L431" i="13" s="1"/>
  <c r="I432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2" i="13" l="1"/>
  <c r="L432" i="13" s="1"/>
  <c r="I433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50" i="14" l="1"/>
  <c r="L450" i="14" s="1"/>
  <c r="I451" i="14" s="1"/>
  <c r="K433" i="13"/>
  <c r="L433" i="13" s="1"/>
  <c r="I434" i="13" s="1"/>
  <c r="J577" i="14" a="1"/>
  <c r="J577" i="14" s="1"/>
  <c r="N578" i="14"/>
  <c r="M581" i="13"/>
  <c r="M582" i="14"/>
  <c r="N579" i="13"/>
  <c r="J578" i="13" a="1"/>
  <c r="J578" i="13" s="1"/>
  <c r="K434" i="13" l="1"/>
  <c r="L434" i="13" s="1"/>
  <c r="I435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52" i="14" l="1"/>
  <c r="K435" i="13"/>
  <c r="L435" i="13" s="1"/>
  <c r="I436" i="13" s="1"/>
  <c r="M584" i="14"/>
  <c r="M583" i="13"/>
  <c r="J579" i="14" a="1"/>
  <c r="J579" i="14" s="1"/>
  <c r="N580" i="14"/>
  <c r="N581" i="13"/>
  <c r="J580" i="13" a="1"/>
  <c r="J580" i="13" s="1"/>
  <c r="K436" i="13" l="1"/>
  <c r="L436" i="13" s="1"/>
  <c r="I437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7" i="13" l="1"/>
  <c r="L437" i="13" s="1"/>
  <c r="I438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54" i="14" l="1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/>
  <c r="L438" i="13" s="1"/>
  <c r="I439" i="13" s="1"/>
  <c r="K439" i="13" l="1"/>
  <c r="L439" i="13" s="1"/>
  <c r="I440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56" i="14" l="1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/>
  <c r="L440" i="13" s="1"/>
  <c r="I441" i="13" s="1"/>
  <c r="K457" i="14" l="1"/>
  <c r="L457" i="14" s="1"/>
  <c r="I458" i="14" s="1"/>
  <c r="K441" i="13"/>
  <c r="L441" i="13" s="1"/>
  <c r="I442" i="13" s="1"/>
  <c r="M589" i="13"/>
  <c r="N587" i="13"/>
  <c r="J586" i="13" a="1"/>
  <c r="J586" i="13" s="1"/>
  <c r="J585" i="14" a="1"/>
  <c r="J585" i="14" s="1"/>
  <c r="N586" i="14"/>
  <c r="M590" i="14"/>
  <c r="K442" i="13" l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59" i="14" l="1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/>
  <c r="I443" i="13" s="1"/>
  <c r="K460" i="14" l="1"/>
  <c r="L460" i="14" s="1"/>
  <c r="I461" i="14" s="1"/>
  <c r="M592" i="13"/>
  <c r="M593" i="14"/>
  <c r="J588" i="14" a="1"/>
  <c r="J588" i="14" s="1"/>
  <c r="N589" i="14"/>
  <c r="K443" i="13"/>
  <c r="L443" i="13" s="1"/>
  <c r="I444" i="13" s="1"/>
  <c r="N590" i="13"/>
  <c r="J589" i="13" a="1"/>
  <c r="J589" i="13" s="1"/>
  <c r="K444" i="13" l="1"/>
  <c r="L444" i="13" s="1"/>
  <c r="I445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62" i="14" l="1"/>
  <c r="L462" i="14" s="1"/>
  <c r="I463" i="14" s="1"/>
  <c r="K445" i="13"/>
  <c r="L445" i="13" s="1"/>
  <c r="I446" i="13" s="1"/>
  <c r="M595" i="14"/>
  <c r="M594" i="13"/>
  <c r="J590" i="14" a="1"/>
  <c r="J590" i="14" s="1"/>
  <c r="N591" i="14"/>
  <c r="N592" i="13"/>
  <c r="J591" i="13" a="1"/>
  <c r="J591" i="13" s="1"/>
  <c r="K446" i="13" l="1"/>
  <c r="L446" i="13" s="1"/>
  <c r="I447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64" i="14" l="1"/>
  <c r="K447" i="13"/>
  <c r="L447" i="13" s="1"/>
  <c r="I448" i="13" s="1"/>
  <c r="M597" i="14"/>
  <c r="N594" i="13"/>
  <c r="J593" i="13" a="1"/>
  <c r="J593" i="13" s="1"/>
  <c r="J592" i="14" a="1"/>
  <c r="J592" i="14" s="1"/>
  <c r="N593" i="14"/>
  <c r="M596" i="13"/>
  <c r="K448" i="13" l="1"/>
  <c r="L448" i="13" s="1"/>
  <c r="I449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9" i="13" l="1"/>
  <c r="L449" i="13" s="1"/>
  <c r="I450" i="13" s="1"/>
  <c r="M598" i="13"/>
  <c r="K465" i="14"/>
  <c r="M599" i="14"/>
  <c r="J594" i="14" a="1"/>
  <c r="J594" i="14" s="1"/>
  <c r="N595" i="14"/>
  <c r="N596" i="13"/>
  <c r="J595" i="13" a="1"/>
  <c r="J595" i="13" s="1"/>
  <c r="K450" i="13" l="1"/>
  <c r="L450" i="13" s="1"/>
  <c r="I451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1" i="13" l="1"/>
  <c r="L451" i="13" s="1"/>
  <c r="I452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M602" i="14" l="1"/>
  <c r="K452" i="13"/>
  <c r="L452" i="13" s="1"/>
  <c r="I453" i="13" s="1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68" i="14" l="1"/>
  <c r="L468" i="14" s="1"/>
  <c r="I469" i="14" s="1"/>
  <c r="K453" i="13"/>
  <c r="L453" i="13" s="1"/>
  <c r="I454" i="13" s="1"/>
  <c r="M602" i="13"/>
  <c r="J598" i="14" a="1"/>
  <c r="J598" i="14" s="1"/>
  <c r="N599" i="14"/>
  <c r="M603" i="14"/>
  <c r="N600" i="13"/>
  <c r="J599" i="13" a="1"/>
  <c r="J599" i="13" s="1"/>
  <c r="K454" i="13" l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70" i="14" l="1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/>
  <c r="I455" i="13" s="1"/>
  <c r="K471" i="14" l="1"/>
  <c r="L471" i="14" s="1"/>
  <c r="I472" i="14" s="1"/>
  <c r="K455" i="13"/>
  <c r="L455" i="13" s="1"/>
  <c r="I456" i="13" s="1"/>
  <c r="M606" i="14"/>
  <c r="M605" i="13"/>
  <c r="J601" i="14" a="1"/>
  <c r="J601" i="14" s="1"/>
  <c r="N602" i="14"/>
  <c r="N603" i="13"/>
  <c r="J602" i="13" a="1"/>
  <c r="J602" i="13" s="1"/>
  <c r="K456" i="13" l="1"/>
  <c r="L456" i="13" s="1"/>
  <c r="I457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73" i="14" l="1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/>
  <c r="L457" i="13" s="1"/>
  <c r="I458" i="13" s="1"/>
  <c r="K474" i="14" l="1"/>
  <c r="L474" i="14" s="1"/>
  <c r="I475" i="14" s="1"/>
  <c r="K458" i="13"/>
  <c r="L458" i="13" s="1"/>
  <c r="I459" i="13" s="1"/>
  <c r="J604" i="14" a="1"/>
  <c r="J604" i="14" s="1"/>
  <c r="N605" i="14"/>
  <c r="M609" i="14"/>
  <c r="M608" i="13"/>
  <c r="N606" i="13"/>
  <c r="J605" i="13" a="1"/>
  <c r="J605" i="13" s="1"/>
  <c r="K475" i="14" l="1"/>
  <c r="L475" i="14" s="1"/>
  <c r="I476" i="14" s="1"/>
  <c r="M610" i="14"/>
  <c r="K459" i="13"/>
  <c r="L459" i="13" s="1"/>
  <c r="I460" i="13" s="1"/>
  <c r="J605" i="14" a="1"/>
  <c r="J605" i="14" s="1"/>
  <c r="N606" i="14"/>
  <c r="N607" i="13"/>
  <c r="J606" i="13" a="1"/>
  <c r="J606" i="13" s="1"/>
  <c r="M609" i="13"/>
  <c r="K476" i="14" l="1"/>
  <c r="L476" i="14" s="1"/>
  <c r="I477" i="14" s="1"/>
  <c r="K460" i="13"/>
  <c r="L460" i="13" s="1"/>
  <c r="I461" i="13" s="1"/>
  <c r="J606" i="14" a="1"/>
  <c r="J606" i="14" s="1"/>
  <c r="N607" i="14"/>
  <c r="M611" i="14"/>
  <c r="M610" i="13"/>
  <c r="N608" i="13"/>
  <c r="J607" i="13" a="1"/>
  <c r="J607" i="13" s="1"/>
  <c r="K461" i="13" l="1"/>
  <c r="L461" i="13" s="1"/>
  <c r="I462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2" i="13" l="1"/>
  <c r="L462" i="13" s="1"/>
  <c r="I463" i="13" s="1"/>
  <c r="K478" i="14"/>
  <c r="M613" i="14"/>
  <c r="J608" i="14" a="1"/>
  <c r="J608" i="14" s="1"/>
  <c r="N609" i="14"/>
  <c r="M612" i="13"/>
  <c r="N610" i="13"/>
  <c r="J609" i="13" a="1"/>
  <c r="J609" i="13" s="1"/>
  <c r="K463" i="13" l="1"/>
  <c r="L463" i="13" s="1"/>
  <c r="I464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4" i="13" l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80" i="14" l="1"/>
  <c r="L480" i="14" s="1"/>
  <c r="I481" i="14" s="1"/>
  <c r="N613" i="13"/>
  <c r="J612" i="13" a="1"/>
  <c r="J612" i="13" s="1"/>
  <c r="L464" i="13"/>
  <c r="I465" i="13" s="1"/>
  <c r="J611" i="14" a="1"/>
  <c r="J611" i="14" s="1"/>
  <c r="N612" i="14"/>
  <c r="M616" i="14"/>
  <c r="M615" i="13"/>
  <c r="K481" i="14" l="1"/>
  <c r="L481" i="14" s="1"/>
  <c r="I482" i="14" s="1"/>
  <c r="J612" i="14" a="1"/>
  <c r="J612" i="14" s="1"/>
  <c r="N613" i="14"/>
  <c r="M617" i="14"/>
  <c r="K465" i="13"/>
  <c r="M616" i="13"/>
  <c r="N614" i="13"/>
  <c r="J613" i="13" a="1"/>
  <c r="J613" i="13" s="1"/>
  <c r="K482" i="14" l="1"/>
  <c r="L482" i="14" s="1"/>
  <c r="I483" i="14" s="1"/>
  <c r="N615" i="13"/>
  <c r="J614" i="13" a="1"/>
  <c r="J614" i="13" s="1"/>
  <c r="M617" i="13"/>
  <c r="J613" i="14" a="1"/>
  <c r="J613" i="14" s="1"/>
  <c r="N614" i="14"/>
  <c r="L465" i="13"/>
  <c r="I466" i="13" s="1"/>
  <c r="M618" i="14"/>
  <c r="K483" i="14" l="1"/>
  <c r="L483" i="14" s="1"/>
  <c r="I484" i="14" s="1"/>
  <c r="M619" i="14"/>
  <c r="N616" i="13"/>
  <c r="J615" i="13" a="1"/>
  <c r="J615" i="13" s="1"/>
  <c r="M618" i="13"/>
  <c r="K466" i="13"/>
  <c r="L466" i="13" s="1"/>
  <c r="I467" i="13" s="1"/>
  <c r="J614" i="14" a="1"/>
  <c r="J614" i="14" s="1"/>
  <c r="N615" i="14"/>
  <c r="K467" i="13" l="1"/>
  <c r="L467" i="13" s="1"/>
  <c r="I468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85" i="14" l="1"/>
  <c r="L485" i="14" s="1"/>
  <c r="I486" i="14" s="1"/>
  <c r="K468" i="13"/>
  <c r="L468" i="13" s="1"/>
  <c r="I469" i="13" s="1"/>
  <c r="N618" i="13"/>
  <c r="J617" i="13" a="1"/>
  <c r="J617" i="13" s="1"/>
  <c r="M621" i="14"/>
  <c r="J616" i="14" a="1"/>
  <c r="J616" i="14" s="1"/>
  <c r="N617" i="14"/>
  <c r="M620" i="13"/>
  <c r="K469" i="13" l="1"/>
  <c r="L469" i="13" s="1"/>
  <c r="I470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87" i="14" l="1"/>
  <c r="L487" i="14" s="1"/>
  <c r="I488" i="14" s="1"/>
  <c r="K470" i="13"/>
  <c r="L470" i="13" s="1"/>
  <c r="I471" i="13" s="1"/>
  <c r="M623" i="14"/>
  <c r="N620" i="13"/>
  <c r="J619" i="13" a="1"/>
  <c r="J619" i="13" s="1"/>
  <c r="J618" i="14" a="1"/>
  <c r="J618" i="14" s="1"/>
  <c r="N619" i="14"/>
  <c r="M622" i="13"/>
  <c r="K471" i="13" l="1"/>
  <c r="L471" i="13" s="1"/>
  <c r="I472" i="13" s="1"/>
  <c r="K488" i="14"/>
  <c r="M623" i="13"/>
  <c r="N621" i="13"/>
  <c r="J620" i="13" a="1"/>
  <c r="J620" i="13" s="1"/>
  <c r="M624" i="14"/>
  <c r="J619" i="14" a="1"/>
  <c r="J619" i="14" s="1"/>
  <c r="N620" i="14"/>
  <c r="K472" i="13" l="1"/>
  <c r="L472" i="13" s="1"/>
  <c r="I473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3" i="13" l="1"/>
  <c r="L473" i="13" s="1"/>
  <c r="I474" i="13" s="1"/>
  <c r="M626" i="14"/>
  <c r="M625" i="13"/>
  <c r="K489" i="14"/>
  <c r="N623" i="13"/>
  <c r="J622" i="13" a="1"/>
  <c r="J622" i="13" s="1"/>
  <c r="J621" i="14" a="1"/>
  <c r="J621" i="14" s="1"/>
  <c r="N622" i="14"/>
  <c r="K474" i="13" l="1"/>
  <c r="L474" i="13" s="1"/>
  <c r="I475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5" i="13" l="1"/>
  <c r="L475" i="13" s="1"/>
  <c r="I476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91" i="14" l="1"/>
  <c r="L491" i="14" s="1"/>
  <c r="I492" i="14" s="1"/>
  <c r="K476" i="13"/>
  <c r="M628" i="13"/>
  <c r="M629" i="14"/>
  <c r="J624" i="14" a="1"/>
  <c r="J624" i="14" s="1"/>
  <c r="N625" i="14"/>
  <c r="N626" i="13"/>
  <c r="J625" i="13" a="1"/>
  <c r="J625" i="13" s="1"/>
  <c r="K492" i="14" l="1"/>
  <c r="L492" i="14" s="1"/>
  <c r="I493" i="14" s="1"/>
  <c r="L476" i="13"/>
  <c r="I477" i="13" s="1"/>
  <c r="J625" i="14" a="1"/>
  <c r="J625" i="14" s="1"/>
  <c r="N626" i="14"/>
  <c r="M629" i="13"/>
  <c r="M630" i="14"/>
  <c r="N627" i="13"/>
  <c r="J626" i="13" a="1"/>
  <c r="J626" i="13" s="1"/>
  <c r="K493" i="14" l="1"/>
  <c r="L493" i="14" s="1"/>
  <c r="I494" i="14" s="1"/>
  <c r="M630" i="13"/>
  <c r="K477" i="13"/>
  <c r="L477" i="13" s="1"/>
  <c r="I478" i="13" s="1"/>
  <c r="N628" i="13"/>
  <c r="J627" i="13" a="1"/>
  <c r="J627" i="13" s="1"/>
  <c r="M631" i="14"/>
  <c r="J626" i="14" a="1"/>
  <c r="J626" i="14" s="1"/>
  <c r="N627" i="14"/>
  <c r="M631" i="13" l="1"/>
  <c r="J627" i="14" a="1"/>
  <c r="J627" i="14" s="1"/>
  <c r="N628" i="14"/>
  <c r="N629" i="13"/>
  <c r="J628" i="13" a="1"/>
  <c r="J628" i="13" s="1"/>
  <c r="M632" i="14"/>
  <c r="K478" i="13"/>
  <c r="L478" i="13" s="1"/>
  <c r="I479" i="13" s="1"/>
  <c r="K494" i="14"/>
  <c r="L494" i="14" s="1"/>
  <c r="I495" i="14" s="1"/>
  <c r="K479" i="13" l="1"/>
  <c r="L479" i="13" s="1"/>
  <c r="I480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96" i="14" l="1"/>
  <c r="L496" i="14" s="1"/>
  <c r="I497" i="14" s="1"/>
  <c r="K480" i="13"/>
  <c r="L480" i="13" s="1"/>
  <c r="I481" i="13" s="1"/>
  <c r="J629" i="14" a="1"/>
  <c r="J629" i="14" s="1"/>
  <c r="N630" i="14"/>
  <c r="N631" i="13"/>
  <c r="J630" i="13" a="1"/>
  <c r="J630" i="13" s="1"/>
  <c r="M634" i="14"/>
  <c r="M633" i="13"/>
  <c r="K497" i="14" l="1"/>
  <c r="L497" i="14" s="1"/>
  <c r="I498" i="14" s="1"/>
  <c r="K481" i="13"/>
  <c r="L481" i="13" s="1"/>
  <c r="I482" i="13" s="1"/>
  <c r="M635" i="14"/>
  <c r="J630" i="14" a="1"/>
  <c r="J630" i="14" s="1"/>
  <c r="N631" i="14"/>
  <c r="M634" i="13"/>
  <c r="N632" i="13"/>
  <c r="J631" i="13" a="1"/>
  <c r="J631" i="13" s="1"/>
  <c r="K482" i="13" l="1"/>
  <c r="L482" i="13" s="1"/>
  <c r="I483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99" i="14" l="1"/>
  <c r="L499" i="14" s="1"/>
  <c r="I500" i="14" s="1"/>
  <c r="K483" i="13"/>
  <c r="L483" i="13" s="1"/>
  <c r="I484" i="13" s="1"/>
  <c r="M636" i="13"/>
  <c r="N634" i="13"/>
  <c r="J633" i="13" a="1"/>
  <c r="J633" i="13" s="1"/>
  <c r="M637" i="14"/>
  <c r="J632" i="14" a="1"/>
  <c r="J632" i="14" s="1"/>
  <c r="N633" i="14"/>
  <c r="K484" i="13" l="1"/>
  <c r="L484" i="13" s="1"/>
  <c r="I485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501" i="14" l="1"/>
  <c r="L501" i="14" s="1"/>
  <c r="I502" i="14" s="1"/>
  <c r="K485" i="13"/>
  <c r="L485" i="13" s="1"/>
  <c r="I486" i="13" s="1"/>
  <c r="J634" i="14" a="1"/>
  <c r="J634" i="14" s="1"/>
  <c r="N635" i="14"/>
  <c r="M639" i="14"/>
  <c r="M638" i="13"/>
  <c r="N636" i="13"/>
  <c r="J635" i="13" a="1"/>
  <c r="J635" i="13" s="1"/>
  <c r="K486" i="13" l="1"/>
  <c r="L486" i="13" s="1"/>
  <c r="I487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503" i="14" l="1"/>
  <c r="L503" i="14" s="1"/>
  <c r="I504" i="14" s="1"/>
  <c r="K487" i="13"/>
  <c r="L487" i="13" s="1"/>
  <c r="I488" i="13" s="1"/>
  <c r="M641" i="14"/>
  <c r="M640" i="13"/>
  <c r="J636" i="14" a="1"/>
  <c r="J636" i="14" s="1"/>
  <c r="N637" i="14"/>
  <c r="N638" i="13"/>
  <c r="J637" i="13" a="1"/>
  <c r="J637" i="13" s="1"/>
  <c r="K488" i="13" l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505" i="14" l="1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/>
  <c r="I489" i="13" s="1"/>
  <c r="K506" i="14" l="1"/>
  <c r="L506" i="14" s="1"/>
  <c r="I507" i="14" s="1"/>
  <c r="K489" i="13"/>
  <c r="J639" i="14" a="1"/>
  <c r="J639" i="14" s="1"/>
  <c r="N640" i="14"/>
  <c r="M644" i="14"/>
  <c r="M643" i="13"/>
  <c r="N641" i="13"/>
  <c r="J640" i="13" a="1"/>
  <c r="J640" i="13" s="1"/>
  <c r="K507" i="14" l="1"/>
  <c r="L507" i="14" s="1"/>
  <c r="I508" i="14" s="1"/>
  <c r="M645" i="14"/>
  <c r="N642" i="13"/>
  <c r="J641" i="13" a="1"/>
  <c r="J641" i="13" s="1"/>
  <c r="L489" i="13"/>
  <c r="I490" i="13" s="1"/>
  <c r="M644" i="13"/>
  <c r="J640" i="14" a="1"/>
  <c r="J640" i="14" s="1"/>
  <c r="N641" i="14"/>
  <c r="K508" i="14" l="1"/>
  <c r="L508" i="14" s="1"/>
  <c r="I509" i="14" s="1"/>
  <c r="J641" i="14" a="1"/>
  <c r="J641" i="14" s="1"/>
  <c r="N642" i="14"/>
  <c r="K490" i="13"/>
  <c r="L490" i="13" s="1"/>
  <c r="I491" i="13" s="1"/>
  <c r="M646" i="14"/>
  <c r="M645" i="13"/>
  <c r="N643" i="13"/>
  <c r="J642" i="13" a="1"/>
  <c r="J642" i="13" s="1"/>
  <c r="K491" i="13" l="1"/>
  <c r="L491" i="13" s="1"/>
  <c r="I492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510" i="14" l="1"/>
  <c r="L510" i="14" s="1"/>
  <c r="I511" i="14" s="1"/>
  <c r="K492" i="13"/>
  <c r="L492" i="13" s="1"/>
  <c r="I493" i="13" s="1"/>
  <c r="M647" i="13"/>
  <c r="J643" i="14" a="1"/>
  <c r="J643" i="14" s="1"/>
  <c r="N644" i="14"/>
  <c r="M648" i="14"/>
  <c r="N645" i="13"/>
  <c r="J644" i="13" a="1"/>
  <c r="J644" i="13" s="1"/>
  <c r="K493" i="13" l="1"/>
  <c r="L493" i="13" s="1"/>
  <c r="I494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512" i="14" l="1"/>
  <c r="K494" i="13"/>
  <c r="L494" i="13" s="1"/>
  <c r="I495" i="13" s="1"/>
  <c r="N647" i="13"/>
  <c r="J646" i="13" a="1"/>
  <c r="J646" i="13" s="1"/>
  <c r="M650" i="14"/>
  <c r="J645" i="14" a="1"/>
  <c r="J645" i="14" s="1"/>
  <c r="N646" i="14"/>
  <c r="M649" i="13"/>
  <c r="K495" i="13" l="1"/>
  <c r="L495" i="13" s="1"/>
  <c r="I496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6" i="13" l="1"/>
  <c r="L496" i="13" s="1"/>
  <c r="I497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7" i="13" l="1"/>
  <c r="L497" i="13" s="1"/>
  <c r="I498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515" i="14" l="1"/>
  <c r="L515" i="14" s="1"/>
  <c r="I516" i="14" s="1"/>
  <c r="K498" i="13"/>
  <c r="L498" i="13" s="1"/>
  <c r="I499" i="13" s="1"/>
  <c r="N651" i="13"/>
  <c r="J650" i="13" a="1"/>
  <c r="J650" i="13" s="1"/>
  <c r="M653" i="13"/>
  <c r="J649" i="14" a="1"/>
  <c r="J649" i="14" s="1"/>
  <c r="N650" i="14"/>
  <c r="M654" i="14"/>
  <c r="K516" i="14" l="1"/>
  <c r="L516" i="14" s="1"/>
  <c r="I517" i="14" s="1"/>
  <c r="K499" i="13"/>
  <c r="L499" i="13" s="1"/>
  <c r="I500" i="13" s="1"/>
  <c r="M655" i="14"/>
  <c r="M654" i="13"/>
  <c r="J650" i="14" a="1"/>
  <c r="J650" i="14" s="1"/>
  <c r="N651" i="14"/>
  <c r="N652" i="13"/>
  <c r="J651" i="13" a="1"/>
  <c r="J651" i="13" s="1"/>
  <c r="K500" i="13" l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18" i="14" l="1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/>
  <c r="I501" i="13" s="1"/>
  <c r="K519" i="14" l="1"/>
  <c r="L519" i="14" s="1"/>
  <c r="I520" i="14" s="1"/>
  <c r="M657" i="13"/>
  <c r="M658" i="14"/>
  <c r="N655" i="13"/>
  <c r="J654" i="13" a="1"/>
  <c r="J654" i="13" s="1"/>
  <c r="K501" i="13"/>
  <c r="J653" i="14" a="1"/>
  <c r="J653" i="14" s="1"/>
  <c r="N654" i="14"/>
  <c r="K520" i="14" l="1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/>
  <c r="I502" i="13" s="1"/>
  <c r="K502" i="13" l="1"/>
  <c r="L502" i="13" s="1"/>
  <c r="I503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3" i="13" l="1"/>
  <c r="L503" i="13" s="1"/>
  <c r="I504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23" i="14" l="1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/>
  <c r="L504" i="13" s="1"/>
  <c r="I505" i="13" s="1"/>
  <c r="K505" i="13" l="1"/>
  <c r="L505" i="13" s="1"/>
  <c r="I506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25" i="14" l="1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/>
  <c r="L506" i="13" s="1"/>
  <c r="I507" i="13" s="1"/>
  <c r="K526" i="14" l="1"/>
  <c r="K507" i="13"/>
  <c r="L507" i="13" s="1"/>
  <c r="I508" i="13" s="1"/>
  <c r="M665" i="14"/>
  <c r="J660" i="14" a="1"/>
  <c r="J660" i="14" s="1"/>
  <c r="N661" i="14"/>
  <c r="N662" i="13"/>
  <c r="J661" i="13" a="1"/>
  <c r="J661" i="13" s="1"/>
  <c r="M664" i="13"/>
  <c r="M665" i="13" l="1"/>
  <c r="J661" i="14" a="1"/>
  <c r="J661" i="14" s="1"/>
  <c r="N662" i="14"/>
  <c r="K508" i="13"/>
  <c r="L508" i="13" s="1"/>
  <c r="I509" i="13" s="1"/>
  <c r="M666" i="14"/>
  <c r="N663" i="13"/>
  <c r="J662" i="13" a="1"/>
  <c r="J662" i="13" s="1"/>
  <c r="L526" i="14"/>
  <c r="I527" i="14" s="1"/>
  <c r="K509" i="13" l="1"/>
  <c r="L509" i="13" s="1"/>
  <c r="I510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28" i="14" l="1"/>
  <c r="L528" i="14" s="1"/>
  <c r="I529" i="14" s="1"/>
  <c r="K510" i="13"/>
  <c r="L510" i="13" s="1"/>
  <c r="I511" i="13" s="1"/>
  <c r="M668" i="14"/>
  <c r="N665" i="13"/>
  <c r="J664" i="13" a="1"/>
  <c r="J664" i="13" s="1"/>
  <c r="J663" i="14" a="1"/>
  <c r="J663" i="14" s="1"/>
  <c r="N664" i="14"/>
  <c r="M667" i="13"/>
  <c r="K529" i="14" l="1"/>
  <c r="L529" i="14" s="1"/>
  <c r="I530" i="14" s="1"/>
  <c r="K511" i="13"/>
  <c r="L511" i="13" s="1"/>
  <c r="I512" i="13" s="1"/>
  <c r="N666" i="13"/>
  <c r="J665" i="13" a="1"/>
  <c r="J665" i="13" s="1"/>
  <c r="M668" i="13"/>
  <c r="J664" i="14" a="1"/>
  <c r="J664" i="14" s="1"/>
  <c r="N665" i="14"/>
  <c r="M669" i="14"/>
  <c r="K530" i="14" l="1"/>
  <c r="L530" i="14" s="1"/>
  <c r="I531" i="14" s="1"/>
  <c r="K512" i="13"/>
  <c r="J665" i="14" a="1"/>
  <c r="J665" i="14" s="1"/>
  <c r="N666" i="14"/>
  <c r="M670" i="14"/>
  <c r="M669" i="13"/>
  <c r="N667" i="13"/>
  <c r="J666" i="13" a="1"/>
  <c r="J666" i="13" s="1"/>
  <c r="K531" i="14" l="1"/>
  <c r="L531" i="14" s="1"/>
  <c r="I532" i="14" s="1"/>
  <c r="N668" i="13"/>
  <c r="J667" i="13" a="1"/>
  <c r="J667" i="13" s="1"/>
  <c r="L512" i="13"/>
  <c r="I513" i="13" s="1"/>
  <c r="M670" i="13"/>
  <c r="J666" i="14" a="1"/>
  <c r="J666" i="14" s="1"/>
  <c r="N667" i="14"/>
  <c r="M671" i="14"/>
  <c r="N669" i="13" l="1"/>
  <c r="J668" i="13" a="1"/>
  <c r="J668" i="13" s="1"/>
  <c r="M672" i="14"/>
  <c r="M671" i="13"/>
  <c r="J667" i="14" a="1"/>
  <c r="J667" i="14" s="1"/>
  <c r="N668" i="14"/>
  <c r="K513" i="13"/>
  <c r="K532" i="14"/>
  <c r="L532" i="14" s="1"/>
  <c r="I533" i="14" s="1"/>
  <c r="K533" i="14" l="1"/>
  <c r="L533" i="14" s="1"/>
  <c r="I534" i="14" s="1"/>
  <c r="J668" i="14" a="1"/>
  <c r="J668" i="14" s="1"/>
  <c r="N669" i="14"/>
  <c r="M673" i="14"/>
  <c r="M672" i="13"/>
  <c r="L513" i="13"/>
  <c r="I514" i="13" s="1"/>
  <c r="N670" i="13"/>
  <c r="J669" i="13" a="1"/>
  <c r="J669" i="13" s="1"/>
  <c r="K534" i="14" l="1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/>
  <c r="L514" i="13" s="1"/>
  <c r="I515" i="13" s="1"/>
  <c r="K535" i="14" l="1"/>
  <c r="L535" i="14" s="1"/>
  <c r="I536" i="14" s="1"/>
  <c r="J670" i="14" a="1"/>
  <c r="J670" i="14" s="1"/>
  <c r="N671" i="14"/>
  <c r="M674" i="13"/>
  <c r="N672" i="13"/>
  <c r="J671" i="13" a="1"/>
  <c r="J671" i="13" s="1"/>
  <c r="K515" i="13"/>
  <c r="L515" i="13" s="1"/>
  <c r="I516" i="13" s="1"/>
  <c r="M675" i="14"/>
  <c r="K516" i="13" l="1"/>
  <c r="L516" i="13" s="1"/>
  <c r="I517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37" i="14" l="1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/>
  <c r="L517" i="13" s="1"/>
  <c r="I518" i="13" s="1"/>
  <c r="K538" i="14" l="1"/>
  <c r="J673" i="14" a="1"/>
  <c r="J673" i="14" s="1"/>
  <c r="N674" i="14"/>
  <c r="M677" i="13"/>
  <c r="K518" i="13"/>
  <c r="L518" i="13" s="1"/>
  <c r="I519" i="13" s="1"/>
  <c r="M678" i="14"/>
  <c r="N675" i="13"/>
  <c r="J674" i="13" a="1"/>
  <c r="J674" i="13" s="1"/>
  <c r="K519" i="13" l="1"/>
  <c r="L519" i="13" s="1"/>
  <c r="I520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M680" i="14" l="1"/>
  <c r="K520" i="13"/>
  <c r="L520" i="13" s="1"/>
  <c r="I521" i="13" s="1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40" i="14" l="1"/>
  <c r="L540" i="14" s="1"/>
  <c r="I541" i="14" s="1"/>
  <c r="K521" i="13"/>
  <c r="L521" i="13" s="1"/>
  <c r="I522" i="13" s="1"/>
  <c r="M680" i="13"/>
  <c r="N678" i="13"/>
  <c r="J677" i="13" a="1"/>
  <c r="J677" i="13" s="1"/>
  <c r="J676" i="14" a="1"/>
  <c r="J676" i="14" s="1"/>
  <c r="N677" i="14"/>
  <c r="M681" i="14"/>
  <c r="K522" i="13" l="1"/>
  <c r="L522" i="13" s="1"/>
  <c r="I523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3" i="13" l="1"/>
  <c r="L523" i="13" s="1"/>
  <c r="I524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43" i="14" l="1"/>
  <c r="L543" i="14" s="1"/>
  <c r="I544" i="14" s="1"/>
  <c r="K524" i="13"/>
  <c r="L524" i="13" s="1"/>
  <c r="I525" i="13" s="1"/>
  <c r="N681" i="13"/>
  <c r="J680" i="13" a="1"/>
  <c r="J680" i="13" s="1"/>
  <c r="M683" i="13"/>
  <c r="M684" i="14"/>
  <c r="J679" i="14" a="1"/>
  <c r="J679" i="14" s="1"/>
  <c r="N680" i="14"/>
  <c r="K525" i="13" l="1"/>
  <c r="L525" i="13" s="1"/>
  <c r="I526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45" i="14" l="1"/>
  <c r="L545" i="14" s="1"/>
  <c r="I546" i="14" s="1"/>
  <c r="K526" i="13"/>
  <c r="M686" i="14"/>
  <c r="M685" i="13"/>
  <c r="N683" i="13"/>
  <c r="J682" i="13" a="1"/>
  <c r="J682" i="13" s="1"/>
  <c r="J681" i="14" a="1"/>
  <c r="J681" i="14" s="1"/>
  <c r="N682" i="14"/>
  <c r="K546" i="14" l="1"/>
  <c r="L546" i="14" s="1"/>
  <c r="I547" i="14" s="1"/>
  <c r="L526" i="13"/>
  <c r="I527" i="13" s="1"/>
  <c r="M687" i="14"/>
  <c r="J682" i="14" a="1"/>
  <c r="J682" i="14" s="1"/>
  <c r="N683" i="14"/>
  <c r="M686" i="13"/>
  <c r="N684" i="13"/>
  <c r="J683" i="13" a="1"/>
  <c r="J683" i="13" s="1"/>
  <c r="K547" i="14" l="1"/>
  <c r="L547" i="14" s="1"/>
  <c r="I548" i="14" s="1"/>
  <c r="N685" i="13"/>
  <c r="J684" i="13" a="1"/>
  <c r="J684" i="13" s="1"/>
  <c r="J683" i="14" a="1"/>
  <c r="J683" i="14" s="1"/>
  <c r="N684" i="14"/>
  <c r="K527" i="13"/>
  <c r="L527" i="13" s="1"/>
  <c r="I528" i="13" s="1"/>
  <c r="M687" i="13"/>
  <c r="M688" i="14"/>
  <c r="K548" i="14" l="1"/>
  <c r="N686" i="13"/>
  <c r="J685" i="13" a="1"/>
  <c r="J685" i="13" s="1"/>
  <c r="K528" i="13"/>
  <c r="L528" i="13" s="1"/>
  <c r="I529" i="13" s="1"/>
  <c r="J684" i="14" a="1"/>
  <c r="J684" i="14" s="1"/>
  <c r="N685" i="14"/>
  <c r="M688" i="13"/>
  <c r="M689" i="14"/>
  <c r="K529" i="13" l="1"/>
  <c r="L529" i="13" s="1"/>
  <c r="I530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30" i="13" l="1"/>
  <c r="L530" i="13" s="1"/>
  <c r="I531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1" i="13" l="1"/>
  <c r="L531" i="13" s="1"/>
  <c r="I532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51" i="14" l="1"/>
  <c r="L551" i="14" s="1"/>
  <c r="I552" i="14" s="1"/>
  <c r="K532" i="13"/>
  <c r="L532" i="13" s="1"/>
  <c r="I533" i="13" s="1"/>
  <c r="N690" i="13"/>
  <c r="J689" i="13" a="1"/>
  <c r="J689" i="13" s="1"/>
  <c r="M693" i="14"/>
  <c r="M692" i="13"/>
  <c r="J688" i="14" a="1"/>
  <c r="J688" i="14" s="1"/>
  <c r="N689" i="14"/>
  <c r="K552" i="14" l="1"/>
  <c r="L552" i="14" s="1"/>
  <c r="I553" i="14" s="1"/>
  <c r="K533" i="13"/>
  <c r="L533" i="13" s="1"/>
  <c r="I534" i="13" s="1"/>
  <c r="J689" i="14" a="1"/>
  <c r="J689" i="14" s="1"/>
  <c r="N690" i="14"/>
  <c r="M694" i="14"/>
  <c r="M693" i="13"/>
  <c r="N691" i="13"/>
  <c r="J690" i="13" a="1"/>
  <c r="J690" i="13" s="1"/>
  <c r="K534" i="13" l="1"/>
  <c r="L534" i="13" s="1"/>
  <c r="I535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5" i="13" l="1"/>
  <c r="L535" i="13" s="1"/>
  <c r="I536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55" i="14" l="1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/>
  <c r="L536" i="13" s="1"/>
  <c r="I537" i="13" s="1"/>
  <c r="K537" i="13" l="1"/>
  <c r="L537" i="13" s="1"/>
  <c r="I538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57" i="14" l="1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/>
  <c r="K558" i="14" l="1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/>
  <c r="I539" i="13" s="1"/>
  <c r="K559" i="14" l="1"/>
  <c r="L559" i="14" s="1"/>
  <c r="I560" i="14" s="1"/>
  <c r="N697" i="14"/>
  <c r="J696" i="14" a="1"/>
  <c r="J696" i="14" s="1"/>
  <c r="K539" i="13"/>
  <c r="L539" i="13" s="1"/>
  <c r="I540" i="13" s="1"/>
  <c r="M700" i="13"/>
  <c r="M701" i="14"/>
  <c r="N698" i="13"/>
  <c r="J697" i="13" a="1"/>
  <c r="J697" i="13" s="1"/>
  <c r="M701" i="13" l="1"/>
  <c r="N699" i="13"/>
  <c r="J698" i="13" a="1"/>
  <c r="J698" i="13" s="1"/>
  <c r="N698" i="14"/>
  <c r="J697" i="14" a="1"/>
  <c r="J697" i="14" s="1"/>
  <c r="M702" i="14"/>
  <c r="K540" i="13"/>
  <c r="L540" i="13" s="1"/>
  <c r="I541" i="13" s="1"/>
  <c r="K560" i="14"/>
  <c r="M703" i="14" l="1"/>
  <c r="N700" i="13"/>
  <c r="J699" i="13" a="1"/>
  <c r="J699" i="13" s="1"/>
  <c r="L560" i="14"/>
  <c r="I561" i="14" s="1"/>
  <c r="M702" i="13"/>
  <c r="K541" i="13"/>
  <c r="L541" i="13" s="1"/>
  <c r="I542" i="13" s="1"/>
  <c r="N699" i="14"/>
  <c r="J698" i="14" a="1"/>
  <c r="J698" i="14" s="1"/>
  <c r="K542" i="13" l="1"/>
  <c r="L542" i="13" s="1"/>
  <c r="I543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62" i="14" l="1"/>
  <c r="L562" i="14" s="1"/>
  <c r="I563" i="14" s="1"/>
  <c r="K543" i="13"/>
  <c r="L543" i="13" s="1"/>
  <c r="I544" i="13" s="1"/>
  <c r="N702" i="13"/>
  <c r="J701" i="13" a="1"/>
  <c r="J701" i="13" s="1"/>
  <c r="M705" i="14"/>
  <c r="M704" i="13"/>
  <c r="N701" i="14"/>
  <c r="J700" i="14" a="1"/>
  <c r="J700" i="14" s="1"/>
  <c r="K544" i="13" l="1"/>
  <c r="L544" i="13" s="1"/>
  <c r="I545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64" i="14" l="1"/>
  <c r="L564" i="14" s="1"/>
  <c r="I565" i="14" s="1"/>
  <c r="K545" i="13"/>
  <c r="L545" i="13" s="1"/>
  <c r="I546" i="13" s="1"/>
  <c r="N704" i="13"/>
  <c r="J703" i="13" a="1"/>
  <c r="J703" i="13" s="1"/>
  <c r="M707" i="14"/>
  <c r="M706" i="13"/>
  <c r="N703" i="14"/>
  <c r="J702" i="14" a="1"/>
  <c r="J702" i="14" s="1"/>
  <c r="K565" i="14" l="1"/>
  <c r="L565" i="14" s="1"/>
  <c r="I566" i="14" s="1"/>
  <c r="K546" i="13"/>
  <c r="L546" i="13" s="1"/>
  <c r="I547" i="13" s="1"/>
  <c r="M708" i="14"/>
  <c r="N704" i="14"/>
  <c r="J703" i="14" a="1"/>
  <c r="J703" i="14" s="1"/>
  <c r="M707" i="13"/>
  <c r="N705" i="13"/>
  <c r="J704" i="13" a="1"/>
  <c r="J704" i="13" s="1"/>
  <c r="K566" i="14" l="1"/>
  <c r="L566" i="14" s="1"/>
  <c r="I567" i="14" s="1"/>
  <c r="K547" i="13"/>
  <c r="L547" i="13" s="1"/>
  <c r="I548" i="13" s="1"/>
  <c r="N705" i="14"/>
  <c r="J704" i="14" a="1"/>
  <c r="J704" i="14" s="1"/>
  <c r="N706" i="13"/>
  <c r="J705" i="13" a="1"/>
  <c r="J705" i="13" s="1"/>
  <c r="M708" i="13"/>
  <c r="M709" i="14"/>
  <c r="K567" i="14" l="1"/>
  <c r="L567" i="14" s="1"/>
  <c r="I568" i="14" s="1"/>
  <c r="K548" i="13"/>
  <c r="M709" i="13"/>
  <c r="M710" i="14"/>
  <c r="N707" i="13"/>
  <c r="J706" i="13" a="1"/>
  <c r="J706" i="13" s="1"/>
  <c r="N706" i="14"/>
  <c r="J705" i="14" a="1"/>
  <c r="J705" i="14" s="1"/>
  <c r="K568" i="14" l="1"/>
  <c r="L568" i="14" s="1"/>
  <c r="I569" i="14" s="1"/>
  <c r="L548" i="13"/>
  <c r="I549" i="13" s="1"/>
  <c r="M710" i="13"/>
  <c r="N707" i="14"/>
  <c r="J706" i="14" a="1"/>
  <c r="J706" i="14" s="1"/>
  <c r="M711" i="14"/>
  <c r="N708" i="13"/>
  <c r="J707" i="13" a="1"/>
  <c r="J707" i="13" s="1"/>
  <c r="K569" i="14" l="1"/>
  <c r="L569" i="14" s="1"/>
  <c r="I570" i="14" s="1"/>
  <c r="N708" i="14"/>
  <c r="J707" i="14" a="1"/>
  <c r="J707" i="14" s="1"/>
  <c r="K549" i="13"/>
  <c r="N709" i="13"/>
  <c r="J708" i="13" a="1"/>
  <c r="J708" i="13" s="1"/>
  <c r="M712" i="14"/>
  <c r="M711" i="13"/>
  <c r="K570" i="14" l="1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/>
  <c r="I550" i="13" s="1"/>
  <c r="K571" i="14" l="1"/>
  <c r="L571" i="14" s="1"/>
  <c r="I572" i="14" s="1"/>
  <c r="K550" i="13"/>
  <c r="L550" i="13" s="1"/>
  <c r="I551" i="13" s="1"/>
  <c r="N710" i="14"/>
  <c r="J709" i="14" a="1"/>
  <c r="J709" i="14" s="1"/>
  <c r="M714" i="14"/>
  <c r="N711" i="13"/>
  <c r="J710" i="13" a="1"/>
  <c r="J710" i="13" s="1"/>
  <c r="M713" i="13"/>
  <c r="K551" i="13" l="1"/>
  <c r="L551" i="13" s="1"/>
  <c r="I552" i="13" s="1"/>
  <c r="K572" i="14"/>
  <c r="M715" i="14"/>
  <c r="N712" i="13"/>
  <c r="J711" i="13" a="1"/>
  <c r="J711" i="13" s="1"/>
  <c r="M714" i="13"/>
  <c r="N711" i="14"/>
  <c r="J710" i="14" a="1"/>
  <c r="J710" i="14" s="1"/>
  <c r="K552" i="13" l="1"/>
  <c r="L552" i="13" s="1"/>
  <c r="I553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3" i="13" l="1"/>
  <c r="L553" i="13" s="1"/>
  <c r="I554" i="13" s="1"/>
  <c r="N714" i="13"/>
  <c r="J713" i="13" a="1"/>
  <c r="J713" i="13" s="1"/>
  <c r="M717" i="14"/>
  <c r="M716" i="13"/>
  <c r="K573" i="14"/>
  <c r="N713" i="14"/>
  <c r="J712" i="14" a="1"/>
  <c r="J712" i="14" s="1"/>
  <c r="K554" i="13" l="1"/>
  <c r="L554" i="13" s="1"/>
  <c r="I555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5" i="13" l="1"/>
  <c r="L555" i="13" s="1"/>
  <c r="I556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6" i="13" l="1"/>
  <c r="L556" i="13" s="1"/>
  <c r="I557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76" i="14" l="1"/>
  <c r="L576" i="14" s="1"/>
  <c r="I577" i="14" s="1"/>
  <c r="K557" i="13"/>
  <c r="L557" i="13" s="1"/>
  <c r="I558" i="13" s="1"/>
  <c r="M720" i="13"/>
  <c r="N718" i="13"/>
  <c r="J717" i="13" a="1"/>
  <c r="J717" i="13" s="1"/>
  <c r="M721" i="14"/>
  <c r="N717" i="14"/>
  <c r="J716" i="14" a="1"/>
  <c r="J716" i="14" s="1"/>
  <c r="K577" i="14" l="1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/>
  <c r="L558" i="13" s="1"/>
  <c r="I559" i="13" s="1"/>
  <c r="K578" i="14" l="1"/>
  <c r="L578" i="14" s="1"/>
  <c r="I579" i="14" s="1"/>
  <c r="N720" i="13"/>
  <c r="J719" i="13" a="1"/>
  <c r="J719" i="13" s="1"/>
  <c r="K559" i="13"/>
  <c r="L559" i="13" s="1"/>
  <c r="I560" i="13" s="1"/>
  <c r="M722" i="13"/>
  <c r="N719" i="14"/>
  <c r="J718" i="14" a="1"/>
  <c r="J718" i="14" s="1"/>
  <c r="M723" i="14"/>
  <c r="K579" i="14" l="1"/>
  <c r="L579" i="14" s="1"/>
  <c r="I580" i="14" s="1"/>
  <c r="K560" i="13"/>
  <c r="M724" i="14"/>
  <c r="M723" i="13"/>
  <c r="N721" i="13"/>
  <c r="J720" i="13" a="1"/>
  <c r="J720" i="13" s="1"/>
  <c r="N720" i="14"/>
  <c r="J719" i="14" a="1"/>
  <c r="J719" i="14" s="1"/>
  <c r="K580" i="14" l="1"/>
  <c r="L580" i="14" s="1"/>
  <c r="I581" i="14" s="1"/>
  <c r="N721" i="14"/>
  <c r="J720" i="14" a="1"/>
  <c r="J720" i="14" s="1"/>
  <c r="L560" i="13"/>
  <c r="I561" i="13" s="1"/>
  <c r="M724" i="13"/>
  <c r="M725" i="14"/>
  <c r="N722" i="13"/>
  <c r="J721" i="13" a="1"/>
  <c r="J721" i="13" s="1"/>
  <c r="K581" i="14" l="1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/>
  <c r="K582" i="14" l="1"/>
  <c r="L582" i="14" s="1"/>
  <c r="I583" i="14" s="1"/>
  <c r="M726" i="13"/>
  <c r="N724" i="13"/>
  <c r="J723" i="13" a="1"/>
  <c r="J723" i="13" s="1"/>
  <c r="L561" i="13"/>
  <c r="I562" i="13" s="1"/>
  <c r="M727" i="14"/>
  <c r="N723" i="14"/>
  <c r="J722" i="14" a="1"/>
  <c r="J722" i="14" s="1"/>
  <c r="K583" i="14" l="1"/>
  <c r="L583" i="14" s="1"/>
  <c r="I584" i="14" s="1"/>
  <c r="K562" i="13"/>
  <c r="L562" i="13" s="1"/>
  <c r="I563" i="13" s="1"/>
  <c r="M727" i="13"/>
  <c r="N724" i="14"/>
  <c r="J723" i="14" a="1"/>
  <c r="J723" i="14" s="1"/>
  <c r="M728" i="14"/>
  <c r="N725" i="13"/>
  <c r="J724" i="13" a="1"/>
  <c r="J724" i="13" s="1"/>
  <c r="K563" i="13" l="1"/>
  <c r="L563" i="13" s="1"/>
  <c r="I564" i="13" s="1"/>
  <c r="K584" i="14"/>
  <c r="N726" i="13"/>
  <c r="J725" i="13" a="1"/>
  <c r="J725" i="13" s="1"/>
  <c r="N725" i="14"/>
  <c r="J724" i="14" a="1"/>
  <c r="J724" i="14" s="1"/>
  <c r="M729" i="14"/>
  <c r="M728" i="13"/>
  <c r="K564" i="13" l="1"/>
  <c r="L564" i="13" s="1"/>
  <c r="I565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5" i="13" l="1"/>
  <c r="L565" i="13" s="1"/>
  <c r="I566" i="13" s="1"/>
  <c r="K585" i="14"/>
  <c r="N728" i="13"/>
  <c r="J727" i="13" a="1"/>
  <c r="J727" i="13" s="1"/>
  <c r="M731" i="14"/>
  <c r="N727" i="14"/>
  <c r="J726" i="14" a="1"/>
  <c r="J726" i="14" s="1"/>
  <c r="M730" i="13"/>
  <c r="K566" i="13" l="1"/>
  <c r="L566" i="13" s="1"/>
  <c r="I567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7" i="13" l="1"/>
  <c r="L567" i="13" s="1"/>
  <c r="I568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87" i="14" l="1"/>
  <c r="L587" i="14" s="1"/>
  <c r="I588" i="14" s="1"/>
  <c r="K568" i="13"/>
  <c r="L568" i="13" s="1"/>
  <c r="I569" i="13" s="1"/>
  <c r="N730" i="14"/>
  <c r="J729" i="14" a="1"/>
  <c r="J729" i="14" s="1"/>
  <c r="M733" i="13"/>
  <c r="M734" i="14"/>
  <c r="N731" i="13"/>
  <c r="J730" i="13" a="1"/>
  <c r="J730" i="13" s="1"/>
  <c r="K588" i="14" l="1"/>
  <c r="L588" i="14" s="1"/>
  <c r="I589" i="14" s="1"/>
  <c r="M734" i="13"/>
  <c r="N732" i="13"/>
  <c r="J731" i="13" a="1"/>
  <c r="J731" i="13" s="1"/>
  <c r="K569" i="13"/>
  <c r="L569" i="13" s="1"/>
  <c r="I570" i="13" s="1"/>
  <c r="M735" i="14"/>
  <c r="N731" i="14"/>
  <c r="J730" i="14" a="1"/>
  <c r="J730" i="14" s="1"/>
  <c r="K589" i="14" l="1"/>
  <c r="L589" i="14" s="1"/>
  <c r="I590" i="14" s="1"/>
  <c r="K570" i="13"/>
  <c r="L570" i="13" s="1"/>
  <c r="I571" i="13" s="1"/>
  <c r="N732" i="14"/>
  <c r="J731" i="14" a="1"/>
  <c r="J731" i="14" s="1"/>
  <c r="M736" i="14"/>
  <c r="N733" i="13"/>
  <c r="J732" i="13" a="1"/>
  <c r="J732" i="13" s="1"/>
  <c r="M735" i="13"/>
  <c r="K590" i="14" l="1"/>
  <c r="L590" i="14" s="1"/>
  <c r="I591" i="14" s="1"/>
  <c r="K571" i="13"/>
  <c r="L571" i="13" s="1"/>
  <c r="I572" i="13" s="1"/>
  <c r="M737" i="14"/>
  <c r="M736" i="13"/>
  <c r="N734" i="13"/>
  <c r="J733" i="13" a="1"/>
  <c r="J733" i="13" s="1"/>
  <c r="N733" i="14"/>
  <c r="J732" i="14" a="1"/>
  <c r="J732" i="14" s="1"/>
  <c r="K591" i="14" l="1"/>
  <c r="L591" i="14" s="1"/>
  <c r="I592" i="14" s="1"/>
  <c r="M737" i="13"/>
  <c r="M738" i="14"/>
  <c r="N734" i="14"/>
  <c r="J733" i="14" a="1"/>
  <c r="J733" i="14" s="1"/>
  <c r="K572" i="13"/>
  <c r="L572" i="13" s="1"/>
  <c r="I573" i="13" s="1"/>
  <c r="N735" i="13"/>
  <c r="J734" i="13" a="1"/>
  <c r="J734" i="13" s="1"/>
  <c r="M738" i="13" l="1"/>
  <c r="N735" i="14"/>
  <c r="J734" i="14" a="1"/>
  <c r="J734" i="14" s="1"/>
  <c r="M739" i="14"/>
  <c r="N736" i="13"/>
  <c r="J735" i="13" a="1"/>
  <c r="J735" i="13" s="1"/>
  <c r="K573" i="13"/>
  <c r="L573" i="13" s="1"/>
  <c r="I574" i="13" s="1"/>
  <c r="K592" i="14"/>
  <c r="L592" i="14" s="1"/>
  <c r="I593" i="14" s="1"/>
  <c r="K593" i="14" l="1"/>
  <c r="L593" i="14" s="1"/>
  <c r="I594" i="14" s="1"/>
  <c r="K574" i="13"/>
  <c r="N737" i="13"/>
  <c r="J736" i="13" a="1"/>
  <c r="J736" i="13" s="1"/>
  <c r="N736" i="14"/>
  <c r="J735" i="14" a="1"/>
  <c r="J735" i="14" s="1"/>
  <c r="M740" i="14"/>
  <c r="M739" i="13"/>
  <c r="N737" i="14" l="1"/>
  <c r="J736" i="14" a="1"/>
  <c r="J736" i="14" s="1"/>
  <c r="L574" i="13"/>
  <c r="I575" i="13" s="1"/>
  <c r="M740" i="13"/>
  <c r="M741" i="14"/>
  <c r="N738" i="13"/>
  <c r="J737" i="13" a="1"/>
  <c r="J737" i="13" s="1"/>
  <c r="K594" i="14"/>
  <c r="L594" i="14" s="1"/>
  <c r="I595" i="14" s="1"/>
  <c r="K595" i="14" l="1"/>
  <c r="L595" i="14" s="1"/>
  <c r="I596" i="14" s="1"/>
  <c r="M742" i="14"/>
  <c r="K575" i="13"/>
  <c r="L575" i="13" s="1"/>
  <c r="I576" i="13" s="1"/>
  <c r="N739" i="13"/>
  <c r="J738" i="13" a="1"/>
  <c r="J738" i="13" s="1"/>
  <c r="M741" i="13"/>
  <c r="N738" i="14"/>
  <c r="J737" i="14" a="1"/>
  <c r="J737" i="14" s="1"/>
  <c r="K576" i="13" l="1"/>
  <c r="L576" i="13" s="1"/>
  <c r="I577" i="13" s="1"/>
  <c r="K596" i="14"/>
  <c r="N740" i="13"/>
  <c r="J739" i="13" a="1"/>
  <c r="J739" i="13" s="1"/>
  <c r="M743" i="14"/>
  <c r="M742" i="13"/>
  <c r="N739" i="14"/>
  <c r="J738" i="14" a="1"/>
  <c r="J738" i="14" s="1"/>
  <c r="K577" i="13" l="1"/>
  <c r="L577" i="13" s="1"/>
  <c r="I578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8" i="13" l="1"/>
  <c r="L578" i="13" s="1"/>
  <c r="I579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98" i="14" l="1"/>
  <c r="L598" i="14" s="1"/>
  <c r="I599" i="14" s="1"/>
  <c r="K579" i="13"/>
  <c r="L579" i="13" s="1"/>
  <c r="I580" i="13" s="1"/>
  <c r="N743" i="13"/>
  <c r="J742" i="13" a="1"/>
  <c r="J742" i="13" s="1"/>
  <c r="M745" i="13"/>
  <c r="N742" i="14"/>
  <c r="J741" i="14" a="1"/>
  <c r="J741" i="14" s="1"/>
  <c r="M746" i="14"/>
  <c r="K580" i="13" l="1"/>
  <c r="L580" i="13" s="1"/>
  <c r="I581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600" i="14" l="1"/>
  <c r="L600" i="14" s="1"/>
  <c r="I601" i="14" s="1"/>
  <c r="N744" i="14"/>
  <c r="J743" i="14" a="1"/>
  <c r="J743" i="14" s="1"/>
  <c r="M748" i="14"/>
  <c r="N745" i="13"/>
  <c r="J744" i="13" a="1"/>
  <c r="J744" i="13" s="1"/>
  <c r="K581" i="13"/>
  <c r="L581" i="13" s="1"/>
  <c r="I582" i="13" s="1"/>
  <c r="M747" i="13"/>
  <c r="N745" i="14" l="1"/>
  <c r="J744" i="14" a="1"/>
  <c r="J744" i="14" s="1"/>
  <c r="M748" i="13"/>
  <c r="N746" i="13"/>
  <c r="J745" i="13" a="1"/>
  <c r="J745" i="13" s="1"/>
  <c r="M749" i="14"/>
  <c r="K582" i="13"/>
  <c r="L582" i="13" s="1"/>
  <c r="I583" i="13" s="1"/>
  <c r="K601" i="14"/>
  <c r="L601" i="14" s="1"/>
  <c r="I602" i="14" s="1"/>
  <c r="K602" i="14" l="1"/>
  <c r="L602" i="14" s="1"/>
  <c r="I603" i="14" s="1"/>
  <c r="K583" i="13"/>
  <c r="L583" i="13" s="1"/>
  <c r="I584" i="13" s="1"/>
  <c r="N747" i="13"/>
  <c r="J746" i="13" a="1"/>
  <c r="J746" i="13" s="1"/>
  <c r="M750" i="14"/>
  <c r="M749" i="13"/>
  <c r="N746" i="14"/>
  <c r="J745" i="14" a="1"/>
  <c r="J745" i="14" s="1"/>
  <c r="K584" i="13" l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604" i="14" l="1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/>
  <c r="I585" i="13" s="1"/>
  <c r="K605" i="14" l="1"/>
  <c r="L605" i="14" s="1"/>
  <c r="I606" i="14" s="1"/>
  <c r="M753" i="14"/>
  <c r="M752" i="13"/>
  <c r="K585" i="13"/>
  <c r="L585" i="13" s="1"/>
  <c r="I586" i="13" s="1"/>
  <c r="N750" i="13"/>
  <c r="J749" i="13" a="1"/>
  <c r="J749" i="13" s="1"/>
  <c r="N749" i="14"/>
  <c r="J748" i="14" a="1"/>
  <c r="J748" i="14" s="1"/>
  <c r="K606" i="14" l="1"/>
  <c r="L606" i="14" s="1"/>
  <c r="I607" i="14" s="1"/>
  <c r="M754" i="14"/>
  <c r="N750" i="14"/>
  <c r="J749" i="14" a="1"/>
  <c r="J749" i="14" s="1"/>
  <c r="K586" i="13"/>
  <c r="L586" i="13" s="1"/>
  <c r="I587" i="13" s="1"/>
  <c r="M753" i="13"/>
  <c r="N751" i="13"/>
  <c r="J750" i="13" a="1"/>
  <c r="J750" i="13" s="1"/>
  <c r="K587" i="13" l="1"/>
  <c r="L587" i="13" s="1"/>
  <c r="I588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608" i="14" l="1"/>
  <c r="K588" i="13"/>
  <c r="L588" i="13" s="1"/>
  <c r="I589" i="13" s="1"/>
  <c r="M755" i="13"/>
  <c r="M756" i="14"/>
  <c r="N752" i="14"/>
  <c r="J751" i="14" a="1"/>
  <c r="J751" i="14" s="1"/>
  <c r="N753" i="13"/>
  <c r="J752" i="13" a="1"/>
  <c r="J752" i="13" s="1"/>
  <c r="K589" i="13" l="1"/>
  <c r="L589" i="13" s="1"/>
  <c r="I590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N754" i="14" l="1"/>
  <c r="J753" i="14" a="1"/>
  <c r="J753" i="14" s="1"/>
  <c r="M757" i="13"/>
  <c r="N755" i="13"/>
  <c r="J754" i="13" a="1"/>
  <c r="J754" i="13" s="1"/>
  <c r="K609" i="14"/>
  <c r="M758" i="14"/>
  <c r="K590" i="13"/>
  <c r="L590" i="13" s="1"/>
  <c r="I591" i="13" s="1"/>
  <c r="K591" i="13" l="1"/>
  <c r="L591" i="13" s="1"/>
  <c r="I592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N756" i="14" l="1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/>
  <c r="L592" i="13" s="1"/>
  <c r="I593" i="13" s="1"/>
  <c r="M761" i="14" l="1"/>
  <c r="M760" i="13"/>
  <c r="K611" i="14"/>
  <c r="L611" i="14" s="1"/>
  <c r="I612" i="14" s="1"/>
  <c r="K593" i="13"/>
  <c r="L593" i="13" s="1"/>
  <c r="I594" i="13" s="1"/>
  <c r="N758" i="13"/>
  <c r="J757" i="13" a="1"/>
  <c r="J757" i="13" s="1"/>
  <c r="N757" i="14"/>
  <c r="J756" i="14" a="1"/>
  <c r="J756" i="14" s="1"/>
  <c r="K612" i="14" l="1"/>
  <c r="L612" i="14" s="1"/>
  <c r="I613" i="14" s="1"/>
  <c r="M761" i="13"/>
  <c r="K594" i="13"/>
  <c r="L594" i="13" s="1"/>
  <c r="I595" i="13" s="1"/>
  <c r="N758" i="14"/>
  <c r="J757" i="14" a="1"/>
  <c r="J757" i="14" s="1"/>
  <c r="M762" i="14"/>
  <c r="N759" i="13"/>
  <c r="J758" i="13" a="1"/>
  <c r="J758" i="13" s="1"/>
  <c r="K595" i="13" l="1"/>
  <c r="L595" i="13" s="1"/>
  <c r="I596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6" i="13" l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615" i="14" l="1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/>
  <c r="I597" i="13" s="1"/>
  <c r="K597" i="13" l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617" i="14" l="1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/>
  <c r="I598" i="13" s="1"/>
  <c r="K618" i="14" l="1"/>
  <c r="L618" i="14" s="1"/>
  <c r="I619" i="14" s="1"/>
  <c r="M768" i="14"/>
  <c r="K598" i="13"/>
  <c r="L598" i="13" s="1"/>
  <c r="I599" i="13" s="1"/>
  <c r="N765" i="13"/>
  <c r="J764" i="13" a="1"/>
  <c r="J764" i="13" s="1"/>
  <c r="M767" i="13"/>
  <c r="N764" i="14"/>
  <c r="J763" i="14" a="1"/>
  <c r="J763" i="14" s="1"/>
  <c r="K619" i="14" l="1"/>
  <c r="L619" i="14" s="1"/>
  <c r="I620" i="14" s="1"/>
  <c r="K599" i="13"/>
  <c r="L599" i="13" s="1"/>
  <c r="I600" i="13" s="1"/>
  <c r="M769" i="14"/>
  <c r="N766" i="13"/>
  <c r="J765" i="13" a="1"/>
  <c r="J765" i="13" s="1"/>
  <c r="N765" i="14"/>
  <c r="J764" i="14" a="1"/>
  <c r="J764" i="14" s="1"/>
  <c r="M768" i="13"/>
  <c r="K620" i="14" l="1"/>
  <c r="K600" i="13"/>
  <c r="L600" i="13" s="1"/>
  <c r="I601" i="13" s="1"/>
  <c r="N767" i="13"/>
  <c r="J766" i="13" a="1"/>
  <c r="J766" i="13" s="1"/>
  <c r="M770" i="14"/>
  <c r="M769" i="13"/>
  <c r="N766" i="14"/>
  <c r="J765" i="14" a="1"/>
  <c r="J765" i="14" s="1"/>
  <c r="K601" i="13" l="1"/>
  <c r="L601" i="13" s="1"/>
  <c r="I602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2" i="13" l="1"/>
  <c r="L602" i="13" s="1"/>
  <c r="I603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22" i="14" l="1"/>
  <c r="L622" i="14" s="1"/>
  <c r="I623" i="14" s="1"/>
  <c r="K603" i="13"/>
  <c r="L603" i="13" s="1"/>
  <c r="I604" i="13" s="1"/>
  <c r="M773" i="14"/>
  <c r="N769" i="14"/>
  <c r="J768" i="14" a="1"/>
  <c r="J768" i="14" s="1"/>
  <c r="M772" i="13"/>
  <c r="N770" i="13"/>
  <c r="J769" i="13" a="1"/>
  <c r="J769" i="13" s="1"/>
  <c r="K623" i="14" l="1"/>
  <c r="L623" i="14" s="1"/>
  <c r="I624" i="14" s="1"/>
  <c r="N771" i="13"/>
  <c r="J770" i="13" a="1"/>
  <c r="J770" i="13" s="1"/>
  <c r="N770" i="14"/>
  <c r="J769" i="14" a="1"/>
  <c r="J769" i="14" s="1"/>
  <c r="K604" i="13"/>
  <c r="L604" i="13" s="1"/>
  <c r="I605" i="13" s="1"/>
  <c r="M773" i="13"/>
  <c r="M774" i="14"/>
  <c r="K605" i="13" l="1"/>
  <c r="L605" i="13" s="1"/>
  <c r="I606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6" i="13" l="1"/>
  <c r="L606" i="13" s="1"/>
  <c r="I607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26" i="14" l="1"/>
  <c r="L626" i="14" s="1"/>
  <c r="I627" i="14" s="1"/>
  <c r="K607" i="13"/>
  <c r="L607" i="13" s="1"/>
  <c r="I608" i="13" s="1"/>
  <c r="M777" i="14"/>
  <c r="N773" i="14"/>
  <c r="J772" i="14" a="1"/>
  <c r="J772" i="14" s="1"/>
  <c r="N774" i="13"/>
  <c r="J773" i="13" a="1"/>
  <c r="J773" i="13" s="1"/>
  <c r="M776" i="13"/>
  <c r="K608" i="13" l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28" i="14" l="1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/>
  <c r="I609" i="13" s="1"/>
  <c r="K629" i="14" l="1"/>
  <c r="L629" i="14" s="1"/>
  <c r="I630" i="14" s="1"/>
  <c r="K609" i="13"/>
  <c r="N777" i="13"/>
  <c r="J776" i="13" a="1"/>
  <c r="J776" i="13" s="1"/>
  <c r="M779" i="13"/>
  <c r="N776" i="14"/>
  <c r="J775" i="14" a="1"/>
  <c r="J775" i="14" s="1"/>
  <c r="M780" i="14"/>
  <c r="K630" i="14" l="1"/>
  <c r="L630" i="14" s="1"/>
  <c r="I631" i="14" s="1"/>
  <c r="M781" i="14"/>
  <c r="M780" i="13"/>
  <c r="L609" i="13"/>
  <c r="I610" i="13" s="1"/>
  <c r="N777" i="14"/>
  <c r="J776" i="14" a="1"/>
  <c r="J776" i="14" s="1"/>
  <c r="N778" i="13"/>
  <c r="J777" i="13" a="1"/>
  <c r="J777" i="13" s="1"/>
  <c r="K631" i="14" l="1"/>
  <c r="L631" i="14" s="1"/>
  <c r="I632" i="14" s="1"/>
  <c r="N779" i="13"/>
  <c r="J778" i="13" a="1"/>
  <c r="J778" i="13" s="1"/>
  <c r="K610" i="13"/>
  <c r="L610" i="13" s="1"/>
  <c r="I611" i="13" s="1"/>
  <c r="M781" i="13"/>
  <c r="N778" i="14"/>
  <c r="J777" i="14" a="1"/>
  <c r="J777" i="14" s="1"/>
  <c r="M782" i="14"/>
  <c r="K611" i="13" l="1"/>
  <c r="L611" i="13" s="1"/>
  <c r="I612" i="13" s="1"/>
  <c r="K632" i="14"/>
  <c r="M783" i="14"/>
  <c r="M782" i="13"/>
  <c r="N780" i="13"/>
  <c r="J779" i="13" a="1"/>
  <c r="J779" i="13" s="1"/>
  <c r="N779" i="14"/>
  <c r="J778" i="14" a="1"/>
  <c r="J778" i="14" s="1"/>
  <c r="K612" i="13" l="1"/>
  <c r="L612" i="13" s="1"/>
  <c r="I613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3" i="13" l="1"/>
  <c r="L613" i="13" s="1"/>
  <c r="I614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4" i="13" l="1"/>
  <c r="L614" i="13" s="1"/>
  <c r="I615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35" i="14" l="1"/>
  <c r="L635" i="14" s="1"/>
  <c r="I636" i="14" s="1"/>
  <c r="K615" i="13"/>
  <c r="L615" i="13" s="1"/>
  <c r="I616" i="13" s="1"/>
  <c r="N784" i="13"/>
  <c r="J783" i="13" a="1"/>
  <c r="J783" i="13" s="1"/>
  <c r="M786" i="13"/>
  <c r="M787" i="14"/>
  <c r="N783" i="14"/>
  <c r="J782" i="14" a="1"/>
  <c r="J782" i="14" s="1"/>
  <c r="K616" i="13" l="1"/>
  <c r="L616" i="13" s="1"/>
  <c r="I617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37" i="14" l="1"/>
  <c r="L637" i="14" s="1"/>
  <c r="I638" i="14" s="1"/>
  <c r="K617" i="13"/>
  <c r="L617" i="13" s="1"/>
  <c r="I618" i="13" s="1"/>
  <c r="N785" i="14"/>
  <c r="J784" i="14" a="1"/>
  <c r="J784" i="14" s="1"/>
  <c r="N786" i="13"/>
  <c r="J785" i="13" a="1"/>
  <c r="J785" i="13" s="1"/>
  <c r="M789" i="14"/>
  <c r="M788" i="13"/>
  <c r="K618" i="13" l="1"/>
  <c r="L618" i="13" s="1"/>
  <c r="I619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39" i="14" l="1"/>
  <c r="L639" i="14" s="1"/>
  <c r="I640" i="14" s="1"/>
  <c r="K619" i="13"/>
  <c r="L619" i="13" s="1"/>
  <c r="I620" i="13" s="1"/>
  <c r="N788" i="13"/>
  <c r="J787" i="13" a="1"/>
  <c r="J787" i="13" s="1"/>
  <c r="N787" i="14"/>
  <c r="J786" i="14" a="1"/>
  <c r="J786" i="14" s="1"/>
  <c r="M791" i="14"/>
  <c r="M790" i="13"/>
  <c r="K620" i="13" l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41" i="14" l="1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/>
  <c r="I621" i="13" s="1"/>
  <c r="K642" i="14" l="1"/>
  <c r="L642" i="14" s="1"/>
  <c r="I643" i="14" s="1"/>
  <c r="M794" i="14"/>
  <c r="N790" i="14"/>
  <c r="J789" i="14" a="1"/>
  <c r="J789" i="14" s="1"/>
  <c r="N791" i="13"/>
  <c r="J790" i="13" a="1"/>
  <c r="J790" i="13" s="1"/>
  <c r="K621" i="13"/>
  <c r="M793" i="13"/>
  <c r="K643" i="14" l="1"/>
  <c r="L643" i="14" s="1"/>
  <c r="I644" i="14" s="1"/>
  <c r="M795" i="14"/>
  <c r="N792" i="13"/>
  <c r="J791" i="13" a="1"/>
  <c r="J791" i="13" s="1"/>
  <c r="M794" i="13"/>
  <c r="L621" i="13"/>
  <c r="I622" i="13" s="1"/>
  <c r="N791" i="14"/>
  <c r="J790" i="14" a="1"/>
  <c r="J790" i="14" s="1"/>
  <c r="K644" i="14" l="1"/>
  <c r="N792" i="14"/>
  <c r="J791" i="14" a="1"/>
  <c r="J791" i="14" s="1"/>
  <c r="N793" i="13"/>
  <c r="J792" i="13" a="1"/>
  <c r="J792" i="13" s="1"/>
  <c r="K622" i="13"/>
  <c r="L622" i="13" s="1"/>
  <c r="I623" i="13" s="1"/>
  <c r="M795" i="13"/>
  <c r="M796" i="14"/>
  <c r="K623" i="13" l="1"/>
  <c r="L623" i="13" s="1"/>
  <c r="I624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4" i="13" l="1"/>
  <c r="L624" i="13" s="1"/>
  <c r="I625" i="13" s="1"/>
  <c r="N795" i="13"/>
  <c r="J794" i="13" a="1"/>
  <c r="J794" i="13" s="1"/>
  <c r="K645" i="14"/>
  <c r="M798" i="14"/>
  <c r="M797" i="13"/>
  <c r="N794" i="14"/>
  <c r="J793" i="14" a="1"/>
  <c r="J793" i="14" s="1"/>
  <c r="K625" i="13" l="1"/>
  <c r="L625" i="13" s="1"/>
  <c r="I626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6" i="13" l="1"/>
  <c r="L626" i="13" s="1"/>
  <c r="I627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7" i="13" l="1"/>
  <c r="L627" i="13" s="1"/>
  <c r="I628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48" i="14" l="1"/>
  <c r="L648" i="14" s="1"/>
  <c r="I649" i="14" s="1"/>
  <c r="K628" i="13"/>
  <c r="L628" i="13" s="1"/>
  <c r="I629" i="13" s="1"/>
  <c r="N799" i="13"/>
  <c r="J798" i="13" a="1"/>
  <c r="J798" i="13" s="1"/>
  <c r="N798" i="14"/>
  <c r="J797" i="14" a="1"/>
  <c r="J797" i="14" s="1"/>
  <c r="M801" i="13"/>
  <c r="M802" i="14"/>
  <c r="K629" i="13" l="1"/>
  <c r="L629" i="13" s="1"/>
  <c r="I630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30" i="13" l="1"/>
  <c r="L630" i="13" s="1"/>
  <c r="I631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51" i="14" l="1"/>
  <c r="L651" i="14" s="1"/>
  <c r="I652" i="14" s="1"/>
  <c r="K631" i="13"/>
  <c r="L631" i="13" s="1"/>
  <c r="I632" i="13" s="1"/>
  <c r="M805" i="14"/>
  <c r="N802" i="13"/>
  <c r="J801" i="13" a="1"/>
  <c r="J801" i="13" s="1"/>
  <c r="M804" i="13"/>
  <c r="N801" i="14"/>
  <c r="J800" i="14" a="1"/>
  <c r="J800" i="14" s="1"/>
  <c r="K632" i="13" l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53" i="14" l="1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/>
  <c r="I633" i="13" s="1"/>
  <c r="K654" i="14" l="1"/>
  <c r="L654" i="14" s="1"/>
  <c r="I655" i="14" s="1"/>
  <c r="N805" i="13"/>
  <c r="J804" i="13" a="1"/>
  <c r="J804" i="13" s="1"/>
  <c r="N804" i="14"/>
  <c r="J803" i="14" a="1"/>
  <c r="J803" i="14" s="1"/>
  <c r="K633" i="13"/>
  <c r="L633" i="13" s="1"/>
  <c r="I634" i="13" s="1"/>
  <c r="M808" i="14"/>
  <c r="M807" i="13"/>
  <c r="K634" i="13" l="1"/>
  <c r="L634" i="13" s="1"/>
  <c r="I635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5" i="13" l="1"/>
  <c r="L635" i="13" s="1"/>
  <c r="I636" i="13" s="1"/>
  <c r="M810" i="14"/>
  <c r="N806" i="14"/>
  <c r="J805" i="14" a="1"/>
  <c r="J805" i="14" s="1"/>
  <c r="M809" i="13"/>
  <c r="K656" i="14"/>
  <c r="N807" i="13"/>
  <c r="J806" i="13" a="1"/>
  <c r="J806" i="13" s="1"/>
  <c r="K636" i="13" l="1"/>
  <c r="L636" i="13" s="1"/>
  <c r="I637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7" i="13" l="1"/>
  <c r="L637" i="13" s="1"/>
  <c r="I638" i="13" s="1"/>
  <c r="N808" i="14"/>
  <c r="J807" i="14" a="1"/>
  <c r="J807" i="14" s="1"/>
  <c r="N809" i="13"/>
  <c r="J808" i="13" a="1"/>
  <c r="J808" i="13" s="1"/>
  <c r="M811" i="13"/>
  <c r="K657" i="14"/>
  <c r="M812" i="14"/>
  <c r="K638" i="13" l="1"/>
  <c r="L638" i="13" s="1"/>
  <c r="I639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9" i="13" l="1"/>
  <c r="L639" i="13" s="1"/>
  <c r="I640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M814" i="13" l="1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/>
  <c r="L640" i="13" s="1"/>
  <c r="I641" i="13" s="1"/>
  <c r="K641" i="13" l="1"/>
  <c r="L641" i="13" s="1"/>
  <c r="I642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61" i="14" l="1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/>
  <c r="L642" i="13" s="1"/>
  <c r="I643" i="13" s="1"/>
  <c r="K662" i="14" l="1"/>
  <c r="L662" i="14" s="1"/>
  <c r="I663" i="14" s="1"/>
  <c r="K643" i="13"/>
  <c r="L643" i="13" s="1"/>
  <c r="I644" i="13" s="1"/>
  <c r="N814" i="14"/>
  <c r="J813" i="14" a="1"/>
  <c r="J813" i="14" s="1"/>
  <c r="N815" i="13"/>
  <c r="J814" i="13" a="1"/>
  <c r="J814" i="13" s="1"/>
  <c r="M818" i="14"/>
  <c r="M817" i="13"/>
  <c r="K644" i="13" l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64" i="14" l="1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/>
  <c r="I645" i="13" s="1"/>
  <c r="K645" i="13" l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66" i="14" l="1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/>
  <c r="I646" i="13" s="1"/>
  <c r="K667" i="14" l="1"/>
  <c r="L667" i="14" s="1"/>
  <c r="I668" i="14" s="1"/>
  <c r="N820" i="13"/>
  <c r="J819" i="13" a="1"/>
  <c r="J819" i="13" s="1"/>
  <c r="N819" i="14"/>
  <c r="J818" i="14" a="1"/>
  <c r="J818" i="14" s="1"/>
  <c r="K646" i="13"/>
  <c r="L646" i="13" s="1"/>
  <c r="I647" i="13" s="1"/>
  <c r="M822" i="13"/>
  <c r="M823" i="14"/>
  <c r="K647" i="13" l="1"/>
  <c r="L647" i="13" s="1"/>
  <c r="I648" i="13" s="1"/>
  <c r="M824" i="14"/>
  <c r="N821" i="13"/>
  <c r="J820" i="13" a="1"/>
  <c r="J820" i="13" s="1"/>
  <c r="M823" i="13"/>
  <c r="N820" i="14"/>
  <c r="J819" i="14" a="1"/>
  <c r="J819" i="14" s="1"/>
  <c r="K668" i="14"/>
  <c r="K648" i="13" l="1"/>
  <c r="L648" i="13" s="1"/>
  <c r="I649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9" i="13" l="1"/>
  <c r="L649" i="13" s="1"/>
  <c r="I650" i="13" s="1"/>
  <c r="K669" i="14"/>
  <c r="N823" i="13"/>
  <c r="J822" i="13" a="1"/>
  <c r="J822" i="13" s="1"/>
  <c r="M826" i="14"/>
  <c r="N822" i="14"/>
  <c r="J821" i="14" a="1"/>
  <c r="J821" i="14" s="1"/>
  <c r="M825" i="13"/>
  <c r="K650" i="13" l="1"/>
  <c r="L650" i="13" s="1"/>
  <c r="I651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1" i="13" l="1"/>
  <c r="L651" i="13" s="1"/>
  <c r="I652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71" i="14" l="1"/>
  <c r="L671" i="14" s="1"/>
  <c r="I672" i="14" s="1"/>
  <c r="K652" i="13"/>
  <c r="L652" i="13" s="1"/>
  <c r="I653" i="13" s="1"/>
  <c r="N826" i="13"/>
  <c r="J825" i="13" a="1"/>
  <c r="J825" i="13" s="1"/>
  <c r="N825" i="14"/>
  <c r="J824" i="14" a="1"/>
  <c r="J824" i="14" s="1"/>
  <c r="M828" i="13"/>
  <c r="M829" i="14"/>
  <c r="K653" i="13" l="1"/>
  <c r="L653" i="13" s="1"/>
  <c r="I654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73" i="14" l="1"/>
  <c r="L673" i="14" s="1"/>
  <c r="I674" i="14" s="1"/>
  <c r="K654" i="13"/>
  <c r="L654" i="13" s="1"/>
  <c r="I655" i="13" s="1"/>
  <c r="N828" i="13"/>
  <c r="J827" i="13" a="1"/>
  <c r="J827" i="13" s="1"/>
  <c r="M831" i="14"/>
  <c r="N827" i="14"/>
  <c r="J826" i="14" a="1"/>
  <c r="J826" i="14" s="1"/>
  <c r="M830" i="13"/>
  <c r="K674" i="14" l="1"/>
  <c r="L674" i="14" s="1"/>
  <c r="I675" i="14" s="1"/>
  <c r="K655" i="13"/>
  <c r="L655" i="13" s="1"/>
  <c r="I656" i="13" s="1"/>
  <c r="M831" i="13"/>
  <c r="M832" i="14"/>
  <c r="N828" i="14"/>
  <c r="J827" i="14" a="1"/>
  <c r="J827" i="14" s="1"/>
  <c r="N829" i="13"/>
  <c r="J828" i="13" a="1"/>
  <c r="J828" i="13" s="1"/>
  <c r="K656" i="13" l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76" i="14" l="1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/>
  <c r="I657" i="13" s="1"/>
  <c r="K677" i="14" l="1"/>
  <c r="L677" i="14" s="1"/>
  <c r="I678" i="14" s="1"/>
  <c r="N832" i="13"/>
  <c r="J831" i="13" a="1"/>
  <c r="J831" i="13" s="1"/>
  <c r="M835" i="14"/>
  <c r="N831" i="14"/>
  <c r="J830" i="14" a="1"/>
  <c r="J830" i="14" s="1"/>
  <c r="K657" i="13"/>
  <c r="M834" i="13"/>
  <c r="K678" i="14" l="1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/>
  <c r="I658" i="13" s="1"/>
  <c r="K679" i="14" l="1"/>
  <c r="L679" i="14" s="1"/>
  <c r="I680" i="14" s="1"/>
  <c r="K658" i="13"/>
  <c r="L658" i="13" s="1"/>
  <c r="I659" i="13" s="1"/>
  <c r="M836" i="13"/>
  <c r="M837" i="14"/>
  <c r="N834" i="13"/>
  <c r="J833" i="13" a="1"/>
  <c r="J833" i="13" s="1"/>
  <c r="N833" i="14"/>
  <c r="J832" i="14" a="1"/>
  <c r="J832" i="14" s="1"/>
  <c r="K680" i="14" l="1"/>
  <c r="K659" i="13"/>
  <c r="L659" i="13" s="1"/>
  <c r="I660" i="13" s="1"/>
  <c r="M838" i="14"/>
  <c r="N834" i="14"/>
  <c r="J833" i="14" a="1"/>
  <c r="J833" i="14" s="1"/>
  <c r="M837" i="13"/>
  <c r="N835" i="13"/>
  <c r="J834" i="13" a="1"/>
  <c r="J834" i="13" s="1"/>
  <c r="K660" i="13" l="1"/>
  <c r="L660" i="13" s="1"/>
  <c r="I661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M840" i="14" l="1"/>
  <c r="N836" i="14"/>
  <c r="J835" i="14" a="1"/>
  <c r="J835" i="14" s="1"/>
  <c r="M839" i="13"/>
  <c r="K681" i="14"/>
  <c r="N837" i="13"/>
  <c r="J836" i="13" a="1"/>
  <c r="J836" i="13" s="1"/>
  <c r="K661" i="13"/>
  <c r="L661" i="13" s="1"/>
  <c r="I662" i="13" s="1"/>
  <c r="K662" i="13" l="1"/>
  <c r="L662" i="13" s="1"/>
  <c r="I663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M842" i="14" l="1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/>
  <c r="L663" i="13" s="1"/>
  <c r="I664" i="13" s="1"/>
  <c r="K664" i="13" l="1"/>
  <c r="L664" i="13" s="1"/>
  <c r="I665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84" i="14" l="1"/>
  <c r="L684" i="14" s="1"/>
  <c r="I685" i="14" s="1"/>
  <c r="K665" i="13"/>
  <c r="L665" i="13" s="1"/>
  <c r="I666" i="13" s="1"/>
  <c r="N841" i="13"/>
  <c r="J840" i="13" a="1"/>
  <c r="J840" i="13" s="1"/>
  <c r="N840" i="14"/>
  <c r="J839" i="14" a="1"/>
  <c r="J839" i="14" s="1"/>
  <c r="M843" i="13"/>
  <c r="M844" i="14"/>
  <c r="K666" i="13" l="1"/>
  <c r="L666" i="13" s="1"/>
  <c r="I667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86" i="14" l="1"/>
  <c r="L686" i="14" s="1"/>
  <c r="I687" i="14" s="1"/>
  <c r="K667" i="13"/>
  <c r="L667" i="13" s="1"/>
  <c r="I668" i="13" s="1"/>
  <c r="N843" i="13"/>
  <c r="J842" i="13" a="1"/>
  <c r="J842" i="13" s="1"/>
  <c r="M846" i="14"/>
  <c r="M845" i="13"/>
  <c r="N842" i="14"/>
  <c r="J841" i="14" a="1"/>
  <c r="J841" i="14" s="1"/>
  <c r="K668" i="13" l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88" i="14" l="1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/>
  <c r="I669" i="13" s="1"/>
  <c r="K689" i="14" l="1"/>
  <c r="L689" i="14" s="1"/>
  <c r="I690" i="14" s="1"/>
  <c r="K669" i="13"/>
  <c r="M849" i="14"/>
  <c r="N845" i="14"/>
  <c r="J844" i="14" a="1"/>
  <c r="J844" i="14" s="1"/>
  <c r="M848" i="13"/>
  <c r="N846" i="13"/>
  <c r="J845" i="13" a="1"/>
  <c r="J845" i="13" s="1"/>
  <c r="K690" i="14" l="1"/>
  <c r="L690" i="14" s="1"/>
  <c r="I691" i="14" s="1"/>
  <c r="N847" i="13"/>
  <c r="J846" i="13" a="1"/>
  <c r="J846" i="13" s="1"/>
  <c r="N846" i="14"/>
  <c r="J845" i="14" a="1"/>
  <c r="J845" i="14" s="1"/>
  <c r="L669" i="13"/>
  <c r="I670" i="13" s="1"/>
  <c r="M849" i="13"/>
  <c r="M850" i="14"/>
  <c r="K691" i="14" l="1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/>
  <c r="L670" i="13" s="1"/>
  <c r="I671" i="13" s="1"/>
  <c r="K692" i="14" l="1"/>
  <c r="K671" i="13"/>
  <c r="L671" i="13" s="1"/>
  <c r="I672" i="13" s="1"/>
  <c r="N848" i="14"/>
  <c r="J847" i="14" a="1"/>
  <c r="J847" i="14" s="1"/>
  <c r="N849" i="13"/>
  <c r="J848" i="13" a="1"/>
  <c r="J848" i="13" s="1"/>
  <c r="M852" i="14"/>
  <c r="M851" i="13"/>
  <c r="K672" i="13" l="1"/>
  <c r="L672" i="13" s="1"/>
  <c r="I673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3" i="13" l="1"/>
  <c r="L673" i="13" s="1"/>
  <c r="I674" i="13" s="1"/>
  <c r="N850" i="14"/>
  <c r="J849" i="14" a="1"/>
  <c r="J849" i="14" s="1"/>
  <c r="M853" i="13"/>
  <c r="N851" i="13"/>
  <c r="J850" i="13" a="1"/>
  <c r="J850" i="13" s="1"/>
  <c r="M854" i="14"/>
  <c r="K693" i="14"/>
  <c r="K674" i="13" l="1"/>
  <c r="L674" i="13" s="1"/>
  <c r="I675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5" i="13" l="1"/>
  <c r="L675" i="13" s="1"/>
  <c r="I676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95" i="14" l="1"/>
  <c r="L695" i="14" s="1"/>
  <c r="I696" i="14" s="1"/>
  <c r="K676" i="13"/>
  <c r="L676" i="13" s="1"/>
  <c r="I677" i="13" s="1"/>
  <c r="M856" i="13"/>
  <c r="N853" i="14"/>
  <c r="J852" i="14" a="1"/>
  <c r="J852" i="14" s="1"/>
  <c r="M857" i="14"/>
  <c r="N854" i="13"/>
  <c r="J853" i="13" a="1"/>
  <c r="J853" i="13" s="1"/>
  <c r="K677" i="13" l="1"/>
  <c r="L677" i="13" s="1"/>
  <c r="I678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97" i="14" l="1"/>
  <c r="L697" i="14" s="1"/>
  <c r="I698" i="14" s="1"/>
  <c r="K678" i="13"/>
  <c r="L678" i="13" s="1"/>
  <c r="I679" i="13" s="1"/>
  <c r="N856" i="13"/>
  <c r="J855" i="13" a="1"/>
  <c r="J855" i="13" s="1"/>
  <c r="M858" i="13"/>
  <c r="M859" i="14"/>
  <c r="N855" i="14"/>
  <c r="J854" i="14" a="1"/>
  <c r="J854" i="14" s="1"/>
  <c r="K698" i="14" l="1"/>
  <c r="L698" i="14" s="1"/>
  <c r="I699" i="14" s="1"/>
  <c r="K679" i="13"/>
  <c r="L679" i="13" s="1"/>
  <c r="I680" i="13" s="1"/>
  <c r="M859" i="13"/>
  <c r="N856" i="14"/>
  <c r="J855" i="14" a="1"/>
  <c r="J855" i="14" s="1"/>
  <c r="M860" i="14"/>
  <c r="N857" i="13"/>
  <c r="J856" i="13" a="1"/>
  <c r="J856" i="13" s="1"/>
  <c r="K680" i="13" l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700" i="14" l="1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/>
  <c r="I681" i="13" s="1"/>
  <c r="K701" i="14" l="1"/>
  <c r="L701" i="14" s="1"/>
  <c r="I702" i="14" s="1"/>
  <c r="M862" i="13"/>
  <c r="N860" i="13"/>
  <c r="J859" i="13" a="1"/>
  <c r="J859" i="13" s="1"/>
  <c r="M863" i="14"/>
  <c r="K681" i="13"/>
  <c r="N859" i="14"/>
  <c r="J858" i="14" a="1"/>
  <c r="J858" i="14" s="1"/>
  <c r="K702" i="14" l="1"/>
  <c r="L702" i="14" s="1"/>
  <c r="I703" i="14" s="1"/>
  <c r="M864" i="14"/>
  <c r="M863" i="13"/>
  <c r="N860" i="14"/>
  <c r="J859" i="14" a="1"/>
  <c r="J859" i="14" s="1"/>
  <c r="L681" i="13"/>
  <c r="I682" i="13" s="1"/>
  <c r="N861" i="13"/>
  <c r="J860" i="13" a="1"/>
  <c r="J860" i="13" s="1"/>
  <c r="K703" i="14" l="1"/>
  <c r="L703" i="14" s="1"/>
  <c r="I704" i="14" s="1"/>
  <c r="N861" i="14"/>
  <c r="J860" i="14" a="1"/>
  <c r="J860" i="14" s="1"/>
  <c r="N862" i="13"/>
  <c r="J861" i="13" a="1"/>
  <c r="J861" i="13" s="1"/>
  <c r="M864" i="13"/>
  <c r="K682" i="13"/>
  <c r="L682" i="13" s="1"/>
  <c r="I683" i="13" s="1"/>
  <c r="M865" i="14"/>
  <c r="K683" i="13" l="1"/>
  <c r="L683" i="13" s="1"/>
  <c r="I684" i="13" s="1"/>
  <c r="K704" i="14"/>
  <c r="N862" i="14"/>
  <c r="J861" i="14" a="1"/>
  <c r="J861" i="14" s="1"/>
  <c r="M865" i="13"/>
  <c r="M866" i="14"/>
  <c r="N863" i="13"/>
  <c r="J862" i="13" a="1"/>
  <c r="J862" i="13" s="1"/>
  <c r="K684" i="13" l="1"/>
  <c r="L684" i="13" s="1"/>
  <c r="I685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N864" i="14" l="1"/>
  <c r="J863" i="14" a="1"/>
  <c r="J863" i="14" s="1"/>
  <c r="N865" i="13"/>
  <c r="J864" i="13" a="1"/>
  <c r="J864" i="13" s="1"/>
  <c r="M868" i="14"/>
  <c r="K705" i="14"/>
  <c r="M867" i="13"/>
  <c r="K685" i="13"/>
  <c r="L685" i="13" s="1"/>
  <c r="I686" i="13" s="1"/>
  <c r="K686" i="13" l="1"/>
  <c r="L686" i="13" s="1"/>
  <c r="I687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7" i="13" l="1"/>
  <c r="L687" i="13" s="1"/>
  <c r="I688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707" i="14" l="1"/>
  <c r="L707" i="14" s="1"/>
  <c r="I708" i="14" s="1"/>
  <c r="K688" i="13"/>
  <c r="L688" i="13" s="1"/>
  <c r="I689" i="13" s="1"/>
  <c r="M870" i="13"/>
  <c r="N868" i="13"/>
  <c r="J867" i="13" a="1"/>
  <c r="J867" i="13" s="1"/>
  <c r="M871" i="14"/>
  <c r="N867" i="14"/>
  <c r="J866" i="14" a="1"/>
  <c r="J866" i="14" s="1"/>
  <c r="K689" i="13" l="1"/>
  <c r="L689" i="13" s="1"/>
  <c r="I690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709" i="14" l="1"/>
  <c r="L709" i="14" s="1"/>
  <c r="I710" i="14" s="1"/>
  <c r="K690" i="13"/>
  <c r="L690" i="13" s="1"/>
  <c r="I691" i="13" s="1"/>
  <c r="M872" i="13"/>
  <c r="N869" i="14"/>
  <c r="J868" i="14" a="1"/>
  <c r="J868" i="14" s="1"/>
  <c r="M873" i="14"/>
  <c r="N870" i="13"/>
  <c r="J869" i="13" a="1"/>
  <c r="J869" i="13" s="1"/>
  <c r="K691" i="13" l="1"/>
  <c r="L691" i="13" s="1"/>
  <c r="I692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711" i="14" l="1"/>
  <c r="L711" i="14" s="1"/>
  <c r="I712" i="14" s="1"/>
  <c r="K692" i="13"/>
  <c r="L692" i="13" s="1"/>
  <c r="I693" i="13" s="1"/>
  <c r="M875" i="14"/>
  <c r="M874" i="13"/>
  <c r="N871" i="14"/>
  <c r="J870" i="14" a="1"/>
  <c r="J870" i="14" s="1"/>
  <c r="N872" i="13"/>
  <c r="J871" i="13" a="1"/>
  <c r="J871" i="13" s="1"/>
  <c r="K693" i="13" l="1"/>
  <c r="L693" i="13" s="1"/>
  <c r="I694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4" i="13" l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714" i="14" l="1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/>
  <c r="I695" i="13" s="1"/>
  <c r="K715" i="14" l="1"/>
  <c r="L715" i="14" s="1"/>
  <c r="I716" i="14" s="1"/>
  <c r="M879" i="14"/>
  <c r="K695" i="13"/>
  <c r="L695" i="13" s="1"/>
  <c r="I696" i="13" s="1"/>
  <c r="M878" i="13"/>
  <c r="N875" i="14"/>
  <c r="J874" i="14" a="1"/>
  <c r="J874" i="14" s="1"/>
  <c r="N876" i="13"/>
  <c r="J875" i="13" a="1"/>
  <c r="J875" i="13" s="1"/>
  <c r="K696" i="13" l="1"/>
  <c r="L696" i="13" s="1"/>
  <c r="I697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7" i="13" l="1"/>
  <c r="L697" i="13" s="1"/>
  <c r="I698" i="13" s="1"/>
  <c r="N877" i="14"/>
  <c r="J876" i="14" a="1"/>
  <c r="J876" i="14" s="1"/>
  <c r="M881" i="14"/>
  <c r="N878" i="13"/>
  <c r="J877" i="13" a="1"/>
  <c r="J877" i="13" s="1"/>
  <c r="K717" i="14"/>
  <c r="M880" i="13"/>
  <c r="K698" i="13" l="1"/>
  <c r="L698" i="13" s="1"/>
  <c r="I699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9" i="13" l="1"/>
  <c r="L699" i="13" s="1"/>
  <c r="I700" i="13" s="1"/>
  <c r="M883" i="14"/>
  <c r="N879" i="14"/>
  <c r="J878" i="14" a="1"/>
  <c r="J878" i="14" s="1"/>
  <c r="M882" i="13"/>
  <c r="K718" i="14"/>
  <c r="N880" i="13"/>
  <c r="J879" i="13" a="1"/>
  <c r="J879" i="13" s="1"/>
  <c r="K700" i="13" l="1"/>
  <c r="L700" i="13" s="1"/>
  <c r="I701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1" i="13" l="1"/>
  <c r="L701" i="13" s="1"/>
  <c r="I702" i="13" s="1"/>
  <c r="M884" i="13"/>
  <c r="N882" i="13"/>
  <c r="J881" i="13" a="1"/>
  <c r="J881" i="13" s="1"/>
  <c r="N881" i="14"/>
  <c r="J880" i="14" a="1"/>
  <c r="J880" i="14" s="1"/>
  <c r="K719" i="14"/>
  <c r="M885" i="14"/>
  <c r="K702" i="13" l="1"/>
  <c r="L702" i="13" s="1"/>
  <c r="I703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3" i="13" l="1"/>
  <c r="L703" i="13" s="1"/>
  <c r="I704" i="13" s="1"/>
  <c r="M887" i="14"/>
  <c r="M886" i="13"/>
  <c r="N884" i="13"/>
  <c r="J883" i="13" a="1"/>
  <c r="J883" i="13" s="1"/>
  <c r="K720" i="14"/>
  <c r="N883" i="14"/>
  <c r="J882" i="14" a="1"/>
  <c r="J882" i="14" s="1"/>
  <c r="K704" i="13" l="1"/>
  <c r="M888" i="14"/>
  <c r="N884" i="14"/>
  <c r="J883" i="14" a="1"/>
  <c r="J883" i="14" s="1"/>
  <c r="N885" i="13"/>
  <c r="J884" i="13" a="1"/>
  <c r="J884" i="13" s="1"/>
  <c r="M887" i="13"/>
  <c r="L720" i="14"/>
  <c r="I721" i="14" s="1"/>
  <c r="M889" i="14" l="1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/>
  <c r="I705" i="13" s="1"/>
  <c r="K722" i="14" l="1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/>
  <c r="K723" i="14" l="1"/>
  <c r="L723" i="14" s="1"/>
  <c r="I724" i="14" s="1"/>
  <c r="M890" i="13"/>
  <c r="L705" i="13"/>
  <c r="I706" i="13" s="1"/>
  <c r="N888" i="13"/>
  <c r="J887" i="13" a="1"/>
  <c r="J887" i="13" s="1"/>
  <c r="N887" i="14"/>
  <c r="J886" i="14" a="1"/>
  <c r="J886" i="14" s="1"/>
  <c r="M891" i="14"/>
  <c r="M892" i="14" l="1"/>
  <c r="N889" i="13"/>
  <c r="J888" i="13" a="1"/>
  <c r="J888" i="13" s="1"/>
  <c r="K706" i="13"/>
  <c r="L706" i="13" s="1"/>
  <c r="I707" i="13" s="1"/>
  <c r="N888" i="14"/>
  <c r="J887" i="14" a="1"/>
  <c r="J887" i="14" s="1"/>
  <c r="M891" i="13"/>
  <c r="K724" i="14"/>
  <c r="L724" i="14" s="1"/>
  <c r="I725" i="14" s="1"/>
  <c r="K725" i="14" l="1"/>
  <c r="L725" i="14" s="1"/>
  <c r="I726" i="14" s="1"/>
  <c r="K707" i="13"/>
  <c r="L707" i="13" s="1"/>
  <c r="I708" i="13" s="1"/>
  <c r="N890" i="13"/>
  <c r="J889" i="13" a="1"/>
  <c r="J889" i="13" s="1"/>
  <c r="N889" i="14"/>
  <c r="J888" i="14" a="1"/>
  <c r="J888" i="14" s="1"/>
  <c r="M892" i="13"/>
  <c r="M893" i="14"/>
  <c r="K708" i="13" l="1"/>
  <c r="L708" i="13" s="1"/>
  <c r="I709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27" i="14" l="1"/>
  <c r="L727" i="14" s="1"/>
  <c r="I728" i="14" s="1"/>
  <c r="K709" i="13"/>
  <c r="L709" i="13" s="1"/>
  <c r="I710" i="13" s="1"/>
  <c r="M895" i="14"/>
  <c r="N892" i="13"/>
  <c r="J891" i="13" a="1"/>
  <c r="J891" i="13" s="1"/>
  <c r="M894" i="13"/>
  <c r="N891" i="14"/>
  <c r="J890" i="14" a="1"/>
  <c r="J890" i="14" s="1"/>
  <c r="K710" i="13" l="1"/>
  <c r="L710" i="13" s="1"/>
  <c r="I711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29" i="14" l="1"/>
  <c r="L729" i="14" s="1"/>
  <c r="I730" i="14" s="1"/>
  <c r="K711" i="13"/>
  <c r="L711" i="13" s="1"/>
  <c r="I712" i="13" s="1"/>
  <c r="M896" i="13"/>
  <c r="M897" i="14"/>
  <c r="N893" i="14"/>
  <c r="J892" i="14" a="1"/>
  <c r="J892" i="14" s="1"/>
  <c r="N894" i="13"/>
  <c r="J893" i="13" a="1"/>
  <c r="J893" i="13" s="1"/>
  <c r="K712" i="13" l="1"/>
  <c r="L712" i="13" s="1"/>
  <c r="I713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31" i="14" l="1"/>
  <c r="L731" i="14" s="1"/>
  <c r="I732" i="14" s="1"/>
  <c r="K713" i="13"/>
  <c r="L713" i="13" s="1"/>
  <c r="I714" i="13" s="1"/>
  <c r="N896" i="13"/>
  <c r="J895" i="13" a="1"/>
  <c r="J895" i="13" s="1"/>
  <c r="N895" i="14"/>
  <c r="J894" i="14" a="1"/>
  <c r="J894" i="14" s="1"/>
  <c r="M898" i="13"/>
  <c r="M899" i="14"/>
  <c r="K714" i="13" l="1"/>
  <c r="L714" i="13" s="1"/>
  <c r="I715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33" i="14" l="1"/>
  <c r="L733" i="14" s="1"/>
  <c r="I734" i="14" s="1"/>
  <c r="K715" i="13"/>
  <c r="L715" i="13" s="1"/>
  <c r="I716" i="13" s="1"/>
  <c r="N897" i="14"/>
  <c r="J896" i="14" a="1"/>
  <c r="J896" i="14" s="1"/>
  <c r="M900" i="13"/>
  <c r="N898" i="13"/>
  <c r="J897" i="13" a="1"/>
  <c r="J897" i="13" s="1"/>
  <c r="M901" i="14"/>
  <c r="K716" i="13" l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35" i="14" l="1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/>
  <c r="I717" i="13" s="1"/>
  <c r="K736" i="14" l="1"/>
  <c r="L736" i="14" s="1"/>
  <c r="I737" i="14" s="1"/>
  <c r="M903" i="13"/>
  <c r="N901" i="13"/>
  <c r="J900" i="13" a="1"/>
  <c r="J900" i="13" s="1"/>
  <c r="K717" i="13"/>
  <c r="M904" i="14"/>
  <c r="N900" i="14"/>
  <c r="J899" i="14" a="1"/>
  <c r="J899" i="14" s="1"/>
  <c r="K737" i="14" l="1"/>
  <c r="L737" i="14" s="1"/>
  <c r="I738" i="14" s="1"/>
  <c r="M904" i="13"/>
  <c r="M905" i="14"/>
  <c r="N901" i="14"/>
  <c r="J900" i="14" a="1"/>
  <c r="J900" i="14" s="1"/>
  <c r="L717" i="13"/>
  <c r="I718" i="13" s="1"/>
  <c r="N902" i="13"/>
  <c r="J901" i="13" a="1"/>
  <c r="J901" i="13" s="1"/>
  <c r="K738" i="14" l="1"/>
  <c r="L738" i="14" s="1"/>
  <c r="I739" i="14" s="1"/>
  <c r="N903" i="13"/>
  <c r="J902" i="13" a="1"/>
  <c r="J902" i="13" s="1"/>
  <c r="M906" i="14"/>
  <c r="K718" i="13"/>
  <c r="M905" i="13"/>
  <c r="N902" i="14"/>
  <c r="J901" i="14" a="1"/>
  <c r="J901" i="14" s="1"/>
  <c r="K739" i="14" l="1"/>
  <c r="L739" i="14" s="1"/>
  <c r="I740" i="14" s="1"/>
  <c r="N904" i="13"/>
  <c r="J903" i="13" a="1"/>
  <c r="J903" i="13" s="1"/>
  <c r="N903" i="14"/>
  <c r="J902" i="14" a="1"/>
  <c r="J902" i="14" s="1"/>
  <c r="L718" i="13"/>
  <c r="I719" i="13" s="1"/>
  <c r="M906" i="13"/>
  <c r="M907" i="14"/>
  <c r="K740" i="14" l="1"/>
  <c r="L740" i="14" s="1"/>
  <c r="I741" i="14" s="1"/>
  <c r="N904" i="14"/>
  <c r="J903" i="14" a="1"/>
  <c r="J903" i="14" s="1"/>
  <c r="M907" i="13"/>
  <c r="M908" i="14"/>
  <c r="K719" i="13"/>
  <c r="N905" i="13"/>
  <c r="J904" i="13" a="1"/>
  <c r="J904" i="13" s="1"/>
  <c r="K741" i="14" l="1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/>
  <c r="I720" i="13" s="1"/>
  <c r="K742" i="14" l="1"/>
  <c r="L742" i="14" s="1"/>
  <c r="I743" i="14" s="1"/>
  <c r="M910" i="14"/>
  <c r="K720" i="13"/>
  <c r="L720" i="13" s="1"/>
  <c r="I721" i="13" s="1"/>
  <c r="M909" i="13"/>
  <c r="N907" i="13"/>
  <c r="J906" i="13" a="1"/>
  <c r="J906" i="13" s="1"/>
  <c r="N906" i="14"/>
  <c r="J905" i="14" a="1"/>
  <c r="J905" i="14" s="1"/>
  <c r="K721" i="13" l="1"/>
  <c r="L721" i="13" s="1"/>
  <c r="I722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44" i="14" l="1"/>
  <c r="L744" i="14" s="1"/>
  <c r="I745" i="14" s="1"/>
  <c r="K722" i="13"/>
  <c r="L722" i="13" s="1"/>
  <c r="I723" i="13" s="1"/>
  <c r="M912" i="14"/>
  <c r="N909" i="13"/>
  <c r="J908" i="13" a="1"/>
  <c r="J908" i="13" s="1"/>
  <c r="M911" i="13"/>
  <c r="N908" i="14"/>
  <c r="J907" i="14" a="1"/>
  <c r="J907" i="14" s="1"/>
  <c r="K723" i="13" l="1"/>
  <c r="L723" i="13" s="1"/>
  <c r="I724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46" i="14" l="1"/>
  <c r="L746" i="14" s="1"/>
  <c r="I747" i="14" s="1"/>
  <c r="K724" i="13"/>
  <c r="L724" i="13" s="1"/>
  <c r="I725" i="13" s="1"/>
  <c r="N911" i="13"/>
  <c r="J910" i="13" a="1"/>
  <c r="J910" i="13" s="1"/>
  <c r="M913" i="13"/>
  <c r="N910" i="14"/>
  <c r="J909" i="14" a="1"/>
  <c r="J909" i="14" s="1"/>
  <c r="M914" i="14"/>
  <c r="K747" i="14" l="1"/>
  <c r="L747" i="14" s="1"/>
  <c r="I748" i="14" s="1"/>
  <c r="N911" i="14"/>
  <c r="J910" i="14" a="1"/>
  <c r="J910" i="14" s="1"/>
  <c r="N912" i="13"/>
  <c r="J911" i="13" a="1"/>
  <c r="J911" i="13" s="1"/>
  <c r="K725" i="13"/>
  <c r="L725" i="13" s="1"/>
  <c r="I726" i="13" s="1"/>
  <c r="M915" i="14"/>
  <c r="M914" i="13"/>
  <c r="K726" i="13" l="1"/>
  <c r="L726" i="13" s="1"/>
  <c r="I727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49" i="14" l="1"/>
  <c r="L749" i="14" s="1"/>
  <c r="I750" i="14" s="1"/>
  <c r="K727" i="13"/>
  <c r="L727" i="13" s="1"/>
  <c r="I728" i="13" s="1"/>
  <c r="N913" i="14"/>
  <c r="J912" i="14" a="1"/>
  <c r="J912" i="14" s="1"/>
  <c r="N914" i="13"/>
  <c r="J913" i="13" a="1"/>
  <c r="J913" i="13" s="1"/>
  <c r="M917" i="14"/>
  <c r="M916" i="13"/>
  <c r="K728" i="13" l="1"/>
  <c r="L728" i="13" s="1"/>
  <c r="I729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51" i="14" l="1"/>
  <c r="L751" i="14" s="1"/>
  <c r="I752" i="14" s="1"/>
  <c r="K729" i="13"/>
  <c r="L729" i="13" s="1"/>
  <c r="I730" i="13" s="1"/>
  <c r="M918" i="13"/>
  <c r="M919" i="14"/>
  <c r="N915" i="14"/>
  <c r="J914" i="14" a="1"/>
  <c r="J914" i="14" s="1"/>
  <c r="N916" i="13"/>
  <c r="J915" i="13" a="1"/>
  <c r="J915" i="13" s="1"/>
  <c r="K730" i="13" l="1"/>
  <c r="L730" i="13" s="1"/>
  <c r="I731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1" i="13" l="1"/>
  <c r="L731" i="13" s="1"/>
  <c r="I732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2" i="13" l="1"/>
  <c r="L732" i="13" s="1"/>
  <c r="I733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3" i="13" l="1"/>
  <c r="L733" i="13" s="1"/>
  <c r="I734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4" i="13" l="1"/>
  <c r="L734" i="13" s="1"/>
  <c r="I735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57" i="14" l="1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/>
  <c r="L735" i="13" s="1"/>
  <c r="I736" i="13" s="1"/>
  <c r="K758" i="14" l="1"/>
  <c r="L758" i="14" s="1"/>
  <c r="I759" i="14" s="1"/>
  <c r="K736" i="13"/>
  <c r="L736" i="13" s="1"/>
  <c r="I737" i="13" s="1"/>
  <c r="M925" i="13"/>
  <c r="N923" i="13"/>
  <c r="J922" i="13" a="1"/>
  <c r="J922" i="13" s="1"/>
  <c r="M926" i="14"/>
  <c r="N922" i="14"/>
  <c r="J921" i="14" a="1"/>
  <c r="J921" i="14" s="1"/>
  <c r="K737" i="13" l="1"/>
  <c r="L737" i="13" s="1"/>
  <c r="I738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60" i="14" l="1"/>
  <c r="L760" i="14" s="1"/>
  <c r="I761" i="14" s="1"/>
  <c r="K738" i="13"/>
  <c r="L738" i="13" s="1"/>
  <c r="I739" i="13" s="1"/>
  <c r="M928" i="14"/>
  <c r="M927" i="13"/>
  <c r="N925" i="13"/>
  <c r="J924" i="13" a="1"/>
  <c r="J924" i="13" s="1"/>
  <c r="N924" i="14"/>
  <c r="J923" i="14" a="1"/>
  <c r="J923" i="14" s="1"/>
  <c r="K761" i="14" l="1"/>
  <c r="L761" i="14" s="1"/>
  <c r="I762" i="14" s="1"/>
  <c r="K739" i="13"/>
  <c r="L739" i="13" s="1"/>
  <c r="I740" i="13" s="1"/>
  <c r="M928" i="13"/>
  <c r="N925" i="14"/>
  <c r="J924" i="14" a="1"/>
  <c r="J924" i="14" s="1"/>
  <c r="M929" i="14"/>
  <c r="N926" i="13"/>
  <c r="J925" i="13" a="1"/>
  <c r="J925" i="13" s="1"/>
  <c r="K740" i="13" l="1"/>
  <c r="L740" i="13" s="1"/>
  <c r="I741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63" i="14" l="1"/>
  <c r="L763" i="14" s="1"/>
  <c r="I764" i="14" s="1"/>
  <c r="K741" i="13"/>
  <c r="L741" i="13" s="1"/>
  <c r="I742" i="13" s="1"/>
  <c r="M930" i="13"/>
  <c r="M931" i="14"/>
  <c r="N928" i="13"/>
  <c r="J927" i="13" a="1"/>
  <c r="J927" i="13" s="1"/>
  <c r="N927" i="14"/>
  <c r="J926" i="14" a="1"/>
  <c r="J926" i="14" s="1"/>
  <c r="K742" i="13" l="1"/>
  <c r="L742" i="13" s="1"/>
  <c r="I743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65" i="14" l="1"/>
  <c r="L765" i="14" s="1"/>
  <c r="I766" i="14" s="1"/>
  <c r="K743" i="13"/>
  <c r="L743" i="13" s="1"/>
  <c r="I744" i="13" s="1"/>
  <c r="M932" i="13"/>
  <c r="N930" i="13"/>
  <c r="J929" i="13" a="1"/>
  <c r="J929" i="13" s="1"/>
  <c r="M933" i="14"/>
  <c r="N929" i="14"/>
  <c r="J928" i="14" a="1"/>
  <c r="J928" i="14" s="1"/>
  <c r="K766" i="14" l="1"/>
  <c r="L766" i="14" s="1"/>
  <c r="I767" i="14" s="1"/>
  <c r="K744" i="13"/>
  <c r="L744" i="13" s="1"/>
  <c r="I745" i="13" s="1"/>
  <c r="N931" i="13"/>
  <c r="J930" i="13" a="1"/>
  <c r="J930" i="13" s="1"/>
  <c r="M933" i="13"/>
  <c r="J929" i="14" a="1"/>
  <c r="J929" i="14" s="1"/>
  <c r="N930" i="14"/>
  <c r="M934" i="14"/>
  <c r="K745" i="13" l="1"/>
  <c r="L745" i="13" s="1"/>
  <c r="I746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68" i="14" l="1"/>
  <c r="L768" i="14" s="1"/>
  <c r="I769" i="14" s="1"/>
  <c r="K746" i="13"/>
  <c r="L746" i="13" s="1"/>
  <c r="I747" i="13" s="1"/>
  <c r="N933" i="13"/>
  <c r="J932" i="13" a="1"/>
  <c r="J932" i="13" s="1"/>
  <c r="M936" i="14"/>
  <c r="M935" i="13"/>
  <c r="J931" i="14" a="1"/>
  <c r="J931" i="14" s="1"/>
  <c r="N932" i="14"/>
  <c r="K747" i="13" l="1"/>
  <c r="L747" i="13" s="1"/>
  <c r="I748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70" i="14" l="1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/>
  <c r="L748" i="13" s="1"/>
  <c r="I749" i="13" s="1"/>
  <c r="K771" i="14" l="1"/>
  <c r="L771" i="14" s="1"/>
  <c r="I772" i="14" s="1"/>
  <c r="K749" i="13"/>
  <c r="L749" i="13" s="1"/>
  <c r="I750" i="13" s="1"/>
  <c r="M939" i="14"/>
  <c r="N936" i="13"/>
  <c r="J935" i="13" a="1"/>
  <c r="J935" i="13" s="1"/>
  <c r="M938" i="13"/>
  <c r="N935" i="14"/>
  <c r="J934" i="14" a="1"/>
  <c r="J934" i="14" s="1"/>
  <c r="K750" i="13" l="1"/>
  <c r="L750" i="13" s="1"/>
  <c r="I751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1" i="13" l="1"/>
  <c r="L751" i="13" s="1"/>
  <c r="I752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74" i="14" l="1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/>
  <c r="L752" i="13" s="1"/>
  <c r="I753" i="13" s="1"/>
  <c r="K753" i="13" l="1"/>
  <c r="L753" i="13" s="1"/>
  <c r="I754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4" i="13" l="1"/>
  <c r="L754" i="13" s="1"/>
  <c r="I755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77" i="14" l="1"/>
  <c r="L777" i="14" s="1"/>
  <c r="I778" i="14" s="1"/>
  <c r="K755" i="13"/>
  <c r="L755" i="13" s="1"/>
  <c r="I756" i="13" s="1"/>
  <c r="N941" i="14"/>
  <c r="J940" i="14" a="1"/>
  <c r="J940" i="14" s="1"/>
  <c r="N942" i="13"/>
  <c r="J941" i="13" a="1"/>
  <c r="J941" i="13" s="1"/>
  <c r="M944" i="13"/>
  <c r="M945" i="14"/>
  <c r="K756" i="13" l="1"/>
  <c r="L756" i="13" s="1"/>
  <c r="I757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79" i="14" l="1"/>
  <c r="L779" i="14" s="1"/>
  <c r="I780" i="14" s="1"/>
  <c r="K757" i="13"/>
  <c r="L757" i="13" s="1"/>
  <c r="I758" i="13" s="1"/>
  <c r="N943" i="14"/>
  <c r="J942" i="14" a="1"/>
  <c r="J942" i="14" s="1"/>
  <c r="M947" i="14"/>
  <c r="N944" i="13"/>
  <c r="J943" i="13" a="1"/>
  <c r="J943" i="13" s="1"/>
  <c r="M946" i="13"/>
  <c r="K758" i="13" l="1"/>
  <c r="L758" i="13" s="1"/>
  <c r="I759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9" i="13" l="1"/>
  <c r="L759" i="13" s="1"/>
  <c r="I760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82" i="14" l="1"/>
  <c r="L782" i="14" s="1"/>
  <c r="I783" i="14" s="1"/>
  <c r="K760" i="13"/>
  <c r="L760" i="13" s="1"/>
  <c r="I761" i="13" s="1"/>
  <c r="N947" i="13"/>
  <c r="J946" i="13" a="1"/>
  <c r="J946" i="13" s="1"/>
  <c r="J945" i="14" a="1"/>
  <c r="J945" i="14" s="1"/>
  <c r="N946" i="14"/>
  <c r="M950" i="14"/>
  <c r="M949" i="13"/>
  <c r="K783" i="14" l="1"/>
  <c r="L783" i="14" s="1"/>
  <c r="I784" i="14" s="1"/>
  <c r="K761" i="13"/>
  <c r="L761" i="13" s="1"/>
  <c r="I762" i="13" s="1"/>
  <c r="M950" i="13"/>
  <c r="N947" i="14"/>
  <c r="J946" i="14" a="1"/>
  <c r="J946" i="14" s="1"/>
  <c r="M951" i="14"/>
  <c r="N948" i="13"/>
  <c r="J947" i="13" a="1"/>
  <c r="J947" i="13" s="1"/>
  <c r="K784" i="14" l="1"/>
  <c r="L784" i="14" s="1"/>
  <c r="I785" i="14" s="1"/>
  <c r="K762" i="13"/>
  <c r="L762" i="13" s="1"/>
  <c r="I763" i="13" s="1"/>
  <c r="N949" i="13"/>
  <c r="J948" i="13" a="1"/>
  <c r="J948" i="13" s="1"/>
  <c r="J947" i="14" a="1"/>
  <c r="J947" i="14" s="1"/>
  <c r="N948" i="14"/>
  <c r="M952" i="14"/>
  <c r="M951" i="13"/>
  <c r="K785" i="14" l="1"/>
  <c r="L785" i="14" s="1"/>
  <c r="I786" i="14" s="1"/>
  <c r="K763" i="13"/>
  <c r="L763" i="13" s="1"/>
  <c r="I764" i="13" s="1"/>
  <c r="M953" i="14"/>
  <c r="M952" i="13"/>
  <c r="N949" i="14"/>
  <c r="J948" i="14" a="1"/>
  <c r="J948" i="14" s="1"/>
  <c r="N950" i="13"/>
  <c r="J949" i="13" a="1"/>
  <c r="J949" i="13" s="1"/>
  <c r="K764" i="13" l="1"/>
  <c r="L764" i="13" s="1"/>
  <c r="I765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87" i="14" l="1"/>
  <c r="L787" i="14" s="1"/>
  <c r="I788" i="14" s="1"/>
  <c r="K765" i="13"/>
  <c r="L765" i="13" s="1"/>
  <c r="I766" i="13" s="1"/>
  <c r="N952" i="13"/>
  <c r="J951" i="13" a="1"/>
  <c r="J951" i="13" s="1"/>
  <c r="N951" i="14"/>
  <c r="J950" i="14" a="1"/>
  <c r="J950" i="14" s="1"/>
  <c r="M955" i="14"/>
  <c r="M954" i="13"/>
  <c r="K766" i="13" l="1"/>
  <c r="L766" i="13" s="1"/>
  <c r="I767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7" i="13" l="1"/>
  <c r="L767" i="13" s="1"/>
  <c r="I768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8" i="13" l="1"/>
  <c r="L768" i="13" s="1"/>
  <c r="I769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91" i="14" l="1"/>
  <c r="L791" i="14" s="1"/>
  <c r="I792" i="14" s="1"/>
  <c r="K769" i="13"/>
  <c r="L769" i="13" s="1"/>
  <c r="I770" i="13" s="1"/>
  <c r="M959" i="14"/>
  <c r="M958" i="13"/>
  <c r="N956" i="13"/>
  <c r="J955" i="13" a="1"/>
  <c r="J955" i="13" s="1"/>
  <c r="N955" i="14"/>
  <c r="J954" i="14" a="1"/>
  <c r="J954" i="14" s="1"/>
  <c r="K792" i="14" l="1"/>
  <c r="L792" i="14" s="1"/>
  <c r="I793" i="14" s="1"/>
  <c r="M959" i="13"/>
  <c r="K770" i="13"/>
  <c r="L770" i="13" s="1"/>
  <c r="I771" i="13" s="1"/>
  <c r="M960" i="14"/>
  <c r="J955" i="14" a="1"/>
  <c r="J955" i="14" s="1"/>
  <c r="N956" i="14"/>
  <c r="N957" i="13"/>
  <c r="J956" i="13" a="1"/>
  <c r="J956" i="13" s="1"/>
  <c r="K793" i="14" l="1"/>
  <c r="L793" i="14" s="1"/>
  <c r="I794" i="14" s="1"/>
  <c r="K771" i="13"/>
  <c r="L771" i="13" s="1"/>
  <c r="I772" i="13" s="1"/>
  <c r="M961" i="14"/>
  <c r="M960" i="13"/>
  <c r="N958" i="13"/>
  <c r="J957" i="13" a="1"/>
  <c r="J957" i="13" s="1"/>
  <c r="N957" i="14"/>
  <c r="J956" i="14" a="1"/>
  <c r="J956" i="14" s="1"/>
  <c r="K772" i="13" l="1"/>
  <c r="L772" i="13" s="1"/>
  <c r="I773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95" i="14" l="1"/>
  <c r="L795" i="14" s="1"/>
  <c r="I796" i="14" s="1"/>
  <c r="K773" i="13"/>
  <c r="L773" i="13" s="1"/>
  <c r="I774" i="13" s="1"/>
  <c r="N960" i="13"/>
  <c r="J959" i="13" a="1"/>
  <c r="J959" i="13" s="1"/>
  <c r="N959" i="14"/>
  <c r="J958" i="14" a="1"/>
  <c r="J958" i="14" s="1"/>
  <c r="M963" i="14"/>
  <c r="M962" i="13"/>
  <c r="K796" i="14" l="1"/>
  <c r="L796" i="14" s="1"/>
  <c r="I797" i="14" s="1"/>
  <c r="M964" i="14"/>
  <c r="M963" i="13"/>
  <c r="J959" i="14" a="1"/>
  <c r="J959" i="14" s="1"/>
  <c r="N960" i="14"/>
  <c r="K774" i="13"/>
  <c r="L774" i="13" s="1"/>
  <c r="I775" i="13" s="1"/>
  <c r="N961" i="13"/>
  <c r="J960" i="13" a="1"/>
  <c r="J960" i="13" s="1"/>
  <c r="K775" i="13" l="1"/>
  <c r="L775" i="13" s="1"/>
  <c r="I776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98" i="14" l="1"/>
  <c r="L798" i="14" s="1"/>
  <c r="I799" i="14" s="1"/>
  <c r="K776" i="13"/>
  <c r="L776" i="13" s="1"/>
  <c r="I777" i="13" s="1"/>
  <c r="M965" i="13"/>
  <c r="M966" i="14"/>
  <c r="N963" i="13"/>
  <c r="J962" i="13" a="1"/>
  <c r="J962" i="13" s="1"/>
  <c r="J961" i="14" a="1"/>
  <c r="J961" i="14" s="1"/>
  <c r="N962" i="14"/>
  <c r="K799" i="14" l="1"/>
  <c r="L799" i="14" s="1"/>
  <c r="I800" i="14" s="1"/>
  <c r="K777" i="13"/>
  <c r="L777" i="13" s="1"/>
  <c r="I778" i="13" s="1"/>
  <c r="N963" i="14"/>
  <c r="J962" i="14" a="1"/>
  <c r="J962" i="14" s="1"/>
  <c r="M967" i="14"/>
  <c r="M966" i="13"/>
  <c r="N964" i="13"/>
  <c r="J963" i="13" a="1"/>
  <c r="J963" i="13" s="1"/>
  <c r="K800" i="14" l="1"/>
  <c r="L800" i="14" s="1"/>
  <c r="I801" i="14" s="1"/>
  <c r="K778" i="13"/>
  <c r="L778" i="13" s="1"/>
  <c r="I779" i="13" s="1"/>
  <c r="M968" i="14"/>
  <c r="N965" i="13"/>
  <c r="J964" i="13" a="1"/>
  <c r="J964" i="13" s="1"/>
  <c r="M967" i="13"/>
  <c r="J963" i="14" a="1"/>
  <c r="J963" i="14" s="1"/>
  <c r="N964" i="14"/>
  <c r="K779" i="13" l="1"/>
  <c r="L779" i="13" s="1"/>
  <c r="I780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80" i="13" l="1"/>
  <c r="L780" i="13" s="1"/>
  <c r="I781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803" i="14" l="1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/>
  <c r="L781" i="13" s="1"/>
  <c r="I782" i="13" s="1"/>
  <c r="K782" i="13" l="1"/>
  <c r="L782" i="13" s="1"/>
  <c r="I783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805" i="14" l="1"/>
  <c r="L805" i="14" s="1"/>
  <c r="I806" i="14" s="1"/>
  <c r="K783" i="13"/>
  <c r="L783" i="13" s="1"/>
  <c r="I784" i="13" s="1"/>
  <c r="N969" i="14"/>
  <c r="J968" i="14" a="1"/>
  <c r="J968" i="14" s="1"/>
  <c r="M973" i="14"/>
  <c r="M972" i="13"/>
  <c r="N970" i="13"/>
  <c r="J969" i="13" a="1"/>
  <c r="J969" i="13" s="1"/>
  <c r="K806" i="14" l="1"/>
  <c r="L806" i="14" s="1"/>
  <c r="I807" i="14" s="1"/>
  <c r="K784" i="13"/>
  <c r="L784" i="13" s="1"/>
  <c r="I785" i="13" s="1"/>
  <c r="N971" i="13"/>
  <c r="J970" i="13" a="1"/>
  <c r="J970" i="13" s="1"/>
  <c r="M973" i="13"/>
  <c r="M974" i="14"/>
  <c r="J969" i="14" a="1"/>
  <c r="J969" i="14" s="1"/>
  <c r="N970" i="14"/>
  <c r="K785" i="13" l="1"/>
  <c r="L785" i="13" s="1"/>
  <c r="I786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808" i="14" l="1"/>
  <c r="L808" i="14" s="1"/>
  <c r="I809" i="14" s="1"/>
  <c r="K786" i="13"/>
  <c r="L786" i="13" s="1"/>
  <c r="I787" i="13" s="1"/>
  <c r="N973" i="13"/>
  <c r="J972" i="13" a="1"/>
  <c r="J972" i="13" s="1"/>
  <c r="M975" i="13"/>
  <c r="M976" i="14"/>
  <c r="J971" i="14" a="1"/>
  <c r="J971" i="14" s="1"/>
  <c r="N972" i="14"/>
  <c r="K809" i="14" l="1"/>
  <c r="L809" i="14" s="1"/>
  <c r="I810" i="14" s="1"/>
  <c r="M977" i="14"/>
  <c r="N973" i="14"/>
  <c r="J972" i="14" a="1"/>
  <c r="J972" i="14" s="1"/>
  <c r="M976" i="13"/>
  <c r="K787" i="13"/>
  <c r="L787" i="13" s="1"/>
  <c r="I788" i="13" s="1"/>
  <c r="N974" i="13"/>
  <c r="J973" i="13" a="1"/>
  <c r="J973" i="13" s="1"/>
  <c r="K788" i="13" l="1"/>
  <c r="L788" i="13" s="1"/>
  <c r="I789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9" i="13" l="1"/>
  <c r="L789" i="13" s="1"/>
  <c r="I790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812" i="14" l="1"/>
  <c r="L812" i="14" s="1"/>
  <c r="I813" i="14" s="1"/>
  <c r="K790" i="13"/>
  <c r="L790" i="13" s="1"/>
  <c r="I791" i="13" s="1"/>
  <c r="M979" i="13"/>
  <c r="M980" i="14"/>
  <c r="N977" i="13"/>
  <c r="J976" i="13" a="1"/>
  <c r="J976" i="13" s="1"/>
  <c r="J975" i="14" a="1"/>
  <c r="J975" i="14" s="1"/>
  <c r="N976" i="14"/>
  <c r="K791" i="13" l="1"/>
  <c r="L791" i="13" s="1"/>
  <c r="I792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814" i="14" l="1"/>
  <c r="L814" i="14" s="1"/>
  <c r="I815" i="14" s="1"/>
  <c r="K792" i="13"/>
  <c r="L792" i="13" s="1"/>
  <c r="I793" i="13" s="1"/>
  <c r="M982" i="14"/>
  <c r="N979" i="13"/>
  <c r="J978" i="13" a="1"/>
  <c r="J978" i="13" s="1"/>
  <c r="M981" i="13"/>
  <c r="J977" i="14" a="1"/>
  <c r="J977" i="14" s="1"/>
  <c r="N978" i="14"/>
  <c r="K793" i="13" l="1"/>
  <c r="L793" i="13" s="1"/>
  <c r="I794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816" i="14" l="1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/>
  <c r="L794" i="13" s="1"/>
  <c r="I795" i="13" s="1"/>
  <c r="K795" i="13" l="1"/>
  <c r="L795" i="13" s="1"/>
  <c r="I796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818" i="14" l="1"/>
  <c r="L818" i="14" s="1"/>
  <c r="I819" i="14" s="1"/>
  <c r="K796" i="13"/>
  <c r="L796" i="13" s="1"/>
  <c r="I797" i="13" s="1"/>
  <c r="N983" i="13"/>
  <c r="J982" i="13" a="1"/>
  <c r="J982" i="13" s="1"/>
  <c r="J981" i="14" a="1"/>
  <c r="J981" i="14" s="1"/>
  <c r="N982" i="14"/>
  <c r="M985" i="13"/>
  <c r="M986" i="14"/>
  <c r="K819" i="14" l="1"/>
  <c r="L819" i="14" s="1"/>
  <c r="I820" i="14" s="1"/>
  <c r="K797" i="13"/>
  <c r="L797" i="13" s="1"/>
  <c r="I798" i="13" s="1"/>
  <c r="M986" i="13"/>
  <c r="M987" i="14"/>
  <c r="N983" i="14"/>
  <c r="J982" i="14" a="1"/>
  <c r="J982" i="14" s="1"/>
  <c r="N984" i="13"/>
  <c r="J983" i="13" a="1"/>
  <c r="J983" i="13" s="1"/>
  <c r="K798" i="13" l="1"/>
  <c r="L798" i="13" s="1"/>
  <c r="I799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821" i="14" l="1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/>
  <c r="L799" i="13" s="1"/>
  <c r="I800" i="13" s="1"/>
  <c r="K800" i="13" l="1"/>
  <c r="L800" i="13" s="1"/>
  <c r="I801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23" i="14" l="1"/>
  <c r="L823" i="14" s="1"/>
  <c r="I824" i="14" s="1"/>
  <c r="K801" i="13"/>
  <c r="L801" i="13" s="1"/>
  <c r="I802" i="13" s="1"/>
  <c r="N987" i="14"/>
  <c r="J986" i="14" a="1"/>
  <c r="J986" i="14" s="1"/>
  <c r="N988" i="13"/>
  <c r="J987" i="13" a="1"/>
  <c r="J987" i="13" s="1"/>
  <c r="M990" i="13"/>
  <c r="M991" i="14"/>
  <c r="K824" i="14" l="1"/>
  <c r="L824" i="14" s="1"/>
  <c r="I825" i="14" s="1"/>
  <c r="N989" i="13"/>
  <c r="J988" i="13" a="1"/>
  <c r="J988" i="13" s="1"/>
  <c r="K802" i="13"/>
  <c r="L802" i="13" s="1"/>
  <c r="I803" i="13" s="1"/>
  <c r="M992" i="14"/>
  <c r="M991" i="13"/>
  <c r="J987" i="14" a="1"/>
  <c r="J987" i="14" s="1"/>
  <c r="N988" i="14"/>
  <c r="K803" i="13" l="1"/>
  <c r="L803" i="13" s="1"/>
  <c r="I804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4" i="13" l="1"/>
  <c r="L804" i="13" s="1"/>
  <c r="I805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5" i="13" l="1"/>
  <c r="L805" i="13" s="1"/>
  <c r="I806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28" i="14" l="1"/>
  <c r="L828" i="14" s="1"/>
  <c r="I829" i="14" s="1"/>
  <c r="K806" i="13"/>
  <c r="L806" i="13" s="1"/>
  <c r="I807" i="13" s="1"/>
  <c r="M995" i="13"/>
  <c r="J991" i="14" a="1"/>
  <c r="J991" i="14" s="1"/>
  <c r="N992" i="14"/>
  <c r="M996" i="14"/>
  <c r="N993" i="13"/>
  <c r="J992" i="13" a="1"/>
  <c r="J992" i="13" s="1"/>
  <c r="K807" i="13" l="1"/>
  <c r="L807" i="13" s="1"/>
  <c r="I808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8" i="13" l="1"/>
  <c r="L808" i="13" s="1"/>
  <c r="I809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31" i="14" l="1"/>
  <c r="L831" i="14" s="1"/>
  <c r="I832" i="14" s="1"/>
  <c r="K809" i="13"/>
  <c r="L809" i="13" s="1"/>
  <c r="I810" i="13" s="1"/>
  <c r="N996" i="13"/>
  <c r="J995" i="13" a="1"/>
  <c r="J995" i="13" s="1"/>
  <c r="M999" i="14"/>
  <c r="M998" i="13"/>
  <c r="N995" i="14"/>
  <c r="J994" i="14" a="1"/>
  <c r="J994" i="14" s="1"/>
  <c r="K810" i="13" l="1"/>
  <c r="L810" i="13" s="1"/>
  <c r="I811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33" i="14" l="1"/>
  <c r="L833" i="14" s="1"/>
  <c r="I834" i="14" s="1"/>
  <c r="K811" i="13"/>
  <c r="L811" i="13" s="1"/>
  <c r="I812" i="13" s="1"/>
  <c r="N998" i="13"/>
  <c r="J997" i="13" a="1"/>
  <c r="J997" i="13" s="1"/>
  <c r="M1000" i="13"/>
  <c r="M1001" i="14"/>
  <c r="N997" i="14"/>
  <c r="J996" i="14" a="1"/>
  <c r="J996" i="14" s="1"/>
  <c r="K812" i="13" l="1"/>
  <c r="L812" i="13" s="1"/>
  <c r="I813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35" i="14" l="1"/>
  <c r="L835" i="14" s="1"/>
  <c r="I836" i="14" s="1"/>
  <c r="K813" i="13"/>
  <c r="L813" i="13" s="1"/>
  <c r="I814" i="13" s="1"/>
  <c r="N1000" i="13"/>
  <c r="J999" i="13" a="1"/>
  <c r="J999" i="13" s="1"/>
  <c r="M1003" i="14"/>
  <c r="M1002" i="13"/>
  <c r="N999" i="14"/>
  <c r="J998" i="14" a="1"/>
  <c r="J998" i="14" s="1"/>
  <c r="K814" i="13" l="1"/>
  <c r="L814" i="13" s="1"/>
  <c r="I815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37" i="14" l="1"/>
  <c r="L837" i="14" s="1"/>
  <c r="I838" i="14" s="1"/>
  <c r="K815" i="13"/>
  <c r="L815" i="13" s="1"/>
  <c r="I816" i="13" s="1"/>
  <c r="M1004" i="13"/>
  <c r="N1001" i="14"/>
  <c r="J1000" i="14" a="1"/>
  <c r="J1000" i="14" s="1"/>
  <c r="M1005" i="14"/>
  <c r="N1002" i="13"/>
  <c r="J1001" i="13" a="1"/>
  <c r="J1001" i="13" s="1"/>
  <c r="K816" i="13" l="1"/>
  <c r="L816" i="13" s="1"/>
  <c r="I817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39" i="14" l="1"/>
  <c r="L839" i="14" s="1"/>
  <c r="I840" i="14" s="1"/>
  <c r="K817" i="13"/>
  <c r="L817" i="13" s="1"/>
  <c r="I818" i="13" s="1"/>
  <c r="M1006" i="13"/>
  <c r="N1003" i="14"/>
  <c r="J1002" i="14" a="1"/>
  <c r="J1002" i="14" s="1"/>
  <c r="M1007" i="14"/>
  <c r="N1004" i="13"/>
  <c r="J1003" i="13" a="1"/>
  <c r="J1003" i="13" s="1"/>
  <c r="K818" i="13" l="1"/>
  <c r="L818" i="13" s="1"/>
  <c r="I819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41" i="14" l="1"/>
  <c r="L841" i="14" s="1"/>
  <c r="I842" i="14" s="1"/>
  <c r="K819" i="13"/>
  <c r="L819" i="13" s="1"/>
  <c r="I820" i="13" s="1"/>
  <c r="M1008" i="13"/>
  <c r="N1006" i="13"/>
  <c r="J1005" i="13" a="1"/>
  <c r="J1005" i="13" s="1"/>
  <c r="M1009" i="14"/>
  <c r="N1005" i="14"/>
  <c r="J1004" i="14" a="1"/>
  <c r="J1004" i="14" s="1"/>
  <c r="K820" i="13" l="1"/>
  <c r="L820" i="13" s="1"/>
  <c r="I821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43" i="14" l="1"/>
  <c r="L843" i="14" s="1"/>
  <c r="I844" i="14" s="1"/>
  <c r="K821" i="13"/>
  <c r="L821" i="13" s="1"/>
  <c r="I822" i="13" s="1"/>
  <c r="J1006" i="14" a="1"/>
  <c r="J1006" i="14" s="1"/>
  <c r="N1007" i="14"/>
  <c r="N1008" i="13"/>
  <c r="J1007" i="13" a="1"/>
  <c r="J1007" i="13" s="1"/>
  <c r="M1010" i="13"/>
  <c r="M1011" i="14"/>
  <c r="K844" i="14" l="1"/>
  <c r="L844" i="14" s="1"/>
  <c r="I845" i="14" s="1"/>
  <c r="K822" i="13"/>
  <c r="L822" i="13" s="1"/>
  <c r="I823" i="13" s="1"/>
  <c r="M1011" i="13"/>
  <c r="N1009" i="13"/>
  <c r="J1008" i="13" a="1"/>
  <c r="J1008" i="13" s="1"/>
  <c r="M1012" i="14"/>
  <c r="N1008" i="14"/>
  <c r="J1007" i="14" a="1"/>
  <c r="J1007" i="14" s="1"/>
  <c r="K823" i="13" l="1"/>
  <c r="L823" i="13" s="1"/>
  <c r="I824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46" i="14" l="1"/>
  <c r="L846" i="14" s="1"/>
  <c r="I847" i="14" s="1"/>
  <c r="K824" i="13"/>
  <c r="L824" i="13" s="1"/>
  <c r="I825" i="13" s="1"/>
  <c r="M1014" i="14"/>
  <c r="N1011" i="13"/>
  <c r="J1010" i="13" a="1"/>
  <c r="J1010" i="13" s="1"/>
  <c r="M1013" i="13"/>
  <c r="N1010" i="14"/>
  <c r="J1009" i="14" a="1"/>
  <c r="J1009" i="14" s="1"/>
  <c r="K847" i="14" l="1"/>
  <c r="L847" i="14" s="1"/>
  <c r="I848" i="14" s="1"/>
  <c r="K825" i="13"/>
  <c r="L825" i="13" s="1"/>
  <c r="I826" i="13" s="1"/>
  <c r="N1012" i="13"/>
  <c r="J1011" i="13" a="1"/>
  <c r="J1011" i="13" s="1"/>
  <c r="J1010" i="14" a="1"/>
  <c r="J1010" i="14" s="1"/>
  <c r="N1011" i="14"/>
  <c r="M1014" i="13"/>
  <c r="M1015" i="14"/>
  <c r="K848" i="14" l="1"/>
  <c r="L848" i="14" s="1"/>
  <c r="I849" i="14" s="1"/>
  <c r="K826" i="13"/>
  <c r="L826" i="13" s="1"/>
  <c r="I827" i="13" s="1"/>
  <c r="M1016" i="14"/>
  <c r="N1012" i="14"/>
  <c r="J1011" i="14" a="1"/>
  <c r="J1011" i="14" s="1"/>
  <c r="M1015" i="13"/>
  <c r="N1013" i="13"/>
  <c r="J1012" i="13" a="1"/>
  <c r="J1012" i="13" s="1"/>
  <c r="K827" i="13" l="1"/>
  <c r="L827" i="13" s="1"/>
  <c r="I828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50" i="14" l="1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/>
  <c r="L828" i="13" s="1"/>
  <c r="I829" i="13" s="1"/>
  <c r="K851" i="14" l="1"/>
  <c r="L851" i="14" s="1"/>
  <c r="I852" i="14" s="1"/>
  <c r="K829" i="13"/>
  <c r="L829" i="13" s="1"/>
  <c r="I830" i="13" s="1"/>
  <c r="M1018" i="13"/>
  <c r="N1016" i="13"/>
  <c r="J1015" i="13" a="1"/>
  <c r="J1015" i="13" s="1"/>
  <c r="M1019" i="14"/>
  <c r="J1014" i="14" a="1"/>
  <c r="J1014" i="14" s="1"/>
  <c r="N1015" i="14"/>
  <c r="K852" i="14" l="1"/>
  <c r="L852" i="14" s="1"/>
  <c r="I853" i="14" s="1"/>
  <c r="K830" i="13"/>
  <c r="L830" i="13" s="1"/>
  <c r="I831" i="13" s="1"/>
  <c r="N1017" i="13"/>
  <c r="J1016" i="13" a="1"/>
  <c r="J1016" i="13" s="1"/>
  <c r="M1019" i="13"/>
  <c r="N1016" i="14"/>
  <c r="J1015" i="14" a="1"/>
  <c r="J1015" i="14" s="1"/>
  <c r="M1020" i="14"/>
  <c r="K853" i="14" l="1"/>
  <c r="L853" i="14" s="1"/>
  <c r="I854" i="14" s="1"/>
  <c r="K831" i="13"/>
  <c r="L831" i="13" s="1"/>
  <c r="I832" i="13" s="1"/>
  <c r="N1017" i="14"/>
  <c r="J1016" i="14" a="1"/>
  <c r="J1016" i="14" s="1"/>
  <c r="M1021" i="14"/>
  <c r="M1020" i="13"/>
  <c r="N1018" i="13"/>
  <c r="J1017" i="13" a="1"/>
  <c r="J1017" i="13" s="1"/>
  <c r="K854" i="14" l="1"/>
  <c r="L854" i="14" s="1"/>
  <c r="I855" i="14" s="1"/>
  <c r="K832" i="13"/>
  <c r="L832" i="13" s="1"/>
  <c r="I833" i="13" s="1"/>
  <c r="N1019" i="13"/>
  <c r="J1018" i="13" a="1"/>
  <c r="J1018" i="13" s="1"/>
  <c r="M1022" i="14"/>
  <c r="M1021" i="13"/>
  <c r="N1018" i="14"/>
  <c r="J1017" i="14" a="1"/>
  <c r="J1017" i="14" s="1"/>
  <c r="K833" i="13" l="1"/>
  <c r="L833" i="13" s="1"/>
  <c r="I834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4" i="13" l="1"/>
  <c r="L834" i="13" s="1"/>
  <c r="I835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57" i="14" l="1"/>
  <c r="L857" i="14" s="1"/>
  <c r="I858" i="14" s="1"/>
  <c r="K835" i="13"/>
  <c r="L835" i="13" s="1"/>
  <c r="I836" i="13" s="1"/>
  <c r="M1024" i="13"/>
  <c r="N1022" i="13"/>
  <c r="J1021" i="13" a="1"/>
  <c r="J1021" i="13" s="1"/>
  <c r="N1021" i="14"/>
  <c r="J1020" i="14" a="1"/>
  <c r="J1020" i="14" s="1"/>
  <c r="M1025" i="14"/>
  <c r="K836" i="13" l="1"/>
  <c r="L836" i="13" s="1"/>
  <c r="I837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59" i="14" l="1"/>
  <c r="L859" i="14" s="1"/>
  <c r="I860" i="14" s="1"/>
  <c r="K837" i="13"/>
  <c r="L837" i="13" s="1"/>
  <c r="I838" i="13" s="1"/>
  <c r="N1024" i="13"/>
  <c r="J1023" i="13" a="1"/>
  <c r="J1023" i="13" s="1"/>
  <c r="J1022" i="14" a="1"/>
  <c r="J1022" i="14" s="1"/>
  <c r="N1023" i="14"/>
  <c r="M1026" i="13"/>
  <c r="M1027" i="14"/>
  <c r="K838" i="13" l="1"/>
  <c r="L838" i="13" s="1"/>
  <c r="I839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9" i="13" l="1"/>
  <c r="L839" i="13" s="1"/>
  <c r="I840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62" i="14" l="1"/>
  <c r="L862" i="14" s="1"/>
  <c r="I863" i="14" s="1"/>
  <c r="K840" i="13"/>
  <c r="L840" i="13" s="1"/>
  <c r="I841" i="13" s="1"/>
  <c r="J1025" i="14" a="1"/>
  <c r="J1025" i="14" s="1"/>
  <c r="N1026" i="14"/>
  <c r="M1030" i="14"/>
  <c r="M1029" i="13"/>
  <c r="N1027" i="13"/>
  <c r="J1026" i="13" a="1"/>
  <c r="J1026" i="13" s="1"/>
  <c r="K863" i="14" l="1"/>
  <c r="L863" i="14" s="1"/>
  <c r="I864" i="14" s="1"/>
  <c r="K841" i="13"/>
  <c r="L841" i="13" s="1"/>
  <c r="I842" i="13" s="1"/>
  <c r="M1030" i="13"/>
  <c r="N1028" i="13"/>
  <c r="J1027" i="13" a="1"/>
  <c r="J1027" i="13" s="1"/>
  <c r="M1031" i="14"/>
  <c r="J1026" i="14" a="1"/>
  <c r="J1026" i="14" s="1"/>
  <c r="N1027" i="14"/>
  <c r="K864" i="14" l="1"/>
  <c r="L864" i="14" s="1"/>
  <c r="I865" i="14" s="1"/>
  <c r="K842" i="13"/>
  <c r="L842" i="13" s="1"/>
  <c r="I843" i="13" s="1"/>
  <c r="N1029" i="13"/>
  <c r="J1028" i="13" a="1"/>
  <c r="J1028" i="13" s="1"/>
  <c r="M1032" i="14"/>
  <c r="M1031" i="13"/>
  <c r="N1028" i="14"/>
  <c r="J1027" i="14" a="1"/>
  <c r="J1027" i="14" s="1"/>
  <c r="K843" i="13" l="1"/>
  <c r="L843" i="13" s="1"/>
  <c r="I844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66" i="14" l="1"/>
  <c r="L866" i="14" s="1"/>
  <c r="I867" i="14" s="1"/>
  <c r="K844" i="13"/>
  <c r="L844" i="13" s="1"/>
  <c r="I845" i="13" s="1"/>
  <c r="N1031" i="13"/>
  <c r="J1030" i="13" a="1"/>
  <c r="J1030" i="13" s="1"/>
  <c r="M1033" i="13"/>
  <c r="M1034" i="14"/>
  <c r="J1029" i="14" a="1"/>
  <c r="J1029" i="14" s="1"/>
  <c r="N1030" i="14"/>
  <c r="K867" i="14" l="1"/>
  <c r="L867" i="14" s="1"/>
  <c r="I868" i="14" s="1"/>
  <c r="K845" i="13"/>
  <c r="L845" i="13" s="1"/>
  <c r="I846" i="13" s="1"/>
  <c r="M1035" i="14"/>
  <c r="J1030" i="14" a="1"/>
  <c r="J1030" i="14" s="1"/>
  <c r="N1031" i="14"/>
  <c r="M1034" i="13"/>
  <c r="N1032" i="13"/>
  <c r="J1031" i="13" a="1"/>
  <c r="J1031" i="13" s="1"/>
  <c r="K846" i="13" l="1"/>
  <c r="L846" i="13" s="1"/>
  <c r="I847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7" i="13" l="1"/>
  <c r="L847" i="13" s="1"/>
  <c r="I848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70" i="14" l="1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/>
  <c r="L848" i="13" s="1"/>
  <c r="I849" i="13" s="1"/>
  <c r="K849" i="13" l="1"/>
  <c r="L849" i="13" s="1"/>
  <c r="I850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72" i="14" l="1"/>
  <c r="L872" i="14" s="1"/>
  <c r="I873" i="14" s="1"/>
  <c r="K850" i="13"/>
  <c r="L850" i="13" s="1"/>
  <c r="I851" i="13" s="1"/>
  <c r="N1036" i="14"/>
  <c r="J1035" i="14" a="1"/>
  <c r="J1035" i="14" s="1"/>
  <c r="M1039" i="13"/>
  <c r="M1040" i="14"/>
  <c r="N1037" i="13"/>
  <c r="J1036" i="13" a="1"/>
  <c r="J1036" i="13" s="1"/>
  <c r="M1040" i="13" l="1"/>
  <c r="N1038" i="13"/>
  <c r="J1037" i="13" a="1"/>
  <c r="J1037" i="13" s="1"/>
  <c r="K851" i="13"/>
  <c r="L851" i="13" s="1"/>
  <c r="I852" i="13" s="1"/>
  <c r="M1041" i="14"/>
  <c r="N1037" i="14"/>
  <c r="J1036" i="14" a="1"/>
  <c r="J1036" i="14" s="1"/>
  <c r="K873" i="14"/>
  <c r="L873" i="14" s="1"/>
  <c r="I874" i="14" s="1"/>
  <c r="K852" i="13" l="1"/>
  <c r="L852" i="13" s="1"/>
  <c r="I853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N1040" i="13" l="1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/>
  <c r="L853" i="13" s="1"/>
  <c r="I854" i="13" s="1"/>
  <c r="K854" i="13" l="1"/>
  <c r="L854" i="13" s="1"/>
  <c r="I855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5" i="13" l="1"/>
  <c r="L855" i="13" s="1"/>
  <c r="I856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6" i="13" l="1"/>
  <c r="L856" i="13" s="1"/>
  <c r="I857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7" i="13" l="1"/>
  <c r="L857" i="13" s="1"/>
  <c r="I858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80" i="14" l="1"/>
  <c r="L880" i="14" s="1"/>
  <c r="I881" i="14" s="1"/>
  <c r="K858" i="13"/>
  <c r="L858" i="13" s="1"/>
  <c r="I859" i="13" s="1"/>
  <c r="N1045" i="13"/>
  <c r="J1044" i="13" a="1"/>
  <c r="J1044" i="13" s="1"/>
  <c r="M1047" i="13"/>
  <c r="M1048" i="14"/>
  <c r="N1044" i="14"/>
  <c r="J1043" i="14" a="1"/>
  <c r="J1043" i="14" s="1"/>
  <c r="K859" i="13" l="1"/>
  <c r="L859" i="13" s="1"/>
  <c r="I860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82" i="14" l="1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/>
  <c r="L860" i="13" s="1"/>
  <c r="I861" i="13" s="1"/>
  <c r="K883" i="14" l="1"/>
  <c r="L883" i="14" s="1"/>
  <c r="I884" i="14" s="1"/>
  <c r="K861" i="13"/>
  <c r="L861" i="13" s="1"/>
  <c r="I862" i="13" s="1"/>
  <c r="M1050" i="13"/>
  <c r="N1048" i="13"/>
  <c r="J1047" i="13" a="1"/>
  <c r="J1047" i="13" s="1"/>
  <c r="M1051" i="14"/>
  <c r="J1046" i="14" a="1"/>
  <c r="J1046" i="14" s="1"/>
  <c r="N1047" i="14"/>
  <c r="K862" i="13" l="1"/>
  <c r="L862" i="13" s="1"/>
  <c r="I863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3" i="13" l="1"/>
  <c r="L863" i="13" s="1"/>
  <c r="I864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86" i="14" l="1"/>
  <c r="L886" i="14" s="1"/>
  <c r="I887" i="14" s="1"/>
  <c r="K864" i="13"/>
  <c r="L864" i="13" s="1"/>
  <c r="I865" i="13" s="1"/>
  <c r="N1051" i="13"/>
  <c r="J1050" i="13" a="1"/>
  <c r="J1050" i="13" s="1"/>
  <c r="J1049" i="14" a="1"/>
  <c r="J1049" i="14" s="1"/>
  <c r="N1050" i="14"/>
  <c r="M1054" i="14"/>
  <c r="M1053" i="13"/>
  <c r="K887" i="14" l="1"/>
  <c r="L887" i="14" s="1"/>
  <c r="I888" i="14" s="1"/>
  <c r="K865" i="13"/>
  <c r="L865" i="13" s="1"/>
  <c r="I866" i="13" s="1"/>
  <c r="J1050" i="14" a="1"/>
  <c r="J1050" i="14" s="1"/>
  <c r="N1051" i="14"/>
  <c r="M1054" i="13"/>
  <c r="M1055" i="14"/>
  <c r="N1052" i="13"/>
  <c r="J1051" i="13" a="1"/>
  <c r="J1051" i="13" s="1"/>
  <c r="K866" i="13" l="1"/>
  <c r="L866" i="13" s="1"/>
  <c r="I867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89" i="14" l="1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/>
  <c r="L867" i="13" s="1"/>
  <c r="I868" i="13" s="1"/>
  <c r="K890" i="14" l="1"/>
  <c r="L890" i="14" s="1"/>
  <c r="I891" i="14" s="1"/>
  <c r="J1053" i="14" a="1"/>
  <c r="J1053" i="14" s="1"/>
  <c r="N1054" i="14"/>
  <c r="K868" i="13"/>
  <c r="L868" i="13" s="1"/>
  <c r="I869" i="13" s="1"/>
  <c r="N1055" i="13"/>
  <c r="J1054" i="13" a="1"/>
  <c r="J1054" i="13" s="1"/>
  <c r="M1058" i="14"/>
  <c r="M1057" i="13"/>
  <c r="K869" i="13" l="1"/>
  <c r="L869" i="13" s="1"/>
  <c r="I870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92" i="14" l="1"/>
  <c r="L892" i="14" s="1"/>
  <c r="I893" i="14" s="1"/>
  <c r="K870" i="13"/>
  <c r="L870" i="13" s="1"/>
  <c r="I871" i="13" s="1"/>
  <c r="M1059" i="13"/>
  <c r="N1057" i="13"/>
  <c r="J1056" i="13" a="1"/>
  <c r="J1056" i="13" s="1"/>
  <c r="M1060" i="14"/>
  <c r="N1056" i="14"/>
  <c r="J1055" i="14" a="1"/>
  <c r="J1055" i="14" s="1"/>
  <c r="K893" i="14" l="1"/>
  <c r="L893" i="14" s="1"/>
  <c r="I894" i="14" s="1"/>
  <c r="N1058" i="13"/>
  <c r="J1057" i="13" a="1"/>
  <c r="J1057" i="13" s="1"/>
  <c r="N1057" i="14"/>
  <c r="J1056" i="14" a="1"/>
  <c r="J1056" i="14" s="1"/>
  <c r="K871" i="13"/>
  <c r="L871" i="13" s="1"/>
  <c r="I872" i="13" s="1"/>
  <c r="M1060" i="13"/>
  <c r="M1061" i="14"/>
  <c r="K872" i="13" l="1"/>
  <c r="L872" i="13" s="1"/>
  <c r="I873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95" i="14" l="1"/>
  <c r="L895" i="14" s="1"/>
  <c r="I896" i="14" s="1"/>
  <c r="K873" i="13"/>
  <c r="L873" i="13" s="1"/>
  <c r="I874" i="13" s="1"/>
  <c r="J1058" i="14" a="1"/>
  <c r="J1058" i="14" s="1"/>
  <c r="N1059" i="14"/>
  <c r="N1060" i="13"/>
  <c r="J1059" i="13" a="1"/>
  <c r="J1059" i="13" s="1"/>
  <c r="M1062" i="13"/>
  <c r="M1063" i="14"/>
  <c r="K874" i="13" l="1"/>
  <c r="L874" i="13" s="1"/>
  <c r="I875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97" i="14" l="1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/>
  <c r="L875" i="13" s="1"/>
  <c r="I876" i="13" s="1"/>
  <c r="K876" i="13" l="1"/>
  <c r="L876" i="13" s="1"/>
  <c r="I877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7" i="13" l="1"/>
  <c r="L877" i="13" s="1"/>
  <c r="I878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8" i="13" l="1"/>
  <c r="L878" i="13" s="1"/>
  <c r="I879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901" i="14" l="1"/>
  <c r="L901" i="14" s="1"/>
  <c r="I902" i="14" s="1"/>
  <c r="K879" i="13"/>
  <c r="L879" i="13" s="1"/>
  <c r="I880" i="13" s="1"/>
  <c r="M1069" i="14"/>
  <c r="N1066" i="13"/>
  <c r="J1065" i="13" a="1"/>
  <c r="J1065" i="13" s="1"/>
  <c r="M1068" i="13"/>
  <c r="N1065" i="14"/>
  <c r="J1064" i="14" a="1"/>
  <c r="J1064" i="14" s="1"/>
  <c r="K902" i="14" l="1"/>
  <c r="L902" i="14" s="1"/>
  <c r="I903" i="14" s="1"/>
  <c r="K880" i="13"/>
  <c r="L880" i="13" s="1"/>
  <c r="I881" i="13" s="1"/>
  <c r="J1065" i="14" a="1"/>
  <c r="J1065" i="14" s="1"/>
  <c r="N1066" i="14"/>
  <c r="N1067" i="13"/>
  <c r="J1066" i="13" a="1"/>
  <c r="J1066" i="13" s="1"/>
  <c r="M1069" i="13"/>
  <c r="M1070" i="14"/>
  <c r="K903" i="14" l="1"/>
  <c r="L903" i="14" s="1"/>
  <c r="I904" i="14" s="1"/>
  <c r="K881" i="13"/>
  <c r="L881" i="13" s="1"/>
  <c r="I882" i="13" s="1"/>
  <c r="M1071" i="14"/>
  <c r="N1068" i="13"/>
  <c r="J1067" i="13" a="1"/>
  <c r="J1067" i="13" s="1"/>
  <c r="M1070" i="13"/>
  <c r="J1066" i="14" a="1"/>
  <c r="J1066" i="14" s="1"/>
  <c r="N1067" i="14"/>
  <c r="K904" i="14" l="1"/>
  <c r="L904" i="14" s="1"/>
  <c r="I905" i="14" s="1"/>
  <c r="K882" i="13"/>
  <c r="L882" i="13" s="1"/>
  <c r="I883" i="13" s="1"/>
  <c r="N1068" i="14"/>
  <c r="J1067" i="14" a="1"/>
  <c r="J1067" i="14" s="1"/>
  <c r="N1069" i="13"/>
  <c r="J1068" i="13" a="1"/>
  <c r="J1068" i="13" s="1"/>
  <c r="M1071" i="13"/>
  <c r="M1072" i="14"/>
  <c r="K905" i="14" l="1"/>
  <c r="L905" i="14" s="1"/>
  <c r="I906" i="14" s="1"/>
  <c r="K883" i="13"/>
  <c r="L883" i="13" s="1"/>
  <c r="I884" i="13" s="1"/>
  <c r="N1070" i="13"/>
  <c r="J1069" i="13" a="1"/>
  <c r="J1069" i="13" s="1"/>
  <c r="M1073" i="14"/>
  <c r="M1072" i="13"/>
  <c r="N1069" i="14"/>
  <c r="J1068" i="14" a="1"/>
  <c r="J1068" i="14" s="1"/>
  <c r="K906" i="14" l="1"/>
  <c r="L906" i="14" s="1"/>
  <c r="I907" i="14" s="1"/>
  <c r="K884" i="13"/>
  <c r="L884" i="13" s="1"/>
  <c r="I885" i="13" s="1"/>
  <c r="J1069" i="14" a="1"/>
  <c r="J1069" i="14" s="1"/>
  <c r="N1070" i="14"/>
  <c r="M1074" i="14"/>
  <c r="M1073" i="13"/>
  <c r="N1071" i="13"/>
  <c r="J1070" i="13" a="1"/>
  <c r="J1070" i="13" s="1"/>
  <c r="K907" i="14" l="1"/>
  <c r="L907" i="14" s="1"/>
  <c r="I908" i="14" s="1"/>
  <c r="M1075" i="14"/>
  <c r="K885" i="13"/>
  <c r="L885" i="13" s="1"/>
  <c r="I886" i="13" s="1"/>
  <c r="N1072" i="13"/>
  <c r="J1071" i="13" a="1"/>
  <c r="J1071" i="13" s="1"/>
  <c r="M1074" i="13"/>
  <c r="J1070" i="14" a="1"/>
  <c r="J1070" i="14" s="1"/>
  <c r="N1071" i="14"/>
  <c r="M1076" i="14" l="1"/>
  <c r="N1073" i="13"/>
  <c r="J1072" i="13" a="1"/>
  <c r="J1072" i="13" s="1"/>
  <c r="M1075" i="13"/>
  <c r="N1072" i="14"/>
  <c r="J1071" i="14" a="1"/>
  <c r="J1071" i="14" s="1"/>
  <c r="K886" i="13"/>
  <c r="L886" i="13" s="1"/>
  <c r="I887" i="13" s="1"/>
  <c r="K908" i="14"/>
  <c r="L908" i="14" s="1"/>
  <c r="I909" i="14" s="1"/>
  <c r="K909" i="14" l="1"/>
  <c r="L909" i="14" s="1"/>
  <c r="I910" i="14" s="1"/>
  <c r="K887" i="13"/>
  <c r="L887" i="13" s="1"/>
  <c r="I888" i="13" s="1"/>
  <c r="N1074" i="13"/>
  <c r="J1073" i="13" a="1"/>
  <c r="J1073" i="13" s="1"/>
  <c r="N1073" i="14"/>
  <c r="J1072" i="14" a="1"/>
  <c r="J1072" i="14" s="1"/>
  <c r="M1076" i="13"/>
  <c r="M1077" i="14"/>
  <c r="K888" i="13" l="1"/>
  <c r="L888" i="13" s="1"/>
  <c r="I889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911" i="14" l="1"/>
  <c r="L911" i="14" s="1"/>
  <c r="I912" i="14" s="1"/>
  <c r="K889" i="13"/>
  <c r="L889" i="13" s="1"/>
  <c r="I890" i="13" s="1"/>
  <c r="J1074" i="14" a="1"/>
  <c r="J1074" i="14" s="1"/>
  <c r="N1075" i="14"/>
  <c r="N1076" i="13"/>
  <c r="J1075" i="13" a="1"/>
  <c r="J1075" i="13" s="1"/>
  <c r="M1078" i="13"/>
  <c r="M1079" i="14"/>
  <c r="K912" i="14" l="1"/>
  <c r="L912" i="14" s="1"/>
  <c r="I913" i="14" s="1"/>
  <c r="K890" i="13"/>
  <c r="L890" i="13" s="1"/>
  <c r="I891" i="13" s="1"/>
  <c r="N1077" i="13"/>
  <c r="J1076" i="13" a="1"/>
  <c r="J1076" i="13" s="1"/>
  <c r="M1080" i="14"/>
  <c r="N1076" i="14"/>
  <c r="J1075" i="14" a="1"/>
  <c r="J1075" i="14" s="1"/>
  <c r="M1079" i="13"/>
  <c r="K891" i="13" l="1"/>
  <c r="L891" i="13" s="1"/>
  <c r="I892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914" i="14" l="1"/>
  <c r="L914" i="14" s="1"/>
  <c r="I915" i="14" s="1"/>
  <c r="K892" i="13"/>
  <c r="L892" i="13" s="1"/>
  <c r="I893" i="13" s="1"/>
  <c r="N1079" i="13"/>
  <c r="J1078" i="13" a="1"/>
  <c r="J1078" i="13" s="1"/>
  <c r="M1082" i="14"/>
  <c r="J1077" i="14" a="1"/>
  <c r="J1077" i="14" s="1"/>
  <c r="N1078" i="14"/>
  <c r="M1081" i="13"/>
  <c r="K915" i="14" l="1"/>
  <c r="L915" i="14" s="1"/>
  <c r="I916" i="14" s="1"/>
  <c r="K893" i="13"/>
  <c r="L893" i="13" s="1"/>
  <c r="I894" i="13" s="1"/>
  <c r="N1080" i="13"/>
  <c r="J1079" i="13" a="1"/>
  <c r="J1079" i="13" s="1"/>
  <c r="J1078" i="14" a="1"/>
  <c r="J1078" i="14" s="1"/>
  <c r="N1079" i="14"/>
  <c r="M1082" i="13"/>
  <c r="M1083" i="14"/>
  <c r="K916" i="14" l="1"/>
  <c r="L916" i="14" s="1"/>
  <c r="I917" i="14" s="1"/>
  <c r="K894" i="13"/>
  <c r="L894" i="13" s="1"/>
  <c r="I895" i="13" s="1"/>
  <c r="M1083" i="13"/>
  <c r="M1084" i="14"/>
  <c r="N1080" i="14"/>
  <c r="J1079" i="14" a="1"/>
  <c r="J1079" i="14" s="1"/>
  <c r="N1081" i="13"/>
  <c r="J1080" i="13" a="1"/>
  <c r="J1080" i="13" s="1"/>
  <c r="K917" i="14" l="1"/>
  <c r="L917" i="14" s="1"/>
  <c r="I918" i="14" s="1"/>
  <c r="K895" i="13"/>
  <c r="L895" i="13" s="1"/>
  <c r="I896" i="13" s="1"/>
  <c r="N1082" i="13"/>
  <c r="J1081" i="13" a="1"/>
  <c r="J1081" i="13" s="1"/>
  <c r="M1085" i="14"/>
  <c r="M1084" i="13"/>
  <c r="N1081" i="14"/>
  <c r="J1080" i="14" a="1"/>
  <c r="J1080" i="14" s="1"/>
  <c r="K918" i="14" l="1"/>
  <c r="L918" i="14" s="1"/>
  <c r="I919" i="14" s="1"/>
  <c r="K896" i="13"/>
  <c r="L896" i="13" s="1"/>
  <c r="I897" i="13" s="1"/>
  <c r="M1085" i="13"/>
  <c r="J1081" i="14" a="1"/>
  <c r="J1081" i="14" s="1"/>
  <c r="N1082" i="14"/>
  <c r="M1086" i="14"/>
  <c r="N1083" i="13"/>
  <c r="J1082" i="13" a="1"/>
  <c r="J1082" i="13" s="1"/>
  <c r="K897" i="13" l="1"/>
  <c r="L897" i="13" s="1"/>
  <c r="I898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920" i="14" l="1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/>
  <c r="L898" i="13" s="1"/>
  <c r="I899" i="13" s="1"/>
  <c r="K899" i="13" l="1"/>
  <c r="L899" i="13" s="1"/>
  <c r="I900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922" i="14" l="1"/>
  <c r="L922" i="14" s="1"/>
  <c r="I923" i="14" s="1"/>
  <c r="K900" i="13"/>
  <c r="L900" i="13" s="1"/>
  <c r="I901" i="13" s="1"/>
  <c r="N1087" i="13"/>
  <c r="J1086" i="13" a="1"/>
  <c r="J1086" i="13" s="1"/>
  <c r="M1090" i="14"/>
  <c r="M1089" i="13"/>
  <c r="J1085" i="14" a="1"/>
  <c r="J1085" i="14" s="1"/>
  <c r="N1086" i="14"/>
  <c r="K923" i="14" l="1"/>
  <c r="L923" i="14" s="1"/>
  <c r="I924" i="14" s="1"/>
  <c r="K901" i="13"/>
  <c r="L901" i="13" s="1"/>
  <c r="I902" i="13" s="1"/>
  <c r="M1091" i="14"/>
  <c r="J1086" i="14" a="1"/>
  <c r="J1086" i="14" s="1"/>
  <c r="N1087" i="14"/>
  <c r="M1090" i="13"/>
  <c r="N1088" i="13"/>
  <c r="J1087" i="13" a="1"/>
  <c r="J1087" i="13" s="1"/>
  <c r="K924" i="14" l="1"/>
  <c r="L924" i="14" s="1"/>
  <c r="I925" i="14" s="1"/>
  <c r="K902" i="13"/>
  <c r="L902" i="13" s="1"/>
  <c r="I903" i="13" s="1"/>
  <c r="N1088" i="14"/>
  <c r="J1087" i="14" a="1"/>
  <c r="J1087" i="14" s="1"/>
  <c r="M1091" i="13"/>
  <c r="N1089" i="13"/>
  <c r="J1088" i="13" a="1"/>
  <c r="J1088" i="13" s="1"/>
  <c r="M1092" i="14"/>
  <c r="K903" i="13" l="1"/>
  <c r="L903" i="13" s="1"/>
  <c r="I904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26" i="14" l="1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/>
  <c r="L904" i="13" s="1"/>
  <c r="I905" i="13" s="1"/>
  <c r="K905" i="13" l="1"/>
  <c r="L905" i="13" s="1"/>
  <c r="I906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28" i="14" l="1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/>
  <c r="L906" i="13" s="1"/>
  <c r="I907" i="13" s="1"/>
  <c r="K929" i="14" l="1"/>
  <c r="L929" i="14" s="1"/>
  <c r="I930" i="14" s="1"/>
  <c r="K907" i="13"/>
  <c r="L907" i="13" s="1"/>
  <c r="I908" i="13" s="1"/>
  <c r="M1096" i="13"/>
  <c r="N1094" i="13"/>
  <c r="J1093" i="13" a="1"/>
  <c r="J1093" i="13" s="1"/>
  <c r="N1093" i="14"/>
  <c r="J1092" i="14" a="1"/>
  <c r="J1092" i="14" s="1"/>
  <c r="M1097" i="14"/>
  <c r="K908" i="13" l="1"/>
  <c r="L908" i="13" s="1"/>
  <c r="I909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31" i="14" l="1"/>
  <c r="L931" i="14" s="1"/>
  <c r="I932" i="14" s="1"/>
  <c r="K909" i="13"/>
  <c r="L909" i="13" s="1"/>
  <c r="I910" i="13" s="1"/>
  <c r="N1096" i="13"/>
  <c r="J1095" i="13" a="1"/>
  <c r="J1095" i="13" s="1"/>
  <c r="J1094" i="14" a="1"/>
  <c r="J1094" i="14" s="1"/>
  <c r="N1095" i="14"/>
  <c r="M1098" i="13"/>
  <c r="M1099" i="14"/>
  <c r="K910" i="13" l="1"/>
  <c r="L910" i="13" s="1"/>
  <c r="I911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33" i="14" l="1"/>
  <c r="L933" i="14" s="1"/>
  <c r="I934" i="14" s="1"/>
  <c r="K911" i="13"/>
  <c r="L911" i="13" s="1"/>
  <c r="I912" i="13" s="1"/>
  <c r="N1098" i="13"/>
  <c r="J1097" i="13" a="1"/>
  <c r="J1097" i="13" s="1"/>
  <c r="M1101" i="14"/>
  <c r="M1100" i="13"/>
  <c r="N1097" i="14"/>
  <c r="J1096" i="14" a="1"/>
  <c r="J1096" i="14" s="1"/>
  <c r="K934" i="14" l="1"/>
  <c r="L934" i="14" s="1"/>
  <c r="I935" i="14" s="1"/>
  <c r="K912" i="13"/>
  <c r="L912" i="13" s="1"/>
  <c r="I913" i="13" s="1"/>
  <c r="J1097" i="14" a="1"/>
  <c r="J1097" i="14" s="1"/>
  <c r="N1098" i="14"/>
  <c r="M1102" i="14"/>
  <c r="M1101" i="13"/>
  <c r="N1099" i="13"/>
  <c r="J1098" i="13" a="1"/>
  <c r="J1098" i="13" s="1"/>
  <c r="K913" i="13" l="1"/>
  <c r="L913" i="13" s="1"/>
  <c r="I914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36" i="14" l="1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/>
  <c r="L914" i="13" s="1"/>
  <c r="I915" i="13" s="1"/>
  <c r="K915" i="13" l="1"/>
  <c r="L915" i="13" s="1"/>
  <c r="I916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6" i="13" l="1"/>
  <c r="L916" i="13" s="1"/>
  <c r="I917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39" i="14" l="1"/>
  <c r="L939" i="14" s="1"/>
  <c r="I940" i="14" s="1"/>
  <c r="K917" i="13"/>
  <c r="L917" i="13" s="1"/>
  <c r="I918" i="13" s="1"/>
  <c r="J1102" i="14" a="1"/>
  <c r="J1102" i="14" s="1"/>
  <c r="N1103" i="14"/>
  <c r="M1107" i="14"/>
  <c r="M1106" i="13"/>
  <c r="N1104" i="13"/>
  <c r="J1103" i="13" a="1"/>
  <c r="J1103" i="13" s="1"/>
  <c r="K918" i="13" l="1"/>
  <c r="L918" i="13" s="1"/>
  <c r="I919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41" i="14" l="1"/>
  <c r="L941" i="14" s="1"/>
  <c r="I942" i="14" s="1"/>
  <c r="K919" i="13"/>
  <c r="L919" i="13" s="1"/>
  <c r="I920" i="13" s="1"/>
  <c r="M1108" i="13"/>
  <c r="N1105" i="14"/>
  <c r="J1104" i="14" a="1"/>
  <c r="J1104" i="14" s="1"/>
  <c r="M1109" i="14"/>
  <c r="N1106" i="13"/>
  <c r="J1105" i="13" a="1"/>
  <c r="J1105" i="13" s="1"/>
  <c r="K920" i="13" l="1"/>
  <c r="L920" i="13" s="1"/>
  <c r="I921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43" i="14" l="1"/>
  <c r="L943" i="14" s="1"/>
  <c r="I944" i="14" s="1"/>
  <c r="K921" i="13"/>
  <c r="L921" i="13" s="1"/>
  <c r="I922" i="13" s="1"/>
  <c r="M1110" i="13"/>
  <c r="M1111" i="14"/>
  <c r="J1106" i="14" a="1"/>
  <c r="J1106" i="14" s="1"/>
  <c r="N1107" i="14"/>
  <c r="N1108" i="13"/>
  <c r="J1107" i="13" a="1"/>
  <c r="J1107" i="13" s="1"/>
  <c r="K922" i="13" l="1"/>
  <c r="L922" i="13" s="1"/>
  <c r="I923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45" i="14" l="1"/>
  <c r="L945" i="14" s="1"/>
  <c r="I946" i="14" s="1"/>
  <c r="K923" i="13"/>
  <c r="L923" i="13" s="1"/>
  <c r="I924" i="13" s="1"/>
  <c r="M1112" i="13"/>
  <c r="N1110" i="13"/>
  <c r="J1109" i="13" a="1"/>
  <c r="J1109" i="13" s="1"/>
  <c r="N1109" i="14"/>
  <c r="J1108" i="14" a="1"/>
  <c r="J1108" i="14" s="1"/>
  <c r="M1113" i="14"/>
  <c r="K924" i="13" l="1"/>
  <c r="L924" i="13" s="1"/>
  <c r="I925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5" i="13" l="1"/>
  <c r="L925" i="13" s="1"/>
  <c r="I926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6" i="13" l="1"/>
  <c r="L926" i="13" s="1"/>
  <c r="I927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7" i="13" l="1"/>
  <c r="L927" i="13" s="1"/>
  <c r="I928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8" i="13" l="1"/>
  <c r="L928" i="13" s="1"/>
  <c r="I929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9" i="13" l="1"/>
  <c r="L929" i="13" s="1"/>
  <c r="I930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52" i="14" l="1"/>
  <c r="L952" i="14" s="1"/>
  <c r="I953" i="14" s="1"/>
  <c r="K930" i="13"/>
  <c r="L930" i="13" s="1"/>
  <c r="I931" i="13" s="1"/>
  <c r="N1116" i="14"/>
  <c r="J1115" i="14" a="1"/>
  <c r="J1115" i="14" s="1"/>
  <c r="N1117" i="13"/>
  <c r="J1116" i="13" a="1"/>
  <c r="J1116" i="13" s="1"/>
  <c r="M1119" i="13"/>
  <c r="M1120" i="14"/>
  <c r="K931" i="13" l="1"/>
  <c r="L931" i="13" s="1"/>
  <c r="I932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54" i="14" l="1"/>
  <c r="L954" i="14" s="1"/>
  <c r="I955" i="14" s="1"/>
  <c r="K932" i="13"/>
  <c r="L932" i="13" s="1"/>
  <c r="I933" i="13" s="1"/>
  <c r="J1117" i="14" a="1"/>
  <c r="J1117" i="14" s="1"/>
  <c r="N1118" i="14"/>
  <c r="M1122" i="14"/>
  <c r="M1121" i="13"/>
  <c r="N1119" i="13"/>
  <c r="J1118" i="13" a="1"/>
  <c r="J1118" i="13" s="1"/>
  <c r="K933" i="13" l="1"/>
  <c r="L933" i="13" s="1"/>
  <c r="I934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4" i="13" l="1"/>
  <c r="L934" i="13" s="1"/>
  <c r="I935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57" i="14" l="1"/>
  <c r="L957" i="14" s="1"/>
  <c r="I958" i="14" s="1"/>
  <c r="K935" i="13"/>
  <c r="L935" i="13" s="1"/>
  <c r="I936" i="13" s="1"/>
  <c r="N1121" i="14"/>
  <c r="J1120" i="14" a="1"/>
  <c r="J1120" i="14" s="1"/>
  <c r="N1122" i="13"/>
  <c r="J1121" i="13" a="1"/>
  <c r="J1121" i="13" s="1"/>
  <c r="M1124" i="13"/>
  <c r="M1125" i="14"/>
  <c r="K958" i="14" l="1"/>
  <c r="L958" i="14" s="1"/>
  <c r="I959" i="14" s="1"/>
  <c r="K936" i="13"/>
  <c r="L936" i="13" s="1"/>
  <c r="I937" i="13" s="1"/>
  <c r="N1123" i="13"/>
  <c r="J1122" i="13" a="1"/>
  <c r="J1122" i="13" s="1"/>
  <c r="M1126" i="14"/>
  <c r="M1125" i="13"/>
  <c r="J1121" i="14" a="1"/>
  <c r="J1121" i="14" s="1"/>
  <c r="N1122" i="14"/>
  <c r="K959" i="14" l="1"/>
  <c r="L959" i="14" s="1"/>
  <c r="I960" i="14" s="1"/>
  <c r="K937" i="13"/>
  <c r="L937" i="13" s="1"/>
  <c r="I938" i="13" s="1"/>
  <c r="M1127" i="14"/>
  <c r="M1126" i="13"/>
  <c r="J1122" i="14" a="1"/>
  <c r="J1122" i="14" s="1"/>
  <c r="N1123" i="14"/>
  <c r="N1124" i="13"/>
  <c r="J1123" i="13" a="1"/>
  <c r="J1123" i="13" s="1"/>
  <c r="K938" i="13" l="1"/>
  <c r="L938" i="13" s="1"/>
  <c r="I939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61" i="14" l="1"/>
  <c r="L961" i="14" s="1"/>
  <c r="I962" i="14" s="1"/>
  <c r="K939" i="13"/>
  <c r="L939" i="13" s="1"/>
  <c r="I940" i="13" s="1"/>
  <c r="N1126" i="13"/>
  <c r="J1125" i="13" a="1"/>
  <c r="J1125" i="13" s="1"/>
  <c r="M1128" i="13"/>
  <c r="N1125" i="14"/>
  <c r="J1124" i="14" a="1"/>
  <c r="J1124" i="14" s="1"/>
  <c r="M1129" i="14"/>
  <c r="K962" i="14" l="1"/>
  <c r="L962" i="14" s="1"/>
  <c r="I963" i="14" s="1"/>
  <c r="K940" i="13"/>
  <c r="L940" i="13" s="1"/>
  <c r="I941" i="13" s="1"/>
  <c r="J1125" i="14" a="1"/>
  <c r="J1125" i="14" s="1"/>
  <c r="N1126" i="14"/>
  <c r="M1130" i="14"/>
  <c r="M1129" i="13"/>
  <c r="N1127" i="13"/>
  <c r="J1126" i="13" a="1"/>
  <c r="J1126" i="13" s="1"/>
  <c r="K941" i="13" l="1"/>
  <c r="L941" i="13" s="1"/>
  <c r="I942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2" i="13" l="1"/>
  <c r="L942" i="13" s="1"/>
  <c r="I943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65" i="14" l="1"/>
  <c r="L965" i="14" s="1"/>
  <c r="I966" i="14" s="1"/>
  <c r="K943" i="13"/>
  <c r="L943" i="13" s="1"/>
  <c r="I944" i="13" s="1"/>
  <c r="N1130" i="13"/>
  <c r="J1129" i="13" a="1"/>
  <c r="J1129" i="13" s="1"/>
  <c r="N1129" i="14"/>
  <c r="J1128" i="14" a="1"/>
  <c r="J1128" i="14" s="1"/>
  <c r="M1132" i="13"/>
  <c r="M1133" i="14"/>
  <c r="K944" i="13" l="1"/>
  <c r="L944" i="13" s="1"/>
  <c r="I945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5" i="13" l="1"/>
  <c r="L945" i="13" s="1"/>
  <c r="I946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68" i="14" l="1"/>
  <c r="L968" i="14" s="1"/>
  <c r="I969" i="14" s="1"/>
  <c r="K946" i="13"/>
  <c r="L946" i="13" s="1"/>
  <c r="I947" i="13" s="1"/>
  <c r="N1133" i="13"/>
  <c r="J1132" i="13" a="1"/>
  <c r="J1132" i="13" s="1"/>
  <c r="N1132" i="14"/>
  <c r="J1131" i="14" a="1"/>
  <c r="J1131" i="14" s="1"/>
  <c r="M1136" i="14"/>
  <c r="M1135" i="13"/>
  <c r="K947" i="13" l="1"/>
  <c r="L947" i="13" s="1"/>
  <c r="I948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8" i="13" l="1"/>
  <c r="L948" i="13" s="1"/>
  <c r="I949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71" i="14" l="1"/>
  <c r="L971" i="14" s="1"/>
  <c r="I972" i="14" s="1"/>
  <c r="K949" i="13"/>
  <c r="L949" i="13" s="1"/>
  <c r="I950" i="13" s="1"/>
  <c r="J1134" i="14" a="1"/>
  <c r="J1134" i="14" s="1"/>
  <c r="N1135" i="14"/>
  <c r="M1138" i="13"/>
  <c r="M1139" i="14"/>
  <c r="N1136" i="13"/>
  <c r="J1135" i="13" a="1"/>
  <c r="J1135" i="13" s="1"/>
  <c r="K950" i="13" l="1"/>
  <c r="L950" i="13" s="1"/>
  <c r="I951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73" i="14" l="1"/>
  <c r="L973" i="14" s="1"/>
  <c r="I974" i="14" s="1"/>
  <c r="K951" i="13"/>
  <c r="L951" i="13" s="1"/>
  <c r="I952" i="13" s="1"/>
  <c r="N1137" i="14"/>
  <c r="J1136" i="14" a="1"/>
  <c r="J1136" i="14" s="1"/>
  <c r="M1140" i="13"/>
  <c r="M1141" i="14"/>
  <c r="N1138" i="13"/>
  <c r="J1137" i="13" a="1"/>
  <c r="J1137" i="13" s="1"/>
  <c r="K974" i="14" l="1"/>
  <c r="L974" i="14" s="1"/>
  <c r="I975" i="14" s="1"/>
  <c r="N1139" i="13"/>
  <c r="J1138" i="13" a="1"/>
  <c r="J1138" i="13" s="1"/>
  <c r="K952" i="13"/>
  <c r="L952" i="13" s="1"/>
  <c r="I953" i="13" s="1"/>
  <c r="M1142" i="14"/>
  <c r="M1141" i="13"/>
  <c r="J1137" i="14" a="1"/>
  <c r="J1137" i="14" s="1"/>
  <c r="N1138" i="14"/>
  <c r="K953" i="13" l="1"/>
  <c r="L953" i="13" s="1"/>
  <c r="I954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76" i="14" l="1"/>
  <c r="L976" i="14" s="1"/>
  <c r="I977" i="14" s="1"/>
  <c r="K954" i="13"/>
  <c r="L954" i="13" s="1"/>
  <c r="I955" i="13" s="1"/>
  <c r="N1141" i="13"/>
  <c r="J1140" i="13" a="1"/>
  <c r="J1140" i="13" s="1"/>
  <c r="M1143" i="13"/>
  <c r="M1144" i="14"/>
  <c r="N1140" i="14"/>
  <c r="J1139" i="14" a="1"/>
  <c r="J1139" i="14" s="1"/>
  <c r="K955" i="13" l="1"/>
  <c r="L955" i="13" s="1"/>
  <c r="I956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78" i="14" l="1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/>
  <c r="L956" i="13" s="1"/>
  <c r="I957" i="13" s="1"/>
  <c r="K957" i="13" l="1"/>
  <c r="L957" i="13" s="1"/>
  <c r="I958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8" i="13" l="1"/>
  <c r="L958" i="13" s="1"/>
  <c r="I959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9" i="13" l="1"/>
  <c r="L959" i="13" s="1"/>
  <c r="I960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60" i="13" l="1"/>
  <c r="L960" i="13" s="1"/>
  <c r="I961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83" i="14" l="1"/>
  <c r="L983" i="14" s="1"/>
  <c r="I984" i="14" s="1"/>
  <c r="K961" i="13"/>
  <c r="L961" i="13" s="1"/>
  <c r="I962" i="13" s="1"/>
  <c r="J1146" i="14" a="1"/>
  <c r="J1146" i="14" s="1"/>
  <c r="N1147" i="14"/>
  <c r="M1150" i="13"/>
  <c r="N1148" i="13"/>
  <c r="J1147" i="13" a="1"/>
  <c r="J1147" i="13" s="1"/>
  <c r="M1151" i="14"/>
  <c r="K962" i="13" l="1"/>
  <c r="L962" i="13" s="1"/>
  <c r="I963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85" i="14" l="1"/>
  <c r="L985" i="14" s="1"/>
  <c r="I986" i="14" s="1"/>
  <c r="K963" i="13"/>
  <c r="L963" i="13" s="1"/>
  <c r="I964" i="13" s="1"/>
  <c r="N1150" i="13"/>
  <c r="J1149" i="13" a="1"/>
  <c r="J1149" i="13" s="1"/>
  <c r="M1153" i="14"/>
  <c r="M1152" i="13"/>
  <c r="N1149" i="14"/>
  <c r="J1148" i="14" a="1"/>
  <c r="J1148" i="14" s="1"/>
  <c r="K986" i="14" l="1"/>
  <c r="L986" i="14" s="1"/>
  <c r="I987" i="14" s="1"/>
  <c r="K964" i="13"/>
  <c r="L964" i="13" s="1"/>
  <c r="I965" i="13" s="1"/>
  <c r="J1149" i="14" a="1"/>
  <c r="J1149" i="14" s="1"/>
  <c r="N1150" i="14"/>
  <c r="M1154" i="14"/>
  <c r="M1153" i="13"/>
  <c r="N1151" i="13"/>
  <c r="J1150" i="13" a="1"/>
  <c r="J1150" i="13" s="1"/>
  <c r="K965" i="13" l="1"/>
  <c r="L965" i="13" s="1"/>
  <c r="I966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88" i="14" l="1"/>
  <c r="L988" i="14" s="1"/>
  <c r="I989" i="14" s="1"/>
  <c r="K966" i="13"/>
  <c r="L966" i="13" s="1"/>
  <c r="I967" i="13" s="1"/>
  <c r="N1153" i="13"/>
  <c r="J1152" i="13" a="1"/>
  <c r="J1152" i="13" s="1"/>
  <c r="M1155" i="13"/>
  <c r="M1156" i="14"/>
  <c r="N1152" i="14"/>
  <c r="J1151" i="14" a="1"/>
  <c r="J1151" i="14" s="1"/>
  <c r="K967" i="13" l="1"/>
  <c r="L967" i="13" s="1"/>
  <c r="I968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90" i="14" l="1"/>
  <c r="L990" i="14" s="1"/>
  <c r="I991" i="14" s="1"/>
  <c r="K968" i="13"/>
  <c r="L968" i="13" s="1"/>
  <c r="I969" i="13" s="1"/>
  <c r="N1155" i="13"/>
  <c r="J1154" i="13" a="1"/>
  <c r="J1154" i="13" s="1"/>
  <c r="J1153" i="14" a="1"/>
  <c r="J1153" i="14" s="1"/>
  <c r="N1154" i="14"/>
  <c r="M1157" i="13"/>
  <c r="M1158" i="14"/>
  <c r="K991" i="14" l="1"/>
  <c r="L991" i="14" s="1"/>
  <c r="I992" i="14" s="1"/>
  <c r="K969" i="13"/>
  <c r="L969" i="13" s="1"/>
  <c r="I970" i="13" s="1"/>
  <c r="J1154" i="14" a="1"/>
  <c r="J1154" i="14" s="1"/>
  <c r="N1155" i="14"/>
  <c r="M1158" i="13"/>
  <c r="M1159" i="14"/>
  <c r="N1156" i="13"/>
  <c r="J1155" i="13" a="1"/>
  <c r="J1155" i="13" s="1"/>
  <c r="K970" i="13" l="1"/>
  <c r="L970" i="13" s="1"/>
  <c r="I971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1" i="13" l="1"/>
  <c r="L971" i="13" s="1"/>
  <c r="I972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94" i="14" l="1"/>
  <c r="L994" i="14" s="1"/>
  <c r="I995" i="14" s="1"/>
  <c r="K972" i="13"/>
  <c r="L972" i="13" s="1"/>
  <c r="I973" i="13" s="1"/>
  <c r="M1161" i="13"/>
  <c r="M1162" i="14"/>
  <c r="N1159" i="13"/>
  <c r="J1158" i="13" a="1"/>
  <c r="J1158" i="13" s="1"/>
  <c r="J1157" i="14" a="1"/>
  <c r="J1157" i="14" s="1"/>
  <c r="N1158" i="14"/>
  <c r="K973" i="13" l="1"/>
  <c r="L973" i="13" s="1"/>
  <c r="I974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96" i="14" l="1"/>
  <c r="L996" i="14" s="1"/>
  <c r="I997" i="14" s="1"/>
  <c r="K974" i="13"/>
  <c r="L974" i="13" s="1"/>
  <c r="I975" i="13" s="1"/>
  <c r="M1163" i="13"/>
  <c r="N1161" i="13"/>
  <c r="J1160" i="13" a="1"/>
  <c r="J1160" i="13" s="1"/>
  <c r="N1160" i="14"/>
  <c r="J1159" i="14" a="1"/>
  <c r="J1159" i="14" s="1"/>
  <c r="M1164" i="14"/>
  <c r="K997" i="14" l="1"/>
  <c r="L997" i="14" s="1"/>
  <c r="I998" i="14" s="1"/>
  <c r="N1162" i="13"/>
  <c r="J1161" i="13" a="1"/>
  <c r="J1161" i="13" s="1"/>
  <c r="K975" i="13"/>
  <c r="L975" i="13" s="1"/>
  <c r="I976" i="13" s="1"/>
  <c r="M1164" i="13"/>
  <c r="M1165" i="14"/>
  <c r="N1161" i="14"/>
  <c r="J1160" i="14" a="1"/>
  <c r="J1160" i="14" s="1"/>
  <c r="K998" i="14" l="1"/>
  <c r="L998" i="14" s="1"/>
  <c r="I999" i="14" s="1"/>
  <c r="K976" i="13"/>
  <c r="L976" i="13" s="1"/>
  <c r="I977" i="13" s="1"/>
  <c r="M1165" i="13"/>
  <c r="J1161" i="14" a="1"/>
  <c r="J1161" i="14" s="1"/>
  <c r="N1162" i="14"/>
  <c r="N1163" i="13"/>
  <c r="J1162" i="13" a="1"/>
  <c r="J1162" i="13" s="1"/>
  <c r="M1166" i="14"/>
  <c r="K977" i="13" l="1"/>
  <c r="L977" i="13" s="1"/>
  <c r="I978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8" i="13" l="1"/>
  <c r="L978" i="13" s="1"/>
  <c r="I979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1001" i="14" l="1"/>
  <c r="L1001" i="14" s="1"/>
  <c r="I1002" i="14" s="1"/>
  <c r="K979" i="13"/>
  <c r="L979" i="13" s="1"/>
  <c r="I980" i="13" s="1"/>
  <c r="M1168" i="13"/>
  <c r="N1166" i="13"/>
  <c r="J1165" i="13" a="1"/>
  <c r="J1165" i="13" s="1"/>
  <c r="M1169" i="14"/>
  <c r="N1165" i="14"/>
  <c r="J1164" i="14" a="1"/>
  <c r="J1164" i="14" s="1"/>
  <c r="K980" i="13" l="1"/>
  <c r="L980" i="13" s="1"/>
  <c r="I981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1003" i="14" l="1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/>
  <c r="L981" i="13" s="1"/>
  <c r="I982" i="13" s="1"/>
  <c r="K982" i="13" l="1"/>
  <c r="L982" i="13" s="1"/>
  <c r="I983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1005" i="14" l="1"/>
  <c r="L1005" i="14" s="1"/>
  <c r="I1006" i="14" s="1"/>
  <c r="K983" i="13"/>
  <c r="L983" i="13" s="1"/>
  <c r="I984" i="13" s="1"/>
  <c r="M1172" i="13"/>
  <c r="N1170" i="13"/>
  <c r="J1169" i="13" a="1"/>
  <c r="J1169" i="13" s="1"/>
  <c r="N1169" i="14"/>
  <c r="J1168" i="14" a="1"/>
  <c r="J1168" i="14" s="1"/>
  <c r="M1173" i="14"/>
  <c r="K984" i="13" l="1"/>
  <c r="L984" i="13" s="1"/>
  <c r="I985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1007" i="14" l="1"/>
  <c r="L1007" i="14" s="1"/>
  <c r="I1008" i="14" s="1"/>
  <c r="K985" i="13"/>
  <c r="L985" i="13" s="1"/>
  <c r="I986" i="13" s="1"/>
  <c r="J1170" i="14" a="1"/>
  <c r="J1170" i="14" s="1"/>
  <c r="N1171" i="14"/>
  <c r="N1172" i="13"/>
  <c r="J1171" i="13" a="1"/>
  <c r="J1171" i="13" s="1"/>
  <c r="M1174" i="13"/>
  <c r="M1175" i="14"/>
  <c r="K986" i="13" l="1"/>
  <c r="L986" i="13" s="1"/>
  <c r="I987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1009" i="14" l="1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/>
  <c r="L987" i="13" s="1"/>
  <c r="I988" i="13" s="1"/>
  <c r="K1010" i="14" l="1"/>
  <c r="L1010" i="14" s="1"/>
  <c r="I1011" i="14" s="1"/>
  <c r="K988" i="13"/>
  <c r="L988" i="13" s="1"/>
  <c r="I989" i="13" s="1"/>
  <c r="N1175" i="13"/>
  <c r="J1174" i="13" a="1"/>
  <c r="J1174" i="13" s="1"/>
  <c r="M1178" i="14"/>
  <c r="J1173" i="14" a="1"/>
  <c r="J1173" i="14" s="1"/>
  <c r="N1174" i="14"/>
  <c r="M1177" i="13"/>
  <c r="K989" i="13" l="1"/>
  <c r="L989" i="13" s="1"/>
  <c r="I990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1012" i="14" l="1"/>
  <c r="L1012" i="14" s="1"/>
  <c r="I1013" i="14" s="1"/>
  <c r="K990" i="13"/>
  <c r="L990" i="13" s="1"/>
  <c r="I991" i="13" s="1"/>
  <c r="N1177" i="13"/>
  <c r="J1176" i="13" a="1"/>
  <c r="J1176" i="13" s="1"/>
  <c r="J1175" i="14" a="1"/>
  <c r="J1175" i="14" s="1"/>
  <c r="N1176" i="14"/>
  <c r="M1179" i="13"/>
  <c r="M1180" i="14"/>
  <c r="K991" i="13" l="1"/>
  <c r="L991" i="13" s="1"/>
  <c r="I992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1014" i="14" l="1"/>
  <c r="L1014" i="14" s="1"/>
  <c r="I1015" i="14" s="1"/>
  <c r="K992" i="13"/>
  <c r="L992" i="13" s="1"/>
  <c r="I993" i="13" s="1"/>
  <c r="N1179" i="13"/>
  <c r="J1178" i="13" a="1"/>
  <c r="J1178" i="13" s="1"/>
  <c r="J1177" i="14" a="1"/>
  <c r="J1177" i="14" s="1"/>
  <c r="N1178" i="14"/>
  <c r="M1181" i="13"/>
  <c r="M1182" i="14"/>
  <c r="K993" i="13" l="1"/>
  <c r="L993" i="13" s="1"/>
  <c r="I994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1016" i="14" l="1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/>
  <c r="L994" i="13" s="1"/>
  <c r="I995" i="13" s="1"/>
  <c r="K995" i="13" l="1"/>
  <c r="L995" i="13" s="1"/>
  <c r="I996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1018" i="14" l="1"/>
  <c r="L1018" i="14" s="1"/>
  <c r="I1019" i="14" s="1"/>
  <c r="K996" i="13"/>
  <c r="L996" i="13" s="1"/>
  <c r="I997" i="13" s="1"/>
  <c r="N1183" i="13"/>
  <c r="J1182" i="13" a="1"/>
  <c r="J1182" i="13" s="1"/>
  <c r="M1186" i="14"/>
  <c r="M1185" i="13"/>
  <c r="J1181" i="14" a="1"/>
  <c r="J1181" i="14" s="1"/>
  <c r="N1182" i="14"/>
  <c r="K997" i="13" l="1"/>
  <c r="L997" i="13" s="1"/>
  <c r="I998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1020" i="14" l="1"/>
  <c r="L1020" i="14" s="1"/>
  <c r="I1021" i="14" s="1"/>
  <c r="K998" i="13"/>
  <c r="L998" i="13" s="1"/>
  <c r="I999" i="13" s="1"/>
  <c r="M1188" i="14"/>
  <c r="N1185" i="13"/>
  <c r="J1184" i="13" a="1"/>
  <c r="J1184" i="13" s="1"/>
  <c r="J1183" i="14" a="1"/>
  <c r="J1183" i="14" s="1"/>
  <c r="N1184" i="14"/>
  <c r="M1187" i="13"/>
  <c r="K1021" i="14" l="1"/>
  <c r="L1021" i="14" s="1"/>
  <c r="I1022" i="14" s="1"/>
  <c r="N1186" i="13"/>
  <c r="J1185" i="13" a="1"/>
  <c r="J1185" i="13" s="1"/>
  <c r="K999" i="13"/>
  <c r="L999" i="13" s="1"/>
  <c r="I1000" i="13" s="1"/>
  <c r="M1188" i="13"/>
  <c r="N1185" i="14"/>
  <c r="J1184" i="14" a="1"/>
  <c r="J1184" i="14" s="1"/>
  <c r="M1189" i="14"/>
  <c r="K1000" i="13" l="1"/>
  <c r="L1000" i="13" s="1"/>
  <c r="I1001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23" i="14" l="1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/>
  <c r="L1001" i="13" s="1"/>
  <c r="I1002" i="13" s="1"/>
  <c r="K1002" i="13" l="1"/>
  <c r="L1002" i="13" s="1"/>
  <c r="I1003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25" i="14" l="1"/>
  <c r="L1025" i="14" s="1"/>
  <c r="I1026" i="14" s="1"/>
  <c r="K1003" i="13"/>
  <c r="L1003" i="13" s="1"/>
  <c r="I1004" i="13" s="1"/>
  <c r="M1192" i="13"/>
  <c r="N1189" i="14"/>
  <c r="J1188" i="14" a="1"/>
  <c r="J1188" i="14" s="1"/>
  <c r="M1193" i="14"/>
  <c r="N1190" i="13"/>
  <c r="J1189" i="13" a="1"/>
  <c r="J1189" i="13" s="1"/>
  <c r="K1026" i="14" l="1"/>
  <c r="L1026" i="14" s="1"/>
  <c r="I1027" i="14" s="1"/>
  <c r="K1004" i="13"/>
  <c r="L1004" i="13" s="1"/>
  <c r="I1005" i="13" s="1"/>
  <c r="N1191" i="13"/>
  <c r="J1190" i="13" a="1"/>
  <c r="J1190" i="13" s="1"/>
  <c r="J1189" i="14" a="1"/>
  <c r="J1189" i="14" s="1"/>
  <c r="N1190" i="14"/>
  <c r="M1193" i="13"/>
  <c r="M1194" i="14"/>
  <c r="K1005" i="13" l="1"/>
  <c r="L1005" i="13" s="1"/>
  <c r="I1006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28" i="14" l="1"/>
  <c r="L1028" i="14" s="1"/>
  <c r="I1029" i="14" s="1"/>
  <c r="K1006" i="13"/>
  <c r="L1006" i="13" s="1"/>
  <c r="I1007" i="13" s="1"/>
  <c r="M1196" i="14"/>
  <c r="N1193" i="13"/>
  <c r="J1192" i="13" a="1"/>
  <c r="J1192" i="13" s="1"/>
  <c r="J1191" i="14" a="1"/>
  <c r="J1191" i="14" s="1"/>
  <c r="N1192" i="14"/>
  <c r="M1195" i="13"/>
  <c r="K1007" i="13" l="1"/>
  <c r="L1007" i="13" s="1"/>
  <c r="I1008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30" i="14" l="1"/>
  <c r="L1030" i="14" s="1"/>
  <c r="I1031" i="14" s="1"/>
  <c r="K1008" i="13"/>
  <c r="L1008" i="13" s="1"/>
  <c r="I1009" i="13" s="1"/>
  <c r="J1193" i="14" a="1"/>
  <c r="J1193" i="14" s="1"/>
  <c r="N1194" i="14"/>
  <c r="M1198" i="14"/>
  <c r="M1197" i="13"/>
  <c r="N1195" i="13"/>
  <c r="J1194" i="13" a="1"/>
  <c r="J1194" i="13" s="1"/>
  <c r="K1009" i="13" l="1"/>
  <c r="L1009" i="13" s="1"/>
  <c r="I1010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32" i="14" l="1"/>
  <c r="L1032" i="14" s="1"/>
  <c r="I1033" i="14" s="1"/>
  <c r="K1010" i="13"/>
  <c r="L1010" i="13" s="1"/>
  <c r="I1011" i="13" s="1"/>
  <c r="J1195" i="14" a="1"/>
  <c r="J1195" i="14" s="1"/>
  <c r="N1196" i="14"/>
  <c r="M1200" i="14"/>
  <c r="M1199" i="13"/>
  <c r="N1197" i="13"/>
  <c r="J1196" i="13" a="1"/>
  <c r="J1196" i="13" s="1"/>
  <c r="K1011" i="13" l="1"/>
  <c r="L1011" i="13" s="1"/>
  <c r="I1012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34" i="14" l="1"/>
  <c r="L1034" i="14" s="1"/>
  <c r="I1035" i="14" s="1"/>
  <c r="K1012" i="13"/>
  <c r="L1012" i="13" s="1"/>
  <c r="I1013" i="13" s="1"/>
  <c r="M1201" i="13"/>
  <c r="J1197" i="14" a="1"/>
  <c r="J1197" i="14" s="1"/>
  <c r="N1198" i="14"/>
  <c r="M1202" i="14"/>
  <c r="N1199" i="13"/>
  <c r="J1198" i="13" a="1"/>
  <c r="J1198" i="13" s="1"/>
  <c r="K1035" i="14" l="1"/>
  <c r="L1035" i="14" s="1"/>
  <c r="I1036" i="14" s="1"/>
  <c r="J1198" i="14" a="1"/>
  <c r="J1198" i="14" s="1"/>
  <c r="N1199" i="14"/>
  <c r="K1013" i="13"/>
  <c r="L1013" i="13" s="1"/>
  <c r="I1014" i="13" s="1"/>
  <c r="N1200" i="13"/>
  <c r="J1199" i="13" a="1"/>
  <c r="J1199" i="13" s="1"/>
  <c r="M1202" i="13"/>
  <c r="M1203" i="14"/>
  <c r="K1014" i="13" l="1"/>
  <c r="L1014" i="13" s="1"/>
  <c r="I1015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5" i="13" l="1"/>
  <c r="L1015" i="13" s="1"/>
  <c r="I1016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38" i="14" l="1"/>
  <c r="L1038" i="14" s="1"/>
  <c r="I1039" i="14" s="1"/>
  <c r="K1016" i="13"/>
  <c r="L1016" i="13" s="1"/>
  <c r="I1017" i="13" s="1"/>
  <c r="M1205" i="13"/>
  <c r="M1206" i="14"/>
  <c r="N1203" i="13"/>
  <c r="J1202" i="13" a="1"/>
  <c r="J1202" i="13" s="1"/>
  <c r="J1201" i="14" a="1"/>
  <c r="J1201" i="14" s="1"/>
  <c r="N1202" i="14"/>
  <c r="K1017" i="13" l="1"/>
  <c r="L1017" i="13" s="1"/>
  <c r="I1018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40" i="14" l="1"/>
  <c r="L1040" i="14" s="1"/>
  <c r="I1041" i="14" s="1"/>
  <c r="K1018" i="13"/>
  <c r="L1018" i="13" s="1"/>
  <c r="I1019" i="13" s="1"/>
  <c r="M1207" i="13"/>
  <c r="N1205" i="13"/>
  <c r="J1204" i="13" a="1"/>
  <c r="J1204" i="13" s="1"/>
  <c r="M1208" i="14"/>
  <c r="J1203" i="14" a="1"/>
  <c r="J1203" i="14" s="1"/>
  <c r="N1204" i="14"/>
  <c r="K1019" i="13" l="1"/>
  <c r="L1019" i="13" s="1"/>
  <c r="I1020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42" i="14" l="1"/>
  <c r="L1042" i="14" s="1"/>
  <c r="I1043" i="14" s="1"/>
  <c r="K1020" i="13"/>
  <c r="L1020" i="13" s="1"/>
  <c r="I1021" i="13" s="1"/>
  <c r="N1207" i="13"/>
  <c r="J1206" i="13" a="1"/>
  <c r="J1206" i="13" s="1"/>
  <c r="M1210" i="14"/>
  <c r="M1209" i="13"/>
  <c r="J1205" i="14" a="1"/>
  <c r="J1205" i="14" s="1"/>
  <c r="N1206" i="14"/>
  <c r="K1021" i="13" l="1"/>
  <c r="L1021" i="13" s="1"/>
  <c r="I1022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44" i="14" l="1"/>
  <c r="L1044" i="14" s="1"/>
  <c r="I1045" i="14" s="1"/>
  <c r="K1022" i="13"/>
  <c r="L1022" i="13" s="1"/>
  <c r="I1023" i="13" s="1"/>
  <c r="N1209" i="13"/>
  <c r="J1208" i="13" a="1"/>
  <c r="J1208" i="13" s="1"/>
  <c r="M1212" i="14"/>
  <c r="J1207" i="14" a="1"/>
  <c r="J1207" i="14" s="1"/>
  <c r="N1208" i="14"/>
  <c r="M1211" i="13"/>
  <c r="K1023" i="13" l="1"/>
  <c r="L1023" i="13" s="1"/>
  <c r="I1024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46" i="14" l="1"/>
  <c r="L1046" i="14" s="1"/>
  <c r="I1047" i="14" s="1"/>
  <c r="K1024" i="13"/>
  <c r="L1024" i="13" s="1"/>
  <c r="I1025" i="13" s="1"/>
  <c r="N1211" i="13"/>
  <c r="J1210" i="13" a="1"/>
  <c r="J1210" i="13" s="1"/>
  <c r="M1213" i="13"/>
  <c r="M1214" i="14"/>
  <c r="J1209" i="14" a="1"/>
  <c r="J1209" i="14" s="1"/>
  <c r="N1210" i="14"/>
  <c r="K1025" i="13" l="1"/>
  <c r="L1025" i="13" s="1"/>
  <c r="I1026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48" i="14" l="1"/>
  <c r="L1048" i="14" s="1"/>
  <c r="I1049" i="14" s="1"/>
  <c r="K1026" i="13"/>
  <c r="L1026" i="13" s="1"/>
  <c r="I1027" i="13" s="1"/>
  <c r="N1213" i="13"/>
  <c r="J1212" i="13" a="1"/>
  <c r="J1212" i="13" s="1"/>
  <c r="M1215" i="13"/>
  <c r="M1216" i="14"/>
  <c r="J1211" i="14" a="1"/>
  <c r="J1211" i="14" s="1"/>
  <c r="N1212" i="14"/>
  <c r="K1027" i="13" l="1"/>
  <c r="L1027" i="13" s="1"/>
  <c r="I1028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50" i="14" l="1"/>
  <c r="L1050" i="14" s="1"/>
  <c r="I1051" i="14" s="1"/>
  <c r="K1028" i="13"/>
  <c r="L1028" i="13" s="1"/>
  <c r="I1029" i="13" s="1"/>
  <c r="N1215" i="13"/>
  <c r="J1214" i="13" a="1"/>
  <c r="J1214" i="13" s="1"/>
  <c r="M1217" i="13"/>
  <c r="M1218" i="14"/>
  <c r="J1213" i="14" a="1"/>
  <c r="J1213" i="14" s="1"/>
  <c r="N1214" i="14"/>
  <c r="K1029" i="13" l="1"/>
  <c r="L1029" i="13" s="1"/>
  <c r="I1030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52" i="14" l="1"/>
  <c r="L1052" i="14" s="1"/>
  <c r="I1053" i="14" s="1"/>
  <c r="K1030" i="13"/>
  <c r="L1030" i="13" s="1"/>
  <c r="I1031" i="13" s="1"/>
  <c r="M1219" i="13"/>
  <c r="N1217" i="13"/>
  <c r="J1216" i="13" a="1"/>
  <c r="J1216" i="13" s="1"/>
  <c r="J1215" i="14" a="1"/>
  <c r="J1215" i="14" s="1"/>
  <c r="N1216" i="14"/>
  <c r="M1220" i="14"/>
  <c r="K1031" i="13" l="1"/>
  <c r="L1031" i="13" s="1"/>
  <c r="I1032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54" i="14" l="1"/>
  <c r="L1054" i="14" s="1"/>
  <c r="I1055" i="14" s="1"/>
  <c r="K1032" i="13"/>
  <c r="L1032" i="13" s="1"/>
  <c r="I1033" i="13" s="1"/>
  <c r="M1222" i="14"/>
  <c r="J1217" i="14" a="1"/>
  <c r="J1217" i="14" s="1"/>
  <c r="N1218" i="14"/>
  <c r="M1221" i="13"/>
  <c r="N1219" i="13"/>
  <c r="J1218" i="13" a="1"/>
  <c r="J1218" i="13" s="1"/>
  <c r="K1033" i="13" l="1"/>
  <c r="L1033" i="13" s="1"/>
  <c r="I1034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56" i="14" l="1"/>
  <c r="L1056" i="14" s="1"/>
  <c r="I1057" i="14" s="1"/>
  <c r="K1034" i="13"/>
  <c r="L1034" i="13" s="1"/>
  <c r="I1035" i="13" s="1"/>
  <c r="J1220" i="13" a="1"/>
  <c r="J1220" i="13" s="1"/>
  <c r="N1221" i="13"/>
  <c r="J1219" i="14" a="1"/>
  <c r="J1219" i="14" s="1"/>
  <c r="N1220" i="14"/>
  <c r="M1224" i="14"/>
  <c r="M1223" i="13"/>
  <c r="K1035" i="13" l="1"/>
  <c r="L1035" i="13" s="1"/>
  <c r="I1036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58" i="14" l="1"/>
  <c r="L1058" i="14" s="1"/>
  <c r="I1059" i="14" s="1"/>
  <c r="K1036" i="13"/>
  <c r="L1036" i="13" s="1"/>
  <c r="I1037" i="13" s="1"/>
  <c r="M1226" i="14"/>
  <c r="J1222" i="13" a="1"/>
  <c r="J1222" i="13" s="1"/>
  <c r="N1223" i="13"/>
  <c r="M1225" i="13"/>
  <c r="J1221" i="14" a="1"/>
  <c r="J1221" i="14" s="1"/>
  <c r="N1222" i="14"/>
  <c r="K1059" i="14" l="1"/>
  <c r="L1059" i="14" s="1"/>
  <c r="I1060" i="14" s="1"/>
  <c r="J1223" i="13" a="1"/>
  <c r="J1223" i="13" s="1"/>
  <c r="N1224" i="13"/>
  <c r="K1037" i="13"/>
  <c r="L1037" i="13" s="1"/>
  <c r="I1038" i="13" s="1"/>
  <c r="J1222" i="14" a="1"/>
  <c r="J1222" i="14" s="1"/>
  <c r="N1223" i="14"/>
  <c r="M1226" i="13"/>
  <c r="M1227" i="14"/>
  <c r="K1038" i="13" l="1"/>
  <c r="L1038" i="13" s="1"/>
  <c r="I1039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61" i="14" l="1"/>
  <c r="L1061" i="14" s="1"/>
  <c r="I1062" i="14" s="1"/>
  <c r="K1039" i="13"/>
  <c r="L1039" i="13" s="1"/>
  <c r="I1040" i="13" s="1"/>
  <c r="M1228" i="13"/>
  <c r="N1226" i="13"/>
  <c r="J1225" i="13" a="1"/>
  <c r="J1225" i="13" s="1"/>
  <c r="N1225" i="14"/>
  <c r="J1224" i="14" a="1"/>
  <c r="J1224" i="14" s="1"/>
  <c r="M1229" i="14"/>
  <c r="K1040" i="13" l="1"/>
  <c r="L1040" i="13" s="1"/>
  <c r="I1041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63" i="14" l="1"/>
  <c r="L1063" i="14" s="1"/>
  <c r="I1064" i="14" s="1"/>
  <c r="K1041" i="13"/>
  <c r="L1041" i="13" s="1"/>
  <c r="I1042" i="13" s="1"/>
  <c r="J1227" i="13" a="1"/>
  <c r="J1227" i="13" s="1"/>
  <c r="N1228" i="13"/>
  <c r="J1226" i="14" a="1"/>
  <c r="J1226" i="14" s="1"/>
  <c r="N1227" i="14"/>
  <c r="M1230" i="13"/>
  <c r="M1231" i="14"/>
  <c r="K1042" i="13" l="1"/>
  <c r="L1042" i="13" s="1"/>
  <c r="I1043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65" i="14" l="1"/>
  <c r="L1065" i="14" s="1"/>
  <c r="I1066" i="14" s="1"/>
  <c r="K1043" i="13"/>
  <c r="L1043" i="13" s="1"/>
  <c r="I1044" i="13" s="1"/>
  <c r="N1230" i="13"/>
  <c r="J1229" i="13" a="1"/>
  <c r="J1229" i="13" s="1"/>
  <c r="M1232" i="13"/>
  <c r="M1233" i="14"/>
  <c r="N1229" i="14"/>
  <c r="J1228" i="14" a="1"/>
  <c r="J1228" i="14" s="1"/>
  <c r="K1066" i="14" l="1"/>
  <c r="L1066" i="14" s="1"/>
  <c r="I1067" i="14" s="1"/>
  <c r="M1233" i="13"/>
  <c r="J1229" i="14" a="1"/>
  <c r="J1229" i="14" s="1"/>
  <c r="N1230" i="14"/>
  <c r="K1044" i="13"/>
  <c r="L1044" i="13" s="1"/>
  <c r="I1045" i="13" s="1"/>
  <c r="M1234" i="14"/>
  <c r="J1230" i="13" a="1"/>
  <c r="J1230" i="13" s="1"/>
  <c r="N1231" i="13"/>
  <c r="K1045" i="13" l="1"/>
  <c r="L1045" i="13" s="1"/>
  <c r="I1046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68" i="14" l="1"/>
  <c r="L1068" i="14" s="1"/>
  <c r="I1069" i="14" s="1"/>
  <c r="K1046" i="13"/>
  <c r="L1046" i="13" s="1"/>
  <c r="I1047" i="13" s="1"/>
  <c r="M1236" i="14"/>
  <c r="M1235" i="13"/>
  <c r="J1232" i="13" a="1"/>
  <c r="J1232" i="13" s="1"/>
  <c r="N1233" i="13"/>
  <c r="J1231" i="14" a="1"/>
  <c r="J1231" i="14" s="1"/>
  <c r="N1232" i="14"/>
  <c r="K1047" i="13" l="1"/>
  <c r="L1047" i="13" s="1"/>
  <c r="I1048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70" i="14" l="1"/>
  <c r="L1070" i="14" s="1"/>
  <c r="I1071" i="14" s="1"/>
  <c r="K1048" i="13"/>
  <c r="L1048" i="13" s="1"/>
  <c r="I1049" i="13" s="1"/>
  <c r="J1234" i="13" a="1"/>
  <c r="J1234" i="13" s="1"/>
  <c r="N1235" i="13"/>
  <c r="M1237" i="13"/>
  <c r="M1238" i="14"/>
  <c r="J1233" i="14" a="1"/>
  <c r="J1233" i="14" s="1"/>
  <c r="N1234" i="14"/>
  <c r="K1049" i="13" l="1"/>
  <c r="L1049" i="13" s="1"/>
  <c r="I1050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72" i="14" l="1"/>
  <c r="L1072" i="14" s="1"/>
  <c r="I1073" i="14" s="1"/>
  <c r="K1050" i="13"/>
  <c r="L1050" i="13" s="1"/>
  <c r="I1051" i="13" s="1"/>
  <c r="M1240" i="14"/>
  <c r="M1239" i="13"/>
  <c r="J1235" i="14" a="1"/>
  <c r="J1235" i="14" s="1"/>
  <c r="N1236" i="14"/>
  <c r="J1236" i="13" a="1"/>
  <c r="J1236" i="13" s="1"/>
  <c r="N1237" i="13"/>
  <c r="K1051" i="13" l="1"/>
  <c r="L1051" i="13" s="1"/>
  <c r="I1052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74" i="14" l="1"/>
  <c r="L1074" i="14" s="1"/>
  <c r="I1075" i="14" s="1"/>
  <c r="K1052" i="13"/>
  <c r="L1052" i="13" s="1"/>
  <c r="I1053" i="13" s="1"/>
  <c r="J1238" i="13" a="1"/>
  <c r="J1238" i="13" s="1"/>
  <c r="N1239" i="13"/>
  <c r="M1241" i="13"/>
  <c r="M1242" i="14"/>
  <c r="J1237" i="14" a="1"/>
  <c r="J1237" i="14" s="1"/>
  <c r="N1238" i="14"/>
  <c r="K1075" i="14" l="1"/>
  <c r="L1075" i="14" s="1"/>
  <c r="I1076" i="14" s="1"/>
  <c r="J1238" i="14" a="1"/>
  <c r="J1238" i="14" s="1"/>
  <c r="N1239" i="14"/>
  <c r="K1053" i="13"/>
  <c r="L1053" i="13" s="1"/>
  <c r="I1054" i="13" s="1"/>
  <c r="J1239" i="13" a="1"/>
  <c r="J1239" i="13" s="1"/>
  <c r="N1240" i="13"/>
  <c r="M1242" i="13"/>
  <c r="M1243" i="14"/>
  <c r="K1054" i="13" l="1"/>
  <c r="L1054" i="13" s="1"/>
  <c r="I1055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77" i="14" l="1"/>
  <c r="L1077" i="14" s="1"/>
  <c r="I1078" i="14" s="1"/>
  <c r="K1055" i="13"/>
  <c r="L1055" i="13" s="1"/>
  <c r="I1056" i="13" s="1"/>
  <c r="N1241" i="14"/>
  <c r="J1240" i="14" a="1"/>
  <c r="J1240" i="14" s="1"/>
  <c r="M1244" i="13"/>
  <c r="N1242" i="13"/>
  <c r="J1241" i="13" a="1"/>
  <c r="J1241" i="13" s="1"/>
  <c r="M1245" i="14"/>
  <c r="K1056" i="13" l="1"/>
  <c r="L1056" i="13" s="1"/>
  <c r="I1057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7" i="13" l="1"/>
  <c r="L1057" i="13" s="1"/>
  <c r="I1058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80" i="14" l="1"/>
  <c r="L1080" i="14" s="1"/>
  <c r="I1081" i="14" s="1"/>
  <c r="K1058" i="13"/>
  <c r="L1058" i="13" s="1"/>
  <c r="I1059" i="13" s="1"/>
  <c r="J1243" i="14" a="1"/>
  <c r="J1243" i="14" s="1"/>
  <c r="N1244" i="14"/>
  <c r="J1244" i="13" a="1"/>
  <c r="J1244" i="13" s="1"/>
  <c r="N1245" i="13"/>
  <c r="M1248" i="14"/>
  <c r="M1247" i="13"/>
  <c r="K1059" i="13" l="1"/>
  <c r="L1059" i="13" s="1"/>
  <c r="I1060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82" i="14" l="1"/>
  <c r="L1082" i="14" s="1"/>
  <c r="I1083" i="14" s="1"/>
  <c r="K1060" i="13"/>
  <c r="L1060" i="13" s="1"/>
  <c r="I1061" i="13" s="1"/>
  <c r="J1245" i="14" a="1"/>
  <c r="J1245" i="14" s="1"/>
  <c r="N1246" i="14"/>
  <c r="M1250" i="14"/>
  <c r="M1249" i="13"/>
  <c r="J1246" i="13" a="1"/>
  <c r="J1246" i="13" s="1"/>
  <c r="N1247" i="13"/>
  <c r="K1061" i="13" l="1"/>
  <c r="L1061" i="13" s="1"/>
  <c r="I1062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84" i="14" l="1"/>
  <c r="L1084" i="14" s="1"/>
  <c r="I1085" i="14" s="1"/>
  <c r="K1062" i="13"/>
  <c r="L1062" i="13" s="1"/>
  <c r="I1063" i="13" s="1"/>
  <c r="M1252" i="14"/>
  <c r="M1251" i="13"/>
  <c r="J1248" i="13" a="1"/>
  <c r="J1248" i="13" s="1"/>
  <c r="N1249" i="13"/>
  <c r="J1247" i="14" a="1"/>
  <c r="J1247" i="14" s="1"/>
  <c r="N1248" i="14"/>
  <c r="K1063" i="13" l="1"/>
  <c r="L1063" i="13" s="1"/>
  <c r="I1064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86" i="14" l="1"/>
  <c r="L1086" i="14" s="1"/>
  <c r="I1087" i="14" s="1"/>
  <c r="K1064" i="13"/>
  <c r="L1064" i="13" s="1"/>
  <c r="I1065" i="13" s="1"/>
  <c r="M1253" i="13"/>
  <c r="M1254" i="14"/>
  <c r="J1250" i="13" a="1"/>
  <c r="J1250" i="13" s="1"/>
  <c r="N1251" i="13"/>
  <c r="J1249" i="14" a="1"/>
  <c r="J1249" i="14" s="1"/>
  <c r="N1250" i="14"/>
  <c r="K1065" i="13" l="1"/>
  <c r="L1065" i="13" s="1"/>
  <c r="I1066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88" i="14" l="1"/>
  <c r="L1088" i="14" s="1"/>
  <c r="I1089" i="14" s="1"/>
  <c r="K1066" i="13"/>
  <c r="L1066" i="13" s="1"/>
  <c r="I1067" i="13" s="1"/>
  <c r="J1252" i="13" a="1"/>
  <c r="J1252" i="13" s="1"/>
  <c r="N1253" i="13"/>
  <c r="M1256" i="14"/>
  <c r="M1255" i="13"/>
  <c r="J1251" i="14" a="1"/>
  <c r="J1251" i="14" s="1"/>
  <c r="N1252" i="14"/>
  <c r="K1067" i="13" l="1"/>
  <c r="L1067" i="13" s="1"/>
  <c r="I1068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8" i="13" l="1"/>
  <c r="L1068" i="13" s="1"/>
  <c r="I1069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91" i="14" l="1"/>
  <c r="L1091" i="14" s="1"/>
  <c r="I1092" i="14" s="1"/>
  <c r="K1069" i="13"/>
  <c r="L1069" i="13" s="1"/>
  <c r="I1070" i="13" s="1"/>
  <c r="J1254" i="14" a="1"/>
  <c r="J1254" i="14" s="1"/>
  <c r="N1255" i="14"/>
  <c r="M1259" i="14"/>
  <c r="M1258" i="13"/>
  <c r="J1255" i="13" a="1"/>
  <c r="J1255" i="13" s="1"/>
  <c r="N1256" i="13"/>
  <c r="K1070" i="13" l="1"/>
  <c r="L1070" i="13" s="1"/>
  <c r="I1071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93" i="14" l="1"/>
  <c r="L1093" i="14" s="1"/>
  <c r="I1094" i="14" s="1"/>
  <c r="K1071" i="13"/>
  <c r="L1071" i="13" s="1"/>
  <c r="I1072" i="13" s="1"/>
  <c r="N1258" i="13"/>
  <c r="J1257" i="13" a="1"/>
  <c r="J1257" i="13" s="1"/>
  <c r="M1260" i="13"/>
  <c r="N1257" i="14"/>
  <c r="J1256" i="14" a="1"/>
  <c r="J1256" i="14" s="1"/>
  <c r="M1261" i="14"/>
  <c r="K1072" i="13" l="1"/>
  <c r="L1072" i="13" s="1"/>
  <c r="I1073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95" i="14" l="1"/>
  <c r="L1095" i="14" s="1"/>
  <c r="I1096" i="14" s="1"/>
  <c r="K1073" i="13"/>
  <c r="L1073" i="13" s="1"/>
  <c r="I1074" i="13" s="1"/>
  <c r="M1263" i="14"/>
  <c r="J1258" i="14" a="1"/>
  <c r="J1258" i="14" s="1"/>
  <c r="N1259" i="14"/>
  <c r="J1259" i="13" a="1"/>
  <c r="J1259" i="13" s="1"/>
  <c r="N1260" i="13"/>
  <c r="M1262" i="13"/>
  <c r="K1074" i="13" l="1"/>
  <c r="L1074" i="13" s="1"/>
  <c r="I1075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97" i="14" l="1"/>
  <c r="L1097" i="14" s="1"/>
  <c r="I1098" i="14" s="1"/>
  <c r="K1075" i="13"/>
  <c r="L1075" i="13" s="1"/>
  <c r="I1076" i="13" s="1"/>
  <c r="N1262" i="13"/>
  <c r="J1261" i="13" a="1"/>
  <c r="J1261" i="13" s="1"/>
  <c r="M1265" i="14"/>
  <c r="M1264" i="13"/>
  <c r="N1261" i="14"/>
  <c r="J1260" i="14" a="1"/>
  <c r="J1260" i="14" s="1"/>
  <c r="K1076" i="13" l="1"/>
  <c r="L1076" i="13" s="1"/>
  <c r="I1077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99" i="14" l="1"/>
  <c r="L1099" i="14" s="1"/>
  <c r="I1100" i="14" s="1"/>
  <c r="K1077" i="13"/>
  <c r="L1077" i="13" s="1"/>
  <c r="I1078" i="13" s="1"/>
  <c r="M1267" i="14"/>
  <c r="J1263" i="13" a="1"/>
  <c r="J1263" i="13" s="1"/>
  <c r="N1264" i="13"/>
  <c r="J1262" i="14" a="1"/>
  <c r="J1262" i="14" s="1"/>
  <c r="N1263" i="14"/>
  <c r="M1266" i="13"/>
  <c r="K1078" i="13" l="1"/>
  <c r="L1078" i="13" s="1"/>
  <c r="I1079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M1269" i="14" l="1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/>
  <c r="L1079" i="13" s="1"/>
  <c r="I1080" i="13" s="1"/>
  <c r="K1080" i="13" l="1"/>
  <c r="L1080" i="13" s="1"/>
  <c r="I1081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103" i="14" l="1"/>
  <c r="L1103" i="14" s="1"/>
  <c r="I1104" i="14" s="1"/>
  <c r="K1081" i="13"/>
  <c r="L1081" i="13" s="1"/>
  <c r="I1082" i="13" s="1"/>
  <c r="J1267" i="13" a="1"/>
  <c r="J1267" i="13" s="1"/>
  <c r="N1268" i="13"/>
  <c r="J1266" i="14" a="1"/>
  <c r="J1266" i="14" s="1"/>
  <c r="N1267" i="14"/>
  <c r="M1271" i="14"/>
  <c r="M1270" i="13"/>
  <c r="K1104" i="14" l="1"/>
  <c r="L1104" i="14" s="1"/>
  <c r="I1105" i="14" s="1"/>
  <c r="J1267" i="14" a="1"/>
  <c r="J1267" i="14" s="1"/>
  <c r="N1268" i="14"/>
  <c r="M1271" i="13"/>
  <c r="K1082" i="13"/>
  <c r="L1082" i="13" s="1"/>
  <c r="I1083" i="13" s="1"/>
  <c r="J1268" i="13" a="1"/>
  <c r="J1268" i="13" s="1"/>
  <c r="N1269" i="13"/>
  <c r="M1272" i="14"/>
  <c r="K1083" i="13" l="1"/>
  <c r="L1083" i="13" s="1"/>
  <c r="I1084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106" i="14" l="1"/>
  <c r="L1106" i="14" s="1"/>
  <c r="I1107" i="14" s="1"/>
  <c r="K1084" i="13"/>
  <c r="L1084" i="13" s="1"/>
  <c r="I1085" i="13" s="1"/>
  <c r="M1273" i="13"/>
  <c r="M1274" i="14"/>
  <c r="J1270" i="13" a="1"/>
  <c r="J1270" i="13" s="1"/>
  <c r="N1271" i="13"/>
  <c r="J1269" i="14" a="1"/>
  <c r="J1269" i="14" s="1"/>
  <c r="N1270" i="14"/>
  <c r="K1085" i="13" l="1"/>
  <c r="L1085" i="13" s="1"/>
  <c r="I1086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108" i="14" l="1"/>
  <c r="L1108" i="14" s="1"/>
  <c r="I1109" i="14" s="1"/>
  <c r="K1086" i="13"/>
  <c r="L1086" i="13" s="1"/>
  <c r="I1087" i="13" s="1"/>
  <c r="J1272" i="13" a="1"/>
  <c r="J1272" i="13" s="1"/>
  <c r="N1273" i="13"/>
  <c r="J1271" i="14" a="1"/>
  <c r="J1271" i="14" s="1"/>
  <c r="N1272" i="14"/>
  <c r="M1275" i="13"/>
  <c r="M1276" i="14"/>
  <c r="K1087" i="13" l="1"/>
  <c r="L1087" i="13" s="1"/>
  <c r="I1088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110" i="14" l="1"/>
  <c r="L1110" i="14" s="1"/>
  <c r="I1111" i="14" s="1"/>
  <c r="K1088" i="13"/>
  <c r="L1088" i="13" s="1"/>
  <c r="I1089" i="13" s="1"/>
  <c r="M1277" i="13"/>
  <c r="J1274" i="13" a="1"/>
  <c r="J1274" i="13" s="1"/>
  <c r="N1275" i="13"/>
  <c r="M1278" i="14"/>
  <c r="J1273" i="14" a="1"/>
  <c r="J1273" i="14" s="1"/>
  <c r="N1274" i="14"/>
  <c r="K1089" i="13" l="1"/>
  <c r="L1089" i="13" s="1"/>
  <c r="I1090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112" i="14" l="1"/>
  <c r="L1112" i="14" s="1"/>
  <c r="I1113" i="14" s="1"/>
  <c r="K1090" i="13"/>
  <c r="L1090" i="13" s="1"/>
  <c r="I1091" i="13" s="1"/>
  <c r="J1275" i="14" a="1"/>
  <c r="J1275" i="14" s="1"/>
  <c r="N1276" i="14"/>
  <c r="J1276" i="13" a="1"/>
  <c r="J1276" i="13" s="1"/>
  <c r="N1277" i="13"/>
  <c r="M1279" i="13"/>
  <c r="M1280" i="14"/>
  <c r="K1091" i="13" l="1"/>
  <c r="L1091" i="13" s="1"/>
  <c r="I1092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114" i="14" l="1"/>
  <c r="L1114" i="14" s="1"/>
  <c r="I1115" i="14" s="1"/>
  <c r="K1092" i="13"/>
  <c r="L1092" i="13" s="1"/>
  <c r="I1093" i="13" s="1"/>
  <c r="M1281" i="13"/>
  <c r="M1282" i="14"/>
  <c r="J1277" i="14" a="1"/>
  <c r="J1277" i="14" s="1"/>
  <c r="N1278" i="14"/>
  <c r="J1278" i="13" a="1"/>
  <c r="J1278" i="13" s="1"/>
  <c r="N1279" i="13"/>
  <c r="K1093" i="13" l="1"/>
  <c r="L1093" i="13" s="1"/>
  <c r="I1094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116" i="14" l="1"/>
  <c r="L1116" i="14" s="1"/>
  <c r="I1117" i="14" s="1"/>
  <c r="K1094" i="13"/>
  <c r="L1094" i="13" s="1"/>
  <c r="I1095" i="13" s="1"/>
  <c r="J1279" i="14" a="1"/>
  <c r="J1279" i="14" s="1"/>
  <c r="N1280" i="14"/>
  <c r="M1283" i="13"/>
  <c r="J1280" i="13" a="1"/>
  <c r="J1280" i="13" s="1"/>
  <c r="N1281" i="13"/>
  <c r="M1284" i="14"/>
  <c r="K1095" i="13" l="1"/>
  <c r="L1095" i="13" s="1"/>
  <c r="I1096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118" i="14" l="1"/>
  <c r="L1118" i="14" s="1"/>
  <c r="I1119" i="14" s="1"/>
  <c r="K1096" i="13"/>
  <c r="L1096" i="13" s="1"/>
  <c r="I1097" i="13" s="1"/>
  <c r="J1281" i="14" a="1"/>
  <c r="J1281" i="14" s="1"/>
  <c r="N1282" i="14"/>
  <c r="M1286" i="14"/>
  <c r="M1285" i="13"/>
  <c r="J1282" i="13" a="1"/>
  <c r="J1282" i="13" s="1"/>
  <c r="N1283" i="13"/>
  <c r="K1097" i="13" l="1"/>
  <c r="L1097" i="13" s="1"/>
  <c r="I1098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120" i="14" l="1"/>
  <c r="L1120" i="14" s="1"/>
  <c r="I1121" i="14" s="1"/>
  <c r="K1098" i="13"/>
  <c r="L1098" i="13" s="1"/>
  <c r="I1099" i="13" s="1"/>
  <c r="J1283" i="14" a="1"/>
  <c r="J1283" i="14" s="1"/>
  <c r="N1284" i="14"/>
  <c r="M1287" i="13"/>
  <c r="J1284" i="13" a="1"/>
  <c r="J1284" i="13" s="1"/>
  <c r="N1285" i="13"/>
  <c r="M1288" i="14"/>
  <c r="K1099" i="13" l="1"/>
  <c r="L1099" i="13" s="1"/>
  <c r="I1100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122" i="14" l="1"/>
  <c r="L1122" i="14" s="1"/>
  <c r="I1123" i="14" s="1"/>
  <c r="K1100" i="13"/>
  <c r="L1100" i="13" s="1"/>
  <c r="I1101" i="13" s="1"/>
  <c r="M1289" i="13"/>
  <c r="J1285" i="14" a="1"/>
  <c r="J1285" i="14" s="1"/>
  <c r="N1286" i="14"/>
  <c r="J1286" i="13" a="1"/>
  <c r="J1286" i="13" s="1"/>
  <c r="N1287" i="13"/>
  <c r="M1290" i="14"/>
  <c r="K1101" i="13" l="1"/>
  <c r="L1101" i="13" s="1"/>
  <c r="I1102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24" i="14" l="1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/>
  <c r="L1102" i="13" s="1"/>
  <c r="I1103" i="13" s="1"/>
  <c r="K1103" i="13" l="1"/>
  <c r="L1103" i="13" s="1"/>
  <c r="I1104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26" i="14" l="1"/>
  <c r="L1126" i="14" s="1"/>
  <c r="I1127" i="14" s="1"/>
  <c r="K1104" i="13"/>
  <c r="L1104" i="13" s="1"/>
  <c r="I1105" i="13" s="1"/>
  <c r="M1293" i="13"/>
  <c r="M1294" i="14"/>
  <c r="J1289" i="14" a="1"/>
  <c r="J1289" i="14" s="1"/>
  <c r="N1290" i="14"/>
  <c r="J1290" i="13" a="1"/>
  <c r="J1290" i="13" s="1"/>
  <c r="N1291" i="13"/>
  <c r="K1105" i="13" l="1"/>
  <c r="L1105" i="13" s="1"/>
  <c r="I1106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28" i="14" l="1"/>
  <c r="L1128" i="14" s="1"/>
  <c r="I1129" i="14" s="1"/>
  <c r="K1106" i="13"/>
  <c r="L1106" i="13" s="1"/>
  <c r="I1107" i="13" s="1"/>
  <c r="J1291" i="14" a="1"/>
  <c r="J1291" i="14" s="1"/>
  <c r="N1292" i="14"/>
  <c r="J1292" i="13" a="1"/>
  <c r="J1292" i="13" s="1"/>
  <c r="N1293" i="13"/>
  <c r="M1296" i="14"/>
  <c r="M1295" i="13"/>
  <c r="K1129" i="14" l="1"/>
  <c r="L1129" i="14" s="1"/>
  <c r="I1130" i="14" s="1"/>
  <c r="K1107" i="13"/>
  <c r="L1107" i="13" s="1"/>
  <c r="I1108" i="13" s="1"/>
  <c r="N1294" i="13"/>
  <c r="J1293" i="13" a="1"/>
  <c r="J1293" i="13" s="1"/>
  <c r="N1293" i="14"/>
  <c r="J1292" i="14" a="1"/>
  <c r="J1292" i="14" s="1"/>
  <c r="M1296" i="13"/>
  <c r="M1297" i="14"/>
  <c r="K1108" i="13" l="1"/>
  <c r="L1108" i="13" s="1"/>
  <c r="I1109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31" i="14" l="1"/>
  <c r="L1131" i="14" s="1"/>
  <c r="I1132" i="14" s="1"/>
  <c r="K1109" i="13"/>
  <c r="L1109" i="13" s="1"/>
  <c r="I1110" i="13" s="1"/>
  <c r="J1294" i="14" a="1"/>
  <c r="J1294" i="14" s="1"/>
  <c r="N1295" i="14"/>
  <c r="J1295" i="13" a="1"/>
  <c r="J1295" i="13" s="1"/>
  <c r="N1296" i="13"/>
  <c r="M1298" i="13"/>
  <c r="M1299" i="14"/>
  <c r="K1110" i="13" l="1"/>
  <c r="L1110" i="13" s="1"/>
  <c r="I1111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33" i="14" l="1"/>
  <c r="L1133" i="14" s="1"/>
  <c r="I1134" i="14" s="1"/>
  <c r="K1111" i="13"/>
  <c r="L1111" i="13" s="1"/>
  <c r="I1112" i="13" s="1"/>
  <c r="M1300" i="13"/>
  <c r="N1298" i="13"/>
  <c r="J1297" i="13" a="1"/>
  <c r="J1297" i="13" s="1"/>
  <c r="N1297" i="14"/>
  <c r="J1296" i="14" a="1"/>
  <c r="J1296" i="14" s="1"/>
  <c r="M1301" i="14"/>
  <c r="K1112" i="13" l="1"/>
  <c r="L1112" i="13" s="1"/>
  <c r="I1113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35" i="14" l="1"/>
  <c r="L1135" i="14" s="1"/>
  <c r="I1136" i="14" s="1"/>
  <c r="K1113" i="13"/>
  <c r="L1113" i="13" s="1"/>
  <c r="I1114" i="13" s="1"/>
  <c r="J1298" i="14" a="1"/>
  <c r="J1298" i="14" s="1"/>
  <c r="N1299" i="14"/>
  <c r="M1303" i="14"/>
  <c r="J1299" i="13" a="1"/>
  <c r="J1299" i="13" s="1"/>
  <c r="N1300" i="13"/>
  <c r="M1302" i="13"/>
  <c r="K1114" i="13" l="1"/>
  <c r="L1114" i="13" s="1"/>
  <c r="I1115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37" i="14" l="1"/>
  <c r="L1137" i="14" s="1"/>
  <c r="I1138" i="14" s="1"/>
  <c r="K1115" i="13"/>
  <c r="L1115" i="13" s="1"/>
  <c r="I1116" i="13" s="1"/>
  <c r="M1304" i="13"/>
  <c r="N1301" i="14"/>
  <c r="J1300" i="14" a="1"/>
  <c r="J1300" i="14" s="1"/>
  <c r="N1302" i="13"/>
  <c r="J1301" i="13" a="1"/>
  <c r="J1301" i="13" s="1"/>
  <c r="M1305" i="14"/>
  <c r="K1116" i="13" l="1"/>
  <c r="L1116" i="13" s="1"/>
  <c r="I1117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39" i="14" l="1"/>
  <c r="L1139" i="14" s="1"/>
  <c r="I1140" i="14" s="1"/>
  <c r="K1117" i="13"/>
  <c r="L1117" i="13" s="1"/>
  <c r="I1118" i="13" s="1"/>
  <c r="J1303" i="13" a="1"/>
  <c r="J1303" i="13" s="1"/>
  <c r="N1304" i="13"/>
  <c r="M1306" i="13"/>
  <c r="J1302" i="14" a="1"/>
  <c r="J1302" i="14" s="1"/>
  <c r="N1303" i="14"/>
  <c r="M1307" i="14"/>
  <c r="K1118" i="13" l="1"/>
  <c r="L1118" i="13" s="1"/>
  <c r="I1119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41" i="14" l="1"/>
  <c r="L1141" i="14" s="1"/>
  <c r="I1142" i="14" s="1"/>
  <c r="K1119" i="13"/>
  <c r="L1119" i="13" s="1"/>
  <c r="I1120" i="13" s="1"/>
  <c r="M1308" i="13"/>
  <c r="N1305" i="14"/>
  <c r="J1304" i="14" a="1"/>
  <c r="J1304" i="14" s="1"/>
  <c r="N1306" i="13"/>
  <c r="J1305" i="13" a="1"/>
  <c r="J1305" i="13" s="1"/>
  <c r="M1309" i="14"/>
  <c r="K1120" i="13" l="1"/>
  <c r="L1120" i="13" s="1"/>
  <c r="I1121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43" i="14" l="1"/>
  <c r="L1143" i="14" s="1"/>
  <c r="I1144" i="14" s="1"/>
  <c r="K1121" i="13"/>
  <c r="L1121" i="13" s="1"/>
  <c r="I1122" i="13" s="1"/>
  <c r="J1307" i="13" a="1"/>
  <c r="J1307" i="13" s="1"/>
  <c r="N1308" i="13"/>
  <c r="M1310" i="13"/>
  <c r="J1306" i="14" a="1"/>
  <c r="J1306" i="14" s="1"/>
  <c r="N1307" i="14"/>
  <c r="M1311" i="14"/>
  <c r="K1122" i="13" l="1"/>
  <c r="L1122" i="13" s="1"/>
  <c r="I1123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45" i="14" l="1"/>
  <c r="L1145" i="14" s="1"/>
  <c r="I1146" i="14" s="1"/>
  <c r="K1123" i="13"/>
  <c r="L1123" i="13" s="1"/>
  <c r="I1124" i="13" s="1"/>
  <c r="N1310" i="13"/>
  <c r="J1309" i="13" a="1"/>
  <c r="J1309" i="13" s="1"/>
  <c r="N1309" i="14"/>
  <c r="J1308" i="14" a="1"/>
  <c r="J1308" i="14" s="1"/>
  <c r="M1313" i="14"/>
  <c r="M1312" i="13"/>
  <c r="K1124" i="13" l="1"/>
  <c r="L1124" i="13" s="1"/>
  <c r="I1125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47" i="14" l="1"/>
  <c r="L1147" i="14" s="1"/>
  <c r="I1148" i="14" s="1"/>
  <c r="K1125" i="13"/>
  <c r="L1125" i="13" s="1"/>
  <c r="I1126" i="13" s="1"/>
  <c r="J1311" i="13" a="1"/>
  <c r="J1311" i="13" s="1"/>
  <c r="N1312" i="13"/>
  <c r="J1310" i="14" a="1"/>
  <c r="J1310" i="14" s="1"/>
  <c r="N1311" i="14"/>
  <c r="M1315" i="14"/>
  <c r="M1314" i="13"/>
  <c r="K1126" i="13" l="1"/>
  <c r="L1126" i="13" s="1"/>
  <c r="I1127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49" i="14" l="1"/>
  <c r="L1149" i="14" s="1"/>
  <c r="I1150" i="14" s="1"/>
  <c r="K1127" i="13"/>
  <c r="L1127" i="13" s="1"/>
  <c r="I1128" i="13" s="1"/>
  <c r="N1314" i="13"/>
  <c r="J1313" i="13" a="1"/>
  <c r="J1313" i="13" s="1"/>
  <c r="N1313" i="14"/>
  <c r="J1312" i="14" a="1"/>
  <c r="J1312" i="14" s="1"/>
  <c r="M1317" i="14"/>
  <c r="M1316" i="13"/>
  <c r="K1128" i="13" l="1"/>
  <c r="L1128" i="13" s="1"/>
  <c r="I1129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51" i="14" l="1"/>
  <c r="L1151" i="14" s="1"/>
  <c r="I1152" i="14" s="1"/>
  <c r="K1129" i="13"/>
  <c r="L1129" i="13" s="1"/>
  <c r="I1130" i="13" s="1"/>
  <c r="M1318" i="13"/>
  <c r="J1315" i="13" a="1"/>
  <c r="J1315" i="13" s="1"/>
  <c r="N1316" i="13"/>
  <c r="J1314" i="14" a="1"/>
  <c r="J1314" i="14" s="1"/>
  <c r="N1315" i="14"/>
  <c r="M1319" i="14"/>
  <c r="K1130" i="13" l="1"/>
  <c r="L1130" i="13" s="1"/>
  <c r="I1131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53" i="14" l="1"/>
  <c r="L1153" i="14" s="1"/>
  <c r="I1154" i="14" s="1"/>
  <c r="K1131" i="13"/>
  <c r="L1131" i="13" s="1"/>
  <c r="I1132" i="13" s="1"/>
  <c r="M1320" i="13"/>
  <c r="M1321" i="14"/>
  <c r="N1317" i="14"/>
  <c r="J1316" i="14" a="1"/>
  <c r="J1316" i="14" s="1"/>
  <c r="N1318" i="13"/>
  <c r="J1317" i="13" a="1"/>
  <c r="J1317" i="13" s="1"/>
  <c r="K1132" i="13" l="1"/>
  <c r="L1132" i="13" s="1"/>
  <c r="I1133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55" i="14" l="1"/>
  <c r="L1155" i="14" s="1"/>
  <c r="I1156" i="14" s="1"/>
  <c r="K1133" i="13"/>
  <c r="L1133" i="13" s="1"/>
  <c r="I1134" i="13" s="1"/>
  <c r="J1318" i="14" a="1"/>
  <c r="J1318" i="14" s="1"/>
  <c r="N1319" i="14"/>
  <c r="M1323" i="14"/>
  <c r="J1319" i="13" a="1"/>
  <c r="J1319" i="13" s="1"/>
  <c r="N1320" i="13"/>
  <c r="M1322" i="13"/>
  <c r="K1134" i="13" l="1"/>
  <c r="L1134" i="13" s="1"/>
  <c r="I1135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57" i="14" l="1"/>
  <c r="L1157" i="14" s="1"/>
  <c r="I1158" i="14" s="1"/>
  <c r="K1135" i="13"/>
  <c r="L1135" i="13" s="1"/>
  <c r="I1136" i="13" s="1"/>
  <c r="N1321" i="14"/>
  <c r="J1320" i="14" a="1"/>
  <c r="J1320" i="14" s="1"/>
  <c r="M1324" i="13"/>
  <c r="N1322" i="13"/>
  <c r="J1321" i="13" a="1"/>
  <c r="J1321" i="13" s="1"/>
  <c r="M1325" i="14"/>
  <c r="K1136" i="13" l="1"/>
  <c r="L1136" i="13" s="1"/>
  <c r="I1137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59" i="14" l="1"/>
  <c r="L1159" i="14" s="1"/>
  <c r="I1160" i="14" s="1"/>
  <c r="K1137" i="13"/>
  <c r="L1137" i="13" s="1"/>
  <c r="I1138" i="13" s="1"/>
  <c r="J1322" i="14" a="1"/>
  <c r="J1322" i="14" s="1"/>
  <c r="N1323" i="14"/>
  <c r="M1327" i="14"/>
  <c r="J1323" i="13" a="1"/>
  <c r="J1323" i="13" s="1"/>
  <c r="N1324" i="13"/>
  <c r="M1326" i="13"/>
  <c r="K1138" i="13" l="1"/>
  <c r="L1138" i="13" s="1"/>
  <c r="I1139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9" i="13" l="1"/>
  <c r="L1139" i="13" s="1"/>
  <c r="I1140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40" i="13" l="1"/>
  <c r="L1140" i="13" s="1"/>
  <c r="I1141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63" i="14" l="1"/>
  <c r="L1163" i="14" s="1"/>
  <c r="I1164" i="14" s="1"/>
  <c r="K1141" i="13"/>
  <c r="L1141" i="13" s="1"/>
  <c r="I1142" i="13" s="1"/>
  <c r="M1330" i="13"/>
  <c r="J1326" i="14" a="1"/>
  <c r="J1326" i="14" s="1"/>
  <c r="N1327" i="14"/>
  <c r="M1331" i="14"/>
  <c r="J1327" i="13" a="1"/>
  <c r="J1327" i="13" s="1"/>
  <c r="N1328" i="13"/>
  <c r="K1142" i="13" l="1"/>
  <c r="L1142" i="13" s="1"/>
  <c r="I1143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65" i="14" l="1"/>
  <c r="L1165" i="14" s="1"/>
  <c r="I1166" i="14" s="1"/>
  <c r="K1143" i="13"/>
  <c r="L1143" i="13" s="1"/>
  <c r="I1144" i="13" s="1"/>
  <c r="M1332" i="13"/>
  <c r="N1330" i="13"/>
  <c r="J1329" i="13" a="1"/>
  <c r="J1329" i="13" s="1"/>
  <c r="N1329" i="14"/>
  <c r="J1328" i="14" a="1"/>
  <c r="J1328" i="14" s="1"/>
  <c r="M1333" i="14"/>
  <c r="K1144" i="13" l="1"/>
  <c r="L1144" i="13" s="1"/>
  <c r="I1145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67" i="14" l="1"/>
  <c r="L1167" i="14" s="1"/>
  <c r="I1168" i="14" s="1"/>
  <c r="K1145" i="13"/>
  <c r="L1145" i="13" s="1"/>
  <c r="I1146" i="13" s="1"/>
  <c r="J1330" i="14" a="1"/>
  <c r="J1330" i="14" s="1"/>
  <c r="N1331" i="14"/>
  <c r="J1331" i="13" a="1"/>
  <c r="J1331" i="13" s="1"/>
  <c r="N1332" i="13"/>
  <c r="M1334" i="13"/>
  <c r="M1335" i="14"/>
  <c r="K1146" i="13" l="1"/>
  <c r="L1146" i="13" s="1"/>
  <c r="I1147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69" i="14" l="1"/>
  <c r="L1169" i="14" s="1"/>
  <c r="I1170" i="14" s="1"/>
  <c r="K1147" i="13"/>
  <c r="L1147" i="13" s="1"/>
  <c r="I1148" i="13" s="1"/>
  <c r="N1333" i="14"/>
  <c r="J1332" i="14" a="1"/>
  <c r="J1332" i="14" s="1"/>
  <c r="N1334" i="13"/>
  <c r="J1333" i="13" a="1"/>
  <c r="J1333" i="13" s="1"/>
  <c r="M1336" i="13"/>
  <c r="M1337" i="14"/>
  <c r="K1148" i="13" l="1"/>
  <c r="L1148" i="13" s="1"/>
  <c r="I1149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71" i="14" l="1"/>
  <c r="L1171" i="14" s="1"/>
  <c r="I1172" i="14" s="1"/>
  <c r="K1149" i="13"/>
  <c r="L1149" i="13" s="1"/>
  <c r="I1150" i="13" s="1"/>
  <c r="J1334" i="14" a="1"/>
  <c r="J1334" i="14" s="1"/>
  <c r="N1335" i="14"/>
  <c r="J1335" i="13" a="1"/>
  <c r="J1335" i="13" s="1"/>
  <c r="N1336" i="13"/>
  <c r="M1338" i="13"/>
  <c r="M1339" i="14"/>
  <c r="K1150" i="13" l="1"/>
  <c r="L1150" i="13" s="1"/>
  <c r="I1151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73" i="14" l="1"/>
  <c r="L1173" i="14" s="1"/>
  <c r="I1174" i="14" s="1"/>
  <c r="K1151" i="13"/>
  <c r="L1151" i="13" s="1"/>
  <c r="I1152" i="13" s="1"/>
  <c r="N1337" i="14"/>
  <c r="J1336" i="14" a="1"/>
  <c r="J1336" i="14" s="1"/>
  <c r="N1338" i="13"/>
  <c r="J1337" i="13" a="1"/>
  <c r="J1337" i="13" s="1"/>
  <c r="M1340" i="13"/>
  <c r="M1341" i="14"/>
  <c r="K1152" i="13" l="1"/>
  <c r="L1152" i="13" s="1"/>
  <c r="I1153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75" i="14" l="1"/>
  <c r="L1175" i="14" s="1"/>
  <c r="I1176" i="14" s="1"/>
  <c r="K1153" i="13"/>
  <c r="L1153" i="13" s="1"/>
  <c r="I1154" i="13" s="1"/>
  <c r="J1339" i="13" a="1"/>
  <c r="J1339" i="13" s="1"/>
  <c r="N1340" i="13"/>
  <c r="J1338" i="14" a="1"/>
  <c r="J1338" i="14" s="1"/>
  <c r="N1339" i="14"/>
  <c r="M1342" i="13"/>
  <c r="M1343" i="14"/>
  <c r="K1154" i="13" l="1"/>
  <c r="L1154" i="13" s="1"/>
  <c r="I1155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77" i="14" l="1"/>
  <c r="L1177" i="14" s="1"/>
  <c r="I1178" i="14" s="1"/>
  <c r="K1155" i="13"/>
  <c r="L1155" i="13" s="1"/>
  <c r="I1156" i="13" s="1"/>
  <c r="N1342" i="13"/>
  <c r="J1341" i="13" a="1"/>
  <c r="J1341" i="13" s="1"/>
  <c r="M1344" i="13"/>
  <c r="N1341" i="14"/>
  <c r="J1340" i="14" a="1"/>
  <c r="J1340" i="14" s="1"/>
  <c r="M1345" i="14"/>
  <c r="K1156" i="13" l="1"/>
  <c r="L1156" i="13" s="1"/>
  <c r="I1157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79" i="14" l="1"/>
  <c r="L1179" i="14" s="1"/>
  <c r="I1180" i="14" s="1"/>
  <c r="K1157" i="13"/>
  <c r="L1157" i="13" s="1"/>
  <c r="I1158" i="13" s="1"/>
  <c r="J1343" i="13" a="1"/>
  <c r="J1343" i="13" s="1"/>
  <c r="N1344" i="13"/>
  <c r="M1347" i="14"/>
  <c r="J1342" i="14" a="1"/>
  <c r="J1342" i="14" s="1"/>
  <c r="N1343" i="14"/>
  <c r="M1346" i="13"/>
  <c r="K1158" i="13" l="1"/>
  <c r="L1158" i="13" s="1"/>
  <c r="I1159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81" i="14" l="1"/>
  <c r="L1181" i="14" s="1"/>
  <c r="I1182" i="14" s="1"/>
  <c r="K1159" i="13"/>
  <c r="L1159" i="13" s="1"/>
  <c r="I1160" i="13" s="1"/>
  <c r="M1348" i="13"/>
  <c r="N1345" i="14"/>
  <c r="J1344" i="14" a="1"/>
  <c r="J1344" i="14" s="1"/>
  <c r="N1346" i="13"/>
  <c r="J1345" i="13" a="1"/>
  <c r="J1345" i="13" s="1"/>
  <c r="M1349" i="14"/>
  <c r="K1182" i="14" l="1"/>
  <c r="L1182" i="14" s="1"/>
  <c r="I1183" i="14" s="1"/>
  <c r="K1160" i="13"/>
  <c r="L1160" i="13" s="1"/>
  <c r="I1161" i="13" s="1"/>
  <c r="M1350" i="14"/>
  <c r="J1345" i="14" a="1"/>
  <c r="J1345" i="14" s="1"/>
  <c r="N1346" i="14"/>
  <c r="M1349" i="13"/>
  <c r="J1346" i="13" a="1"/>
  <c r="J1346" i="13" s="1"/>
  <c r="N1347" i="13"/>
  <c r="K1161" i="13" l="1"/>
  <c r="L1161" i="13" s="1"/>
  <c r="I1162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84" i="14" l="1"/>
  <c r="L1184" i="14" s="1"/>
  <c r="I1185" i="14" s="1"/>
  <c r="K1162" i="13"/>
  <c r="L1162" i="13" s="1"/>
  <c r="I1163" i="13" s="1"/>
  <c r="J1347" i="14" a="1"/>
  <c r="J1347" i="14" s="1"/>
  <c r="N1348" i="14"/>
  <c r="J1348" i="13" a="1"/>
  <c r="J1348" i="13" s="1"/>
  <c r="N1349" i="13"/>
  <c r="M1352" i="14"/>
  <c r="M1351" i="13"/>
  <c r="K1163" i="13" l="1"/>
  <c r="L1163" i="13" s="1"/>
  <c r="I1164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86" i="14" l="1"/>
  <c r="L1186" i="14" s="1"/>
  <c r="I1187" i="14" s="1"/>
  <c r="K1164" i="13"/>
  <c r="L1164" i="13" s="1"/>
  <c r="I1165" i="13" s="1"/>
  <c r="M1354" i="14"/>
  <c r="M1353" i="13"/>
  <c r="J1349" i="14" a="1"/>
  <c r="J1349" i="14" s="1"/>
  <c r="N1350" i="14"/>
  <c r="J1350" i="13" a="1"/>
  <c r="J1350" i="13" s="1"/>
  <c r="N1351" i="13"/>
  <c r="K1165" i="13" l="1"/>
  <c r="L1165" i="13" s="1"/>
  <c r="I1166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88" i="14" l="1"/>
  <c r="L1188" i="14" s="1"/>
  <c r="I1189" i="14" s="1"/>
  <c r="K1166" i="13"/>
  <c r="L1166" i="13" s="1"/>
  <c r="I1167" i="13" s="1"/>
  <c r="M1356" i="14"/>
  <c r="M1355" i="13"/>
  <c r="J1351" i="14" a="1"/>
  <c r="J1351" i="14" s="1"/>
  <c r="N1352" i="14"/>
  <c r="J1352" i="13" a="1"/>
  <c r="J1352" i="13" s="1"/>
  <c r="N1353" i="13"/>
  <c r="K1189" i="14" l="1"/>
  <c r="L1189" i="14" s="1"/>
  <c r="I1190" i="14" s="1"/>
  <c r="K1167" i="13"/>
  <c r="L1167" i="13" s="1"/>
  <c r="I1168" i="13" s="1"/>
  <c r="N1354" i="13"/>
  <c r="J1353" i="13" a="1"/>
  <c r="J1353" i="13" s="1"/>
  <c r="M1356" i="13"/>
  <c r="N1353" i="14"/>
  <c r="J1352" i="14" a="1"/>
  <c r="J1352" i="14" s="1"/>
  <c r="M1357" i="14"/>
  <c r="K1168" i="13" l="1"/>
  <c r="L1168" i="13" s="1"/>
  <c r="I1169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9" i="13" l="1"/>
  <c r="L1169" i="13" s="1"/>
  <c r="I1170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70" i="13" l="1"/>
  <c r="L1170" i="13" s="1"/>
  <c r="I1171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93" i="14" l="1"/>
  <c r="L1193" i="14" s="1"/>
  <c r="I1194" i="14" s="1"/>
  <c r="K1171" i="13"/>
  <c r="L1171" i="13" s="1"/>
  <c r="I1172" i="13" s="1"/>
  <c r="N1358" i="13"/>
  <c r="J1357" i="13" a="1"/>
  <c r="J1357" i="13" s="1"/>
  <c r="M1360" i="13"/>
  <c r="N1357" i="14"/>
  <c r="J1356" i="14" a="1"/>
  <c r="J1356" i="14" s="1"/>
  <c r="M1361" i="14"/>
  <c r="K1194" i="14" l="1"/>
  <c r="L1194" i="14" s="1"/>
  <c r="I1195" i="14" s="1"/>
  <c r="K1172" i="13"/>
  <c r="L1172" i="13" s="1"/>
  <c r="I1173" i="13" s="1"/>
  <c r="M1361" i="13"/>
  <c r="M1362" i="14"/>
  <c r="J1357" i="14" a="1"/>
  <c r="J1357" i="14" s="1"/>
  <c r="N1358" i="14"/>
  <c r="J1358" i="13" a="1"/>
  <c r="J1358" i="13" s="1"/>
  <c r="N1359" i="13"/>
  <c r="K1173" i="13" l="1"/>
  <c r="L1173" i="13" s="1"/>
  <c r="I1174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96" i="14" l="1"/>
  <c r="L1196" i="14" s="1"/>
  <c r="I1197" i="14" s="1"/>
  <c r="K1174" i="13"/>
  <c r="L1174" i="13" s="1"/>
  <c r="I1175" i="13" s="1"/>
  <c r="J1359" i="14" a="1"/>
  <c r="J1359" i="14" s="1"/>
  <c r="N1360" i="14"/>
  <c r="M1363" i="13"/>
  <c r="M1364" i="14"/>
  <c r="J1360" i="13" a="1"/>
  <c r="J1360" i="13" s="1"/>
  <c r="N1361" i="13"/>
  <c r="K1197" i="14" l="1"/>
  <c r="L1197" i="14" s="1"/>
  <c r="I1198" i="14" s="1"/>
  <c r="K1175" i="13"/>
  <c r="L1175" i="13" s="1"/>
  <c r="I1176" i="13" s="1"/>
  <c r="N1362" i="13"/>
  <c r="J1361" i="13" a="1"/>
  <c r="J1361" i="13" s="1"/>
  <c r="M1364" i="13"/>
  <c r="N1361" i="14"/>
  <c r="J1360" i="14" a="1"/>
  <c r="J1360" i="14" s="1"/>
  <c r="M1365" i="14"/>
  <c r="K1176" i="13" l="1"/>
  <c r="L1176" i="13" s="1"/>
  <c r="I1177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99" i="14" l="1"/>
  <c r="L1199" i="14" s="1"/>
  <c r="I1200" i="14" s="1"/>
  <c r="K1177" i="13"/>
  <c r="L1177" i="13" s="1"/>
  <c r="I1178" i="13" s="1"/>
  <c r="M1366" i="13"/>
  <c r="J1362" i="14" a="1"/>
  <c r="J1362" i="14" s="1"/>
  <c r="N1363" i="14"/>
  <c r="J1363" i="13" a="1"/>
  <c r="J1363" i="13" s="1"/>
  <c r="N1364" i="13"/>
  <c r="M1367" i="14"/>
  <c r="K1178" i="13" l="1"/>
  <c r="L1178" i="13" s="1"/>
  <c r="I1179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201" i="14" l="1"/>
  <c r="L1201" i="14" s="1"/>
  <c r="I1202" i="14" s="1"/>
  <c r="K1179" i="13"/>
  <c r="L1179" i="13" s="1"/>
  <c r="I1180" i="13" s="1"/>
  <c r="N1365" i="14"/>
  <c r="J1364" i="14" a="1"/>
  <c r="J1364" i="14" s="1"/>
  <c r="M1368" i="13"/>
  <c r="N1366" i="13"/>
  <c r="J1365" i="13" a="1"/>
  <c r="J1365" i="13" s="1"/>
  <c r="M1369" i="14"/>
  <c r="K1180" i="13" l="1"/>
  <c r="L1180" i="13" s="1"/>
  <c r="I1181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203" i="14" l="1"/>
  <c r="L1203" i="14" s="1"/>
  <c r="I1204" i="14" s="1"/>
  <c r="M1370" i="13"/>
  <c r="K1181" i="13"/>
  <c r="L1181" i="13" s="1"/>
  <c r="I1182" i="13" s="1"/>
  <c r="M1371" i="14"/>
  <c r="J1366" i="14" a="1"/>
  <c r="J1366" i="14" s="1"/>
  <c r="N1367" i="14"/>
  <c r="J1367" i="13" a="1"/>
  <c r="J1367" i="13" s="1"/>
  <c r="N1368" i="13"/>
  <c r="J1368" i="13" l="1" a="1"/>
  <c r="J1368" i="13" s="1"/>
  <c r="N1369" i="13"/>
  <c r="M1372" i="14"/>
  <c r="M1371" i="13"/>
  <c r="K1182" i="13"/>
  <c r="L1182" i="13" s="1"/>
  <c r="I1183" i="13" s="1"/>
  <c r="K1204" i="14"/>
  <c r="L1204" i="14" s="1"/>
  <c r="I1205" i="14" s="1"/>
  <c r="J1367" i="14" a="1"/>
  <c r="J1367" i="14" s="1"/>
  <c r="N1368" i="14"/>
  <c r="K1205" i="14" l="1"/>
  <c r="L1205" i="14" s="1"/>
  <c r="I1206" i="14" s="1"/>
  <c r="K1183" i="13"/>
  <c r="L1183" i="13" s="1"/>
  <c r="I1184" i="13" s="1"/>
  <c r="N1370" i="13"/>
  <c r="J1369" i="13" a="1"/>
  <c r="J1369" i="13" s="1"/>
  <c r="N1369" i="14"/>
  <c r="J1368" i="14" a="1"/>
  <c r="J1368" i="14" s="1"/>
  <c r="M1373" i="14"/>
  <c r="M1372" i="13"/>
  <c r="K1184" i="13" l="1"/>
  <c r="L1184" i="13" s="1"/>
  <c r="I1185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5" i="13" l="1"/>
  <c r="L1185" i="13" s="1"/>
  <c r="I1186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208" i="14" l="1"/>
  <c r="L1208" i="14" s="1"/>
  <c r="I1209" i="14" s="1"/>
  <c r="K1186" i="13"/>
  <c r="L1186" i="13" s="1"/>
  <c r="I1187" i="13" s="1"/>
  <c r="M1375" i="13"/>
  <c r="M1376" i="14"/>
  <c r="J1372" i="13" a="1"/>
  <c r="J1372" i="13" s="1"/>
  <c r="N1373" i="13"/>
  <c r="J1371" i="14" a="1"/>
  <c r="J1371" i="14" s="1"/>
  <c r="N1372" i="14"/>
  <c r="K1187" i="13" l="1"/>
  <c r="L1187" i="13" s="1"/>
  <c r="I1188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8" i="13" l="1"/>
  <c r="L1188" i="13" s="1"/>
  <c r="I1189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211" i="14" l="1"/>
  <c r="L1211" i="14" s="1"/>
  <c r="I1212" i="14" s="1"/>
  <c r="K1189" i="13"/>
  <c r="L1189" i="13" s="1"/>
  <c r="I1190" i="13" s="1"/>
  <c r="J1374" i="14" a="1"/>
  <c r="J1374" i="14" s="1"/>
  <c r="N1375" i="14"/>
  <c r="M1379" i="14"/>
  <c r="J1375" i="13" a="1"/>
  <c r="J1375" i="13" s="1"/>
  <c r="N1376" i="13"/>
  <c r="M1378" i="13"/>
  <c r="K1190" i="13" l="1"/>
  <c r="L1190" i="13" s="1"/>
  <c r="I1191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213" i="14" l="1"/>
  <c r="L1213" i="14" s="1"/>
  <c r="I1214" i="14" s="1"/>
  <c r="K1191" i="13"/>
  <c r="L1191" i="13" s="1"/>
  <c r="I1192" i="13" s="1"/>
  <c r="N1378" i="13"/>
  <c r="J1377" i="13" a="1"/>
  <c r="J1377" i="13" s="1"/>
  <c r="M1381" i="14"/>
  <c r="N1377" i="14"/>
  <c r="J1376" i="14" a="1"/>
  <c r="J1376" i="14" s="1"/>
  <c r="M1380" i="13"/>
  <c r="K1192" i="13" l="1"/>
  <c r="L1192" i="13" s="1"/>
  <c r="I1193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215" i="14" l="1"/>
  <c r="L1215" i="14" s="1"/>
  <c r="I1216" i="14" s="1"/>
  <c r="K1193" i="13"/>
  <c r="L1193" i="13" s="1"/>
  <c r="I1194" i="13" s="1"/>
  <c r="M1383" i="14"/>
  <c r="J1379" i="13" a="1"/>
  <c r="J1379" i="13" s="1"/>
  <c r="N1380" i="13"/>
  <c r="J1378" i="14" a="1"/>
  <c r="J1378" i="14" s="1"/>
  <c r="N1379" i="14"/>
  <c r="M1382" i="13"/>
  <c r="K1194" i="13" l="1"/>
  <c r="L1194" i="13" s="1"/>
  <c r="I1195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217" i="14" l="1"/>
  <c r="L1217" i="14" s="1"/>
  <c r="I1218" i="14" s="1"/>
  <c r="K1195" i="13"/>
  <c r="L1195" i="13" s="1"/>
  <c r="I1196" i="13" s="1"/>
  <c r="N1382" i="13"/>
  <c r="J1381" i="13" a="1"/>
  <c r="J1381" i="13" s="1"/>
  <c r="N1381" i="14"/>
  <c r="J1380" i="14" a="1"/>
  <c r="J1380" i="14" s="1"/>
  <c r="M1384" i="13"/>
  <c r="M1385" i="14"/>
  <c r="K1196" i="13" l="1"/>
  <c r="L1196" i="13" s="1"/>
  <c r="I1197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219" i="14" l="1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/>
  <c r="L1197" i="13" s="1"/>
  <c r="I1198" i="13" s="1"/>
  <c r="K1198" i="13" l="1"/>
  <c r="L1198" i="13" s="1"/>
  <c r="I1199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9" i="13" l="1"/>
  <c r="L1199" i="13" s="1"/>
  <c r="I1200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222" i="14" l="1"/>
  <c r="L1222" i="14" s="1"/>
  <c r="I1223" i="14" s="1"/>
  <c r="K1200" i="13"/>
  <c r="L1200" i="13" s="1"/>
  <c r="I1201" i="13" s="1"/>
  <c r="J1386" i="13" a="1"/>
  <c r="J1386" i="13" s="1"/>
  <c r="N1387" i="13"/>
  <c r="M1390" i="14"/>
  <c r="M1389" i="13"/>
  <c r="J1385" i="14" a="1"/>
  <c r="J1385" i="14" s="1"/>
  <c r="N1386" i="14"/>
  <c r="K1201" i="13" l="1"/>
  <c r="L1201" i="13" s="1"/>
  <c r="I1202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24" i="14" l="1"/>
  <c r="L1224" i="14" s="1"/>
  <c r="I1225" i="14" s="1"/>
  <c r="K1202" i="13"/>
  <c r="L1202" i="13" s="1"/>
  <c r="I1203" i="13" s="1"/>
  <c r="M1392" i="14"/>
  <c r="J1388" i="13" a="1"/>
  <c r="J1388" i="13" s="1"/>
  <c r="N1389" i="13"/>
  <c r="M1391" i="13"/>
  <c r="J1387" i="14" a="1"/>
  <c r="J1387" i="14" s="1"/>
  <c r="N1388" i="14"/>
  <c r="K1203" i="13" l="1"/>
  <c r="L1203" i="13" s="1"/>
  <c r="I1204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26" i="14" l="1"/>
  <c r="L1226" i="14" s="1"/>
  <c r="I1227" i="14" s="1"/>
  <c r="K1204" i="13"/>
  <c r="L1204" i="13" s="1"/>
  <c r="I1205" i="13" s="1"/>
  <c r="J1390" i="13" a="1"/>
  <c r="J1390" i="13" s="1"/>
  <c r="N1391" i="13"/>
  <c r="M1394" i="14"/>
  <c r="M1393" i="13"/>
  <c r="J1389" i="14" a="1"/>
  <c r="J1389" i="14" s="1"/>
  <c r="N1390" i="14"/>
  <c r="K1205" i="13" l="1"/>
  <c r="L1205" i="13" s="1"/>
  <c r="I1206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28" i="14" l="1"/>
  <c r="L1228" i="14" s="1"/>
  <c r="I1229" i="14" s="1"/>
  <c r="K1206" i="13"/>
  <c r="L1206" i="13" s="1"/>
  <c r="I1207" i="13" s="1"/>
  <c r="J1392" i="13" a="1"/>
  <c r="J1392" i="13" s="1"/>
  <c r="N1393" i="13"/>
  <c r="M1396" i="14"/>
  <c r="M1395" i="13"/>
  <c r="J1391" i="14" a="1"/>
  <c r="J1391" i="14" s="1"/>
  <c r="N1392" i="14"/>
  <c r="K1229" i="14" l="1"/>
  <c r="L1229" i="14" s="1"/>
  <c r="I1230" i="14" s="1"/>
  <c r="K1207" i="13"/>
  <c r="L1207" i="13" s="1"/>
  <c r="I1208" i="13" s="1"/>
  <c r="M1397" i="14"/>
  <c r="N1393" i="14"/>
  <c r="J1392" i="14" a="1"/>
  <c r="J1392" i="14" s="1"/>
  <c r="N1394" i="13"/>
  <c r="J1393" i="13" a="1"/>
  <c r="J1393" i="13" s="1"/>
  <c r="M1396" i="13"/>
  <c r="K1208" i="13" l="1"/>
  <c r="L1208" i="13" s="1"/>
  <c r="I1209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31" i="14" l="1"/>
  <c r="L1231" i="14" s="1"/>
  <c r="I1232" i="14" s="1"/>
  <c r="K1209" i="13"/>
  <c r="L1209" i="13" s="1"/>
  <c r="I1210" i="13" s="1"/>
  <c r="J1394" i="14" a="1"/>
  <c r="J1394" i="14" s="1"/>
  <c r="N1395" i="14"/>
  <c r="J1395" i="13" a="1"/>
  <c r="J1395" i="13" s="1"/>
  <c r="N1396" i="13"/>
  <c r="M1399" i="14"/>
  <c r="M1398" i="13"/>
  <c r="K1210" i="13" l="1"/>
  <c r="L1210" i="13" s="1"/>
  <c r="I1211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33" i="14" l="1"/>
  <c r="L1233" i="14" s="1"/>
  <c r="I1234" i="14" s="1"/>
  <c r="K1211" i="13"/>
  <c r="L1211" i="13" s="1"/>
  <c r="I1212" i="13" s="1"/>
  <c r="N1397" i="14"/>
  <c r="J1396" i="14" a="1"/>
  <c r="J1396" i="14" s="1"/>
  <c r="N1398" i="13"/>
  <c r="J1397" i="13" a="1"/>
  <c r="J1397" i="13" s="1"/>
  <c r="M1401" i="14"/>
  <c r="M1400" i="13"/>
  <c r="K1212" i="13" l="1"/>
  <c r="L1212" i="13" s="1"/>
  <c r="I1213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35" i="14" l="1"/>
  <c r="L1235" i="14" s="1"/>
  <c r="I1236" i="14" s="1"/>
  <c r="K1213" i="13"/>
  <c r="L1213" i="13" s="1"/>
  <c r="I1214" i="13" s="1"/>
  <c r="J1398" i="14" a="1"/>
  <c r="J1398" i="14" s="1"/>
  <c r="N1399" i="14"/>
  <c r="M1402" i="13"/>
  <c r="J1399" i="13" a="1"/>
  <c r="J1399" i="13" s="1"/>
  <c r="N1400" i="13"/>
  <c r="M1403" i="14"/>
  <c r="K1214" i="13" l="1"/>
  <c r="L1214" i="13" s="1"/>
  <c r="I1215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37" i="14" l="1"/>
  <c r="L1237" i="14" s="1"/>
  <c r="I1238" i="14" s="1"/>
  <c r="K1215" i="13"/>
  <c r="L1215" i="13" s="1"/>
  <c r="I1216" i="13" s="1"/>
  <c r="N1402" i="13"/>
  <c r="J1401" i="13" a="1"/>
  <c r="J1401" i="13" s="1"/>
  <c r="M1405" i="14"/>
  <c r="N1401" i="14"/>
  <c r="J1400" i="14" a="1"/>
  <c r="J1400" i="14" s="1"/>
  <c r="M1404" i="13"/>
  <c r="K1216" i="13" l="1"/>
  <c r="L1216" i="13" s="1"/>
  <c r="I1217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39" i="14" l="1"/>
  <c r="L1239" i="14" s="1"/>
  <c r="I1240" i="14" s="1"/>
  <c r="K1217" i="13"/>
  <c r="L1217" i="13" s="1"/>
  <c r="I1218" i="13" s="1"/>
  <c r="M1407" i="14"/>
  <c r="J1402" i="14" a="1"/>
  <c r="J1402" i="14" s="1"/>
  <c r="N1403" i="14"/>
  <c r="J1403" i="13" a="1"/>
  <c r="J1403" i="13" s="1"/>
  <c r="N1404" i="13"/>
  <c r="M1406" i="13"/>
  <c r="K1218" i="13" l="1"/>
  <c r="L1218" i="13" s="1"/>
  <c r="I1219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41" i="14" l="1"/>
  <c r="L1241" i="14" s="1"/>
  <c r="I1242" i="14" s="1"/>
  <c r="K1219" i="13"/>
  <c r="L1219" i="13" s="1"/>
  <c r="I1220" i="13" s="1"/>
  <c r="N1406" i="13"/>
  <c r="J1405" i="13" a="1"/>
  <c r="J1405" i="13" s="1"/>
  <c r="N1405" i="14"/>
  <c r="J1404" i="14" a="1"/>
  <c r="J1404" i="14" s="1"/>
  <c r="M1408" i="13"/>
  <c r="M1409" i="14"/>
  <c r="K1220" i="13" l="1"/>
  <c r="L1220" i="13" s="1"/>
  <c r="I1221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43" i="14" l="1"/>
  <c r="L1243" i="14" s="1"/>
  <c r="I1244" i="14" s="1"/>
  <c r="K1221" i="13"/>
  <c r="L1221" i="13" s="1"/>
  <c r="I1222" i="13" s="1"/>
  <c r="M1411" i="14"/>
  <c r="J1407" i="13" a="1"/>
  <c r="J1407" i="13" s="1"/>
  <c r="N1408" i="13"/>
  <c r="J1406" i="14" a="1"/>
  <c r="J1406" i="14" s="1"/>
  <c r="N1407" i="14"/>
  <c r="M1410" i="13"/>
  <c r="K1222" i="13" l="1"/>
  <c r="L1222" i="13" s="1"/>
  <c r="I1223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45" i="14" l="1"/>
  <c r="L1245" i="14" s="1"/>
  <c r="I1246" i="14" s="1"/>
  <c r="K1223" i="13"/>
  <c r="L1223" i="13" s="1"/>
  <c r="I1224" i="13" s="1"/>
  <c r="N1410" i="13"/>
  <c r="J1409" i="13" a="1"/>
  <c r="J1409" i="13" s="1"/>
  <c r="N1409" i="14"/>
  <c r="J1408" i="14" a="1"/>
  <c r="J1408" i="14" s="1"/>
  <c r="M1412" i="13"/>
  <c r="M1413" i="14"/>
  <c r="K1224" i="13" l="1"/>
  <c r="L1224" i="13" s="1"/>
  <c r="I1225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47" i="14" l="1"/>
  <c r="L1247" i="14" s="1"/>
  <c r="I1248" i="14" s="1"/>
  <c r="K1225" i="13"/>
  <c r="L1225" i="13" s="1"/>
  <c r="I1226" i="13" s="1"/>
  <c r="M1415" i="14"/>
  <c r="J1411" i="13" a="1"/>
  <c r="J1411" i="13" s="1"/>
  <c r="N1412" i="13"/>
  <c r="J1410" i="14" a="1"/>
  <c r="J1410" i="14" s="1"/>
  <c r="N1411" i="14"/>
  <c r="M1414" i="13"/>
  <c r="K1226" i="13" l="1"/>
  <c r="L1226" i="13" s="1"/>
  <c r="I1227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7" i="13" l="1"/>
  <c r="L1227" i="13" s="1"/>
  <c r="I1228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50" i="14" l="1"/>
  <c r="L1250" i="14" s="1"/>
  <c r="I1251" i="14" s="1"/>
  <c r="K1228" i="13"/>
  <c r="L1228" i="13" s="1"/>
  <c r="I1229" i="13" s="1"/>
  <c r="J1414" i="13" a="1"/>
  <c r="J1414" i="13" s="1"/>
  <c r="N1415" i="13"/>
  <c r="M1418" i="14"/>
  <c r="M1417" i="13"/>
  <c r="J1413" i="14" a="1"/>
  <c r="J1413" i="14" s="1"/>
  <c r="N1414" i="14"/>
  <c r="K1229" i="13" l="1"/>
  <c r="L1229" i="13" s="1"/>
  <c r="I1230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52" i="14" l="1"/>
  <c r="L1252" i="14" s="1"/>
  <c r="I1253" i="14" s="1"/>
  <c r="K1230" i="13"/>
  <c r="L1230" i="13" s="1"/>
  <c r="I1231" i="13" s="1"/>
  <c r="J1416" i="13" a="1"/>
  <c r="J1416" i="13" s="1"/>
  <c r="N1417" i="13"/>
  <c r="J1415" i="14" a="1"/>
  <c r="J1415" i="14" s="1"/>
  <c r="N1416" i="14"/>
  <c r="M1420" i="14"/>
  <c r="M1419" i="13"/>
  <c r="K1231" i="13" l="1"/>
  <c r="L1231" i="13" s="1"/>
  <c r="I1232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2" i="13" l="1"/>
  <c r="L1232" i="13" s="1"/>
  <c r="I1233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55" i="14" l="1"/>
  <c r="L1255" i="14" s="1"/>
  <c r="I1256" i="14" s="1"/>
  <c r="K1233" i="13"/>
  <c r="L1233" i="13" s="1"/>
  <c r="I1234" i="13" s="1"/>
  <c r="J1418" i="14" a="1"/>
  <c r="J1418" i="14" s="1"/>
  <c r="N1419" i="14"/>
  <c r="J1419" i="13" a="1"/>
  <c r="J1419" i="13" s="1"/>
  <c r="N1420" i="13"/>
  <c r="M1422" i="13"/>
  <c r="M1423" i="14"/>
  <c r="K1234" i="13" l="1"/>
  <c r="L1234" i="13" s="1"/>
  <c r="I1235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57" i="14" l="1"/>
  <c r="L1257" i="14" s="1"/>
  <c r="I1258" i="14" s="1"/>
  <c r="K1235" i="13"/>
  <c r="L1235" i="13" s="1"/>
  <c r="I1236" i="13" s="1"/>
  <c r="M1424" i="13"/>
  <c r="N1422" i="13"/>
  <c r="J1421" i="13" a="1"/>
  <c r="J1421" i="13" s="1"/>
  <c r="N1421" i="14"/>
  <c r="J1420" i="14" a="1"/>
  <c r="J1420" i="14" s="1"/>
  <c r="M1425" i="14"/>
  <c r="K1236" i="13" l="1"/>
  <c r="L1236" i="13" s="1"/>
  <c r="I1237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7" i="13" l="1"/>
  <c r="L1237" i="13" s="1"/>
  <c r="I1238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60" i="14" l="1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/>
  <c r="L1238" i="13" s="1"/>
  <c r="I1239" i="13" s="1"/>
  <c r="K1239" i="13" l="1"/>
  <c r="L1239" i="13" s="1"/>
  <c r="I1240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62" i="14" l="1"/>
  <c r="L1262" i="14" s="1"/>
  <c r="I1263" i="14" s="1"/>
  <c r="K1240" i="13"/>
  <c r="L1240" i="13" s="1"/>
  <c r="I1241" i="13" s="1"/>
  <c r="M1430" i="14"/>
  <c r="J1426" i="13" a="1"/>
  <c r="J1426" i="13" s="1"/>
  <c r="N1427" i="13"/>
  <c r="M1429" i="13"/>
  <c r="J1425" i="14" a="1"/>
  <c r="J1425" i="14" s="1"/>
  <c r="N1426" i="14"/>
  <c r="K1241" i="13" l="1"/>
  <c r="L1241" i="13" s="1"/>
  <c r="I1242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64" i="14" l="1"/>
  <c r="L1264" i="14" s="1"/>
  <c r="I1265" i="14" s="1"/>
  <c r="K1242" i="13"/>
  <c r="L1242" i="13" s="1"/>
  <c r="I1243" i="13" s="1"/>
  <c r="J1427" i="14" a="1"/>
  <c r="J1427" i="14" s="1"/>
  <c r="N1428" i="14"/>
  <c r="M1431" i="13"/>
  <c r="J1428" i="13" a="1"/>
  <c r="J1428" i="13" s="1"/>
  <c r="N1429" i="13"/>
  <c r="M1432" i="14"/>
  <c r="K1243" i="13" l="1"/>
  <c r="L1243" i="13" s="1"/>
  <c r="I1244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66" i="14" l="1"/>
  <c r="L1266" i="14" s="1"/>
  <c r="I1267" i="14" s="1"/>
  <c r="K1244" i="13"/>
  <c r="L1244" i="13" s="1"/>
  <c r="I1245" i="13" s="1"/>
  <c r="M1434" i="14"/>
  <c r="M1433" i="13"/>
  <c r="J1430" i="13" a="1"/>
  <c r="J1430" i="13" s="1"/>
  <c r="N1431" i="13"/>
  <c r="J1429" i="14" a="1"/>
  <c r="J1429" i="14" s="1"/>
  <c r="N1430" i="14"/>
  <c r="K1245" i="13" l="1"/>
  <c r="L1245" i="13" s="1"/>
  <c r="I1246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68" i="14" l="1"/>
  <c r="L1268" i="14" s="1"/>
  <c r="I1269" i="14" s="1"/>
  <c r="K1246" i="13"/>
  <c r="L1246" i="13" s="1"/>
  <c r="I1247" i="13" s="1"/>
  <c r="M1436" i="14"/>
  <c r="J1431" i="14" a="1"/>
  <c r="J1431" i="14" s="1"/>
  <c r="N1432" i="14"/>
  <c r="J1432" i="13" a="1"/>
  <c r="J1432" i="13" s="1"/>
  <c r="N1433" i="13"/>
  <c r="M1435" i="13"/>
  <c r="K1247" i="13" l="1"/>
  <c r="L1247" i="13" s="1"/>
  <c r="I1248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70" i="14" l="1"/>
  <c r="L1270" i="14" s="1"/>
  <c r="I1271" i="14" s="1"/>
  <c r="K1248" i="13"/>
  <c r="L1248" i="13" s="1"/>
  <c r="I1249" i="13" s="1"/>
  <c r="M1437" i="13"/>
  <c r="M1438" i="14"/>
  <c r="J1434" i="13" a="1"/>
  <c r="J1434" i="13" s="1"/>
  <c r="N1435" i="13"/>
  <c r="J1433" i="14" a="1"/>
  <c r="J1433" i="14" s="1"/>
  <c r="N1434" i="14"/>
  <c r="K1249" i="13" l="1"/>
  <c r="L1249" i="13" s="1"/>
  <c r="I1250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72" i="14" l="1"/>
  <c r="L1272" i="14" s="1"/>
  <c r="I1273" i="14" s="1"/>
  <c r="K1250" i="13"/>
  <c r="L1250" i="13" s="1"/>
  <c r="I1251" i="13" s="1"/>
  <c r="M1440" i="14"/>
  <c r="M1439" i="13"/>
  <c r="J1436" i="13" a="1"/>
  <c r="J1436" i="13" s="1"/>
  <c r="N1437" i="13"/>
  <c r="J1435" i="14" a="1"/>
  <c r="J1435" i="14" s="1"/>
  <c r="N1436" i="14"/>
  <c r="K1251" i="13" l="1"/>
  <c r="L1251" i="13" s="1"/>
  <c r="I1252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74" i="14" l="1"/>
  <c r="L1274" i="14" s="1"/>
  <c r="I1275" i="14" s="1"/>
  <c r="K1252" i="13"/>
  <c r="L1252" i="13" s="1"/>
  <c r="I1253" i="13" s="1"/>
  <c r="J1438" i="13" a="1"/>
  <c r="J1438" i="13" s="1"/>
  <c r="N1439" i="13"/>
  <c r="M1441" i="13"/>
  <c r="M1442" i="14"/>
  <c r="J1437" i="14" a="1"/>
  <c r="J1437" i="14" s="1"/>
  <c r="N1438" i="14"/>
  <c r="K1253" i="13" l="1"/>
  <c r="L1253" i="13" s="1"/>
  <c r="I1254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4" i="13" l="1"/>
  <c r="L1254" i="13" s="1"/>
  <c r="I1255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5" i="13" l="1"/>
  <c r="L1255" i="13" s="1"/>
  <c r="I1256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6" i="13" l="1"/>
  <c r="L1256" i="13" s="1"/>
  <c r="I1257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7" i="13" l="1"/>
  <c r="L1257" i="13" s="1"/>
  <c r="I1258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8" i="13" l="1"/>
  <c r="L1258" i="13" s="1"/>
  <c r="I1259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81" i="14" l="1"/>
  <c r="L1281" i="14" s="1"/>
  <c r="I1282" i="14" s="1"/>
  <c r="K1259" i="13"/>
  <c r="L1259" i="13" s="1"/>
  <c r="I1260" i="13" s="1"/>
  <c r="N1446" i="13"/>
  <c r="J1445" i="13" a="1"/>
  <c r="J1445" i="13" s="1"/>
  <c r="M1449" i="14"/>
  <c r="M1448" i="13"/>
  <c r="N1445" i="14"/>
  <c r="J1444" i="14" a="1"/>
  <c r="J1444" i="14" s="1"/>
  <c r="K1260" i="13" l="1"/>
  <c r="L1260" i="13" s="1"/>
  <c r="I1261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83" i="14" l="1"/>
  <c r="L1283" i="14" s="1"/>
  <c r="I1284" i="14" s="1"/>
  <c r="K1261" i="13"/>
  <c r="L1261" i="13" s="1"/>
  <c r="I1262" i="13" s="1"/>
  <c r="M1451" i="14"/>
  <c r="J1446" i="14" a="1"/>
  <c r="J1446" i="14" s="1"/>
  <c r="N1447" i="14"/>
  <c r="J1447" i="13" a="1"/>
  <c r="J1447" i="13" s="1"/>
  <c r="N1448" i="13"/>
  <c r="M1450" i="13"/>
  <c r="K1262" i="13" l="1"/>
  <c r="L1262" i="13" s="1"/>
  <c r="I1263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85" i="14" l="1"/>
  <c r="L1285" i="14" s="1"/>
  <c r="I1286" i="14" s="1"/>
  <c r="K1263" i="13"/>
  <c r="L1263" i="13" s="1"/>
  <c r="I1264" i="13" s="1"/>
  <c r="N1450" i="13"/>
  <c r="J1449" i="13" a="1"/>
  <c r="J1449" i="13" s="1"/>
  <c r="N1449" i="14"/>
  <c r="J1448" i="14" a="1"/>
  <c r="J1448" i="14" s="1"/>
  <c r="M1452" i="13"/>
  <c r="M1453" i="14"/>
  <c r="K1264" i="13" l="1"/>
  <c r="L1264" i="13" s="1"/>
  <c r="I1265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87" i="14" l="1"/>
  <c r="L1287" i="14" s="1"/>
  <c r="I1288" i="14" s="1"/>
  <c r="M1454" i="13"/>
  <c r="J1451" i="13" a="1"/>
  <c r="J1451" i="13" s="1"/>
  <c r="N1452" i="13"/>
  <c r="M1455" i="14"/>
  <c r="K1265" i="13"/>
  <c r="L1265" i="13" s="1"/>
  <c r="I1266" i="13" s="1"/>
  <c r="J1450" i="14" a="1"/>
  <c r="J1450" i="14" s="1"/>
  <c r="N1451" i="14"/>
  <c r="K1266" i="13" l="1"/>
  <c r="L1266" i="13" s="1"/>
  <c r="I1267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89" i="14" l="1"/>
  <c r="L1289" i="14" s="1"/>
  <c r="I1290" i="14" s="1"/>
  <c r="K1267" i="13"/>
  <c r="L1267" i="13" s="1"/>
  <c r="I1268" i="13" s="1"/>
  <c r="M1456" i="13"/>
  <c r="N1453" i="14"/>
  <c r="J1452" i="14" a="1"/>
  <c r="J1452" i="14" s="1"/>
  <c r="N1454" i="13"/>
  <c r="J1453" i="13" a="1"/>
  <c r="J1453" i="13" s="1"/>
  <c r="M1457" i="14"/>
  <c r="K1268" i="13" l="1"/>
  <c r="L1268" i="13" s="1"/>
  <c r="I1269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91" i="14" l="1"/>
  <c r="L1291" i="14" s="1"/>
  <c r="I1292" i="14" s="1"/>
  <c r="K1269" i="13"/>
  <c r="L1269" i="13" s="1"/>
  <c r="I1270" i="13" s="1"/>
  <c r="M1458" i="13"/>
  <c r="J1454" i="14" a="1"/>
  <c r="J1454" i="14" s="1"/>
  <c r="N1455" i="14"/>
  <c r="J1455" i="13" a="1"/>
  <c r="J1455" i="13" s="1"/>
  <c r="N1456" i="13"/>
  <c r="M1459" i="14"/>
  <c r="K1270" i="13" l="1"/>
  <c r="L1270" i="13" s="1"/>
  <c r="I1271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93" i="14" l="1"/>
  <c r="L1293" i="14" s="1"/>
  <c r="I1294" i="14" s="1"/>
  <c r="K1271" i="13"/>
  <c r="L1271" i="13" s="1"/>
  <c r="I1272" i="13" s="1"/>
  <c r="N1457" i="14"/>
  <c r="J1456" i="14" a="1"/>
  <c r="J1456" i="14" s="1"/>
  <c r="N1458" i="13"/>
  <c r="J1457" i="13" a="1"/>
  <c r="J1457" i="13" s="1"/>
  <c r="M1460" i="13"/>
  <c r="M1461" i="14"/>
  <c r="K1272" i="13" l="1"/>
  <c r="L1272" i="13" s="1"/>
  <c r="I1273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95" i="14" l="1"/>
  <c r="L1295" i="14" s="1"/>
  <c r="I1296" i="14" s="1"/>
  <c r="K1273" i="13"/>
  <c r="L1273" i="13" s="1"/>
  <c r="I1274" i="13" s="1"/>
  <c r="J1459" i="13" a="1"/>
  <c r="J1459" i="13" s="1"/>
  <c r="N1460" i="13"/>
  <c r="J1458" i="14" a="1"/>
  <c r="J1458" i="14" s="1"/>
  <c r="N1459" i="14"/>
  <c r="M1462" i="13"/>
  <c r="M1463" i="14"/>
  <c r="K1274" i="13" l="1"/>
  <c r="L1274" i="13" s="1"/>
  <c r="I1275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97" i="14" l="1"/>
  <c r="L1297" i="14" s="1"/>
  <c r="I1298" i="14" s="1"/>
  <c r="K1275" i="13"/>
  <c r="L1275" i="13" s="1"/>
  <c r="I1276" i="13" s="1"/>
  <c r="M1464" i="13"/>
  <c r="N1461" i="14"/>
  <c r="J1460" i="14" a="1"/>
  <c r="J1460" i="14" s="1"/>
  <c r="N1462" i="13"/>
  <c r="J1461" i="13" a="1"/>
  <c r="J1461" i="13" s="1"/>
  <c r="M1465" i="14"/>
  <c r="K1276" i="13" l="1"/>
  <c r="L1276" i="13" s="1"/>
  <c r="I1277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99" i="14" l="1"/>
  <c r="L1299" i="14" s="1"/>
  <c r="I1300" i="14" s="1"/>
  <c r="K1277" i="13"/>
  <c r="L1277" i="13" s="1"/>
  <c r="I1278" i="13" s="1"/>
  <c r="M1466" i="13"/>
  <c r="J1463" i="13" a="1"/>
  <c r="J1463" i="13" s="1"/>
  <c r="N1464" i="13"/>
  <c r="J1462" i="14" a="1"/>
  <c r="J1462" i="14" s="1"/>
  <c r="N1463" i="14"/>
  <c r="M1467" i="14"/>
  <c r="K1278" i="13" l="1"/>
  <c r="L1278" i="13" s="1"/>
  <c r="I1279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301" i="14" l="1"/>
  <c r="L1301" i="14" s="1"/>
  <c r="I1302" i="14" s="1"/>
  <c r="K1279" i="13"/>
  <c r="L1279" i="13" s="1"/>
  <c r="I1280" i="13" s="1"/>
  <c r="N1465" i="14"/>
  <c r="J1464" i="14" a="1"/>
  <c r="J1464" i="14" s="1"/>
  <c r="N1466" i="13"/>
  <c r="J1465" i="13" a="1"/>
  <c r="J1465" i="13" s="1"/>
  <c r="M1468" i="13"/>
  <c r="M1469" i="14"/>
  <c r="K1280" i="13" l="1"/>
  <c r="L1280" i="13" s="1"/>
  <c r="I1281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303" i="14" l="1"/>
  <c r="L1303" i="14" s="1"/>
  <c r="I1304" i="14" s="1"/>
  <c r="K1281" i="13"/>
  <c r="L1281" i="13" s="1"/>
  <c r="I1282" i="13" s="1"/>
  <c r="J1467" i="13" a="1"/>
  <c r="J1467" i="13" s="1"/>
  <c r="N1468" i="13"/>
  <c r="J1466" i="14" a="1"/>
  <c r="J1466" i="14" s="1"/>
  <c r="N1467" i="14"/>
  <c r="M1470" i="13"/>
  <c r="M1471" i="14"/>
  <c r="K1282" i="13" l="1"/>
  <c r="L1282" i="13" s="1"/>
  <c r="I1283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305" i="14" l="1"/>
  <c r="L1305" i="14" s="1"/>
  <c r="I1306" i="14" s="1"/>
  <c r="K1283" i="13"/>
  <c r="L1283" i="13" s="1"/>
  <c r="I1284" i="13" s="1"/>
  <c r="N1469" i="14"/>
  <c r="J1468" i="14" a="1"/>
  <c r="J1468" i="14" s="1"/>
  <c r="M1472" i="13"/>
  <c r="N1470" i="13"/>
  <c r="J1469" i="13" a="1"/>
  <c r="J1469" i="13" s="1"/>
  <c r="M1473" i="14"/>
  <c r="K1284" i="13" l="1"/>
  <c r="L1284" i="13" s="1"/>
  <c r="I1285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307" i="14" l="1"/>
  <c r="L1307" i="14" s="1"/>
  <c r="I1308" i="14" s="1"/>
  <c r="K1285" i="13"/>
  <c r="L1285" i="13" s="1"/>
  <c r="I1286" i="13" s="1"/>
  <c r="M1475" i="14"/>
  <c r="J1470" i="14" a="1"/>
  <c r="J1470" i="14" s="1"/>
  <c r="N1471" i="14"/>
  <c r="J1471" i="13" a="1"/>
  <c r="J1471" i="13" s="1"/>
  <c r="N1472" i="13"/>
  <c r="M1474" i="13"/>
  <c r="K1286" i="13" l="1"/>
  <c r="L1286" i="13" s="1"/>
  <c r="I1287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309" i="14" l="1"/>
  <c r="L1309" i="14" s="1"/>
  <c r="I1310" i="14" s="1"/>
  <c r="K1287" i="13"/>
  <c r="L1287" i="13" s="1"/>
  <c r="I1288" i="13" s="1"/>
  <c r="M1476" i="13"/>
  <c r="N1473" i="14"/>
  <c r="J1472" i="14" a="1"/>
  <c r="J1472" i="14" s="1"/>
  <c r="N1474" i="13"/>
  <c r="J1473" i="13" a="1"/>
  <c r="J1473" i="13" s="1"/>
  <c r="M1477" i="14"/>
  <c r="K1288" i="13" l="1"/>
  <c r="L1288" i="13" s="1"/>
  <c r="I1289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311" i="14" l="1"/>
  <c r="L1311" i="14" s="1"/>
  <c r="I1312" i="14" s="1"/>
  <c r="K1289" i="13"/>
  <c r="L1289" i="13" s="1"/>
  <c r="I1290" i="13" s="1"/>
  <c r="J1475" i="13" a="1"/>
  <c r="J1475" i="13" s="1"/>
  <c r="N1476" i="13"/>
  <c r="J1474" i="14" a="1"/>
  <c r="J1474" i="14" s="1"/>
  <c r="N1475" i="14"/>
  <c r="M1479" i="14"/>
  <c r="M1478" i="13"/>
  <c r="K1290" i="13" l="1"/>
  <c r="L1290" i="13" s="1"/>
  <c r="I1291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1" i="13" l="1"/>
  <c r="L1291" i="13" s="1"/>
  <c r="I1292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314" i="14" l="1"/>
  <c r="L1314" i="14" s="1"/>
  <c r="I1315" i="14" s="1"/>
  <c r="K1292" i="13"/>
  <c r="L1292" i="13" s="1"/>
  <c r="I1293" i="13" s="1"/>
  <c r="M1481" i="13"/>
  <c r="M1482" i="14"/>
  <c r="J1478" i="13" a="1"/>
  <c r="J1478" i="13" s="1"/>
  <c r="N1479" i="13"/>
  <c r="J1477" i="14" a="1"/>
  <c r="J1477" i="14" s="1"/>
  <c r="N1478" i="14"/>
  <c r="K1293" i="13" l="1"/>
  <c r="L1293" i="13" s="1"/>
  <c r="I1294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316" i="14" l="1"/>
  <c r="L1316" i="14" s="1"/>
  <c r="I1317" i="14" s="1"/>
  <c r="K1294" i="13"/>
  <c r="L1294" i="13" s="1"/>
  <c r="I1295" i="13" s="1"/>
  <c r="J1480" i="13" a="1"/>
  <c r="J1480" i="13" s="1"/>
  <c r="N1481" i="13"/>
  <c r="M1484" i="14"/>
  <c r="M1483" i="13"/>
  <c r="J1479" i="14" a="1"/>
  <c r="J1479" i="14" s="1"/>
  <c r="N1480" i="14"/>
  <c r="K1295" i="13" l="1"/>
  <c r="L1295" i="13" s="1"/>
  <c r="I1296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318" i="14" l="1"/>
  <c r="L1318" i="14" s="1"/>
  <c r="I1319" i="14" s="1"/>
  <c r="K1296" i="13"/>
  <c r="L1296" i="13" s="1"/>
  <c r="I1297" i="13" s="1"/>
  <c r="M1485" i="13"/>
  <c r="M1486" i="14"/>
  <c r="J1482" i="13" a="1"/>
  <c r="J1482" i="13" s="1"/>
  <c r="N1483" i="13"/>
  <c r="J1481" i="14" a="1"/>
  <c r="J1481" i="14" s="1"/>
  <c r="N1482" i="14"/>
  <c r="K1297" i="13" l="1"/>
  <c r="L1297" i="13" s="1"/>
  <c r="I1298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320" i="14" l="1"/>
  <c r="L1320" i="14" s="1"/>
  <c r="I1321" i="14" s="1"/>
  <c r="K1298" i="13"/>
  <c r="L1298" i="13" s="1"/>
  <c r="I1299" i="13" s="1"/>
  <c r="M1488" i="14"/>
  <c r="M1487" i="13"/>
  <c r="J1483" i="14" a="1"/>
  <c r="J1483" i="14" s="1"/>
  <c r="N1484" i="14"/>
  <c r="J1484" i="13" a="1"/>
  <c r="J1484" i="13" s="1"/>
  <c r="N1485" i="13"/>
  <c r="K1299" i="13" l="1"/>
  <c r="L1299" i="13" s="1"/>
  <c r="I1300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322" i="14" l="1"/>
  <c r="L1322" i="14" s="1"/>
  <c r="I1323" i="14" s="1"/>
  <c r="K1300" i="13"/>
  <c r="L1300" i="13" s="1"/>
  <c r="I1301" i="13" s="1"/>
  <c r="M1489" i="13"/>
  <c r="M1490" i="14"/>
  <c r="J1485" i="14" a="1"/>
  <c r="J1485" i="14" s="1"/>
  <c r="N1486" i="14"/>
  <c r="J1486" i="13" a="1"/>
  <c r="J1486" i="13" s="1"/>
  <c r="N1487" i="13"/>
  <c r="K1301" i="13" l="1"/>
  <c r="L1301" i="13" s="1"/>
  <c r="I1302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24" i="14" l="1"/>
  <c r="L1324" i="14" s="1"/>
  <c r="I1325" i="14" s="1"/>
  <c r="K1302" i="13"/>
  <c r="L1302" i="13" s="1"/>
  <c r="I1303" i="13" s="1"/>
  <c r="J1487" i="14" a="1"/>
  <c r="J1487" i="14" s="1"/>
  <c r="N1488" i="14"/>
  <c r="J1488" i="13" a="1"/>
  <c r="J1488" i="13" s="1"/>
  <c r="N1489" i="13"/>
  <c r="M1492" i="14"/>
  <c r="M1491" i="13"/>
  <c r="K1303" i="13" l="1"/>
  <c r="L1303" i="13" s="1"/>
  <c r="I1304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26" i="14" l="1"/>
  <c r="L1326" i="14" s="1"/>
  <c r="I1327" i="14" s="1"/>
  <c r="K1304" i="13"/>
  <c r="L1304" i="13" s="1"/>
  <c r="I1305" i="13" s="1"/>
  <c r="M1493" i="13"/>
  <c r="M1494" i="14"/>
  <c r="J1489" i="14" a="1"/>
  <c r="J1489" i="14" s="1"/>
  <c r="N1490" i="14"/>
  <c r="J1490" i="13" a="1"/>
  <c r="J1490" i="13" s="1"/>
  <c r="N1491" i="13"/>
  <c r="K1305" i="13" l="1"/>
  <c r="L1305" i="13" s="1"/>
  <c r="I1306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28" i="14" l="1"/>
  <c r="L1328" i="14" s="1"/>
  <c r="I1329" i="14" s="1"/>
  <c r="K1306" i="13"/>
  <c r="L1306" i="13" s="1"/>
  <c r="I1307" i="13" s="1"/>
  <c r="M1496" i="14"/>
  <c r="J1491" i="14" a="1"/>
  <c r="J1491" i="14" s="1"/>
  <c r="N1492" i="14"/>
  <c r="M1495" i="13"/>
  <c r="J1492" i="13" a="1"/>
  <c r="J1492" i="13" s="1"/>
  <c r="N1493" i="13"/>
  <c r="K1307" i="13" l="1"/>
  <c r="L1307" i="13" s="1"/>
  <c r="I1308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30" i="14" l="1"/>
  <c r="L1330" i="14" s="1"/>
  <c r="I1331" i="14" s="1"/>
  <c r="K1308" i="13"/>
  <c r="L1308" i="13" s="1"/>
  <c r="I1309" i="13" s="1"/>
  <c r="J1494" i="13" a="1"/>
  <c r="J1494" i="13" s="1"/>
  <c r="N1495" i="13"/>
  <c r="M1498" i="14"/>
  <c r="M1497" i="13"/>
  <c r="J1493" i="14" a="1"/>
  <c r="J1493" i="14" s="1"/>
  <c r="N1494" i="14"/>
  <c r="K1309" i="13" l="1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<sst xmlns="http://schemas.openxmlformats.org/spreadsheetml/2006/main" count="2893" uniqueCount="870">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</sst>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81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44" fontId="6" fillId="3" borderId="25" xfId="0" applyNumberFormat="1" applyFont="1" applyFill="1" applyBorder="1" applyAlignment="1">
      <alignment horizontal="center"/>
    </xf>
    <xf numFmtId="10" fontId="6" fillId="3" borderId="25" xfId="0" applyNumberFormat="1" applyFont="1" applyFill="1" applyBorder="1" applyAlignment="1">
      <alignment horizontal="center"/>
    </xf>
    <xf numFmtId="44" fontId="6" fillId="4" borderId="25" xfId="0" applyNumberFormat="1" applyFont="1" applyFill="1" applyBorder="1" applyAlignment="1">
      <alignment horizontal="center"/>
    </xf>
    <xf numFmtId="10" fontId="6" fillId="4" borderId="5" xfId="0" applyNumberFormat="1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44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 applyAlignment="1">
      <alignment horizontal="center"/>
    </xf>
    <xf numFmtId="164" fontId="6" fillId="2" borderId="36" xfId="0" applyFont="1" applyFill="1" applyBorder="1"/>
    <xf numFmtId="44" fontId="6" fillId="3" borderId="37" xfId="0" applyNumberFormat="1" applyFont="1" applyFill="1" applyBorder="1" applyAlignment="1">
      <alignment horizontal="center"/>
    </xf>
    <xf numFmtId="10" fontId="6" fillId="3" borderId="37" xfId="0" applyNumberFormat="1" applyFont="1" applyFill="1" applyBorder="1" applyAlignment="1">
      <alignment horizontal="center"/>
    </xf>
    <xf numFmtId="44" fontId="6" fillId="4" borderId="37" xfId="0" applyNumberFormat="1" applyFont="1" applyFill="1" applyBorder="1" applyAlignment="1">
      <alignment horizontal="center"/>
    </xf>
    <xf numFmtId="10" fontId="6" fillId="4" borderId="38" xfId="0" applyNumberFormat="1" applyFont="1" applyFill="1" applyBorder="1" applyAlignment="1">
      <alignment horizontal="center"/>
    </xf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9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40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41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40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3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4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3" xfId="0" applyNumberFormat="1" applyFont="1" applyFill="1" applyBorder="1" applyAlignment="1">
      <alignment horizontal="center"/>
    </xf>
    <xf numFmtId="44" fontId="11" fillId="9" borderId="45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3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41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41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40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4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4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3" xfId="0" applyNumberFormat="1" applyFont="1" applyFill="1" applyBorder="1"/>
    <xf numFmtId="44" fontId="11" fillId="13" borderId="11" xfId="0" applyNumberFormat="1" applyFont="1" applyFill="1" applyBorder="1"/>
    <xf numFmtId="164" fontId="11" fillId="5" borderId="46" xfId="0" applyFont="1" applyFill="1" applyBorder="1"/>
    <xf numFmtId="1" fontId="11" fillId="5" borderId="46" xfId="0" applyNumberFormat="1" applyFont="1" applyFill="1" applyBorder="1"/>
    <xf numFmtId="16" fontId="11" fillId="5" borderId="46" xfId="0" applyNumberFormat="1" applyFont="1" applyFill="1" applyBorder="1" applyAlignment="1">
      <alignment horizontal="left" vertical="center"/>
    </xf>
    <xf numFmtId="16" fontId="11" fillId="5" borderId="46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5" xfId="0" applyNumberFormat="1" applyFont="1" applyFill="1" applyBorder="1" applyAlignment="1">
      <alignment horizontal="left" vertical="center"/>
    </xf>
    <xf numFmtId="16" fontId="11" fillId="5" borderId="45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5" xfId="0" applyFont="1" applyFill="1" applyBorder="1" applyAlignment="1">
      <alignment horizontal="left" vertical="center"/>
    </xf>
    <xf numFmtId="164" fontId="11" fillId="5" borderId="45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5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5" xfId="0" applyNumberFormat="1" applyFont="1" applyFill="1" applyBorder="1" applyAlignment="1">
      <alignment horizontal="center" vertical="center"/>
    </xf>
    <xf numFmtId="44" fontId="12" fillId="5" borderId="45" xfId="0" applyNumberFormat="1" applyFont="1" applyFill="1" applyBorder="1" applyAlignment="1">
      <alignment horizontal="center"/>
    </xf>
    <xf numFmtId="164" fontId="12" fillId="5" borderId="45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6" xfId="0" applyNumberFormat="1" applyFont="1" applyFill="1" applyBorder="1"/>
    <xf numFmtId="44" fontId="13" fillId="10" borderId="46" xfId="0" applyNumberFormat="1" applyFont="1" applyFill="1" applyBorder="1"/>
    <xf numFmtId="164" fontId="13" fillId="13" borderId="46" xfId="0" applyFont="1" applyFill="1" applyBorder="1"/>
    <xf numFmtId="44" fontId="13" fillId="13" borderId="46" xfId="0" applyNumberFormat="1" applyFont="1" applyFill="1" applyBorder="1"/>
    <xf numFmtId="164" fontId="13" fillId="15" borderId="46" xfId="0" applyFont="1" applyFill="1" applyBorder="1"/>
    <xf numFmtId="44" fontId="13" fillId="15" borderId="46" xfId="0" applyNumberFormat="1" applyFont="1" applyFill="1" applyBorder="1"/>
    <xf numFmtId="164" fontId="13" fillId="8" borderId="46" xfId="0" applyFont="1" applyFill="1" applyBorder="1"/>
    <xf numFmtId="44" fontId="13" fillId="8" borderId="46" xfId="0" applyNumberFormat="1" applyFont="1" applyFill="1" applyBorder="1"/>
    <xf numFmtId="164" fontId="13" fillId="12" borderId="46" xfId="0" applyFont="1" applyFill="1" applyBorder="1"/>
    <xf numFmtId="44" fontId="13" fillId="12" borderId="46" xfId="0" applyNumberFormat="1" applyFont="1" applyFill="1" applyBorder="1"/>
    <xf numFmtId="164" fontId="13" fillId="9" borderId="46" xfId="0" applyFont="1" applyFill="1" applyBorder="1"/>
    <xf numFmtId="44" fontId="13" fillId="9" borderId="46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5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5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5" xfId="0" applyNumberFormat="1" applyFont="1" applyFill="1" applyBorder="1" applyAlignment="1">
      <alignment horizontal="center"/>
    </xf>
    <xf numFmtId="165" fontId="11" fillId="5" borderId="45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5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5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9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7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6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6" xfId="0" applyNumberFormat="1" applyFont="1" applyFill="1" applyBorder="1" applyAlignment="1">
      <alignment horizontal="center"/>
    </xf>
    <xf numFmtId="165" fontId="12" fillId="18" borderId="46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6" xfId="0" applyNumberFormat="1" applyFont="1" applyFill="1" applyBorder="1" applyAlignment="1">
      <alignment horizontal="center"/>
    </xf>
    <xf numFmtId="165" fontId="6" fillId="4" borderId="46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6" xfId="0" applyNumberFormat="1" applyFont="1" applyFill="1" applyBorder="1"/>
    <xf numFmtId="165" fontId="6" fillId="2" borderId="46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7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8" xfId="0" applyNumberFormat="1" applyFont="1" applyBorder="1"/>
    <xf numFmtId="164" fontId="13" fillId="0" borderId="47" xfId="0" applyFont="1" applyBorder="1" applyAlignment="1">
      <alignment horizontal="center"/>
    </xf>
    <xf numFmtId="44" fontId="13" fillId="0" borderId="47" xfId="0" applyNumberFormat="1" applyFont="1" applyBorder="1" applyAlignment="1">
      <alignment horizontal="center"/>
    </xf>
    <xf numFmtId="164" fontId="13" fillId="12" borderId="47" xfId="0" applyFont="1" applyFill="1" applyBorder="1" applyAlignment="1">
      <alignment horizontal="center"/>
    </xf>
    <xf numFmtId="165" fontId="11" fillId="4" borderId="47" xfId="0" applyNumberFormat="1" applyFont="1" applyFill="1" applyBorder="1" applyAlignment="1">
      <alignment horizontal="center"/>
    </xf>
    <xf numFmtId="165" fontId="11" fillId="14" borderId="47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7" xfId="0" applyNumberFormat="1" applyFont="1" applyFill="1" applyBorder="1" applyAlignment="1">
      <alignment horizontal="center"/>
    </xf>
    <xf numFmtId="8" fontId="11" fillId="14" borderId="47" xfId="0" applyNumberFormat="1" applyFont="1" applyFill="1" applyBorder="1" applyAlignment="1">
      <alignment horizontal="center"/>
    </xf>
    <xf numFmtId="8" fontId="11" fillId="3" borderId="47" xfId="0" applyNumberFormat="1" applyFont="1" applyFill="1" applyBorder="1" applyAlignment="1">
      <alignment horizontal="center"/>
    </xf>
    <xf numFmtId="164" fontId="14" fillId="0" borderId="47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50" xfId="0" applyNumberFormat="1" applyFont="1" applyFill="1" applyBorder="1" applyAlignment="1">
      <alignment horizontal="center"/>
    </xf>
    <xf numFmtId="0" fontId="5" fillId="0" borderId="51" xfId="0" applyNumberFormat="1" applyFont="1" applyBorder="1"/>
    <xf numFmtId="0" fontId="5" fillId="0" borderId="52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28" sqref="C28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35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34" t="s">
        <v>830</v>
      </c>
    </row>
    <row r="2" spans="1:3" x14ac:dyDescent="0.3">
      <c r="A2" t="s">
        <v>106</v>
      </c>
      <c r="B2" t="s">
        <v>807</v>
      </c>
      <c r="C2" s="535">
        <v>1976.877371</v>
      </c>
    </row>
    <row r="3" spans="1:3" x14ac:dyDescent="0.3">
      <c r="A3" t="s">
        <v>106</v>
      </c>
      <c r="B3" t="s">
        <v>808</v>
      </c>
      <c r="C3" s="535">
        <v>952.22127599999999</v>
      </c>
    </row>
    <row r="4" spans="1:3" x14ac:dyDescent="0.3">
      <c r="A4" t="s">
        <v>106</v>
      </c>
      <c r="B4" t="s">
        <v>809</v>
      </c>
      <c r="C4" s="535">
        <v>1354.282633</v>
      </c>
    </row>
    <row r="5" spans="1:3" x14ac:dyDescent="0.3">
      <c r="A5" t="s">
        <v>810</v>
      </c>
      <c r="B5" t="s">
        <v>807</v>
      </c>
      <c r="C5" s="535">
        <v>461.22561999999999</v>
      </c>
    </row>
    <row r="6" spans="1:3" x14ac:dyDescent="0.3">
      <c r="A6" t="s">
        <v>810</v>
      </c>
      <c r="B6" t="s">
        <v>808</v>
      </c>
      <c r="C6" s="535">
        <v>733.12704199999996</v>
      </c>
    </row>
    <row r="7" spans="1:3" x14ac:dyDescent="0.3">
      <c r="A7" t="s">
        <v>812</v>
      </c>
      <c r="B7" t="s">
        <v>811</v>
      </c>
      <c r="C7" s="535">
        <v>203.86799999999999</v>
      </c>
    </row>
    <row r="8" spans="1:3" x14ac:dyDescent="0.3">
      <c r="A8" t="s">
        <v>812</v>
      </c>
      <c r="B8" t="s">
        <v>813</v>
      </c>
      <c r="C8" s="535">
        <v>1219.2550000000001</v>
      </c>
    </row>
    <row r="9" spans="1:3" x14ac:dyDescent="0.3">
      <c r="A9" t="s">
        <v>812</v>
      </c>
      <c r="B9" t="s">
        <v>814</v>
      </c>
      <c r="C9" s="535">
        <v>138.86199999999999</v>
      </c>
    </row>
    <row r="10" spans="1:3" x14ac:dyDescent="0.3">
      <c r="A10" t="s">
        <v>815</v>
      </c>
      <c r="B10" t="s">
        <v>813</v>
      </c>
      <c r="C10" s="535">
        <v>679.72</v>
      </c>
    </row>
    <row r="11" spans="1:3" x14ac:dyDescent="0.3">
      <c r="A11" t="s">
        <v>54</v>
      </c>
      <c r="B11" t="s">
        <v>816</v>
      </c>
      <c r="C11" s="535">
        <v>50.346319999999999</v>
      </c>
    </row>
    <row r="12" spans="1:3" x14ac:dyDescent="0.3">
      <c r="A12" t="s">
        <v>54</v>
      </c>
      <c r="B12" t="s">
        <v>817</v>
      </c>
      <c r="C12" s="535">
        <v>32.164059999999999</v>
      </c>
    </row>
    <row r="13" spans="1:3" x14ac:dyDescent="0.3">
      <c r="A13" t="s">
        <v>54</v>
      </c>
      <c r="B13" t="s">
        <v>818</v>
      </c>
      <c r="C13" s="535">
        <v>224.54397</v>
      </c>
    </row>
    <row r="14" spans="1:3" x14ac:dyDescent="0.3">
      <c r="A14" t="s">
        <v>54</v>
      </c>
      <c r="B14" t="s">
        <v>819</v>
      </c>
      <c r="C14" s="535">
        <v>211.67348999999999</v>
      </c>
    </row>
    <row r="15" spans="1:3" x14ac:dyDescent="0.3">
      <c r="A15" t="s">
        <v>54</v>
      </c>
      <c r="B15" t="s">
        <v>820</v>
      </c>
      <c r="C15" s="535">
        <v>204.95385999999999</v>
      </c>
    </row>
    <row r="16" spans="1:3" x14ac:dyDescent="0.3">
      <c r="A16" t="s">
        <v>59</v>
      </c>
      <c r="B16" t="s">
        <v>821</v>
      </c>
      <c r="C16" s="535">
        <v>0.10882</v>
      </c>
    </row>
    <row r="17" spans="1:3" x14ac:dyDescent="0.3">
      <c r="A17" t="s">
        <v>59</v>
      </c>
      <c r="B17" t="s">
        <v>822</v>
      </c>
      <c r="C17" s="535">
        <v>1.6377699999999999</v>
      </c>
    </row>
    <row r="18" spans="1:3" x14ac:dyDescent="0.3">
      <c r="A18" t="s">
        <v>59</v>
      </c>
      <c r="B18" t="s">
        <v>823</v>
      </c>
      <c r="C18" s="535">
        <v>22.54139</v>
      </c>
    </row>
    <row r="19" spans="1:3" x14ac:dyDescent="0.3">
      <c r="A19" t="s">
        <v>59</v>
      </c>
      <c r="B19" t="s">
        <v>824</v>
      </c>
      <c r="C19" s="535">
        <v>5.2892619999999999</v>
      </c>
    </row>
    <row r="20" spans="1:3" x14ac:dyDescent="0.3">
      <c r="A20" t="s">
        <v>59</v>
      </c>
      <c r="B20" t="s">
        <v>825</v>
      </c>
      <c r="C20" s="535">
        <v>32.208689999999997</v>
      </c>
    </row>
    <row r="21" spans="1:3" x14ac:dyDescent="0.3">
      <c r="A21" t="s">
        <v>59</v>
      </c>
      <c r="B21" t="s">
        <v>826</v>
      </c>
      <c r="C21" s="535">
        <v>144.69972000000001</v>
      </c>
    </row>
    <row r="22" spans="1:3" x14ac:dyDescent="0.3">
      <c r="A22" t="s">
        <v>59</v>
      </c>
      <c r="B22" t="s">
        <v>827</v>
      </c>
      <c r="C22" s="535">
        <v>364.74335000000002</v>
      </c>
    </row>
    <row r="23" spans="1:3" x14ac:dyDescent="0.3">
      <c r="A23" s="532" t="s">
        <v>828</v>
      </c>
      <c r="B23" s="532" t="s">
        <v>816</v>
      </c>
      <c r="C23" s="535">
        <v>8.55701</v>
      </c>
    </row>
    <row r="24" spans="1:3" x14ac:dyDescent="0.3">
      <c r="A24" s="532" t="s">
        <v>828</v>
      </c>
      <c r="B24" s="532" t="s">
        <v>818</v>
      </c>
      <c r="C24" s="535">
        <v>26.053380000000001</v>
      </c>
    </row>
    <row r="25" spans="1:3" x14ac:dyDescent="0.3">
      <c r="A25" s="532" t="s">
        <v>828</v>
      </c>
      <c r="B25" s="532" t="s">
        <v>829</v>
      </c>
      <c r="C25" s="535">
        <v>29.661580000000001</v>
      </c>
    </row>
    <row r="26" spans="1:3" x14ac:dyDescent="0.3">
      <c r="A26" s="532" t="s">
        <v>828</v>
      </c>
      <c r="B26" s="532" t="s">
        <v>819</v>
      </c>
      <c r="C26" s="535">
        <v>22.982579999999999</v>
      </c>
    </row>
    <row r="27" spans="1:3" x14ac:dyDescent="0.3">
      <c r="A27" s="532" t="s">
        <v>828</v>
      </c>
      <c r="B27" s="532" t="s">
        <v>820</v>
      </c>
      <c r="C27" s="535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G37" sqref="G37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2" t="s">
        <v>34</v>
      </c>
      <c r="B1" s="553"/>
      <c r="C1" s="554"/>
      <c r="E1" s="5" t="s">
        <v>35</v>
      </c>
      <c r="F1" s="6">
        <f ca="1">SUM($B$7,$B$19,$B$26,$B$31,$B$38)</f>
        <v>1698181.3399999999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46162</v>
      </c>
      <c r="E2" s="13" t="s">
        <v>40</v>
      </c>
      <c r="F2" s="16">
        <f>F14</f>
        <v>184020.32</v>
      </c>
      <c r="H2" s="17"/>
      <c r="J2" s="18" t="s">
        <v>41</v>
      </c>
      <c r="K2" s="19">
        <v>0.75</v>
      </c>
      <c r="L2" s="20">
        <f>K5/(K5+K6)</f>
        <v>0.82826529210328914</v>
      </c>
      <c r="N2" s="21" t="s">
        <v>42</v>
      </c>
      <c r="O2" s="22">
        <f>B12-O1</f>
        <v>-9800</v>
      </c>
      <c r="P2" s="11"/>
      <c r="Q2" s="23" t="s">
        <v>43</v>
      </c>
      <c r="R2" s="23">
        <f ca="1">E20*(1+$Q$1)</f>
        <v>1741285.1729999997</v>
      </c>
    </row>
    <row r="3" spans="1:18" ht="14.4" x14ac:dyDescent="0.3">
      <c r="A3" s="13" t="s">
        <v>44</v>
      </c>
      <c r="B3" s="14">
        <v>0</v>
      </c>
      <c r="C3" s="15">
        <f t="shared" ca="1" si="0"/>
        <v>46162</v>
      </c>
      <c r="E3" s="21" t="s">
        <v>45</v>
      </c>
      <c r="F3" s="22">
        <f ca="1">F1-F2</f>
        <v>1514161.0199999998</v>
      </c>
      <c r="H3" s="17"/>
      <c r="J3" s="18" t="s">
        <v>46</v>
      </c>
      <c r="K3" s="19">
        <v>0.25</v>
      </c>
      <c r="L3" s="20">
        <f>K6/(K5+K6)</f>
        <v>0.17173470789671083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2002477.9489499994</v>
      </c>
    </row>
    <row r="4" spans="1:18" ht="14.4" x14ac:dyDescent="0.3">
      <c r="A4" s="13" t="s">
        <v>49</v>
      </c>
      <c r="B4" s="14">
        <v>0</v>
      </c>
      <c r="C4" s="15">
        <f t="shared" ca="1" si="0"/>
        <v>46162</v>
      </c>
      <c r="F4" s="7"/>
      <c r="H4" s="17"/>
      <c r="J4" s="24"/>
      <c r="K4" s="25"/>
      <c r="L4" s="26"/>
      <c r="N4" s="27" t="s">
        <v>50</v>
      </c>
      <c r="O4" s="28">
        <f>B10-O3</f>
        <v>22318.800000000003</v>
      </c>
      <c r="P4" s="11"/>
      <c r="Q4" s="23" t="s">
        <v>51</v>
      </c>
      <c r="R4" s="23">
        <f t="shared" ca="1" si="1"/>
        <v>2302849.6412924989</v>
      </c>
    </row>
    <row r="5" spans="1:18" ht="14.4" x14ac:dyDescent="0.3">
      <c r="A5" s="13" t="s">
        <v>52</v>
      </c>
      <c r="B5" s="14">
        <f ca="1">'Checking Transaction Log'!G1</f>
        <v>4446.1799999999848</v>
      </c>
      <c r="C5" s="15">
        <f t="shared" ca="1" si="0"/>
        <v>46162</v>
      </c>
      <c r="E5" s="555" t="s">
        <v>53</v>
      </c>
      <c r="F5" s="553"/>
      <c r="G5" s="554"/>
      <c r="H5" s="17"/>
      <c r="J5" s="29" t="s">
        <v>54</v>
      </c>
      <c r="K5" s="30">
        <f>B10</f>
        <v>90188.88</v>
      </c>
      <c r="L5" s="20">
        <f ca="1">K5/F3</f>
        <v>5.9563599121049901E-2</v>
      </c>
      <c r="N5" s="5" t="s">
        <v>55</v>
      </c>
      <c r="O5" s="6"/>
      <c r="P5" s="11"/>
      <c r="Q5" s="23" t="s">
        <v>56</v>
      </c>
      <c r="R5" s="23">
        <f t="shared" ca="1" si="1"/>
        <v>2648277.0874863737</v>
      </c>
    </row>
    <row r="6" spans="1:18" ht="14.4" x14ac:dyDescent="0.3">
      <c r="A6" s="13" t="s">
        <v>57</v>
      </c>
      <c r="B6" s="14">
        <f>'Savings Transaction Log'!A3</f>
        <v>20346.010000000002</v>
      </c>
      <c r="C6" s="15">
        <f t="shared" ca="1" si="0"/>
        <v>46162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18700</v>
      </c>
      <c r="L6" s="20">
        <f ca="1">K6/F3</f>
        <v>1.2350073574077348E-2</v>
      </c>
      <c r="N6" s="21" t="s">
        <v>60</v>
      </c>
      <c r="O6" s="22"/>
      <c r="P6" s="11"/>
      <c r="Q6" s="23" t="s">
        <v>61</v>
      </c>
      <c r="R6" s="23">
        <f t="shared" ca="1" si="1"/>
        <v>3045518.6506093293</v>
      </c>
    </row>
    <row r="7" spans="1:18" ht="14.4" x14ac:dyDescent="0.3">
      <c r="A7" s="21" t="s">
        <v>62</v>
      </c>
      <c r="B7" s="33">
        <f ca="1">SUM(B2:B6)</f>
        <v>24892.189999999988</v>
      </c>
      <c r="C7" s="34">
        <f ca="1">B7/F3</f>
        <v>1.6439592402134346E-2</v>
      </c>
      <c r="E7" s="540" t="s">
        <v>836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10346.010000000002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3502346.4482007283</v>
      </c>
    </row>
    <row r="8" spans="1:18" ht="14.4" x14ac:dyDescent="0.3">
      <c r="B8" s="7"/>
      <c r="C8" s="37"/>
      <c r="E8" s="31" t="s">
        <v>842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119234.89000000001</v>
      </c>
      <c r="L8" s="20">
        <f ca="1">K8/F3</f>
        <v>7.8746506101444902E-2</v>
      </c>
      <c r="N8" s="21" t="s">
        <v>69</v>
      </c>
      <c r="O8" s="22">
        <f t="shared" si="2"/>
        <v>12518.800000000003</v>
      </c>
      <c r="P8" s="11"/>
      <c r="Q8" s="23" t="s">
        <v>70</v>
      </c>
      <c r="R8" s="23">
        <f t="shared" ca="1" si="1"/>
        <v>4027698.4154308373</v>
      </c>
    </row>
    <row r="9" spans="1:18" ht="14.4" x14ac:dyDescent="0.3">
      <c r="A9" s="552" t="s">
        <v>71</v>
      </c>
      <c r="B9" s="553"/>
      <c r="C9" s="554"/>
      <c r="E9" s="539" t="s">
        <v>841</v>
      </c>
      <c r="F9" s="537">
        <v>9840</v>
      </c>
      <c r="G9" s="538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4631853.1777454624</v>
      </c>
    </row>
    <row r="10" spans="1:18" ht="14.4" x14ac:dyDescent="0.3">
      <c r="A10" s="31" t="s">
        <v>74</v>
      </c>
      <c r="B10" s="14">
        <v>90188.88</v>
      </c>
      <c r="C10" s="15">
        <v>46158</v>
      </c>
      <c r="D10" s="17"/>
      <c r="E10" s="539" t="s">
        <v>837</v>
      </c>
      <c r="F10" s="537">
        <v>11965.33</v>
      </c>
      <c r="G10" s="538">
        <v>46149</v>
      </c>
      <c r="H10" s="17"/>
      <c r="I10" s="7"/>
      <c r="J10" s="18" t="s">
        <v>54</v>
      </c>
      <c r="K10" s="30">
        <f>(K8*K2)-K5</f>
        <v>-762.71249999999418</v>
      </c>
      <c r="L10" s="40">
        <f t="shared" ref="L10:L11" si="3">K10+K5</f>
        <v>89426.16750000001</v>
      </c>
      <c r="P10" s="11"/>
      <c r="Q10" s="23" t="s">
        <v>75</v>
      </c>
      <c r="R10" s="23">
        <f t="shared" ca="1" si="1"/>
        <v>5326631.1544072814</v>
      </c>
    </row>
    <row r="11" spans="1:18" ht="14.4" x14ac:dyDescent="0.3">
      <c r="A11" s="31" t="s">
        <v>76</v>
      </c>
      <c r="B11" s="14">
        <v>12223.51</v>
      </c>
      <c r="C11" s="15">
        <v>46158</v>
      </c>
      <c r="D11" s="17"/>
      <c r="E11" s="539" t="s">
        <v>838</v>
      </c>
      <c r="F11" s="537">
        <v>1040.6300000000001</v>
      </c>
      <c r="G11" s="538">
        <v>46155</v>
      </c>
      <c r="H11" s="17"/>
      <c r="I11" s="7"/>
      <c r="J11" s="43" t="s">
        <v>78</v>
      </c>
      <c r="K11" s="44">
        <f>(K8*K3)-K6</f>
        <v>11108.722500000003</v>
      </c>
      <c r="L11" s="45">
        <f t="shared" si="3"/>
        <v>29808.722500000003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6125625.8275683727</v>
      </c>
    </row>
    <row r="12" spans="1:18" ht="14.4" x14ac:dyDescent="0.3">
      <c r="A12" s="47" t="s">
        <v>81</v>
      </c>
      <c r="B12" s="48">
        <v>18700</v>
      </c>
      <c r="C12" s="15">
        <v>46158</v>
      </c>
      <c r="D12" s="17"/>
      <c r="E12" s="536" t="s">
        <v>839</v>
      </c>
      <c r="F12" s="537">
        <v>3944.13</v>
      </c>
      <c r="G12" s="538">
        <v>46155</v>
      </c>
      <c r="I12" s="7"/>
      <c r="J12" s="49"/>
      <c r="K12" s="25"/>
      <c r="L12" s="50">
        <f ca="1">L11/F3</f>
        <v>1.9686626525361225E-2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36" t="s">
        <v>840</v>
      </c>
      <c r="F13" s="537">
        <v>815.04</v>
      </c>
      <c r="G13" s="538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102412.39</v>
      </c>
      <c r="L15" s="59">
        <f ca="1">K15/F3</f>
        <v>6.7636393122839741E-2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133781.07</v>
      </c>
      <c r="I16" s="7"/>
      <c r="J16" s="18" t="s">
        <v>46</v>
      </c>
      <c r="K16" s="63">
        <f>B12</f>
        <v>18700</v>
      </c>
      <c r="L16" s="20">
        <f ca="1">K16/F3</f>
        <v>1.2350073574077348E-2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1466087.3599999996</v>
      </c>
      <c r="P18" s="11"/>
    </row>
    <row r="19" spans="1:17" ht="14.4" x14ac:dyDescent="0.3">
      <c r="A19" s="68" t="s">
        <v>92</v>
      </c>
      <c r="B19" s="33">
        <f>SUM(B10:B18)</f>
        <v>121112.39</v>
      </c>
      <c r="C19" s="34">
        <f ca="1">B19/F3</f>
        <v>7.99864666969171E-2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278316.62499999994</v>
      </c>
      <c r="P19" s="73">
        <f t="shared" ref="P19:P32" si="4">O19/$O$18</f>
        <v>0.1898363171209661</v>
      </c>
      <c r="Q19" s="74" t="s">
        <v>97</v>
      </c>
    </row>
    <row r="20" spans="1:17" ht="14.4" x14ac:dyDescent="0.3">
      <c r="B20" s="7"/>
      <c r="C20" s="37"/>
      <c r="E20" s="56">
        <f ca="1">F3</f>
        <v>1514161.0199999998</v>
      </c>
      <c r="F20" s="44">
        <f ca="1">E20-E22</f>
        <v>99158.589999999851</v>
      </c>
      <c r="G20" s="34">
        <f ca="1">(E20-E22)/E22</f>
        <v>7.0076621705872158E-2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258771.75499999998</v>
      </c>
      <c r="P20" s="78">
        <f t="shared" si="4"/>
        <v>0.17650500376730624</v>
      </c>
      <c r="Q20" s="79" t="s">
        <v>101</v>
      </c>
    </row>
    <row r="21" spans="1:17" ht="15.75" customHeight="1" x14ac:dyDescent="0.3">
      <c r="A21" s="552" t="s">
        <v>102</v>
      </c>
      <c r="B21" s="553"/>
      <c r="C21" s="554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0.24291949000000013</v>
      </c>
      <c r="L21" s="11"/>
      <c r="N21" s="27" t="s">
        <v>104</v>
      </c>
      <c r="O21" s="51">
        <f>($B$10+$B$11)*0.25</f>
        <v>25603.0975</v>
      </c>
      <c r="P21" s="82">
        <f t="shared" si="4"/>
        <v>1.7463555173137846E-2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422347.42999999993</v>
      </c>
      <c r="C22" s="15">
        <v>46158</v>
      </c>
      <c r="E22" s="56">
        <v>1415002.43</v>
      </c>
      <c r="F22" s="45">
        <f ca="1">((F20/(C2-E21))*365)+E22</f>
        <v>1675382.9001438844</v>
      </c>
      <c r="G22" s="34">
        <f ca="1">(F22-E22)/E22</f>
        <v>0.18401415052261388</v>
      </c>
      <c r="I22" s="7"/>
      <c r="J22" s="81">
        <v>3000000</v>
      </c>
      <c r="K22" s="50">
        <f ca="1">1-($E$20/J22)</f>
        <v>0.49527966000000012</v>
      </c>
      <c r="L22" s="11"/>
      <c r="N22" s="5" t="s">
        <v>108</v>
      </c>
      <c r="O22" s="72">
        <f>($B$22+$B$23)*0.3</f>
        <v>166989.97499999995</v>
      </c>
      <c r="P22" s="73">
        <f t="shared" si="4"/>
        <v>0.11390179027257966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134285.81999999995</v>
      </c>
      <c r="C23" s="15">
        <f>C22</f>
        <v>46158</v>
      </c>
      <c r="E23" s="7"/>
      <c r="G23" s="65"/>
      <c r="I23" s="7"/>
      <c r="J23" s="81">
        <v>4000000</v>
      </c>
      <c r="K23" s="50">
        <f ca="1">1-($E$20/J23)</f>
        <v>0.62145974500000012</v>
      </c>
      <c r="L23" s="11"/>
      <c r="N23" s="13" t="s">
        <v>111</v>
      </c>
      <c r="O23" s="14">
        <f>($B$24+$B$25)*0.3</f>
        <v>155263.05299999999</v>
      </c>
      <c r="P23" s="78">
        <f t="shared" si="4"/>
        <v>0.10590300226038374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396502.89999999991</v>
      </c>
      <c r="C24" s="15">
        <f>C22</f>
        <v>46158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0.69716779600000001</v>
      </c>
      <c r="L24" s="11"/>
      <c r="N24" s="13" t="s">
        <v>113</v>
      </c>
      <c r="O24" s="14">
        <f t="shared" ref="O24:O25" si="5">($B$10+$B$11)*0.25</f>
        <v>25603.0975</v>
      </c>
      <c r="P24" s="78">
        <f t="shared" si="4"/>
        <v>1.7463555173137846E-2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121040.61000000004</v>
      </c>
      <c r="C25" s="15">
        <f>C22</f>
        <v>46158</v>
      </c>
      <c r="E25" s="75" t="s">
        <v>34</v>
      </c>
      <c r="F25" s="76">
        <f ca="1">B7</f>
        <v>24892.189999999988</v>
      </c>
      <c r="G25" s="77">
        <f t="shared" ref="G25:G31" ca="1" si="6">F25/SUM($F$25:$F$31)</f>
        <v>1.6145243557202232E-2</v>
      </c>
      <c r="I25" s="7"/>
      <c r="J25" s="84"/>
      <c r="K25" s="25"/>
      <c r="L25" s="11"/>
      <c r="N25" s="27" t="s">
        <v>116</v>
      </c>
      <c r="O25" s="51">
        <f t="shared" si="5"/>
        <v>25603.0975</v>
      </c>
      <c r="P25" s="82">
        <f t="shared" si="4"/>
        <v>1.7463555173137846E-2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1074176.7599999998</v>
      </c>
      <c r="C26" s="34">
        <f ca="1">B26/F3</f>
        <v>0.70942042874673916</v>
      </c>
      <c r="E26" s="80" t="s">
        <v>103</v>
      </c>
      <c r="F26" s="30">
        <f>(B11)</f>
        <v>12223.51</v>
      </c>
      <c r="G26" s="20">
        <f t="shared" ca="1" si="6"/>
        <v>7.9282516353079875E-3</v>
      </c>
      <c r="I26" s="7"/>
      <c r="J26" s="49"/>
      <c r="K26" s="25"/>
      <c r="L26" s="11"/>
      <c r="N26" s="5" t="s">
        <v>119</v>
      </c>
      <c r="O26" s="72">
        <f>($B$22+$B$23)*0.2</f>
        <v>111326.64999999998</v>
      </c>
      <c r="P26" s="73">
        <f t="shared" si="4"/>
        <v>7.5934526848386447E-2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90188.88</v>
      </c>
      <c r="G27" s="20">
        <f t="shared" ca="1" si="6"/>
        <v>5.8497120331770167E-2</v>
      </c>
      <c r="I27" s="7"/>
      <c r="J27" s="49"/>
      <c r="K27" s="25"/>
      <c r="L27" s="11"/>
      <c r="N27" s="13" t="s">
        <v>120</v>
      </c>
      <c r="O27" s="14">
        <f>($B$24+$B$25)*0.2</f>
        <v>103508.70199999999</v>
      </c>
      <c r="P27" s="78">
        <f t="shared" si="4"/>
        <v>7.0602001506922488E-2</v>
      </c>
      <c r="Q27" s="79" t="s">
        <v>101</v>
      </c>
    </row>
    <row r="28" spans="1:17" ht="15.75" customHeight="1" x14ac:dyDescent="0.3">
      <c r="A28" s="552" t="s">
        <v>115</v>
      </c>
      <c r="B28" s="553"/>
      <c r="C28" s="554"/>
      <c r="E28" s="80" t="s">
        <v>110</v>
      </c>
      <c r="F28" s="30">
        <f>B12</f>
        <v>18700</v>
      </c>
      <c r="G28" s="20">
        <f t="shared" ca="1" si="6"/>
        <v>1.2128947052054554E-2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10241.239000000001</v>
      </c>
      <c r="P28" s="78">
        <f t="shared" si="4"/>
        <v>6.9854220692551388E-3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80" t="s">
        <v>102</v>
      </c>
      <c r="F29" s="30">
        <f>B26</f>
        <v>1074176.7599999998</v>
      </c>
      <c r="G29" s="20">
        <f t="shared" ca="1" si="6"/>
        <v>0.69671834473729999</v>
      </c>
      <c r="H29" s="86"/>
      <c r="I29" s="7"/>
      <c r="J29" s="49"/>
      <c r="K29" s="25"/>
      <c r="L29" s="11"/>
      <c r="N29" s="27" t="s">
        <v>123</v>
      </c>
      <c r="O29" s="51">
        <f t="shared" si="7"/>
        <v>10241.239000000001</v>
      </c>
      <c r="P29" s="82">
        <f t="shared" si="4"/>
        <v>6.9854220692551388E-3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80" t="s">
        <v>115</v>
      </c>
      <c r="F30" s="30">
        <f>B31-F6</f>
        <v>270798.20999999996</v>
      </c>
      <c r="G30" s="20">
        <f t="shared" ca="1" si="6"/>
        <v>0.17564155887064972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0.18470809952280062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0.17884373354162822</v>
      </c>
      <c r="E31" s="85" t="s">
        <v>118</v>
      </c>
      <c r="F31" s="44">
        <f>B38-F8-F7</f>
        <v>50786.600000000006</v>
      </c>
      <c r="G31" s="34">
        <f t="shared" ca="1" si="6"/>
        <v>3.2940533815715184E-2</v>
      </c>
      <c r="I31" s="7"/>
      <c r="J31" s="49"/>
      <c r="K31" s="25"/>
      <c r="L31" s="11"/>
      <c r="N31" s="27" t="s">
        <v>127</v>
      </c>
      <c r="O31" s="51">
        <f>($B$10+$B$11)*0.05</f>
        <v>5120.6195000000007</v>
      </c>
      <c r="P31" s="82">
        <f t="shared" si="4"/>
        <v>3.4927110346275694E-3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18700</v>
      </c>
      <c r="P32" s="88">
        <f t="shared" si="4"/>
        <v>1.2755038008103422E-2</v>
      </c>
      <c r="Q32" s="89" t="s">
        <v>59</v>
      </c>
    </row>
    <row r="33" spans="1:16" ht="15.75" customHeight="1" x14ac:dyDescent="0.3">
      <c r="A33" s="552" t="s">
        <v>118</v>
      </c>
      <c r="B33" s="553"/>
      <c r="C33" s="554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562691.47749999992</v>
      </c>
      <c r="P35" s="59">
        <f t="shared" ref="P35:P39" si="8">O35/$O$18</f>
        <v>0.38380487606141017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373459.22299999988</v>
      </c>
      <c r="P36" s="20">
        <f t="shared" si="8"/>
        <v>0.25473190287923902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I37" s="7"/>
      <c r="N37" s="13" t="s">
        <v>134</v>
      </c>
      <c r="O37" s="14">
        <f>SUM(O26:O29)</f>
        <v>235317.82999999996</v>
      </c>
      <c r="P37" s="20">
        <f t="shared" si="8"/>
        <v>0.16050737249381922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3.3541082704665062E-2</v>
      </c>
      <c r="D38" s="86"/>
      <c r="E38" s="39"/>
      <c r="F38" s="11"/>
      <c r="G38" s="39"/>
      <c r="I38" s="7"/>
      <c r="N38" s="13" t="s">
        <v>115</v>
      </c>
      <c r="O38" s="14">
        <f>O30+O31</f>
        <v>275918.82949999999</v>
      </c>
      <c r="P38" s="20">
        <f t="shared" si="8"/>
        <v>0.18820081055742821</v>
      </c>
    </row>
    <row r="39" spans="1:16" ht="15" customHeight="1" x14ac:dyDescent="0.3">
      <c r="E39" s="25"/>
      <c r="F39" s="25"/>
      <c r="G39" s="25"/>
      <c r="N39" s="27" t="s">
        <v>46</v>
      </c>
      <c r="O39" s="51">
        <f>O32</f>
        <v>18700</v>
      </c>
      <c r="P39" s="91">
        <f t="shared" si="8"/>
        <v>1.2755038008103422E-2</v>
      </c>
    </row>
    <row r="40" spans="1:16" ht="15" customHeight="1" x14ac:dyDescent="0.3">
      <c r="A40" s="92" t="s">
        <v>136</v>
      </c>
      <c r="E40" s="25"/>
      <c r="F40" s="25"/>
      <c r="G40" s="25"/>
      <c r="N40" s="93" t="s">
        <v>137</v>
      </c>
      <c r="O40" s="94">
        <f t="shared" ref="O40:P40" si="9">SUM(O35:O39)</f>
        <v>1466087.3599999999</v>
      </c>
      <c r="P40" s="95">
        <f t="shared" si="9"/>
        <v>1</v>
      </c>
    </row>
    <row r="41" spans="1:16" ht="15" customHeight="1" x14ac:dyDescent="0.3">
      <c r="A41" s="92" t="s">
        <v>138</v>
      </c>
      <c r="E41" s="25"/>
      <c r="F41" s="25"/>
      <c r="G41" s="25"/>
      <c r="P41" s="11"/>
    </row>
    <row r="42" spans="1:16" ht="15" customHeight="1" x14ac:dyDescent="0.3">
      <c r="A42" s="92" t="s">
        <v>139</v>
      </c>
      <c r="E42" s="7"/>
      <c r="G42" s="7"/>
      <c r="P42" s="11"/>
    </row>
    <row r="43" spans="1:16" ht="15.75" customHeight="1" x14ac:dyDescent="0.3"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G35" sqref="G35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9" t="s">
        <v>36</v>
      </c>
      <c r="C1" s="558"/>
      <c r="D1" s="560" t="s">
        <v>140</v>
      </c>
      <c r="E1" s="554"/>
      <c r="G1" s="96"/>
      <c r="H1" s="557" t="s">
        <v>36</v>
      </c>
      <c r="I1" s="558"/>
      <c r="J1" s="556" t="s">
        <v>140</v>
      </c>
      <c r="K1" s="554"/>
      <c r="M1" s="96"/>
      <c r="N1" s="557" t="s">
        <v>36</v>
      </c>
      <c r="O1" s="558"/>
      <c r="P1" s="556" t="s">
        <v>140</v>
      </c>
      <c r="Q1" s="554"/>
      <c r="S1" s="96"/>
      <c r="T1" s="557" t="s">
        <v>36</v>
      </c>
      <c r="U1" s="558"/>
      <c r="V1" s="556" t="s">
        <v>140</v>
      </c>
      <c r="W1" s="554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75713.539999999994</v>
      </c>
      <c r="E2" s="20"/>
      <c r="G2" s="98" t="s">
        <v>142</v>
      </c>
      <c r="H2" s="99">
        <f>SUM(H4:H24)</f>
        <v>92820</v>
      </c>
      <c r="I2" s="100">
        <f>H2/B2</f>
        <v>0.4532089314948447</v>
      </c>
      <c r="J2" s="101">
        <f>SUM(J4:J24)</f>
        <v>40547.51</v>
      </c>
      <c r="K2" s="102">
        <f>J2/D2</f>
        <v>0.53553842549166242</v>
      </c>
      <c r="M2" s="98" t="s">
        <v>143</v>
      </c>
      <c r="N2" s="99">
        <f>SUM(N4:N20)</f>
        <v>63180</v>
      </c>
      <c r="O2" s="100">
        <f>N2/B2</f>
        <v>0.30848675168976825</v>
      </c>
      <c r="P2" s="101">
        <f>SUM(P4:P20)</f>
        <v>25728.09</v>
      </c>
      <c r="Q2" s="102">
        <f>P2/D2</f>
        <v>0.33980830905542131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9437.9400000000151</v>
      </c>
      <c r="W2" s="102">
        <f>V2/D2</f>
        <v>0.12465326545291655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40086.149999999994</v>
      </c>
      <c r="E4" s="20">
        <f t="shared" ref="E4:E7" si="1">D4/$D$2</f>
        <v>0.52944493151423111</v>
      </c>
      <c r="G4" s="96" t="str">
        <f>'Proposed Budget'!C14</f>
        <v>Rocket Mortgage</v>
      </c>
      <c r="H4" s="111">
        <f>'Proposed Budget'!F14</f>
        <v>15420</v>
      </c>
      <c r="I4" s="112">
        <f t="shared" ref="I4:I24" si="2">H4/$B$2</f>
        <v>7.5290688684017504E-2</v>
      </c>
      <c r="J4" s="113">
        <f>'Monthly Breakdown'!E14</f>
        <v>6357.7999999999993</v>
      </c>
      <c r="K4" s="114">
        <f t="shared" ref="K4:K24" si="3">J4/$D$2</f>
        <v>8.3971770438946589E-2</v>
      </c>
      <c r="M4" s="96" t="str">
        <f>'Proposed Budget'!C6</f>
        <v>Dining Out</v>
      </c>
      <c r="N4" s="111">
        <f>'Proposed Budget'!F6</f>
        <v>14400</v>
      </c>
      <c r="O4" s="112">
        <f t="shared" ref="O4:O19" si="4">N4/$B$2</f>
        <v>7.0310370755502727E-2</v>
      </c>
      <c r="P4" s="113">
        <f>'Monthly Breakdown'!E6</f>
        <v>5172.08</v>
      </c>
      <c r="Q4" s="114">
        <f t="shared" ref="Q4:Q19" si="5">P4/$D$2</f>
        <v>6.8311163366552408E-2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6">T4/$B$2</f>
        <v>0.23537471803390783</v>
      </c>
      <c r="V4" s="104">
        <f>'Monthly Breakdown'!E46</f>
        <v>16885.949999999997</v>
      </c>
      <c r="W4" s="102">
        <f t="shared" ref="W4:W7" si="7">V4/$D$2</f>
        <v>0.22302417770982572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28218.28</v>
      </c>
      <c r="E5" s="20">
        <f t="shared" si="1"/>
        <v>0.3726979348740001</v>
      </c>
      <c r="G5" s="98" t="str">
        <f>'Proposed Budget'!C5</f>
        <v>Groceries/Household</v>
      </c>
      <c r="H5" s="99">
        <f>'Proposed Budget'!F5</f>
        <v>14400</v>
      </c>
      <c r="I5" s="100">
        <f t="shared" si="2"/>
        <v>7.0310370755502727E-2</v>
      </c>
      <c r="J5" s="101">
        <f>'Monthly Breakdown'!E5</f>
        <v>5499.6399999999994</v>
      </c>
      <c r="K5" s="102">
        <f t="shared" si="3"/>
        <v>7.2637470127535977E-2</v>
      </c>
      <c r="M5" s="98" t="str">
        <f>'Proposed Budget'!C9</f>
        <v>Family Entertainment</v>
      </c>
      <c r="N5" s="99">
        <f>'Proposed Budget'!F9</f>
        <v>8400</v>
      </c>
      <c r="O5" s="100">
        <f t="shared" si="4"/>
        <v>4.1014382940709929E-2</v>
      </c>
      <c r="P5" s="101">
        <f>'Monthly Breakdown'!E9</f>
        <v>3807.71</v>
      </c>
      <c r="Q5" s="102">
        <f t="shared" si="5"/>
        <v>5.0291004752914738E-2</v>
      </c>
      <c r="S5" s="98" t="str">
        <f>'Proposed Budget'!C45</f>
        <v>Kids Savings</v>
      </c>
      <c r="T5" s="103">
        <f>'Proposed Budget'!F45</f>
        <v>600</v>
      </c>
      <c r="U5" s="100">
        <f t="shared" si="6"/>
        <v>2.9295987814792804E-3</v>
      </c>
      <c r="V5" s="104">
        <f>'Monthly Breakdown'!E45</f>
        <v>250</v>
      </c>
      <c r="W5" s="102">
        <f t="shared" si="7"/>
        <v>3.3019193132430478E-3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5.5592566402257786E-2</v>
      </c>
      <c r="G6" s="98" t="str">
        <f>'Proposed Budget'!C28</f>
        <v>GM Financial/Toyota</v>
      </c>
      <c r="H6" s="99">
        <f>'Proposed Budget'!F28</f>
        <v>14400</v>
      </c>
      <c r="I6" s="100">
        <f t="shared" si="2"/>
        <v>7.0310370755502727E-2</v>
      </c>
      <c r="J6" s="101">
        <f>'Monthly Breakdown'!E28</f>
        <v>5250.8200000000006</v>
      </c>
      <c r="K6" s="102">
        <f t="shared" si="3"/>
        <v>6.9351135873451444E-2</v>
      </c>
      <c r="M6" s="98" t="str">
        <f>'Proposed Budget'!C12</f>
        <v>Alcohol/Bars</v>
      </c>
      <c r="N6" s="99">
        <f>'Proposed Budget'!F12</f>
        <v>8400</v>
      </c>
      <c r="O6" s="100">
        <f t="shared" si="4"/>
        <v>4.1014382940709929E-2</v>
      </c>
      <c r="P6" s="101">
        <f>'Monthly Breakdown'!E12</f>
        <v>3405.0399999999995</v>
      </c>
      <c r="Q6" s="102">
        <f t="shared" si="5"/>
        <v>4.497266935346042E-2</v>
      </c>
      <c r="S6" s="98" t="s">
        <v>148</v>
      </c>
      <c r="T6" s="103"/>
      <c r="U6" s="100"/>
      <c r="V6" s="104">
        <f>'Budget Breakdown'!T16</f>
        <v>675.5800000000163</v>
      </c>
      <c r="W6" s="102">
        <f t="shared" si="7"/>
        <v>8.9228425985631681E-3</v>
      </c>
    </row>
    <row r="7" spans="1:23" ht="14.4" x14ac:dyDescent="0.3">
      <c r="A7" s="21" t="s">
        <v>149</v>
      </c>
      <c r="B7" s="33">
        <f>'Proposed Budget'!J22</f>
        <v>9600</v>
      </c>
      <c r="C7" s="115">
        <f t="shared" si="0"/>
        <v>4.6873580503668487E-2</v>
      </c>
      <c r="D7" s="44">
        <f>'Monthly Breakdown'!E52</f>
        <v>3200</v>
      </c>
      <c r="E7" s="34">
        <f t="shared" si="1"/>
        <v>4.2264567209511009E-2</v>
      </c>
      <c r="G7" s="98" t="str">
        <f>'Proposed Budget'!C10</f>
        <v>Miscellaneous Spending</v>
      </c>
      <c r="H7" s="99">
        <f>'Proposed Budget'!F10</f>
        <v>10800</v>
      </c>
      <c r="I7" s="100">
        <f t="shared" si="2"/>
        <v>5.2732778066627045E-2</v>
      </c>
      <c r="J7" s="101">
        <f>'Monthly Breakdown'!E10</f>
        <v>3381.96</v>
      </c>
      <c r="K7" s="102">
        <f t="shared" si="3"/>
        <v>4.4667836162461831E-2</v>
      </c>
      <c r="M7" s="98" t="str">
        <f>'Proposed Budget'!C38</f>
        <v>Camping/Vacation</v>
      </c>
      <c r="N7" s="99">
        <f>'Proposed Budget'!F38</f>
        <v>4800</v>
      </c>
      <c r="O7" s="100">
        <f t="shared" si="4"/>
        <v>2.3436790251834243E-2</v>
      </c>
      <c r="P7" s="101">
        <f>'Savings Transaction Log'!R5</f>
        <v>3824.78</v>
      </c>
      <c r="Q7" s="102">
        <f t="shared" si="5"/>
        <v>5.051645980362298E-2</v>
      </c>
      <c r="S7" s="116" t="s">
        <v>150</v>
      </c>
      <c r="T7" s="117"/>
      <c r="U7" s="118"/>
      <c r="V7" s="119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-8373.5899999999983</v>
      </c>
      <c r="W7" s="120">
        <f t="shared" si="7"/>
        <v>-0.11059567416871538</v>
      </c>
    </row>
    <row r="8" spans="1:23" ht="14.4" x14ac:dyDescent="0.3">
      <c r="B8" s="7"/>
      <c r="C8" s="121"/>
      <c r="D8" s="39"/>
      <c r="E8" s="50"/>
      <c r="G8" s="98" t="str">
        <f>'Proposed Budget'!C8</f>
        <v>Gasoline</v>
      </c>
      <c r="H8" s="99">
        <f>'Proposed Budget'!F8</f>
        <v>7200</v>
      </c>
      <c r="I8" s="100">
        <f t="shared" si="2"/>
        <v>3.5155185377751363E-2</v>
      </c>
      <c r="J8" s="101">
        <f>'Monthly Breakdown'!E8</f>
        <v>2859.75</v>
      </c>
      <c r="K8" s="102">
        <f t="shared" si="3"/>
        <v>3.7770655024187222E-2</v>
      </c>
      <c r="M8" s="98" t="str">
        <f>'Proposed Budget'!C11</f>
        <v>Department Stores/Clothes</v>
      </c>
      <c r="N8" s="99">
        <f>'Proposed Budget'!F11</f>
        <v>4200</v>
      </c>
      <c r="O8" s="100">
        <f t="shared" si="4"/>
        <v>2.0507191470354964E-2</v>
      </c>
      <c r="P8" s="101">
        <f>'Monthly Breakdown'!E11</f>
        <v>2024.2800000000002</v>
      </c>
      <c r="Q8" s="102">
        <f t="shared" si="5"/>
        <v>2.673603690964655E-2</v>
      </c>
      <c r="T8" s="7"/>
      <c r="U8" s="11"/>
      <c r="V8" s="7"/>
      <c r="W8" s="50"/>
    </row>
    <row r="9" spans="1:23" ht="14.4" x14ac:dyDescent="0.3">
      <c r="D9" s="39"/>
      <c r="E9" s="50"/>
      <c r="G9" s="98" t="str">
        <f>'Proposed Budget'!C23</f>
        <v>Lowes Rewards</v>
      </c>
      <c r="H9" s="99">
        <f>'Proposed Budget'!F23</f>
        <v>4800</v>
      </c>
      <c r="I9" s="100">
        <f t="shared" si="2"/>
        <v>2.3436790251834243E-2</v>
      </c>
      <c r="J9" s="101">
        <f>'Monthly Breakdown'!E23</f>
        <v>2000</v>
      </c>
      <c r="K9" s="102">
        <f t="shared" si="3"/>
        <v>2.6415354505944382E-2</v>
      </c>
      <c r="M9" s="98" t="str">
        <f>'Proposed Budget'!C16</f>
        <v>Verizon Wireless</v>
      </c>
      <c r="N9" s="99">
        <f>'Proposed Budget'!F16</f>
        <v>3240</v>
      </c>
      <c r="O9" s="100">
        <f t="shared" si="4"/>
        <v>1.5819833419988116E-2</v>
      </c>
      <c r="P9" s="101">
        <f>'Monthly Breakdown'!E16</f>
        <v>1552.3700000000001</v>
      </c>
      <c r="Q9" s="102">
        <f t="shared" si="5"/>
        <v>2.0503201937196441E-2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98" t="str">
        <f>'Proposed Budget'!C39</f>
        <v>Home Maintenance</v>
      </c>
      <c r="H10" s="99">
        <f>'Proposed Budget'!F39</f>
        <v>4500</v>
      </c>
      <c r="I10" s="100">
        <f t="shared" si="2"/>
        <v>2.1971990861094602E-2</v>
      </c>
      <c r="J10" s="101">
        <f>'Savings Transaction Log'!T5</f>
        <v>9617.66</v>
      </c>
      <c r="K10" s="102">
        <f t="shared" si="3"/>
        <v>0.12702694920882052</v>
      </c>
      <c r="M10" s="98" t="str">
        <f>'Proposed Budget'!C17</f>
        <v>Spectrum TV/Internet</v>
      </c>
      <c r="N10" s="99">
        <f>'Proposed Budget'!F17</f>
        <v>2460</v>
      </c>
      <c r="O10" s="100">
        <f t="shared" si="4"/>
        <v>1.201135500406505E-2</v>
      </c>
      <c r="P10" s="101">
        <f>'Monthly Breakdown'!E17</f>
        <v>828.51</v>
      </c>
      <c r="Q10" s="102">
        <f t="shared" si="5"/>
        <v>1.094269268085999E-2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98" t="str">
        <f>'Proposed Budget'!C33</f>
        <v>Vehicle Maintenance</v>
      </c>
      <c r="H11" s="99">
        <f>'Proposed Budget'!F33</f>
        <v>4200</v>
      </c>
      <c r="I11" s="100">
        <f t="shared" si="2"/>
        <v>2.0507191470354964E-2</v>
      </c>
      <c r="J11" s="101">
        <f>'Savings Transaction Log'!H5</f>
        <v>529.04999999999995</v>
      </c>
      <c r="K11" s="102">
        <f t="shared" si="3"/>
        <v>6.9875216506849365E-3</v>
      </c>
      <c r="M11" s="98" t="str">
        <f>'Proposed Budget'!C24</f>
        <v>Wells Fargo - Pool</v>
      </c>
      <c r="N11" s="99">
        <f>'Proposed Budget'!F24</f>
        <v>2400</v>
      </c>
      <c r="O11" s="100">
        <f t="shared" si="4"/>
        <v>1.1718395125917122E-2</v>
      </c>
      <c r="P11" s="101">
        <f>'Monthly Breakdown'!E24</f>
        <v>1000</v>
      </c>
      <c r="Q11" s="102">
        <f t="shared" si="5"/>
        <v>1.3207677252972191E-2</v>
      </c>
      <c r="T11" s="7"/>
      <c r="U11" s="11"/>
      <c r="V11" s="7"/>
      <c r="W11" s="50"/>
    </row>
    <row r="12" spans="1:23" ht="14.4" x14ac:dyDescent="0.3">
      <c r="D12" s="39"/>
      <c r="E12" s="50"/>
      <c r="G12" s="98" t="str">
        <f>'Proposed Budget'!C34</f>
        <v>Car Insurance</v>
      </c>
      <c r="H12" s="99">
        <f>'Proposed Budget'!F34</f>
        <v>3840</v>
      </c>
      <c r="I12" s="100">
        <f t="shared" si="2"/>
        <v>1.8749432201467395E-2</v>
      </c>
      <c r="J12" s="101">
        <f>'Savings Transaction Log'!J5</f>
        <v>0</v>
      </c>
      <c r="K12" s="102">
        <f t="shared" si="3"/>
        <v>0</v>
      </c>
      <c r="M12" s="98" t="str">
        <f>'Proposed Budget'!C7</f>
        <v>Misc Food</v>
      </c>
      <c r="N12" s="99">
        <f>'Proposed Budget'!F7</f>
        <v>1800</v>
      </c>
      <c r="O12" s="100">
        <f t="shared" si="4"/>
        <v>8.7887963444378409E-3</v>
      </c>
      <c r="P12" s="101">
        <f>'Monthly Breakdown'!E7</f>
        <v>603.83999999999992</v>
      </c>
      <c r="Q12" s="102">
        <f t="shared" si="5"/>
        <v>7.9753238324347265E-3</v>
      </c>
      <c r="T12" s="7"/>
      <c r="U12" s="11"/>
      <c r="V12" s="7"/>
      <c r="W12" s="50"/>
    </row>
    <row r="13" spans="1:23" ht="14.4" x14ac:dyDescent="0.3">
      <c r="A13" s="122"/>
      <c r="D13" s="39"/>
      <c r="E13" s="50"/>
      <c r="G13" s="98" t="str">
        <f>'Proposed Budget'!C18</f>
        <v>First Energy</v>
      </c>
      <c r="H13" s="99">
        <f>'Proposed Budget'!F18</f>
        <v>2160</v>
      </c>
      <c r="I13" s="100">
        <f t="shared" si="2"/>
        <v>1.0546555613325409E-2</v>
      </c>
      <c r="J13" s="101">
        <f>'Monthly Breakdown'!E18</f>
        <v>688.86000000000013</v>
      </c>
      <c r="K13" s="102">
        <f t="shared" si="3"/>
        <v>9.0982405524824249E-3</v>
      </c>
      <c r="M13" s="98" t="str">
        <f>'Proposed Budget'!C19</f>
        <v>Vivint Home Security</v>
      </c>
      <c r="N13" s="99">
        <f>'Proposed Budget'!F19</f>
        <v>1680</v>
      </c>
      <c r="O13" s="100">
        <f t="shared" si="4"/>
        <v>8.2028765881419843E-3</v>
      </c>
      <c r="P13" s="101">
        <f>'Monthly Breakdown'!E19</f>
        <v>680.06999999999994</v>
      </c>
      <c r="Q13" s="102">
        <f t="shared" si="5"/>
        <v>8.9821450694287965E-3</v>
      </c>
      <c r="T13" s="7"/>
      <c r="U13" s="11"/>
      <c r="V13" s="7"/>
      <c r="W13" s="50"/>
    </row>
    <row r="14" spans="1:23" ht="14.4" x14ac:dyDescent="0.3">
      <c r="D14" s="39"/>
      <c r="E14" s="50"/>
      <c r="G14" s="98" t="str">
        <f>'Proposed Budget'!C29</f>
        <v>Ohio Turnpike</v>
      </c>
      <c r="H14" s="99">
        <f>'Proposed Budget'!F29</f>
        <v>1440</v>
      </c>
      <c r="I14" s="100">
        <f t="shared" si="2"/>
        <v>7.031037075550273E-3</v>
      </c>
      <c r="J14" s="101">
        <f>'Monthly Breakdown'!E29</f>
        <v>553.66</v>
      </c>
      <c r="K14" s="102">
        <f t="shared" si="3"/>
        <v>7.3125625878805826E-3</v>
      </c>
      <c r="M14" s="98" t="str">
        <f>'Proposed Budget'!C27</f>
        <v>Streaming/Music</v>
      </c>
      <c r="N14" s="99">
        <f>'Proposed Budget'!F27</f>
        <v>1200</v>
      </c>
      <c r="O14" s="100">
        <f t="shared" si="4"/>
        <v>5.8591975629585609E-3</v>
      </c>
      <c r="P14" s="101">
        <f>'Monthly Breakdown'!E27</f>
        <v>509.86</v>
      </c>
      <c r="Q14" s="102">
        <f t="shared" si="5"/>
        <v>6.7340663242004013E-3</v>
      </c>
      <c r="T14" s="7"/>
      <c r="U14" s="11"/>
      <c r="V14" s="7"/>
      <c r="W14" s="50"/>
    </row>
    <row r="15" spans="1:23" ht="14.4" x14ac:dyDescent="0.3">
      <c r="D15" s="39"/>
      <c r="E15" s="50"/>
      <c r="G15" s="98" t="str">
        <f>'Proposed Budget'!C20</f>
        <v>Columbia Gas</v>
      </c>
      <c r="H15" s="99">
        <f>'Proposed Budget'!F20</f>
        <v>1200</v>
      </c>
      <c r="I15" s="100">
        <f t="shared" si="2"/>
        <v>5.8591975629585609E-3</v>
      </c>
      <c r="J15" s="101">
        <f>'Monthly Breakdown'!E20</f>
        <v>728.25</v>
      </c>
      <c r="K15" s="102">
        <f t="shared" si="3"/>
        <v>9.6184909594769982E-3</v>
      </c>
      <c r="M15" s="98" t="str">
        <f>'Proposed Budget'!C26</f>
        <v>Massage Envy</v>
      </c>
      <c r="N15" s="99">
        <f>'Proposed Budget'!F26</f>
        <v>1020</v>
      </c>
      <c r="O15" s="100">
        <f t="shared" si="4"/>
        <v>4.9803179285147769E-3</v>
      </c>
      <c r="P15" s="101">
        <f>'Monthly Breakdown'!E26</f>
        <v>482.05999999999995</v>
      </c>
      <c r="Q15" s="102">
        <f t="shared" si="5"/>
        <v>6.3668928965677739E-3</v>
      </c>
      <c r="T15" s="7"/>
      <c r="U15" s="11"/>
      <c r="V15" s="7"/>
      <c r="W15" s="50"/>
    </row>
    <row r="16" spans="1:23" ht="14.4" x14ac:dyDescent="0.3">
      <c r="D16" s="39"/>
      <c r="E16" s="50"/>
      <c r="G16" s="98" t="str">
        <f>'Proposed Budget'!C30</f>
        <v>Water Bill - Main</v>
      </c>
      <c r="H16" s="99">
        <f>'Proposed Budget'!F30</f>
        <v>900</v>
      </c>
      <c r="I16" s="100">
        <f t="shared" si="2"/>
        <v>4.3943981722189204E-3</v>
      </c>
      <c r="J16" s="101">
        <f>'Monthly Breakdown'!E30</f>
        <v>383.65000000000003</v>
      </c>
      <c r="K16" s="102">
        <f t="shared" si="3"/>
        <v>5.0671253781027813E-3</v>
      </c>
      <c r="M16" s="98" t="str">
        <f>'Proposed Budget'!C22</f>
        <v>Planet Fitness</v>
      </c>
      <c r="N16" s="99">
        <f>'Proposed Budget'!F22</f>
        <v>1740</v>
      </c>
      <c r="O16" s="100">
        <f t="shared" si="4"/>
        <v>8.4958364662899126E-3</v>
      </c>
      <c r="P16" s="101">
        <f>'Monthly Breakdown'!E22</f>
        <v>930.82999999999993</v>
      </c>
      <c r="Q16" s="102">
        <f t="shared" si="5"/>
        <v>1.2294102217384103E-2</v>
      </c>
      <c r="T16" s="7"/>
      <c r="U16" s="11"/>
      <c r="V16" s="7"/>
      <c r="W16" s="50"/>
    </row>
    <row r="17" spans="7:17" ht="14.4" x14ac:dyDescent="0.3">
      <c r="G17" s="98" t="str">
        <f>'Proposed Budget'!C37</f>
        <v>Sanitation - Main</v>
      </c>
      <c r="H17" s="99">
        <f>'Proposed Budget'!F37</f>
        <v>540</v>
      </c>
      <c r="I17" s="100">
        <f t="shared" si="2"/>
        <v>2.6366389033313522E-3</v>
      </c>
      <c r="J17" s="101">
        <f>'Savings Transaction Log'!P5</f>
        <v>185.64</v>
      </c>
      <c r="K17" s="102">
        <f t="shared" si="3"/>
        <v>2.4518732052417574E-3</v>
      </c>
      <c r="M17" s="98" t="str">
        <f>'Proposed Budget'!C15</f>
        <v>EH Roberts</v>
      </c>
      <c r="N17" s="99">
        <f>'Proposed Budget'!F15</f>
        <v>240</v>
      </c>
      <c r="O17" s="100">
        <f t="shared" si="4"/>
        <v>1.1718395125917122E-3</v>
      </c>
      <c r="P17" s="101">
        <f>'Monthly Breakdown'!E15</f>
        <v>71.599999999999994</v>
      </c>
      <c r="Q17" s="102">
        <f t="shared" si="5"/>
        <v>9.4566969131280876E-4</v>
      </c>
    </row>
    <row r="18" spans="7:17" ht="14.4" x14ac:dyDescent="0.3">
      <c r="G18" s="116" t="str">
        <f>'Proposed Budget'!C36</f>
        <v>Garbage</v>
      </c>
      <c r="H18" s="123">
        <f>'Proposed Budget'!F36</f>
        <v>300</v>
      </c>
      <c r="I18" s="118">
        <f t="shared" si="2"/>
        <v>1.4647993907396402E-3</v>
      </c>
      <c r="J18" s="124">
        <f>'Savings Transaction Log'!N5</f>
        <v>126.96000000000001</v>
      </c>
      <c r="K18" s="120">
        <f t="shared" si="3"/>
        <v>1.6768467040373495E-3</v>
      </c>
      <c r="M18" s="98" t="str">
        <f>'Proposed Budget'!C21</f>
        <v>Medical Bills</v>
      </c>
      <c r="N18" s="99">
        <f>'Proposed Budget'!F21</f>
        <v>0</v>
      </c>
      <c r="O18" s="100">
        <f t="shared" si="4"/>
        <v>0</v>
      </c>
      <c r="P18" s="101">
        <f>'Monthly Breakdown'!E21</f>
        <v>835.06</v>
      </c>
      <c r="Q18" s="102">
        <f t="shared" si="5"/>
        <v>1.1029202966866956E-2</v>
      </c>
    </row>
    <row r="19" spans="7:17" ht="14.4" x14ac:dyDescent="0.3">
      <c r="G19" s="125" t="str">
        <f>'Proposed Budget'!C42</f>
        <v>Rental Property Taxes</v>
      </c>
      <c r="H19" s="126">
        <f>'Proposed Budget'!F42</f>
        <v>2760</v>
      </c>
      <c r="I19" s="127">
        <f t="shared" si="2"/>
        <v>1.347615439480469E-2</v>
      </c>
      <c r="J19" s="128">
        <f>'Savings Transaction Log'!Z5</f>
        <v>1276.4000000000001</v>
      </c>
      <c r="K19" s="129">
        <f t="shared" si="3"/>
        <v>1.6858279245693705E-2</v>
      </c>
      <c r="M19" s="116" t="str">
        <f>'Proposed Budget'!C25</f>
        <v>Wells Fargo - Deck</v>
      </c>
      <c r="N19" s="123">
        <f>'Proposed Budget'!F25</f>
        <v>7200</v>
      </c>
      <c r="O19" s="118">
        <f t="shared" si="4"/>
        <v>3.5155185377751363E-2</v>
      </c>
      <c r="P19" s="124">
        <f>'Monthly Breakdown'!E25</f>
        <v>0</v>
      </c>
      <c r="Q19" s="120">
        <f t="shared" si="5"/>
        <v>0</v>
      </c>
    </row>
    <row r="20" spans="7:17" ht="14.4" x14ac:dyDescent="0.3">
      <c r="G20" s="98" t="str">
        <f>'Proposed Budget'!C40</f>
        <v>Rental Repairs</v>
      </c>
      <c r="H20" s="99">
        <f>'Proposed Budget'!F40</f>
        <v>1200</v>
      </c>
      <c r="I20" s="100">
        <f t="shared" si="2"/>
        <v>5.8591975629585609E-3</v>
      </c>
      <c r="J20" s="101">
        <f>'Savings Transaction Log'!V5</f>
        <v>0</v>
      </c>
      <c r="K20" s="102">
        <f t="shared" si="3"/>
        <v>0</v>
      </c>
      <c r="N20" s="11"/>
      <c r="O20" s="11"/>
      <c r="P20" s="11"/>
      <c r="Q20" s="11"/>
    </row>
    <row r="21" spans="7:17" ht="15.75" customHeight="1" x14ac:dyDescent="0.3">
      <c r="G21" s="98" t="str">
        <f>'Proposed Budget'!C41</f>
        <v>Rental Insurance</v>
      </c>
      <c r="H21" s="99">
        <f>'Proposed Budget'!F41</f>
        <v>1020</v>
      </c>
      <c r="I21" s="100">
        <f t="shared" si="2"/>
        <v>4.9803179285147769E-3</v>
      </c>
      <c r="J21" s="101">
        <f>'Savings Transaction Log'!X5</f>
        <v>500.5</v>
      </c>
      <c r="K21" s="102">
        <f t="shared" si="3"/>
        <v>6.6104424651125815E-3</v>
      </c>
      <c r="N21" s="39"/>
      <c r="O21" s="50"/>
      <c r="P21" s="39"/>
      <c r="Q21" s="50"/>
    </row>
    <row r="22" spans="7:17" ht="15.75" customHeight="1" x14ac:dyDescent="0.3">
      <c r="G22" s="98" t="str">
        <f>'Proposed Budget'!C31</f>
        <v>Water Bill - Rental</v>
      </c>
      <c r="H22" s="99">
        <f>'Proposed Budget'!F31</f>
        <v>900</v>
      </c>
      <c r="I22" s="100">
        <f t="shared" si="2"/>
        <v>4.3943981722189204E-3</v>
      </c>
      <c r="J22" s="101">
        <f>'Monthly Breakdown'!E31</f>
        <v>294.31</v>
      </c>
      <c r="K22" s="102">
        <f t="shared" si="3"/>
        <v>3.8871514923222456E-3</v>
      </c>
      <c r="N22" s="39"/>
      <c r="O22" s="50"/>
      <c r="P22" s="39"/>
      <c r="Q22" s="50"/>
    </row>
    <row r="23" spans="7:17" ht="15.75" customHeight="1" x14ac:dyDescent="0.3">
      <c r="G23" s="98" t="str">
        <f>'Proposed Budget'!C43</f>
        <v>Rental Sanitation</v>
      </c>
      <c r="H23" s="99">
        <f>'Proposed Budget'!F43</f>
        <v>540</v>
      </c>
      <c r="I23" s="100">
        <f t="shared" si="2"/>
        <v>2.6366389033313522E-3</v>
      </c>
      <c r="J23" s="101">
        <f>'Savings Transaction Log'!AB5</f>
        <v>185.64</v>
      </c>
      <c r="K23" s="102">
        <f t="shared" si="3"/>
        <v>2.4518732052417574E-3</v>
      </c>
      <c r="N23" s="39"/>
      <c r="O23" s="11"/>
      <c r="P23" s="39"/>
      <c r="Q23" s="50"/>
    </row>
    <row r="24" spans="7:17" ht="15.75" customHeight="1" x14ac:dyDescent="0.3">
      <c r="G24" s="116" t="str">
        <f>'Proposed Budget'!C35</f>
        <v>Rental Garbage</v>
      </c>
      <c r="H24" s="123">
        <f>'Proposed Budget'!F35</f>
        <v>300</v>
      </c>
      <c r="I24" s="118">
        <f t="shared" si="2"/>
        <v>1.4647993907396402E-3</v>
      </c>
      <c r="J24" s="124">
        <f>'Savings Transaction Log'!L5</f>
        <v>126.96000000000001</v>
      </c>
      <c r="K24" s="120">
        <f t="shared" si="3"/>
        <v>1.6768467040373495E-3</v>
      </c>
      <c r="N24" s="39"/>
      <c r="O24" s="11"/>
      <c r="P24" s="39"/>
      <c r="Q24" s="50"/>
    </row>
    <row r="25" spans="7:17" ht="15.75" customHeight="1" x14ac:dyDescent="0.3">
      <c r="N25" s="11"/>
      <c r="O25" s="11"/>
      <c r="P25" s="11"/>
      <c r="Q25" s="11"/>
    </row>
    <row r="26" spans="7:17" ht="15.75" customHeight="1" x14ac:dyDescent="0.3">
      <c r="N26" s="11"/>
      <c r="O26" s="11"/>
      <c r="P26" s="11"/>
      <c r="Q26" s="11"/>
    </row>
    <row r="27" spans="7:17" ht="15.75" customHeight="1" x14ac:dyDescent="0.3">
      <c r="N27" s="11"/>
      <c r="O27" s="11"/>
      <c r="P27" s="11"/>
      <c r="Q27" s="11"/>
    </row>
    <row r="28" spans="7:17" ht="15.75" customHeight="1" x14ac:dyDescent="0.3">
      <c r="N28" s="11"/>
      <c r="O28" s="11"/>
      <c r="P28" s="11"/>
      <c r="Q28" s="11"/>
    </row>
    <row r="29" spans="7:17" ht="15.75" customHeight="1" x14ac:dyDescent="0.3">
      <c r="N29" s="11"/>
      <c r="O29" s="11"/>
      <c r="P29" s="11"/>
      <c r="Q29" s="11"/>
    </row>
    <row r="30" spans="7:17" ht="15.75" customHeight="1" x14ac:dyDescent="0.3"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>
      <c r="N1000" s="11"/>
      <c r="O1000" s="11"/>
      <c r="P1000" s="11"/>
      <c r="Q1000" s="11"/>
    </row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1" t="s">
        <v>151</v>
      </c>
      <c r="B1" s="562"/>
      <c r="C1" s="562"/>
      <c r="D1" s="562"/>
      <c r="E1" s="562"/>
      <c r="F1" s="562"/>
      <c r="G1" s="562"/>
      <c r="H1" s="562"/>
      <c r="I1" s="562"/>
      <c r="J1" s="562"/>
      <c r="K1" s="562"/>
      <c r="L1" s="562"/>
      <c r="M1" s="562"/>
      <c r="N1" s="130"/>
      <c r="O1" s="131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spans="1:26" ht="11.25" customHeight="1" x14ac:dyDescent="0.3">
      <c r="A2" s="133"/>
      <c r="B2" s="134"/>
      <c r="C2" s="130"/>
      <c r="D2" s="135" t="s">
        <v>152</v>
      </c>
      <c r="E2" s="136" t="s">
        <v>153</v>
      </c>
      <c r="F2" s="136" t="s">
        <v>154</v>
      </c>
      <c r="G2" s="137" t="s">
        <v>155</v>
      </c>
      <c r="H2" s="130"/>
      <c r="I2" s="138"/>
      <c r="J2" s="136" t="s">
        <v>154</v>
      </c>
      <c r="K2" s="136" t="s">
        <v>153</v>
      </c>
      <c r="L2" s="137" t="s">
        <v>152</v>
      </c>
      <c r="M2" s="133"/>
      <c r="N2" s="130"/>
      <c r="O2" s="131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spans="1:26" ht="11.25" customHeight="1" x14ac:dyDescent="0.3">
      <c r="A3" s="133"/>
      <c r="B3" s="134"/>
      <c r="C3" s="139" t="s">
        <v>156</v>
      </c>
      <c r="D3" s="140">
        <f t="shared" ref="D3:F3" si="0">SUM(D5:D61)</f>
        <v>17067.183505159996</v>
      </c>
      <c r="E3" s="141">
        <f t="shared" si="0"/>
        <v>1</v>
      </c>
      <c r="F3" s="142">
        <f t="shared" si="0"/>
        <v>204806.20206191996</v>
      </c>
      <c r="G3" s="143">
        <f>F3/52</f>
        <v>3938.5808088830763</v>
      </c>
      <c r="H3" s="130"/>
      <c r="I3" s="144" t="s">
        <v>157</v>
      </c>
      <c r="J3" s="145">
        <f>L29+L49</f>
        <v>276499.56874399999</v>
      </c>
      <c r="K3" s="146"/>
      <c r="L3" s="147">
        <f>J3/12</f>
        <v>23041.630728666667</v>
      </c>
      <c r="M3" s="133"/>
      <c r="N3" s="130"/>
      <c r="O3" s="131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spans="1:26" ht="11.25" customHeight="1" x14ac:dyDescent="0.3">
      <c r="A4" s="133"/>
      <c r="B4" s="134"/>
      <c r="C4" s="130"/>
      <c r="D4" s="148"/>
      <c r="E4" s="149"/>
      <c r="F4" s="148"/>
      <c r="G4" s="148"/>
      <c r="H4" s="130"/>
      <c r="I4" s="150"/>
      <c r="J4" s="151"/>
      <c r="K4" s="152"/>
      <c r="L4" s="153"/>
      <c r="M4" s="133"/>
      <c r="N4" s="130"/>
      <c r="O4" s="131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spans="1:26" ht="11.25" customHeight="1" x14ac:dyDescent="0.3">
      <c r="A5" s="135" t="s">
        <v>158</v>
      </c>
      <c r="B5" s="154">
        <v>1</v>
      </c>
      <c r="C5" s="155" t="s">
        <v>159</v>
      </c>
      <c r="D5" s="156">
        <v>1200</v>
      </c>
      <c r="E5" s="157">
        <f t="shared" ref="E5:E12" si="1">D5/$O$24</f>
        <v>7.0310370755502741E-2</v>
      </c>
      <c r="F5" s="156">
        <f t="shared" ref="F5:F12" si="2">D5*12</f>
        <v>14400</v>
      </c>
      <c r="G5" s="158">
        <f t="shared" ref="G5:G12" si="3">F5/52</f>
        <v>276.92307692307691</v>
      </c>
      <c r="H5" s="130"/>
      <c r="I5" s="150" t="s">
        <v>160</v>
      </c>
      <c r="J5" s="151">
        <f>L31+L53+L54+L55</f>
        <v>4120.8999999999996</v>
      </c>
      <c r="K5" s="159">
        <f>J5/J3</f>
        <v>1.4903820713787E-2</v>
      </c>
      <c r="L5" s="153">
        <f t="shared" ref="L5:L6" si="4">J5/12</f>
        <v>343.4083333333333</v>
      </c>
      <c r="M5" s="133"/>
      <c r="N5" s="130"/>
      <c r="O5" s="131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spans="1:26" ht="11.25" customHeight="1" x14ac:dyDescent="0.3">
      <c r="A6" s="160" t="s">
        <v>158</v>
      </c>
      <c r="B6" s="161">
        <v>2</v>
      </c>
      <c r="C6" s="162" t="s">
        <v>161</v>
      </c>
      <c r="D6" s="151">
        <v>1200</v>
      </c>
      <c r="E6" s="159">
        <f t="shared" si="1"/>
        <v>7.0310370755502741E-2</v>
      </c>
      <c r="F6" s="151">
        <f t="shared" si="2"/>
        <v>14400</v>
      </c>
      <c r="G6" s="153">
        <f t="shared" si="3"/>
        <v>276.92307692307691</v>
      </c>
      <c r="H6" s="130"/>
      <c r="I6" s="150" t="s">
        <v>162</v>
      </c>
      <c r="J6" s="151">
        <f>L32+L56</f>
        <v>17269.97781208</v>
      </c>
      <c r="K6" s="159">
        <f>J6/J3</f>
        <v>6.2459330010997557E-2</v>
      </c>
      <c r="L6" s="153">
        <f t="shared" si="4"/>
        <v>1439.1648176733333</v>
      </c>
      <c r="M6" s="133"/>
      <c r="N6" s="130"/>
      <c r="O6" s="131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spans="1:26" ht="11.25" customHeight="1" x14ac:dyDescent="0.3">
      <c r="A7" s="160" t="s">
        <v>158</v>
      </c>
      <c r="B7" s="161">
        <v>3</v>
      </c>
      <c r="C7" s="162" t="s">
        <v>163</v>
      </c>
      <c r="D7" s="151">
        <v>150</v>
      </c>
      <c r="E7" s="159">
        <f t="shared" si="1"/>
        <v>8.7887963444378426E-3</v>
      </c>
      <c r="F7" s="151">
        <f t="shared" si="2"/>
        <v>1800</v>
      </c>
      <c r="G7" s="153">
        <f t="shared" si="3"/>
        <v>34.615384615384613</v>
      </c>
      <c r="H7" s="130"/>
      <c r="I7" s="144" t="s">
        <v>164</v>
      </c>
      <c r="J7" s="145">
        <f>SUM(J5:J6)</f>
        <v>21390.877812079998</v>
      </c>
      <c r="K7" s="163">
        <f>J7/J3</f>
        <v>7.7363150724784543E-2</v>
      </c>
      <c r="L7" s="147">
        <f>SUM(L5:L6)</f>
        <v>1782.5731510066666</v>
      </c>
      <c r="M7" s="133"/>
      <c r="N7" s="130"/>
      <c r="O7" s="131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spans="1:26" ht="11.25" customHeight="1" x14ac:dyDescent="0.3">
      <c r="A8" s="160" t="s">
        <v>158</v>
      </c>
      <c r="B8" s="161">
        <v>4</v>
      </c>
      <c r="C8" s="162" t="s">
        <v>165</v>
      </c>
      <c r="D8" s="151">
        <v>600</v>
      </c>
      <c r="E8" s="159">
        <f t="shared" si="1"/>
        <v>3.515518537775137E-2</v>
      </c>
      <c r="F8" s="151">
        <f t="shared" si="2"/>
        <v>7200</v>
      </c>
      <c r="G8" s="153">
        <f t="shared" si="3"/>
        <v>138.46153846153845</v>
      </c>
      <c r="H8" s="130"/>
      <c r="I8" s="150"/>
      <c r="J8" s="152"/>
      <c r="K8" s="159"/>
      <c r="L8" s="153"/>
      <c r="M8" s="133"/>
      <c r="N8" s="130"/>
      <c r="O8" s="131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spans="1:26" ht="11.25" customHeight="1" x14ac:dyDescent="0.3">
      <c r="A9" s="160" t="s">
        <v>158</v>
      </c>
      <c r="B9" s="161">
        <v>5</v>
      </c>
      <c r="C9" s="162" t="s">
        <v>166</v>
      </c>
      <c r="D9" s="151">
        <v>700</v>
      </c>
      <c r="E9" s="159">
        <f t="shared" si="1"/>
        <v>4.1014382940709929E-2</v>
      </c>
      <c r="F9" s="151">
        <f t="shared" si="2"/>
        <v>8400</v>
      </c>
      <c r="G9" s="153">
        <f t="shared" si="3"/>
        <v>161.53846153846155</v>
      </c>
      <c r="H9" s="130"/>
      <c r="I9" s="144" t="s">
        <v>167</v>
      </c>
      <c r="J9" s="145">
        <f>L35+L59</f>
        <v>255924.69093192002</v>
      </c>
      <c r="K9" s="163"/>
      <c r="L9" s="147">
        <f>J9/12</f>
        <v>21327.057577660002</v>
      </c>
      <c r="M9" s="148"/>
      <c r="N9" s="130"/>
      <c r="O9" s="131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spans="1:26" ht="11.25" customHeight="1" x14ac:dyDescent="0.3">
      <c r="A10" s="160" t="s">
        <v>158</v>
      </c>
      <c r="B10" s="161">
        <v>6</v>
      </c>
      <c r="C10" s="162" t="s">
        <v>168</v>
      </c>
      <c r="D10" s="151">
        <v>900</v>
      </c>
      <c r="E10" s="159">
        <f t="shared" si="1"/>
        <v>5.2732778066627052E-2</v>
      </c>
      <c r="F10" s="151">
        <f t="shared" si="2"/>
        <v>10800</v>
      </c>
      <c r="G10" s="153">
        <f t="shared" si="3"/>
        <v>207.69230769230768</v>
      </c>
      <c r="H10" s="130"/>
      <c r="I10" s="150"/>
      <c r="J10" s="151"/>
      <c r="K10" s="159"/>
      <c r="L10" s="153"/>
      <c r="M10" s="148"/>
      <c r="N10" s="130"/>
      <c r="O10" s="131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spans="1:26" ht="11.25" customHeight="1" x14ac:dyDescent="0.3">
      <c r="A11" s="164" t="s">
        <v>158</v>
      </c>
      <c r="B11" s="165">
        <v>7</v>
      </c>
      <c r="C11" s="166" t="s">
        <v>169</v>
      </c>
      <c r="D11" s="167">
        <v>350</v>
      </c>
      <c r="E11" s="168">
        <f t="shared" si="1"/>
        <v>2.0507191470354964E-2</v>
      </c>
      <c r="F11" s="167">
        <f t="shared" si="2"/>
        <v>4200</v>
      </c>
      <c r="G11" s="169">
        <f t="shared" si="3"/>
        <v>80.769230769230774</v>
      </c>
      <c r="H11" s="130"/>
      <c r="I11" s="150" t="s">
        <v>170</v>
      </c>
      <c r="J11" s="151">
        <f t="shared" ref="J11:J14" si="5">L37+L61</f>
        <v>39427.360000000001</v>
      </c>
      <c r="K11" s="159">
        <f>J11/J9</f>
        <v>0.15405844530447552</v>
      </c>
      <c r="L11" s="153">
        <f t="shared" ref="L11:L16" si="6">J11/12</f>
        <v>3285.6133333333332</v>
      </c>
      <c r="M11" s="133"/>
      <c r="N11" s="130"/>
      <c r="O11" s="131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spans="1:26" ht="11.25" customHeight="1" x14ac:dyDescent="0.3">
      <c r="A12" s="170" t="s">
        <v>158</v>
      </c>
      <c r="B12" s="171">
        <v>8</v>
      </c>
      <c r="C12" s="172" t="s">
        <v>171</v>
      </c>
      <c r="D12" s="142">
        <v>700</v>
      </c>
      <c r="E12" s="141">
        <f t="shared" si="1"/>
        <v>4.1014382940709929E-2</v>
      </c>
      <c r="F12" s="142">
        <f t="shared" si="2"/>
        <v>8400</v>
      </c>
      <c r="G12" s="143">
        <f t="shared" si="3"/>
        <v>161.53846153846155</v>
      </c>
      <c r="H12" s="130"/>
      <c r="I12" s="150" t="s">
        <v>172</v>
      </c>
      <c r="J12" s="151">
        <f t="shared" si="5"/>
        <v>7415.6</v>
      </c>
      <c r="K12" s="159">
        <f>J12/J9</f>
        <v>2.8975711460261823E-2</v>
      </c>
      <c r="L12" s="153">
        <f t="shared" si="6"/>
        <v>617.9666666666667</v>
      </c>
      <c r="M12" s="133"/>
      <c r="N12" s="130"/>
      <c r="O12" s="131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spans="1:26" ht="11.25" customHeight="1" x14ac:dyDescent="0.3">
      <c r="A13" s="133"/>
      <c r="B13" s="134"/>
      <c r="C13" s="173"/>
      <c r="D13" s="148"/>
      <c r="E13" s="149"/>
      <c r="F13" s="148"/>
      <c r="G13" s="148"/>
      <c r="H13" s="130"/>
      <c r="I13" s="150" t="s">
        <v>173</v>
      </c>
      <c r="J13" s="151">
        <f t="shared" si="5"/>
        <v>3961.26451</v>
      </c>
      <c r="K13" s="159">
        <f>J13/(J9+J6)</f>
        <v>1.4499787013457225E-2</v>
      </c>
      <c r="L13" s="153">
        <f t="shared" si="6"/>
        <v>330.10537583333331</v>
      </c>
      <c r="M13" s="133"/>
      <c r="N13" s="130"/>
      <c r="O13" s="131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spans="1:26" ht="11.25" customHeight="1" x14ac:dyDescent="0.3">
      <c r="A14" s="135" t="s">
        <v>174</v>
      </c>
      <c r="B14" s="154">
        <v>9</v>
      </c>
      <c r="C14" s="174" t="s">
        <v>58</v>
      </c>
      <c r="D14" s="156">
        <v>1285</v>
      </c>
      <c r="E14" s="157">
        <f t="shared" ref="E14:E31" si="7">D14/$O$24</f>
        <v>7.5290688684017518E-2</v>
      </c>
      <c r="F14" s="156">
        <f t="shared" ref="F14:F31" si="8">D14*12</f>
        <v>15420</v>
      </c>
      <c r="G14" s="158">
        <f t="shared" ref="G14:G31" si="9">F14/52</f>
        <v>296.53846153846155</v>
      </c>
      <c r="H14" s="130"/>
      <c r="I14" s="150" t="s">
        <v>175</v>
      </c>
      <c r="J14" s="151">
        <f t="shared" si="5"/>
        <v>16938.027560000002</v>
      </c>
      <c r="K14" s="159">
        <f>J14/(J9+J6)</f>
        <v>6.1999846621721456E-2</v>
      </c>
      <c r="L14" s="153">
        <f t="shared" si="6"/>
        <v>1411.5022966666668</v>
      </c>
      <c r="M14" s="133"/>
      <c r="N14" s="130"/>
      <c r="O14" s="131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spans="1:26" ht="11.25" customHeight="1" x14ac:dyDescent="0.3">
      <c r="A15" s="160" t="s">
        <v>174</v>
      </c>
      <c r="B15" s="161">
        <v>10</v>
      </c>
      <c r="C15" s="175" t="s">
        <v>176</v>
      </c>
      <c r="D15" s="151">
        <v>20</v>
      </c>
      <c r="E15" s="159">
        <f t="shared" si="7"/>
        <v>1.1718395125917122E-3</v>
      </c>
      <c r="F15" s="151">
        <f t="shared" si="8"/>
        <v>240</v>
      </c>
      <c r="G15" s="153">
        <f t="shared" si="9"/>
        <v>4.615384615384615</v>
      </c>
      <c r="H15" s="130"/>
      <c r="I15" s="150" t="s">
        <v>177</v>
      </c>
      <c r="J15" s="151">
        <f>L41</f>
        <v>833.99680000000001</v>
      </c>
      <c r="K15" s="159">
        <f>J15/J3</f>
        <v>3.0162679956009793E-3</v>
      </c>
      <c r="L15" s="153">
        <f t="shared" si="6"/>
        <v>69.499733333333339</v>
      </c>
      <c r="M15" s="133"/>
      <c r="N15" s="130"/>
      <c r="O15" s="131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spans="1:26" ht="11.25" customHeight="1" x14ac:dyDescent="0.3">
      <c r="A16" s="160" t="s">
        <v>174</v>
      </c>
      <c r="B16" s="161">
        <v>11</v>
      </c>
      <c r="C16" s="175" t="s">
        <v>178</v>
      </c>
      <c r="D16" s="151">
        <v>270</v>
      </c>
      <c r="E16" s="159">
        <f t="shared" si="7"/>
        <v>1.5819833419988116E-2</v>
      </c>
      <c r="F16" s="151">
        <f t="shared" si="8"/>
        <v>3240</v>
      </c>
      <c r="G16" s="153">
        <f t="shared" si="9"/>
        <v>62.307692307692307</v>
      </c>
      <c r="H16" s="130"/>
      <c r="I16" s="150" t="s">
        <v>179</v>
      </c>
      <c r="J16" s="151">
        <f>L65</f>
        <v>4326.24</v>
      </c>
      <c r="K16" s="159">
        <f>J16/J9</f>
        <v>1.6904347854232039E-2</v>
      </c>
      <c r="L16" s="153">
        <f t="shared" si="6"/>
        <v>360.52</v>
      </c>
      <c r="M16" s="133"/>
      <c r="N16" s="130"/>
      <c r="O16" s="131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spans="1:26" ht="11.25" customHeight="1" x14ac:dyDescent="0.3">
      <c r="A17" s="160" t="s">
        <v>174</v>
      </c>
      <c r="B17" s="161">
        <v>12</v>
      </c>
      <c r="C17" s="162" t="s">
        <v>180</v>
      </c>
      <c r="D17" s="151">
        <v>205</v>
      </c>
      <c r="E17" s="159">
        <f t="shared" si="7"/>
        <v>1.201135500406505E-2</v>
      </c>
      <c r="F17" s="151">
        <f t="shared" si="8"/>
        <v>2460</v>
      </c>
      <c r="G17" s="153">
        <f t="shared" si="9"/>
        <v>47.307692307692307</v>
      </c>
      <c r="H17" s="130"/>
      <c r="I17" s="144" t="s">
        <v>181</v>
      </c>
      <c r="J17" s="145">
        <f>SUM(J11:J16)</f>
        <v>72902.488870000001</v>
      </c>
      <c r="K17" s="163">
        <f>J17/J3</f>
        <v>0.26366221546442098</v>
      </c>
      <c r="L17" s="147">
        <f>SUM(L11:L16)</f>
        <v>6075.2074058333328</v>
      </c>
      <c r="M17" s="133"/>
      <c r="N17" s="130"/>
      <c r="O17" s="131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spans="1:26" ht="11.25" customHeight="1" x14ac:dyDescent="0.3">
      <c r="A18" s="160" t="s">
        <v>174</v>
      </c>
      <c r="B18" s="161">
        <v>13</v>
      </c>
      <c r="C18" s="162" t="s">
        <v>182</v>
      </c>
      <c r="D18" s="151">
        <v>180</v>
      </c>
      <c r="E18" s="159">
        <f t="shared" si="7"/>
        <v>1.054655561332541E-2</v>
      </c>
      <c r="F18" s="151">
        <f t="shared" si="8"/>
        <v>2160</v>
      </c>
      <c r="G18" s="153">
        <f t="shared" si="9"/>
        <v>41.53846153846154</v>
      </c>
      <c r="H18" s="130"/>
      <c r="I18" s="150"/>
      <c r="J18" s="151"/>
      <c r="K18" s="159"/>
      <c r="L18" s="153"/>
      <c r="M18" s="133"/>
      <c r="N18" s="130"/>
      <c r="O18" s="131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spans="1:26" ht="11.25" customHeight="1" x14ac:dyDescent="0.3">
      <c r="A19" s="160" t="s">
        <v>174</v>
      </c>
      <c r="B19" s="161">
        <v>14</v>
      </c>
      <c r="C19" s="176" t="s">
        <v>183</v>
      </c>
      <c r="D19" s="151">
        <v>140</v>
      </c>
      <c r="E19" s="159">
        <f t="shared" si="7"/>
        <v>8.2028765881419861E-3</v>
      </c>
      <c r="F19" s="151">
        <f t="shared" si="8"/>
        <v>1680</v>
      </c>
      <c r="G19" s="153">
        <f t="shared" si="9"/>
        <v>32.307692307692307</v>
      </c>
      <c r="H19" s="130"/>
      <c r="I19" s="177" t="s">
        <v>184</v>
      </c>
      <c r="J19" s="178">
        <f>L44+L68</f>
        <v>182206.20206191996</v>
      </c>
      <c r="K19" s="179">
        <f>J19/J3</f>
        <v>0.65897463381079435</v>
      </c>
      <c r="L19" s="180"/>
      <c r="M19" s="133"/>
      <c r="N19" s="130"/>
      <c r="O19" s="131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spans="1:26" ht="11.25" customHeight="1" x14ac:dyDescent="0.3">
      <c r="A20" s="160" t="s">
        <v>174</v>
      </c>
      <c r="B20" s="161">
        <v>15</v>
      </c>
      <c r="C20" s="162" t="s">
        <v>185</v>
      </c>
      <c r="D20" s="151">
        <v>100</v>
      </c>
      <c r="E20" s="159">
        <f t="shared" si="7"/>
        <v>5.8591975629585609E-3</v>
      </c>
      <c r="F20" s="151">
        <f t="shared" si="8"/>
        <v>1200</v>
      </c>
      <c r="G20" s="153">
        <f t="shared" si="9"/>
        <v>23.076923076923077</v>
      </c>
      <c r="H20" s="130"/>
      <c r="I20" s="150"/>
      <c r="J20" s="151"/>
      <c r="K20" s="159"/>
      <c r="L20" s="153"/>
      <c r="M20" s="133"/>
      <c r="N20" s="130"/>
      <c r="O20" s="131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spans="1:26" ht="11.25" customHeight="1" x14ac:dyDescent="0.3">
      <c r="A21" s="160" t="s">
        <v>174</v>
      </c>
      <c r="B21" s="161">
        <v>16</v>
      </c>
      <c r="C21" s="175" t="s">
        <v>186</v>
      </c>
      <c r="D21" s="151">
        <v>0</v>
      </c>
      <c r="E21" s="159">
        <f t="shared" si="7"/>
        <v>0</v>
      </c>
      <c r="F21" s="151">
        <f t="shared" si="8"/>
        <v>0</v>
      </c>
      <c r="G21" s="153">
        <f t="shared" si="9"/>
        <v>0</v>
      </c>
      <c r="H21" s="130"/>
      <c r="I21" s="150" t="s">
        <v>187</v>
      </c>
      <c r="J21" s="151">
        <v>13000</v>
      </c>
      <c r="K21" s="159"/>
      <c r="L21" s="153">
        <f t="shared" ref="L21:L22" si="10">J21/12</f>
        <v>1083.3333333333333</v>
      </c>
      <c r="M21" s="133"/>
      <c r="N21" s="130"/>
      <c r="O21" s="131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spans="1:26" ht="11.25" customHeight="1" x14ac:dyDescent="0.3">
      <c r="A22" s="160" t="s">
        <v>174</v>
      </c>
      <c r="B22" s="161">
        <v>17</v>
      </c>
      <c r="C22" s="162" t="s">
        <v>188</v>
      </c>
      <c r="D22" s="151">
        <v>145</v>
      </c>
      <c r="E22" s="159">
        <f t="shared" si="7"/>
        <v>8.4958364662899143E-3</v>
      </c>
      <c r="F22" s="151">
        <f t="shared" si="8"/>
        <v>1740</v>
      </c>
      <c r="G22" s="153">
        <f t="shared" si="9"/>
        <v>33.46153846153846</v>
      </c>
      <c r="H22" s="130"/>
      <c r="I22" s="150" t="s">
        <v>189</v>
      </c>
      <c r="J22" s="151">
        <v>9600</v>
      </c>
      <c r="K22" s="159"/>
      <c r="L22" s="153">
        <f t="shared" si="10"/>
        <v>800</v>
      </c>
      <c r="M22" s="148">
        <f>L22-D31-D35-D40-D41-D42-D43</f>
        <v>240</v>
      </c>
      <c r="N22" s="131">
        <f>M22*12</f>
        <v>2880</v>
      </c>
      <c r="O22" s="131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spans="1:26" ht="11.25" customHeight="1" x14ac:dyDescent="0.3">
      <c r="A23" s="160" t="s">
        <v>174</v>
      </c>
      <c r="B23" s="161">
        <v>18</v>
      </c>
      <c r="C23" s="176" t="s">
        <v>190</v>
      </c>
      <c r="D23" s="151">
        <v>400</v>
      </c>
      <c r="E23" s="159">
        <f t="shared" si="7"/>
        <v>2.3436790251834243E-2</v>
      </c>
      <c r="F23" s="151">
        <f t="shared" si="8"/>
        <v>4800</v>
      </c>
      <c r="G23" s="153">
        <f t="shared" si="9"/>
        <v>92.307692307692307</v>
      </c>
      <c r="H23" s="130"/>
      <c r="I23" s="150"/>
      <c r="J23" s="152"/>
      <c r="K23" s="152"/>
      <c r="L23" s="153"/>
      <c r="M23" s="133"/>
      <c r="N23" s="130"/>
      <c r="O23" s="131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spans="1:26" ht="11.25" customHeight="1" x14ac:dyDescent="0.3">
      <c r="A24" s="160" t="s">
        <v>174</v>
      </c>
      <c r="B24" s="161">
        <v>19</v>
      </c>
      <c r="C24" s="176" t="s">
        <v>191</v>
      </c>
      <c r="D24" s="151">
        <v>200</v>
      </c>
      <c r="E24" s="159">
        <f t="shared" si="7"/>
        <v>1.1718395125917122E-2</v>
      </c>
      <c r="F24" s="151">
        <f t="shared" si="8"/>
        <v>2400</v>
      </c>
      <c r="G24" s="153">
        <f t="shared" si="9"/>
        <v>46.153846153846153</v>
      </c>
      <c r="H24" s="130"/>
      <c r="I24" s="181" t="s">
        <v>192</v>
      </c>
      <c r="J24" s="182">
        <f>J19+J22+J21</f>
        <v>204806.20206191996</v>
      </c>
      <c r="K24" s="183">
        <f>(J24+J6)/J3</f>
        <v>0.80317007683875097</v>
      </c>
      <c r="L24" s="184">
        <f>J24/12</f>
        <v>17067.183505159996</v>
      </c>
      <c r="M24" s="133"/>
      <c r="N24" s="185">
        <f>J21+J22+N44+N68</f>
        <v>204806.20206191996</v>
      </c>
      <c r="O24" s="131">
        <f>N24/12</f>
        <v>17067.183505159996</v>
      </c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spans="1:26" ht="11.25" customHeight="1" x14ac:dyDescent="0.3">
      <c r="A25" s="160" t="s">
        <v>174</v>
      </c>
      <c r="B25" s="161">
        <v>20</v>
      </c>
      <c r="C25" s="176" t="s">
        <v>193</v>
      </c>
      <c r="D25" s="151">
        <v>600</v>
      </c>
      <c r="E25" s="159">
        <f t="shared" si="7"/>
        <v>3.515518537775137E-2</v>
      </c>
      <c r="F25" s="151">
        <f t="shared" si="8"/>
        <v>7200</v>
      </c>
      <c r="G25" s="153">
        <f t="shared" si="9"/>
        <v>138.46153846153845</v>
      </c>
      <c r="H25" s="130"/>
      <c r="I25" s="130"/>
      <c r="J25" s="148"/>
      <c r="K25" s="149"/>
      <c r="L25" s="148"/>
      <c r="M25" s="133"/>
      <c r="N25" s="130"/>
      <c r="O25" s="131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spans="1:26" ht="11.25" customHeight="1" x14ac:dyDescent="0.3">
      <c r="A26" s="160" t="s">
        <v>174</v>
      </c>
      <c r="B26" s="161">
        <v>21</v>
      </c>
      <c r="C26" s="175" t="s">
        <v>194</v>
      </c>
      <c r="D26" s="151">
        <v>85</v>
      </c>
      <c r="E26" s="159">
        <f t="shared" si="7"/>
        <v>4.9803179285147769E-3</v>
      </c>
      <c r="F26" s="151">
        <f t="shared" si="8"/>
        <v>1020</v>
      </c>
      <c r="G26" s="153">
        <f t="shared" si="9"/>
        <v>19.615384615384617</v>
      </c>
      <c r="H26" s="130"/>
      <c r="I26" s="130"/>
      <c r="J26" s="148"/>
      <c r="K26" s="149"/>
      <c r="L26" s="148"/>
      <c r="M26" s="133"/>
      <c r="N26" s="130"/>
      <c r="O26" s="131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spans="1:26" ht="11.25" customHeight="1" x14ac:dyDescent="0.3">
      <c r="A27" s="160" t="s">
        <v>174</v>
      </c>
      <c r="B27" s="161">
        <v>22</v>
      </c>
      <c r="C27" s="175" t="s">
        <v>195</v>
      </c>
      <c r="D27" s="151">
        <v>100</v>
      </c>
      <c r="E27" s="159">
        <f t="shared" si="7"/>
        <v>5.8591975629585609E-3</v>
      </c>
      <c r="F27" s="151">
        <f t="shared" si="8"/>
        <v>1200</v>
      </c>
      <c r="G27" s="153">
        <f t="shared" si="9"/>
        <v>23.076923076923077</v>
      </c>
      <c r="H27" s="130"/>
      <c r="I27" s="138" t="s">
        <v>196</v>
      </c>
      <c r="J27" s="186">
        <v>50.12</v>
      </c>
      <c r="K27" s="174"/>
      <c r="L27" s="174"/>
      <c r="M27" s="187"/>
      <c r="N27" s="130"/>
      <c r="O27" s="131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spans="1:26" ht="11.25" customHeight="1" x14ac:dyDescent="0.3">
      <c r="A28" s="160" t="s">
        <v>174</v>
      </c>
      <c r="B28" s="161">
        <v>23</v>
      </c>
      <c r="C28" s="176" t="s">
        <v>197</v>
      </c>
      <c r="D28" s="151">
        <v>1200</v>
      </c>
      <c r="E28" s="159">
        <f t="shared" si="7"/>
        <v>7.0310370755502741E-2</v>
      </c>
      <c r="F28" s="151">
        <f t="shared" si="8"/>
        <v>14400</v>
      </c>
      <c r="G28" s="153">
        <f t="shared" si="9"/>
        <v>276.92307692307691</v>
      </c>
      <c r="H28" s="130"/>
      <c r="I28" s="150"/>
      <c r="J28" s="152" t="s">
        <v>198</v>
      </c>
      <c r="K28" s="152" t="s">
        <v>153</v>
      </c>
      <c r="L28" s="152" t="s">
        <v>154</v>
      </c>
      <c r="M28" s="188" t="s">
        <v>152</v>
      </c>
      <c r="N28" s="130"/>
      <c r="O28" s="131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spans="1:26" ht="11.25" customHeight="1" x14ac:dyDescent="0.3">
      <c r="A29" s="160" t="s">
        <v>174</v>
      </c>
      <c r="B29" s="161">
        <v>24</v>
      </c>
      <c r="C29" s="175" t="s">
        <v>199</v>
      </c>
      <c r="D29" s="151">
        <v>120</v>
      </c>
      <c r="E29" s="159">
        <f t="shared" si="7"/>
        <v>7.031037075550273E-3</v>
      </c>
      <c r="F29" s="151">
        <f t="shared" si="8"/>
        <v>1440</v>
      </c>
      <c r="G29" s="153">
        <f t="shared" si="9"/>
        <v>27.692307692307693</v>
      </c>
      <c r="H29" s="130"/>
      <c r="I29" s="144" t="s">
        <v>157</v>
      </c>
      <c r="J29" s="145">
        <f>J27*80</f>
        <v>4009.6</v>
      </c>
      <c r="K29" s="146"/>
      <c r="L29" s="145">
        <f>J29*26</f>
        <v>104249.59999999999</v>
      </c>
      <c r="M29" s="147">
        <f>L29/12</f>
        <v>8687.4666666666653</v>
      </c>
      <c r="N29" s="130"/>
      <c r="O29" s="131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spans="1:26" ht="11.25" customHeight="1" x14ac:dyDescent="0.3">
      <c r="A30" s="160" t="s">
        <v>174</v>
      </c>
      <c r="B30" s="161">
        <v>42</v>
      </c>
      <c r="C30" s="175" t="s">
        <v>200</v>
      </c>
      <c r="D30" s="151">
        <v>75</v>
      </c>
      <c r="E30" s="159">
        <f t="shared" si="7"/>
        <v>4.3943981722189213E-3</v>
      </c>
      <c r="F30" s="151">
        <f t="shared" si="8"/>
        <v>900</v>
      </c>
      <c r="G30" s="153">
        <f t="shared" si="9"/>
        <v>17.307692307692307</v>
      </c>
      <c r="H30" s="130"/>
      <c r="I30" s="150"/>
      <c r="J30" s="151"/>
      <c r="K30" s="152"/>
      <c r="L30" s="151"/>
      <c r="M30" s="153"/>
      <c r="N30" s="130"/>
      <c r="O30" s="131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spans="1:26" ht="11.25" customHeight="1" x14ac:dyDescent="0.3">
      <c r="A31" s="170" t="s">
        <v>174</v>
      </c>
      <c r="B31" s="171">
        <v>43</v>
      </c>
      <c r="C31" s="189" t="s">
        <v>201</v>
      </c>
      <c r="D31" s="142">
        <v>75</v>
      </c>
      <c r="E31" s="141">
        <f t="shared" si="7"/>
        <v>4.3943981722189213E-3</v>
      </c>
      <c r="F31" s="142">
        <f t="shared" si="8"/>
        <v>900</v>
      </c>
      <c r="G31" s="143">
        <f t="shared" si="9"/>
        <v>17.307692307692307</v>
      </c>
      <c r="H31" s="130"/>
      <c r="I31" s="150" t="s">
        <v>202</v>
      </c>
      <c r="J31" s="151">
        <v>157.97</v>
      </c>
      <c r="K31" s="159">
        <f>J31/J29</f>
        <v>3.9397944932162809E-2</v>
      </c>
      <c r="L31" s="151">
        <f t="shared" ref="L31:L32" si="11">J31*26</f>
        <v>4107.22</v>
      </c>
      <c r="M31" s="153">
        <f t="shared" ref="M31:M32" si="12">L31/12</f>
        <v>342.26833333333337</v>
      </c>
      <c r="N31" s="130"/>
      <c r="O31" s="131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spans="1:26" ht="11.25" customHeight="1" x14ac:dyDescent="0.3">
      <c r="A32" s="133"/>
      <c r="B32" s="134"/>
      <c r="C32" s="130"/>
      <c r="D32" s="148"/>
      <c r="E32" s="149"/>
      <c r="F32" s="148"/>
      <c r="G32" s="148"/>
      <c r="H32" s="130"/>
      <c r="I32" s="150" t="s">
        <v>97</v>
      </c>
      <c r="J32" s="151">
        <f>K32*J29</f>
        <v>200.48000000000002</v>
      </c>
      <c r="K32" s="159">
        <v>0.05</v>
      </c>
      <c r="L32" s="151">
        <f t="shared" si="11"/>
        <v>5212.4800000000005</v>
      </c>
      <c r="M32" s="153">
        <f t="shared" si="12"/>
        <v>434.37333333333339</v>
      </c>
      <c r="N32" s="130"/>
      <c r="O32" s="131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spans="1:26" ht="11.25" customHeight="1" x14ac:dyDescent="0.3">
      <c r="A33" s="135" t="s">
        <v>203</v>
      </c>
      <c r="B33" s="154">
        <v>25</v>
      </c>
      <c r="C33" s="155" t="s">
        <v>204</v>
      </c>
      <c r="D33" s="156">
        <v>350</v>
      </c>
      <c r="E33" s="157">
        <f t="shared" ref="E33:E43" si="13">D33/$O$24</f>
        <v>2.0507191470354964E-2</v>
      </c>
      <c r="F33" s="156">
        <f t="shared" ref="F33:F43" si="14">D33*12</f>
        <v>4200</v>
      </c>
      <c r="G33" s="158">
        <f t="shared" ref="G33:G43" si="15">F33/52</f>
        <v>80.769230769230774</v>
      </c>
      <c r="H33" s="130"/>
      <c r="I33" s="144" t="s">
        <v>164</v>
      </c>
      <c r="J33" s="145">
        <f>SUM(J31:J32)</f>
        <v>358.45000000000005</v>
      </c>
      <c r="K33" s="163"/>
      <c r="L33" s="145"/>
      <c r="M33" s="147"/>
      <c r="N33" s="130"/>
      <c r="O33" s="131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spans="1:26" ht="11.25" customHeight="1" x14ac:dyDescent="0.3">
      <c r="A34" s="160" t="s">
        <v>203</v>
      </c>
      <c r="B34" s="161">
        <v>26</v>
      </c>
      <c r="C34" s="175" t="s">
        <v>205</v>
      </c>
      <c r="D34" s="151">
        <v>320</v>
      </c>
      <c r="E34" s="159">
        <f t="shared" si="13"/>
        <v>1.8749432201467395E-2</v>
      </c>
      <c r="F34" s="151">
        <f t="shared" si="14"/>
        <v>3840</v>
      </c>
      <c r="G34" s="153">
        <f t="shared" si="15"/>
        <v>73.84615384615384</v>
      </c>
      <c r="H34" s="130"/>
      <c r="I34" s="150"/>
      <c r="J34" s="151"/>
      <c r="K34" s="159"/>
      <c r="L34" s="151"/>
      <c r="M34" s="153"/>
      <c r="N34" s="130"/>
      <c r="O34" s="131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spans="1:26" ht="11.25" customHeight="1" x14ac:dyDescent="0.3">
      <c r="A35" s="160" t="s">
        <v>203</v>
      </c>
      <c r="B35" s="161">
        <v>27</v>
      </c>
      <c r="C35" s="175" t="s">
        <v>206</v>
      </c>
      <c r="D35" s="151">
        <v>25</v>
      </c>
      <c r="E35" s="159">
        <f t="shared" si="13"/>
        <v>1.4647993907396402E-3</v>
      </c>
      <c r="F35" s="151">
        <f t="shared" si="14"/>
        <v>300</v>
      </c>
      <c r="G35" s="153">
        <f t="shared" si="15"/>
        <v>5.7692307692307692</v>
      </c>
      <c r="H35" s="130"/>
      <c r="I35" s="144" t="s">
        <v>167</v>
      </c>
      <c r="J35" s="145">
        <f>J29+J30-J31-J32</f>
        <v>3651.15</v>
      </c>
      <c r="K35" s="163">
        <f>J35/J29</f>
        <v>0.9106020550678372</v>
      </c>
      <c r="L35" s="145">
        <f>J35*26</f>
        <v>94929.900000000009</v>
      </c>
      <c r="M35" s="147">
        <f>L35/12</f>
        <v>7910.8250000000007</v>
      </c>
      <c r="N35" s="130"/>
      <c r="O35" s="131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spans="1:26" ht="11.25" customHeight="1" x14ac:dyDescent="0.3">
      <c r="A36" s="160" t="s">
        <v>203</v>
      </c>
      <c r="B36" s="161">
        <v>28</v>
      </c>
      <c r="C36" s="175" t="s">
        <v>207</v>
      </c>
      <c r="D36" s="151">
        <v>25</v>
      </c>
      <c r="E36" s="159">
        <f t="shared" si="13"/>
        <v>1.4647993907396402E-3</v>
      </c>
      <c r="F36" s="151">
        <f t="shared" si="14"/>
        <v>300</v>
      </c>
      <c r="G36" s="153">
        <f t="shared" si="15"/>
        <v>5.7692307692307692</v>
      </c>
      <c r="H36" s="130"/>
      <c r="I36" s="150"/>
      <c r="J36" s="151"/>
      <c r="K36" s="159"/>
      <c r="L36" s="151"/>
      <c r="M36" s="153"/>
      <c r="N36" s="130"/>
      <c r="O36" s="131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1:26" ht="11.25" customHeight="1" x14ac:dyDescent="0.3">
      <c r="A37" s="160" t="s">
        <v>203</v>
      </c>
      <c r="B37" s="161">
        <v>29</v>
      </c>
      <c r="C37" s="175" t="s">
        <v>208</v>
      </c>
      <c r="D37" s="151">
        <v>45</v>
      </c>
      <c r="E37" s="159">
        <f t="shared" si="13"/>
        <v>2.6366389033313526E-3</v>
      </c>
      <c r="F37" s="151">
        <f t="shared" si="14"/>
        <v>540</v>
      </c>
      <c r="G37" s="153">
        <f t="shared" si="15"/>
        <v>10.384615384615385</v>
      </c>
      <c r="H37" s="130"/>
      <c r="I37" s="150" t="s">
        <v>170</v>
      </c>
      <c r="J37" s="151">
        <v>463.64</v>
      </c>
      <c r="K37" s="159">
        <f>J37/J35</f>
        <v>0.12698464867233611</v>
      </c>
      <c r="L37" s="151">
        <f t="shared" ref="L37:L41" si="16">J37*26</f>
        <v>12054.64</v>
      </c>
      <c r="M37" s="153">
        <f t="shared" ref="M37:M41" si="17">L37/12</f>
        <v>1004.5533333333333</v>
      </c>
      <c r="N37" s="130"/>
      <c r="O37" s="131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spans="1:26" ht="11.25" customHeight="1" x14ac:dyDescent="0.3">
      <c r="A38" s="160" t="s">
        <v>203</v>
      </c>
      <c r="B38" s="161">
        <v>30</v>
      </c>
      <c r="C38" s="175" t="s">
        <v>209</v>
      </c>
      <c r="D38" s="151">
        <v>400</v>
      </c>
      <c r="E38" s="159">
        <f t="shared" si="13"/>
        <v>2.3436790251834243E-2</v>
      </c>
      <c r="F38" s="151">
        <f t="shared" si="14"/>
        <v>4800</v>
      </c>
      <c r="G38" s="153">
        <f t="shared" si="15"/>
        <v>92.307692307692307</v>
      </c>
      <c r="H38" s="130"/>
      <c r="I38" s="150" t="s">
        <v>172</v>
      </c>
      <c r="J38" s="151">
        <v>97</v>
      </c>
      <c r="K38" s="159">
        <f>J38/J35</f>
        <v>2.6566972049902084E-2</v>
      </c>
      <c r="L38" s="151">
        <f t="shared" si="16"/>
        <v>2522</v>
      </c>
      <c r="M38" s="153">
        <f t="shared" si="17"/>
        <v>210.16666666666666</v>
      </c>
      <c r="N38" s="130"/>
      <c r="O38" s="131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spans="1:26" ht="11.25" customHeight="1" x14ac:dyDescent="0.3">
      <c r="A39" s="160" t="s">
        <v>203</v>
      </c>
      <c r="B39" s="161">
        <v>31</v>
      </c>
      <c r="C39" s="175" t="s">
        <v>210</v>
      </c>
      <c r="D39" s="151">
        <v>375</v>
      </c>
      <c r="E39" s="159">
        <f t="shared" si="13"/>
        <v>2.1971990861094606E-2</v>
      </c>
      <c r="F39" s="151">
        <f t="shared" si="14"/>
        <v>4500</v>
      </c>
      <c r="G39" s="153">
        <f t="shared" si="15"/>
        <v>86.538461538461533</v>
      </c>
      <c r="H39" s="130"/>
      <c r="I39" s="150" t="s">
        <v>173</v>
      </c>
      <c r="J39" s="151">
        <f>(J35+J32)*K39</f>
        <v>55.848635000000002</v>
      </c>
      <c r="K39" s="159">
        <v>1.4500000000000001E-2</v>
      </c>
      <c r="L39" s="151">
        <f t="shared" si="16"/>
        <v>1452.0645100000002</v>
      </c>
      <c r="M39" s="153">
        <f t="shared" si="17"/>
        <v>121.00537583333335</v>
      </c>
      <c r="N39" s="130"/>
      <c r="O39" s="131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spans="1:26" ht="11.25" customHeight="1" x14ac:dyDescent="0.3">
      <c r="A40" s="160" t="s">
        <v>203</v>
      </c>
      <c r="B40" s="161">
        <v>32</v>
      </c>
      <c r="C40" s="175" t="s">
        <v>211</v>
      </c>
      <c r="D40" s="151">
        <v>100</v>
      </c>
      <c r="E40" s="159">
        <f t="shared" si="13"/>
        <v>5.8591975629585609E-3</v>
      </c>
      <c r="F40" s="151">
        <f t="shared" si="14"/>
        <v>1200</v>
      </c>
      <c r="G40" s="153">
        <f t="shared" si="15"/>
        <v>23.076923076923077</v>
      </c>
      <c r="H40" s="130"/>
      <c r="I40" s="150" t="s">
        <v>175</v>
      </c>
      <c r="J40" s="151">
        <f>(J35+J32)*K40</f>
        <v>238.80106000000001</v>
      </c>
      <c r="K40" s="159">
        <v>6.2E-2</v>
      </c>
      <c r="L40" s="151">
        <f t="shared" si="16"/>
        <v>6208.8275599999997</v>
      </c>
      <c r="M40" s="153">
        <f t="shared" si="17"/>
        <v>517.40229666666664</v>
      </c>
      <c r="N40" s="130"/>
      <c r="O40" s="131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spans="1:26" ht="11.25" customHeight="1" x14ac:dyDescent="0.3">
      <c r="A41" s="160" t="s">
        <v>203</v>
      </c>
      <c r="B41" s="161">
        <v>33</v>
      </c>
      <c r="C41" s="175" t="s">
        <v>212</v>
      </c>
      <c r="D41" s="151">
        <v>85</v>
      </c>
      <c r="E41" s="159">
        <f t="shared" si="13"/>
        <v>4.9803179285147769E-3</v>
      </c>
      <c r="F41" s="151">
        <f t="shared" si="14"/>
        <v>1020</v>
      </c>
      <c r="G41" s="153">
        <f t="shared" si="15"/>
        <v>19.615384615384617</v>
      </c>
      <c r="H41" s="130"/>
      <c r="I41" s="150" t="s">
        <v>177</v>
      </c>
      <c r="J41" s="151">
        <f>K41*J29</f>
        <v>32.076799999999999</v>
      </c>
      <c r="K41" s="159">
        <v>8.0000000000000002E-3</v>
      </c>
      <c r="L41" s="151">
        <f t="shared" si="16"/>
        <v>833.99680000000001</v>
      </c>
      <c r="M41" s="153">
        <f t="shared" si="17"/>
        <v>69.499733333333339</v>
      </c>
      <c r="N41" s="130"/>
      <c r="O41" s="133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spans="1:26" ht="11.25" customHeight="1" x14ac:dyDescent="0.3">
      <c r="A42" s="160" t="s">
        <v>203</v>
      </c>
      <c r="B42" s="161">
        <v>34</v>
      </c>
      <c r="C42" s="175" t="s">
        <v>213</v>
      </c>
      <c r="D42" s="151">
        <v>230</v>
      </c>
      <c r="E42" s="159">
        <f t="shared" si="13"/>
        <v>1.3476154394804691E-2</v>
      </c>
      <c r="F42" s="151">
        <f t="shared" si="14"/>
        <v>2760</v>
      </c>
      <c r="G42" s="153">
        <f t="shared" si="15"/>
        <v>53.07692307692308</v>
      </c>
      <c r="H42" s="130"/>
      <c r="I42" s="144" t="s">
        <v>181</v>
      </c>
      <c r="J42" s="145">
        <f>SUM(J37:J41)</f>
        <v>887.36649499999999</v>
      </c>
      <c r="K42" s="163">
        <f>J42/J29</f>
        <v>0.22131047860135675</v>
      </c>
      <c r="L42" s="145"/>
      <c r="M42" s="147"/>
      <c r="N42" s="130"/>
      <c r="O42" s="133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spans="1:26" ht="11.25" customHeight="1" x14ac:dyDescent="0.3">
      <c r="A43" s="170" t="s">
        <v>203</v>
      </c>
      <c r="B43" s="171">
        <v>35</v>
      </c>
      <c r="C43" s="189" t="s">
        <v>214</v>
      </c>
      <c r="D43" s="142">
        <v>45</v>
      </c>
      <c r="E43" s="141">
        <f t="shared" si="13"/>
        <v>2.6366389033313526E-3</v>
      </c>
      <c r="F43" s="142">
        <f t="shared" si="14"/>
        <v>540</v>
      </c>
      <c r="G43" s="143">
        <f t="shared" si="15"/>
        <v>10.384615384615385</v>
      </c>
      <c r="H43" s="130"/>
      <c r="I43" s="150"/>
      <c r="J43" s="151"/>
      <c r="K43" s="159"/>
      <c r="L43" s="151"/>
      <c r="M43" s="153"/>
      <c r="N43" s="130"/>
      <c r="O43" s="133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spans="1:26" ht="11.25" customHeight="1" x14ac:dyDescent="0.3">
      <c r="A44" s="133"/>
      <c r="B44" s="134"/>
      <c r="C44" s="130"/>
      <c r="D44" s="133"/>
      <c r="E44" s="148"/>
      <c r="F44" s="148"/>
      <c r="G44" s="148"/>
      <c r="H44" s="130"/>
      <c r="I44" s="190" t="s">
        <v>215</v>
      </c>
      <c r="J44" s="191">
        <f>J29-J33-J42</f>
        <v>2763.7835049999994</v>
      </c>
      <c r="K44" s="192">
        <f>(J44+J32)/J29</f>
        <v>0.73929157646648036</v>
      </c>
      <c r="L44" s="191">
        <f>J44*26</f>
        <v>71858.371129999985</v>
      </c>
      <c r="M44" s="193">
        <f>L44/12</f>
        <v>5988.1975941666651</v>
      </c>
      <c r="N44" s="185">
        <f>L44</f>
        <v>71858.371129999985</v>
      </c>
      <c r="O44" s="131">
        <f>N44/26</f>
        <v>2763.7835049999994</v>
      </c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spans="1:26" ht="11.25" customHeight="1" x14ac:dyDescent="0.3">
      <c r="A45" s="135" t="s">
        <v>216</v>
      </c>
      <c r="B45" s="154">
        <v>36</v>
      </c>
      <c r="C45" s="174" t="s">
        <v>103</v>
      </c>
      <c r="D45" s="156">
        <f t="shared" ref="D45:D46" si="18">F45/12</f>
        <v>50</v>
      </c>
      <c r="E45" s="157">
        <f t="shared" ref="E45:E46" si="19">D45/$O$24</f>
        <v>2.9295987814792804E-3</v>
      </c>
      <c r="F45" s="156">
        <f>50*12</f>
        <v>600</v>
      </c>
      <c r="G45" s="158">
        <f t="shared" ref="G45:G46" si="20">F45/52</f>
        <v>11.538461538461538</v>
      </c>
      <c r="H45" s="130"/>
      <c r="I45" s="130"/>
      <c r="J45" s="133"/>
      <c r="K45" s="133"/>
      <c r="L45" s="133"/>
      <c r="M45" s="148"/>
      <c r="N45" s="130"/>
      <c r="O45" s="131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spans="1:26" ht="11.25" customHeight="1" x14ac:dyDescent="0.3">
      <c r="A46" s="170" t="s">
        <v>216</v>
      </c>
      <c r="B46" s="171">
        <v>37</v>
      </c>
      <c r="C46" s="189" t="s">
        <v>217</v>
      </c>
      <c r="D46" s="142">
        <f t="shared" si="18"/>
        <v>4017.1835051599969</v>
      </c>
      <c r="E46" s="141">
        <f t="shared" si="19"/>
        <v>0.23537471803390783</v>
      </c>
      <c r="F46" s="194">
        <f>(N24-SUM(F5:F45))</f>
        <v>48206.202061919961</v>
      </c>
      <c r="G46" s="143">
        <f t="shared" si="20"/>
        <v>927.04234734461465</v>
      </c>
      <c r="H46" s="130"/>
      <c r="I46" s="130"/>
      <c r="J46" s="133"/>
      <c r="K46" s="133"/>
      <c r="L46" s="133"/>
      <c r="M46" s="148"/>
      <c r="N46" s="130"/>
      <c r="O46" s="131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spans="1:26" ht="11.25" customHeight="1" x14ac:dyDescent="0.3">
      <c r="A47" s="133"/>
      <c r="B47" s="134"/>
      <c r="C47" s="130"/>
      <c r="D47" s="148"/>
      <c r="E47" s="149"/>
      <c r="F47" s="148"/>
      <c r="G47" s="148"/>
      <c r="H47" s="130"/>
      <c r="I47" s="138" t="s">
        <v>218</v>
      </c>
      <c r="J47" s="186">
        <v>82.809299999999993</v>
      </c>
      <c r="K47" s="174"/>
      <c r="L47" s="174"/>
      <c r="M47" s="187"/>
      <c r="N47" s="130"/>
      <c r="O47" s="131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spans="1:26" ht="11.25" customHeight="1" x14ac:dyDescent="0.3">
      <c r="A48" s="133"/>
      <c r="B48" s="134"/>
      <c r="C48" s="130"/>
      <c r="D48" s="133"/>
      <c r="E48" s="133"/>
      <c r="F48" s="133"/>
      <c r="G48" s="133"/>
      <c r="H48" s="130"/>
      <c r="I48" s="150"/>
      <c r="J48" s="152" t="s">
        <v>198</v>
      </c>
      <c r="K48" s="152" t="s">
        <v>153</v>
      </c>
      <c r="L48" s="152" t="s">
        <v>154</v>
      </c>
      <c r="M48" s="188" t="s">
        <v>152</v>
      </c>
      <c r="N48" s="130"/>
      <c r="O48" s="131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spans="1:26" ht="11.25" customHeight="1" x14ac:dyDescent="0.3">
      <c r="A49" s="133"/>
      <c r="B49" s="134"/>
      <c r="C49" s="130"/>
      <c r="D49" s="133"/>
      <c r="E49" s="133"/>
      <c r="F49" s="133"/>
      <c r="G49" s="133"/>
      <c r="H49" s="130"/>
      <c r="I49" s="150" t="s">
        <v>157</v>
      </c>
      <c r="J49" s="151">
        <f>J47*86.67</f>
        <v>7177.0820309999999</v>
      </c>
      <c r="K49" s="152"/>
      <c r="L49" s="151">
        <f>J49*24</f>
        <v>172249.96874400001</v>
      </c>
      <c r="M49" s="153">
        <f>L49/12</f>
        <v>14354.164062000002</v>
      </c>
      <c r="N49" s="130"/>
      <c r="O49" s="131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spans="1:26" ht="11.25" customHeight="1" x14ac:dyDescent="0.3">
      <c r="A50" s="133"/>
      <c r="B50" s="134"/>
      <c r="C50" s="130"/>
      <c r="D50" s="133"/>
      <c r="E50" s="133"/>
      <c r="F50" s="133"/>
      <c r="G50" s="133"/>
      <c r="H50" s="130"/>
      <c r="I50" s="150" t="s">
        <v>219</v>
      </c>
      <c r="J50" s="151">
        <v>34</v>
      </c>
      <c r="K50" s="152"/>
      <c r="L50" s="151"/>
      <c r="M50" s="153"/>
      <c r="N50" s="130"/>
      <c r="O50" s="131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spans="1:26" ht="11.25" customHeight="1" x14ac:dyDescent="0.3">
      <c r="A51" s="133"/>
      <c r="B51" s="134"/>
      <c r="C51" s="130"/>
      <c r="D51" s="133"/>
      <c r="E51" s="133"/>
      <c r="F51" s="133"/>
      <c r="G51" s="133"/>
      <c r="H51" s="130"/>
      <c r="I51" s="144" t="s">
        <v>220</v>
      </c>
      <c r="J51" s="145">
        <f>J49+J50</f>
        <v>7211.0820309999999</v>
      </c>
      <c r="K51" s="146"/>
      <c r="L51" s="145"/>
      <c r="M51" s="147"/>
      <c r="N51" s="130"/>
      <c r="O51" s="131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spans="1:26" ht="11.25" customHeight="1" x14ac:dyDescent="0.3">
      <c r="A52" s="133"/>
      <c r="B52" s="134"/>
      <c r="C52" s="130"/>
      <c r="D52" s="195"/>
      <c r="E52" s="133"/>
      <c r="F52" s="133"/>
      <c r="G52" s="133"/>
      <c r="H52" s="130"/>
      <c r="I52" s="150"/>
      <c r="J52" s="151"/>
      <c r="K52" s="152"/>
      <c r="L52" s="151"/>
      <c r="M52" s="153"/>
      <c r="N52" s="130"/>
      <c r="O52" s="131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spans="1:26" ht="11.25" customHeight="1" x14ac:dyDescent="0.3">
      <c r="A53" s="132"/>
      <c r="B53" s="132"/>
      <c r="C53" s="132"/>
      <c r="D53" s="132"/>
      <c r="E53" s="132"/>
      <c r="F53" s="132"/>
      <c r="G53" s="132"/>
      <c r="H53" s="132"/>
      <c r="I53" s="150" t="s">
        <v>221</v>
      </c>
      <c r="J53" s="151">
        <v>9.0500000000000007</v>
      </c>
      <c r="K53" s="159">
        <f>J53/J49</f>
        <v>1.2609581388244274E-3</v>
      </c>
      <c r="L53" s="151">
        <f t="shared" ref="L53:L56" si="21">J53*24</f>
        <v>217.20000000000002</v>
      </c>
      <c r="M53" s="153">
        <f t="shared" ref="M53:M56" si="22">L53/12</f>
        <v>18.100000000000001</v>
      </c>
      <c r="N53" s="130"/>
      <c r="O53" s="131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spans="1:26" ht="11.25" customHeight="1" x14ac:dyDescent="0.3">
      <c r="A54" s="132"/>
      <c r="B54" s="132"/>
      <c r="C54" s="132"/>
      <c r="D54" s="132"/>
      <c r="E54" s="132"/>
      <c r="F54" s="132"/>
      <c r="G54" s="132"/>
      <c r="H54" s="132"/>
      <c r="I54" s="150" t="s">
        <v>222</v>
      </c>
      <c r="J54" s="151">
        <v>23.67</v>
      </c>
      <c r="K54" s="159">
        <f>J54/J49</f>
        <v>3.2979976956877561E-3</v>
      </c>
      <c r="L54" s="151">
        <f t="shared" si="21"/>
        <v>568.08000000000004</v>
      </c>
      <c r="M54" s="153">
        <f t="shared" si="22"/>
        <v>47.34</v>
      </c>
      <c r="N54" s="130"/>
      <c r="O54" s="131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spans="1:26" ht="11.25" customHeight="1" x14ac:dyDescent="0.3">
      <c r="A55" s="132"/>
      <c r="B55" s="132"/>
      <c r="C55" s="132"/>
      <c r="D55" s="132"/>
      <c r="E55" s="132"/>
      <c r="F55" s="132"/>
      <c r="G55" s="132"/>
      <c r="H55" s="132"/>
      <c r="I55" s="150" t="s">
        <v>223</v>
      </c>
      <c r="J55" s="151">
        <v>-32.15</v>
      </c>
      <c r="K55" s="159">
        <f>J55/J49</f>
        <v>-4.4795363716248985E-3</v>
      </c>
      <c r="L55" s="151">
        <f t="shared" si="21"/>
        <v>-771.59999999999991</v>
      </c>
      <c r="M55" s="153">
        <f t="shared" si="22"/>
        <v>-64.3</v>
      </c>
      <c r="N55" s="130"/>
      <c r="O55" s="131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spans="1:26" ht="11.25" customHeight="1" x14ac:dyDescent="0.3">
      <c r="A56" s="132"/>
      <c r="B56" s="132"/>
      <c r="C56" s="132"/>
      <c r="D56" s="132"/>
      <c r="E56" s="132"/>
      <c r="F56" s="132"/>
      <c r="G56" s="132"/>
      <c r="H56" s="132"/>
      <c r="I56" s="150" t="s">
        <v>162</v>
      </c>
      <c r="J56" s="151">
        <f>J49*K56</f>
        <v>502.39574217000006</v>
      </c>
      <c r="K56" s="159">
        <v>7.0000000000000007E-2</v>
      </c>
      <c r="L56" s="151">
        <f t="shared" si="21"/>
        <v>12057.497812080001</v>
      </c>
      <c r="M56" s="153">
        <f t="shared" si="22"/>
        <v>1004.79148434</v>
      </c>
      <c r="N56" s="130"/>
      <c r="O56" s="131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spans="1:26" ht="11.25" customHeight="1" x14ac:dyDescent="0.3">
      <c r="A57" s="132"/>
      <c r="B57" s="132"/>
      <c r="C57" s="132"/>
      <c r="D57" s="132"/>
      <c r="E57" s="132"/>
      <c r="F57" s="132"/>
      <c r="G57" s="132"/>
      <c r="H57" s="132"/>
      <c r="I57" s="144" t="s">
        <v>164</v>
      </c>
      <c r="J57" s="145">
        <f>SUM(J53:J56)</f>
        <v>502.96574217000006</v>
      </c>
      <c r="K57" s="146"/>
      <c r="L57" s="145"/>
      <c r="M57" s="147"/>
      <c r="N57" s="131"/>
      <c r="O57" s="131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spans="1:26" ht="11.25" customHeight="1" x14ac:dyDescent="0.3">
      <c r="A58" s="132"/>
      <c r="B58" s="132"/>
      <c r="C58" s="132"/>
      <c r="D58" s="132"/>
      <c r="E58" s="132"/>
      <c r="F58" s="132"/>
      <c r="G58" s="132"/>
      <c r="H58" s="132"/>
      <c r="I58" s="150"/>
      <c r="J58" s="151"/>
      <c r="K58" s="152"/>
      <c r="L58" s="151"/>
      <c r="M58" s="153"/>
      <c r="N58" s="131"/>
      <c r="O58" s="131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spans="1:26" ht="11.25" customHeight="1" x14ac:dyDescent="0.3">
      <c r="A59" s="132"/>
      <c r="B59" s="132"/>
      <c r="C59" s="132"/>
      <c r="D59" s="132"/>
      <c r="E59" s="132"/>
      <c r="F59" s="132"/>
      <c r="G59" s="132"/>
      <c r="H59" s="132"/>
      <c r="I59" s="144" t="s">
        <v>167</v>
      </c>
      <c r="J59" s="145">
        <f>J51-J57</f>
        <v>6708.1162888299996</v>
      </c>
      <c r="K59" s="146"/>
      <c r="L59" s="145">
        <f>J59*24</f>
        <v>160994.79093192</v>
      </c>
      <c r="M59" s="147">
        <f>L59/12</f>
        <v>13416.232577659999</v>
      </c>
      <c r="N59" s="130"/>
      <c r="O59" s="131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spans="1:26" ht="11.25" customHeight="1" x14ac:dyDescent="0.3">
      <c r="A60" s="132"/>
      <c r="B60" s="132"/>
      <c r="C60" s="132"/>
      <c r="D60" s="132"/>
      <c r="E60" s="132"/>
      <c r="F60" s="132"/>
      <c r="G60" s="132"/>
      <c r="H60" s="132"/>
      <c r="I60" s="150"/>
      <c r="J60" s="151"/>
      <c r="K60" s="152"/>
      <c r="L60" s="151"/>
      <c r="M60" s="153"/>
      <c r="N60" s="130"/>
      <c r="O60" s="131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spans="1:26" ht="11.25" customHeight="1" x14ac:dyDescent="0.3">
      <c r="A61" s="132"/>
      <c r="B61" s="132"/>
      <c r="C61" s="132"/>
      <c r="D61" s="132"/>
      <c r="E61" s="132"/>
      <c r="F61" s="132"/>
      <c r="G61" s="132"/>
      <c r="H61" s="132"/>
      <c r="I61" s="150" t="s">
        <v>170</v>
      </c>
      <c r="J61" s="151">
        <v>1140.53</v>
      </c>
      <c r="K61" s="159">
        <f>J61/J59</f>
        <v>0.17002239539274985</v>
      </c>
      <c r="L61" s="151">
        <f t="shared" ref="L61:L65" si="23">J61*24</f>
        <v>27372.720000000001</v>
      </c>
      <c r="M61" s="153">
        <f t="shared" ref="M61:M65" si="24">L61/12</f>
        <v>2281.06</v>
      </c>
      <c r="N61" s="130"/>
      <c r="O61" s="131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spans="1:26" ht="11.25" customHeight="1" x14ac:dyDescent="0.3">
      <c r="A62" s="132"/>
      <c r="B62" s="132"/>
      <c r="C62" s="132"/>
      <c r="D62" s="132"/>
      <c r="E62" s="132"/>
      <c r="F62" s="132"/>
      <c r="G62" s="132"/>
      <c r="H62" s="132"/>
      <c r="I62" s="150" t="s">
        <v>172</v>
      </c>
      <c r="J62" s="151">
        <v>203.9</v>
      </c>
      <c r="K62" s="159">
        <f>J62/J59</f>
        <v>3.0396014502539783E-2</v>
      </c>
      <c r="L62" s="151">
        <f t="shared" si="23"/>
        <v>4893.6000000000004</v>
      </c>
      <c r="M62" s="153">
        <f t="shared" si="24"/>
        <v>407.8</v>
      </c>
      <c r="N62" s="130"/>
      <c r="O62" s="131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spans="1:26" ht="11.25" customHeight="1" x14ac:dyDescent="0.3">
      <c r="A63" s="132"/>
      <c r="B63" s="132"/>
      <c r="C63" s="132"/>
      <c r="D63" s="132"/>
      <c r="E63" s="132"/>
      <c r="F63" s="132"/>
      <c r="G63" s="132"/>
      <c r="H63" s="132"/>
      <c r="I63" s="150" t="s">
        <v>173</v>
      </c>
      <c r="J63" s="151">
        <v>104.55</v>
      </c>
      <c r="K63" s="159">
        <f>J63/J51</f>
        <v>1.4498517635847984E-2</v>
      </c>
      <c r="L63" s="151">
        <f t="shared" si="23"/>
        <v>2509.1999999999998</v>
      </c>
      <c r="M63" s="153">
        <f t="shared" si="24"/>
        <v>209.1</v>
      </c>
      <c r="N63" s="130"/>
      <c r="O63" s="131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spans="1:26" ht="11.25" customHeight="1" x14ac:dyDescent="0.3">
      <c r="A64" s="132"/>
      <c r="B64" s="132"/>
      <c r="C64" s="132"/>
      <c r="D64" s="132"/>
      <c r="E64" s="132"/>
      <c r="F64" s="132"/>
      <c r="G64" s="132"/>
      <c r="H64" s="132"/>
      <c r="I64" s="150" t="s">
        <v>175</v>
      </c>
      <c r="J64" s="151">
        <v>447.05</v>
      </c>
      <c r="K64" s="159">
        <f>J64/J51</f>
        <v>6.1994857093312691E-2</v>
      </c>
      <c r="L64" s="151">
        <f t="shared" si="23"/>
        <v>10729.2</v>
      </c>
      <c r="M64" s="153">
        <f t="shared" si="24"/>
        <v>894.1</v>
      </c>
      <c r="N64" s="130"/>
      <c r="O64" s="131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spans="1:26" ht="11.25" customHeight="1" x14ac:dyDescent="0.3">
      <c r="A65" s="132"/>
      <c r="B65" s="132"/>
      <c r="C65" s="132"/>
      <c r="D65" s="132"/>
      <c r="E65" s="132"/>
      <c r="F65" s="132"/>
      <c r="G65" s="132"/>
      <c r="H65" s="132"/>
      <c r="I65" s="150" t="s">
        <v>179</v>
      </c>
      <c r="J65" s="151">
        <v>180.26</v>
      </c>
      <c r="K65" s="159">
        <f>J65/J51</f>
        <v>2.4997635476211932E-2</v>
      </c>
      <c r="L65" s="151">
        <f t="shared" si="23"/>
        <v>4326.24</v>
      </c>
      <c r="M65" s="153">
        <f t="shared" si="24"/>
        <v>360.52</v>
      </c>
      <c r="N65" s="130"/>
      <c r="O65" s="131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spans="1:26" ht="11.25" customHeight="1" x14ac:dyDescent="0.3">
      <c r="A66" s="132"/>
      <c r="B66" s="132"/>
      <c r="C66" s="132"/>
      <c r="D66" s="132"/>
      <c r="E66" s="132"/>
      <c r="F66" s="132"/>
      <c r="G66" s="132"/>
      <c r="H66" s="132"/>
      <c r="I66" s="144" t="s">
        <v>181</v>
      </c>
      <c r="J66" s="145">
        <f>SUM(J61:J65)</f>
        <v>2076.29</v>
      </c>
      <c r="K66" s="163">
        <f>J66/J49</f>
        <v>0.28929445017235028</v>
      </c>
      <c r="L66" s="145"/>
      <c r="M66" s="147"/>
      <c r="N66" s="130"/>
      <c r="O66" s="131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spans="1:26" ht="11.25" customHeight="1" x14ac:dyDescent="0.3">
      <c r="A67" s="132"/>
      <c r="B67" s="132"/>
      <c r="C67" s="132"/>
      <c r="D67" s="132"/>
      <c r="E67" s="132"/>
      <c r="F67" s="132"/>
      <c r="G67" s="132"/>
      <c r="H67" s="132"/>
      <c r="I67" s="150"/>
      <c r="J67" s="151"/>
      <c r="K67" s="152"/>
      <c r="L67" s="151"/>
      <c r="M67" s="153"/>
      <c r="N67" s="130"/>
      <c r="O67" s="131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spans="1:26" ht="11.25" customHeight="1" x14ac:dyDescent="0.3">
      <c r="A68" s="132"/>
      <c r="B68" s="132"/>
      <c r="C68" s="132"/>
      <c r="D68" s="132"/>
      <c r="E68" s="132"/>
      <c r="F68" s="132"/>
      <c r="G68" s="132"/>
      <c r="H68" s="132"/>
      <c r="I68" s="190" t="s">
        <v>215</v>
      </c>
      <c r="J68" s="191">
        <f>J49-J57-J66</f>
        <v>4597.8262888299996</v>
      </c>
      <c r="K68" s="192">
        <f>(J68+J56)/J49</f>
        <v>0.71062613036476241</v>
      </c>
      <c r="L68" s="191">
        <f>J68*24</f>
        <v>110347.83093191999</v>
      </c>
      <c r="M68" s="193">
        <f>L68/12</f>
        <v>9195.6525776599992</v>
      </c>
      <c r="N68" s="185">
        <f>L68</f>
        <v>110347.83093191999</v>
      </c>
      <c r="O68" s="131">
        <f>N68/24</f>
        <v>4597.8262888299996</v>
      </c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spans="1:26" ht="11.25" customHeight="1" x14ac:dyDescent="0.3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spans="1:26" ht="11.25" customHeight="1" x14ac:dyDescent="0.3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spans="1:26" ht="11.25" customHeight="1" x14ac:dyDescent="0.3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spans="1:26" ht="11.25" customHeight="1" x14ac:dyDescent="0.3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spans="1:26" ht="11.25" customHeight="1" x14ac:dyDescent="0.3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spans="1:26" ht="11.25" customHeight="1" x14ac:dyDescent="0.3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spans="1:26" ht="11.25" customHeight="1" x14ac:dyDescent="0.3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spans="1:26" ht="11.25" customHeight="1" x14ac:dyDescent="0.3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spans="1:26" ht="11.25" customHeight="1" x14ac:dyDescent="0.3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spans="1:26" ht="11.25" customHeight="1" x14ac:dyDescent="0.3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spans="1:26" ht="11.25" customHeight="1" x14ac:dyDescent="0.3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spans="1:26" ht="11.25" customHeight="1" x14ac:dyDescent="0.3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spans="1:26" ht="11.25" customHeight="1" x14ac:dyDescent="0.3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spans="1:26" ht="11.25" customHeight="1" x14ac:dyDescent="0.3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spans="1:26" ht="11.25" customHeight="1" x14ac:dyDescent="0.3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spans="1:26" ht="11.25" customHeight="1" x14ac:dyDescent="0.3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spans="1:26" ht="11.25" customHeight="1" x14ac:dyDescent="0.3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spans="1:26" ht="11.25" customHeight="1" x14ac:dyDescent="0.3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spans="1:26" ht="11.25" customHeight="1" x14ac:dyDescent="0.3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spans="1:26" ht="11.25" customHeight="1" x14ac:dyDescent="0.3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spans="1:26" ht="11.25" customHeight="1" x14ac:dyDescent="0.3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spans="1:26" ht="11.25" customHeight="1" x14ac:dyDescent="0.3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spans="1:26" ht="11.25" customHeight="1" x14ac:dyDescent="0.3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spans="1:26" ht="11.25" customHeight="1" x14ac:dyDescent="0.3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spans="1:26" ht="11.25" customHeight="1" x14ac:dyDescent="0.3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spans="1:26" ht="11.25" customHeight="1" x14ac:dyDescent="0.3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spans="1:26" ht="11.25" customHeight="1" x14ac:dyDescent="0.3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spans="1:26" ht="11.25" customHeight="1" x14ac:dyDescent="0.3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spans="1:26" ht="11.25" customHeight="1" x14ac:dyDescent="0.3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spans="1:26" ht="11.25" customHeight="1" x14ac:dyDescent="0.3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spans="1:26" ht="11.25" customHeight="1" x14ac:dyDescent="0.3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spans="1:26" ht="11.25" customHeight="1" x14ac:dyDescent="0.3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spans="1:26" ht="11.25" customHeight="1" x14ac:dyDescent="0.3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spans="1:26" ht="11.25" customHeight="1" x14ac:dyDescent="0.3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spans="1:26" ht="11.25" customHeight="1" x14ac:dyDescent="0.3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spans="1:26" ht="11.25" customHeight="1" x14ac:dyDescent="0.3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spans="1:26" ht="11.25" customHeight="1" x14ac:dyDescent="0.3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spans="1:26" ht="11.25" customHeight="1" x14ac:dyDescent="0.3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spans="1:26" ht="11.25" customHeight="1" x14ac:dyDescent="0.3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spans="1:26" ht="11.25" customHeight="1" x14ac:dyDescent="0.3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spans="1:26" ht="11.25" customHeight="1" x14ac:dyDescent="0.3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spans="1:26" ht="11.25" customHeight="1" x14ac:dyDescent="0.3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spans="1:26" ht="11.25" customHeight="1" x14ac:dyDescent="0.3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spans="1:26" ht="11.25" customHeight="1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spans="1:26" ht="11.25" customHeight="1" x14ac:dyDescent="0.3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spans="1:26" ht="11.25" customHeight="1" x14ac:dyDescent="0.3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spans="1:26" ht="11.25" customHeight="1" x14ac:dyDescent="0.3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spans="1:26" ht="11.25" customHeight="1" x14ac:dyDescent="0.3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spans="1:26" ht="11.25" customHeight="1" x14ac:dyDescent="0.3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spans="1:26" ht="11.25" customHeight="1" x14ac:dyDescent="0.3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spans="1:26" ht="11.25" customHeight="1" x14ac:dyDescent="0.3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spans="1:26" ht="11.25" customHeight="1" x14ac:dyDescent="0.3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spans="1:26" ht="11.25" customHeight="1" x14ac:dyDescent="0.3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spans="1:26" ht="11.25" customHeight="1" x14ac:dyDescent="0.3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spans="1:26" ht="11.25" customHeight="1" x14ac:dyDescent="0.3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spans="1:26" ht="11.25" customHeight="1" x14ac:dyDescent="0.3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spans="1:26" ht="11.25" customHeight="1" x14ac:dyDescent="0.3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spans="1:26" ht="11.25" customHeight="1" x14ac:dyDescent="0.3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spans="1:26" ht="11.25" customHeight="1" x14ac:dyDescent="0.3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spans="1:26" ht="11.25" customHeight="1" x14ac:dyDescent="0.3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spans="1:26" ht="11.25" customHeight="1" x14ac:dyDescent="0.3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spans="1:26" ht="11.25" customHeight="1" x14ac:dyDescent="0.3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spans="1:26" ht="11.25" customHeight="1" x14ac:dyDescent="0.3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spans="1:26" ht="11.25" customHeight="1" x14ac:dyDescent="0.3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spans="1:26" ht="11.25" customHeight="1" x14ac:dyDescent="0.3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spans="1:26" ht="11.25" customHeight="1" x14ac:dyDescent="0.3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spans="1:26" ht="11.25" customHeight="1" x14ac:dyDescent="0.3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spans="1:26" ht="11.25" customHeight="1" x14ac:dyDescent="0.3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spans="1:26" ht="11.25" customHeight="1" x14ac:dyDescent="0.3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spans="1:26" ht="11.25" customHeight="1" x14ac:dyDescent="0.3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spans="1:26" ht="11.25" customHeight="1" x14ac:dyDescent="0.3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spans="1:26" ht="11.25" customHeight="1" x14ac:dyDescent="0.3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spans="1:26" ht="11.25" customHeight="1" x14ac:dyDescent="0.3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spans="1:26" ht="11.25" customHeight="1" x14ac:dyDescent="0.3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spans="1:26" ht="11.25" customHeight="1" x14ac:dyDescent="0.3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spans="1:26" ht="11.25" customHeight="1" x14ac:dyDescent="0.3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spans="1:26" ht="11.25" customHeight="1" x14ac:dyDescent="0.3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spans="1:26" ht="11.25" customHeight="1" x14ac:dyDescent="0.3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spans="1:26" ht="11.25" customHeight="1" x14ac:dyDescent="0.3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spans="1:26" ht="11.25" customHeight="1" x14ac:dyDescent="0.3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spans="1:26" ht="11.25" customHeight="1" x14ac:dyDescent="0.3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spans="1:26" ht="11.25" customHeight="1" x14ac:dyDescent="0.3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spans="1:26" ht="11.25" customHeight="1" x14ac:dyDescent="0.3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spans="1:26" ht="11.25" customHeight="1" x14ac:dyDescent="0.3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spans="1:26" ht="11.25" customHeight="1" x14ac:dyDescent="0.3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spans="1:26" ht="11.25" customHeight="1" x14ac:dyDescent="0.3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spans="1:26" ht="11.25" customHeight="1" x14ac:dyDescent="0.3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spans="1:26" ht="11.25" customHeight="1" x14ac:dyDescent="0.3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spans="1:26" ht="11.25" customHeight="1" x14ac:dyDescent="0.3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spans="1:26" ht="11.25" customHeight="1" x14ac:dyDescent="0.3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spans="1:26" ht="11.25" customHeight="1" x14ac:dyDescent="0.3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spans="1:26" ht="11.25" customHeight="1" x14ac:dyDescent="0.3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spans="1:26" ht="11.25" customHeight="1" x14ac:dyDescent="0.3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spans="1:26" ht="11.25" customHeight="1" x14ac:dyDescent="0.3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spans="1:26" ht="11.25" customHeight="1" x14ac:dyDescent="0.3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spans="1:26" ht="11.25" customHeight="1" x14ac:dyDescent="0.3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spans="1:26" ht="11.25" customHeight="1" x14ac:dyDescent="0.3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spans="1:26" ht="11.25" customHeight="1" x14ac:dyDescent="0.3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spans="1:26" ht="11.25" customHeight="1" x14ac:dyDescent="0.3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spans="1:26" ht="11.25" customHeight="1" x14ac:dyDescent="0.3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spans="1:26" ht="11.25" customHeight="1" x14ac:dyDescent="0.3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spans="1:26" ht="11.25" customHeight="1" x14ac:dyDescent="0.3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spans="1:26" ht="11.25" customHeight="1" x14ac:dyDescent="0.3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spans="1:26" ht="11.25" customHeight="1" x14ac:dyDescent="0.3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spans="1:26" ht="11.25" customHeight="1" x14ac:dyDescent="0.3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spans="1:26" ht="11.25" customHeight="1" x14ac:dyDescent="0.3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spans="1:26" ht="11.25" customHeight="1" x14ac:dyDescent="0.3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spans="1:26" ht="11.25" customHeight="1" x14ac:dyDescent="0.3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spans="1:26" ht="11.25" customHeight="1" x14ac:dyDescent="0.3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spans="1:26" ht="11.25" customHeight="1" x14ac:dyDescent="0.3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spans="1:26" ht="11.25" customHeight="1" x14ac:dyDescent="0.3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spans="1:26" ht="11.25" customHeight="1" x14ac:dyDescent="0.3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spans="1:26" ht="11.25" customHeight="1" x14ac:dyDescent="0.3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spans="1:26" ht="11.25" customHeight="1" x14ac:dyDescent="0.3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spans="1:26" ht="11.25" customHeight="1" x14ac:dyDescent="0.3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spans="1:26" ht="11.25" customHeight="1" x14ac:dyDescent="0.3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spans="1:26" ht="11.25" customHeight="1" x14ac:dyDescent="0.3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spans="1:26" ht="11.25" customHeight="1" x14ac:dyDescent="0.3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spans="1:26" ht="11.25" customHeight="1" x14ac:dyDescent="0.3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spans="1:26" ht="11.25" customHeight="1" x14ac:dyDescent="0.3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spans="1:26" ht="11.25" customHeight="1" x14ac:dyDescent="0.3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spans="1:26" ht="11.25" customHeight="1" x14ac:dyDescent="0.3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spans="1:26" ht="11.25" customHeight="1" x14ac:dyDescent="0.3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spans="1:26" ht="11.25" customHeight="1" x14ac:dyDescent="0.3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spans="1:26" ht="11.25" customHeight="1" x14ac:dyDescent="0.3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spans="1:26" ht="11.25" customHeight="1" x14ac:dyDescent="0.3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spans="1:26" ht="11.25" customHeight="1" x14ac:dyDescent="0.3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spans="1:26" ht="11.25" customHeight="1" x14ac:dyDescent="0.3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spans="1:26" ht="11.25" customHeight="1" x14ac:dyDescent="0.3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spans="1:26" ht="11.25" customHeight="1" x14ac:dyDescent="0.3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spans="1:26" ht="11.25" customHeight="1" x14ac:dyDescent="0.3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spans="1:26" ht="11.25" customHeight="1" x14ac:dyDescent="0.3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spans="1:26" ht="11.25" customHeight="1" x14ac:dyDescent="0.3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spans="1:26" ht="11.25" customHeight="1" x14ac:dyDescent="0.3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spans="1:26" ht="11.25" customHeight="1" x14ac:dyDescent="0.3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spans="1:26" ht="11.25" customHeight="1" x14ac:dyDescent="0.3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spans="1:26" ht="11.25" customHeight="1" x14ac:dyDescent="0.3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spans="1:26" ht="11.25" customHeight="1" x14ac:dyDescent="0.3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spans="1:26" ht="11.25" customHeight="1" x14ac:dyDescent="0.3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spans="1:26" ht="11.25" customHeight="1" x14ac:dyDescent="0.3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spans="1:26" ht="11.25" customHeight="1" x14ac:dyDescent="0.3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spans="1:26" ht="11.25" customHeight="1" x14ac:dyDescent="0.3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spans="1:26" ht="11.25" customHeight="1" x14ac:dyDescent="0.3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spans="1:26" ht="11.25" customHeight="1" x14ac:dyDescent="0.3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spans="1:26" ht="11.25" customHeight="1" x14ac:dyDescent="0.3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spans="1:26" ht="11.25" customHeight="1" x14ac:dyDescent="0.3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spans="1:26" ht="11.25" customHeight="1" x14ac:dyDescent="0.3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spans="1:26" ht="11.25" customHeight="1" x14ac:dyDescent="0.3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spans="1:26" ht="11.25" customHeight="1" x14ac:dyDescent="0.3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spans="1:26" ht="11.25" customHeight="1" x14ac:dyDescent="0.3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spans="1:26" ht="11.25" customHeight="1" x14ac:dyDescent="0.3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spans="1:26" ht="11.25" customHeight="1" x14ac:dyDescent="0.3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spans="1:26" ht="11.25" customHeight="1" x14ac:dyDescent="0.3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spans="1:26" ht="11.25" customHeight="1" x14ac:dyDescent="0.3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spans="1:26" ht="11.25" customHeight="1" x14ac:dyDescent="0.3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spans="1:26" ht="11.25" customHeight="1" x14ac:dyDescent="0.3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spans="1:26" ht="11.25" customHeight="1" x14ac:dyDescent="0.3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spans="1:26" ht="11.25" customHeight="1" x14ac:dyDescent="0.3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spans="1:26" ht="11.25" customHeight="1" x14ac:dyDescent="0.3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spans="1:26" ht="11.25" customHeight="1" x14ac:dyDescent="0.3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spans="1:26" ht="11.25" customHeight="1" x14ac:dyDescent="0.3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spans="1:26" ht="11.25" customHeight="1" x14ac:dyDescent="0.3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spans="1:26" ht="11.25" customHeight="1" x14ac:dyDescent="0.3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spans="1:26" ht="11.25" customHeight="1" x14ac:dyDescent="0.3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spans="1:26" ht="11.25" customHeight="1" x14ac:dyDescent="0.3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spans="1:26" ht="11.25" customHeight="1" x14ac:dyDescent="0.3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spans="1:26" ht="11.25" customHeight="1" x14ac:dyDescent="0.3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spans="1:26" ht="11.25" customHeight="1" x14ac:dyDescent="0.3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spans="1:26" ht="11.25" customHeight="1" x14ac:dyDescent="0.3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spans="1:26" ht="11.25" customHeight="1" x14ac:dyDescent="0.3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spans="1:26" ht="11.25" customHeight="1" x14ac:dyDescent="0.3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spans="1:26" ht="11.25" customHeight="1" x14ac:dyDescent="0.3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spans="1:26" ht="11.25" customHeight="1" x14ac:dyDescent="0.3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spans="1:26" ht="11.25" customHeight="1" x14ac:dyDescent="0.3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spans="1:26" ht="11.25" customHeight="1" x14ac:dyDescent="0.3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spans="1:26" ht="11.25" customHeight="1" x14ac:dyDescent="0.3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spans="1:26" ht="11.25" customHeight="1" x14ac:dyDescent="0.3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spans="1:26" ht="11.25" customHeight="1" x14ac:dyDescent="0.3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spans="1:26" ht="11.25" customHeight="1" x14ac:dyDescent="0.3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spans="1:26" ht="11.25" customHeight="1" x14ac:dyDescent="0.3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spans="1:26" ht="11.25" customHeight="1" x14ac:dyDescent="0.3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spans="1:26" ht="11.25" customHeight="1" x14ac:dyDescent="0.3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spans="1:26" ht="11.25" customHeight="1" x14ac:dyDescent="0.3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spans="1:26" ht="11.25" customHeight="1" x14ac:dyDescent="0.3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spans="1:26" ht="11.25" customHeight="1" x14ac:dyDescent="0.3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spans="1:26" ht="11.25" customHeight="1" x14ac:dyDescent="0.3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spans="1:26" ht="11.25" customHeight="1" x14ac:dyDescent="0.3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spans="1:26" ht="11.25" customHeight="1" x14ac:dyDescent="0.3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spans="1:26" ht="11.25" customHeight="1" x14ac:dyDescent="0.3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spans="1:26" ht="11.25" customHeight="1" x14ac:dyDescent="0.3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spans="1:26" ht="11.25" customHeight="1" x14ac:dyDescent="0.3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spans="1:26" ht="11.25" customHeight="1" x14ac:dyDescent="0.3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spans="1:26" ht="11.25" customHeight="1" x14ac:dyDescent="0.3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spans="1:26" ht="11.25" customHeight="1" x14ac:dyDescent="0.3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spans="1:26" ht="11.25" customHeight="1" x14ac:dyDescent="0.3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spans="1:26" ht="11.25" customHeight="1" x14ac:dyDescent="0.3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spans="1:26" ht="11.25" customHeight="1" x14ac:dyDescent="0.3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spans="1:26" ht="11.25" customHeight="1" x14ac:dyDescent="0.3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spans="1:26" ht="11.25" customHeight="1" x14ac:dyDescent="0.3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spans="1:26" ht="11.25" customHeight="1" x14ac:dyDescent="0.3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spans="1:26" ht="11.25" customHeight="1" x14ac:dyDescent="0.3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spans="1:26" ht="11.25" customHeight="1" x14ac:dyDescent="0.3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spans="1:26" ht="11.25" customHeight="1" x14ac:dyDescent="0.3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spans="1:26" ht="11.25" customHeight="1" x14ac:dyDescent="0.3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spans="1:26" ht="11.25" customHeight="1" x14ac:dyDescent="0.3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spans="1:26" ht="11.25" customHeight="1" x14ac:dyDescent="0.3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spans="1:26" ht="11.25" customHeight="1" x14ac:dyDescent="0.3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spans="1:26" ht="11.25" customHeight="1" x14ac:dyDescent="0.3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spans="1:26" ht="11.25" customHeight="1" x14ac:dyDescent="0.3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spans="1:26" ht="11.25" customHeight="1" x14ac:dyDescent="0.3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spans="1:26" ht="11.25" customHeight="1" x14ac:dyDescent="0.3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spans="1:26" ht="11.25" customHeight="1" x14ac:dyDescent="0.3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spans="1:26" ht="11.25" customHeight="1" x14ac:dyDescent="0.3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spans="1:26" ht="11.25" customHeight="1" x14ac:dyDescent="0.3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spans="1:26" ht="11.25" customHeight="1" x14ac:dyDescent="0.3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spans="1:26" ht="11.25" customHeight="1" x14ac:dyDescent="0.3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spans="1:26" ht="11.25" customHeight="1" x14ac:dyDescent="0.3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spans="1:26" ht="11.25" customHeight="1" x14ac:dyDescent="0.3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spans="1:26" ht="11.25" customHeight="1" x14ac:dyDescent="0.3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spans="1:26" ht="11.25" customHeight="1" x14ac:dyDescent="0.3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spans="1:26" ht="11.25" customHeight="1" x14ac:dyDescent="0.3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spans="1:26" ht="11.25" customHeight="1" x14ac:dyDescent="0.3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spans="1:26" ht="11.25" customHeight="1" x14ac:dyDescent="0.3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spans="1:26" ht="11.25" customHeight="1" x14ac:dyDescent="0.3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spans="1:26" ht="11.25" customHeight="1" x14ac:dyDescent="0.3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spans="1:26" ht="11.25" customHeight="1" x14ac:dyDescent="0.3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spans="1:26" ht="11.25" customHeight="1" x14ac:dyDescent="0.3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spans="1:26" ht="11.25" customHeight="1" x14ac:dyDescent="0.3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spans="1:26" ht="11.25" customHeight="1" x14ac:dyDescent="0.3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spans="1:26" ht="11.25" customHeight="1" x14ac:dyDescent="0.3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spans="1:26" ht="11.25" customHeight="1" x14ac:dyDescent="0.3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spans="1:26" ht="11.25" customHeight="1" x14ac:dyDescent="0.3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spans="1:26" ht="11.25" customHeight="1" x14ac:dyDescent="0.3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spans="1:26" ht="11.25" customHeight="1" x14ac:dyDescent="0.3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spans="1:26" ht="11.25" customHeight="1" x14ac:dyDescent="0.3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spans="1:26" ht="11.25" customHeight="1" x14ac:dyDescent="0.3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spans="1:26" ht="11.25" customHeight="1" x14ac:dyDescent="0.3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spans="1:26" ht="11.25" customHeight="1" x14ac:dyDescent="0.3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spans="1:26" ht="11.25" customHeight="1" x14ac:dyDescent="0.3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spans="1:26" ht="11.25" customHeight="1" x14ac:dyDescent="0.3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spans="1:26" ht="11.25" customHeight="1" x14ac:dyDescent="0.3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spans="1:26" ht="11.25" customHeight="1" x14ac:dyDescent="0.3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spans="1:26" ht="11.25" customHeight="1" x14ac:dyDescent="0.3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spans="1:26" ht="11.25" customHeight="1" x14ac:dyDescent="0.3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spans="1:26" ht="11.25" customHeight="1" x14ac:dyDescent="0.3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spans="1:26" ht="11.25" customHeight="1" x14ac:dyDescent="0.3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spans="1:26" ht="11.25" customHeight="1" x14ac:dyDescent="0.3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spans="1:26" ht="11.25" customHeight="1" x14ac:dyDescent="0.3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spans="1:26" ht="11.25" customHeight="1" x14ac:dyDescent="0.3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spans="1:26" ht="11.25" customHeight="1" x14ac:dyDescent="0.3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spans="1:26" ht="11.25" customHeight="1" x14ac:dyDescent="0.3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spans="1:26" ht="11.25" customHeight="1" x14ac:dyDescent="0.3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spans="1:26" ht="11.25" customHeight="1" x14ac:dyDescent="0.3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spans="1:26" ht="11.25" customHeight="1" x14ac:dyDescent="0.3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spans="1:26" ht="11.25" customHeight="1" x14ac:dyDescent="0.3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spans="1:26" ht="11.25" customHeight="1" x14ac:dyDescent="0.3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spans="1:26" ht="11.25" customHeight="1" x14ac:dyDescent="0.3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spans="1:26" ht="11.25" customHeight="1" x14ac:dyDescent="0.3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spans="1:26" ht="11.25" customHeight="1" x14ac:dyDescent="0.3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spans="1:26" ht="11.25" customHeight="1" x14ac:dyDescent="0.3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spans="1:26" ht="11.25" customHeight="1" x14ac:dyDescent="0.3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spans="1:26" ht="11.25" customHeight="1" x14ac:dyDescent="0.3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spans="1:26" ht="11.25" customHeight="1" x14ac:dyDescent="0.3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spans="1:26" ht="11.25" customHeight="1" x14ac:dyDescent="0.3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spans="1:26" ht="11.25" customHeight="1" x14ac:dyDescent="0.3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spans="1:26" ht="11.25" customHeight="1" x14ac:dyDescent="0.3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spans="1:26" ht="11.25" customHeight="1" x14ac:dyDescent="0.3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spans="1:26" ht="11.25" customHeight="1" x14ac:dyDescent="0.3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spans="1:26" ht="11.25" customHeight="1" x14ac:dyDescent="0.3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spans="1:26" ht="11.25" customHeight="1" x14ac:dyDescent="0.3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spans="1:26" ht="11.25" customHeight="1" x14ac:dyDescent="0.3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spans="1:26" ht="11.25" customHeight="1" x14ac:dyDescent="0.3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spans="1:26" ht="11.25" customHeight="1" x14ac:dyDescent="0.3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spans="1:26" ht="11.25" customHeight="1" x14ac:dyDescent="0.3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spans="1:26" ht="11.25" customHeight="1" x14ac:dyDescent="0.3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spans="1:26" ht="11.25" customHeight="1" x14ac:dyDescent="0.3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spans="1:26" ht="11.25" customHeight="1" x14ac:dyDescent="0.3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spans="1:26" ht="11.25" customHeight="1" x14ac:dyDescent="0.3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spans="1:26" ht="11.25" customHeight="1" x14ac:dyDescent="0.3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spans="1:26" ht="11.25" customHeight="1" x14ac:dyDescent="0.3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spans="1:26" ht="11.25" customHeight="1" x14ac:dyDescent="0.3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spans="1:26" ht="11.25" customHeight="1" x14ac:dyDescent="0.3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spans="1:26" ht="11.25" customHeight="1" x14ac:dyDescent="0.3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spans="1:26" ht="11.25" customHeight="1" x14ac:dyDescent="0.3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spans="1:26" ht="11.25" customHeight="1" x14ac:dyDescent="0.3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spans="1:26" ht="11.25" customHeight="1" x14ac:dyDescent="0.3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spans="1:26" ht="11.25" customHeight="1" x14ac:dyDescent="0.3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spans="1:26" ht="11.25" customHeight="1" x14ac:dyDescent="0.3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spans="1:26" ht="11.25" customHeight="1" x14ac:dyDescent="0.3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spans="1:26" ht="11.25" customHeight="1" x14ac:dyDescent="0.3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spans="1:26" ht="11.25" customHeight="1" x14ac:dyDescent="0.3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spans="1:26" ht="11.25" customHeight="1" x14ac:dyDescent="0.3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spans="1:26" ht="11.25" customHeight="1" x14ac:dyDescent="0.3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spans="1:26" ht="11.25" customHeight="1" x14ac:dyDescent="0.3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spans="1:26" ht="11.25" customHeight="1" x14ac:dyDescent="0.3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spans="1:26" ht="11.25" customHeight="1" x14ac:dyDescent="0.3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spans="1:26" ht="11.25" customHeight="1" x14ac:dyDescent="0.3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spans="1:26" ht="11.25" customHeight="1" x14ac:dyDescent="0.3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spans="1:26" ht="11.25" customHeight="1" x14ac:dyDescent="0.3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spans="1:26" ht="11.25" customHeight="1" x14ac:dyDescent="0.3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spans="1:26" ht="11.25" customHeight="1" x14ac:dyDescent="0.3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spans="1:26" ht="11.25" customHeight="1" x14ac:dyDescent="0.3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spans="1:26" ht="11.25" customHeight="1" x14ac:dyDescent="0.3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spans="1:26" ht="11.25" customHeight="1" x14ac:dyDescent="0.3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spans="1:26" ht="11.25" customHeight="1" x14ac:dyDescent="0.3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spans="1:26" ht="11.25" customHeight="1" x14ac:dyDescent="0.3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spans="1:26" ht="11.25" customHeight="1" x14ac:dyDescent="0.3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spans="1:26" ht="11.25" customHeight="1" x14ac:dyDescent="0.3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spans="1:26" ht="11.25" customHeight="1" x14ac:dyDescent="0.3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spans="1:26" ht="11.25" customHeight="1" x14ac:dyDescent="0.3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spans="1:26" ht="11.25" customHeight="1" x14ac:dyDescent="0.3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spans="1:26" ht="11.25" customHeight="1" x14ac:dyDescent="0.3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spans="1:26" ht="11.25" customHeight="1" x14ac:dyDescent="0.3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spans="1:26" ht="11.25" customHeight="1" x14ac:dyDescent="0.3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spans="1:26" ht="11.25" customHeight="1" x14ac:dyDescent="0.3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spans="1:26" ht="11.25" customHeight="1" x14ac:dyDescent="0.3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spans="1:26" ht="11.25" customHeight="1" x14ac:dyDescent="0.3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spans="1:26" ht="11.25" customHeight="1" x14ac:dyDescent="0.3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spans="1:26" ht="11.25" customHeight="1" x14ac:dyDescent="0.3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spans="1:26" ht="11.25" customHeight="1" x14ac:dyDescent="0.3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spans="1:26" ht="11.25" customHeight="1" x14ac:dyDescent="0.3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spans="1:26" ht="11.25" customHeight="1" x14ac:dyDescent="0.3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spans="1:26" ht="11.25" customHeight="1" x14ac:dyDescent="0.3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spans="1:26" ht="11.25" customHeight="1" x14ac:dyDescent="0.3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spans="1:26" ht="11.25" customHeight="1" x14ac:dyDescent="0.3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spans="1:26" ht="11.25" customHeight="1" x14ac:dyDescent="0.3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spans="1:26" ht="11.25" customHeight="1" x14ac:dyDescent="0.3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spans="1:26" ht="11.25" customHeight="1" x14ac:dyDescent="0.3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spans="1:26" ht="11.25" customHeight="1" x14ac:dyDescent="0.3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spans="1:26" ht="11.25" customHeight="1" x14ac:dyDescent="0.3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spans="1:26" ht="11.25" customHeight="1" x14ac:dyDescent="0.3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spans="1:26" ht="11.25" customHeight="1" x14ac:dyDescent="0.3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spans="1:26" ht="11.25" customHeight="1" x14ac:dyDescent="0.3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spans="1:26" ht="11.25" customHeight="1" x14ac:dyDescent="0.3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spans="1:26" ht="11.25" customHeight="1" x14ac:dyDescent="0.3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spans="1:26" ht="11.25" customHeight="1" x14ac:dyDescent="0.3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spans="1:26" ht="11.25" customHeight="1" x14ac:dyDescent="0.3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spans="1:26" ht="11.25" customHeight="1" x14ac:dyDescent="0.3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spans="1:26" ht="11.25" customHeight="1" x14ac:dyDescent="0.3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spans="1:26" ht="11.25" customHeight="1" x14ac:dyDescent="0.3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spans="1:26" ht="11.25" customHeight="1" x14ac:dyDescent="0.3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spans="1:26" ht="11.25" customHeight="1" x14ac:dyDescent="0.3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spans="1:26" ht="11.25" customHeight="1" x14ac:dyDescent="0.3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spans="1:26" ht="11.25" customHeight="1" x14ac:dyDescent="0.3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spans="1:26" ht="11.25" customHeight="1" x14ac:dyDescent="0.3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spans="1:26" ht="11.25" customHeight="1" x14ac:dyDescent="0.3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spans="1:26" ht="11.25" customHeight="1" x14ac:dyDescent="0.3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spans="1:26" ht="11.25" customHeight="1" x14ac:dyDescent="0.3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spans="1:26" ht="11.25" customHeight="1" x14ac:dyDescent="0.3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spans="1:26" ht="11.25" customHeight="1" x14ac:dyDescent="0.3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spans="1:26" ht="11.25" customHeight="1" x14ac:dyDescent="0.3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spans="1:26" ht="11.25" customHeight="1" x14ac:dyDescent="0.3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spans="1:26" ht="11.25" customHeight="1" x14ac:dyDescent="0.3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spans="1:26" ht="11.25" customHeight="1" x14ac:dyDescent="0.3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spans="1:26" ht="11.25" customHeight="1" x14ac:dyDescent="0.3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spans="1:26" ht="11.25" customHeight="1" x14ac:dyDescent="0.3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spans="1:26" ht="11.25" customHeight="1" x14ac:dyDescent="0.3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spans="1:26" ht="11.25" customHeight="1" x14ac:dyDescent="0.3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spans="1:26" ht="11.25" customHeight="1" x14ac:dyDescent="0.3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spans="1:26" ht="11.25" customHeight="1" x14ac:dyDescent="0.3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spans="1:26" ht="11.25" customHeight="1" x14ac:dyDescent="0.3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spans="1:26" ht="11.25" customHeight="1" x14ac:dyDescent="0.3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spans="1:26" ht="11.25" customHeight="1" x14ac:dyDescent="0.3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spans="1:26" ht="11.25" customHeight="1" x14ac:dyDescent="0.3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spans="1:26" ht="11.25" customHeight="1" x14ac:dyDescent="0.3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spans="1:26" ht="11.25" customHeight="1" x14ac:dyDescent="0.3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spans="1:26" ht="11.25" customHeight="1" x14ac:dyDescent="0.3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spans="1:26" ht="11.25" customHeight="1" x14ac:dyDescent="0.3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spans="1:26" ht="11.25" customHeight="1" x14ac:dyDescent="0.3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spans="1:26" ht="11.25" customHeight="1" x14ac:dyDescent="0.3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spans="1:26" ht="11.25" customHeight="1" x14ac:dyDescent="0.3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spans="1:26" ht="11.25" customHeight="1" x14ac:dyDescent="0.3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spans="1:26" ht="11.25" customHeight="1" x14ac:dyDescent="0.3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spans="1:26" ht="11.25" customHeight="1" x14ac:dyDescent="0.3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spans="1:26" ht="11.25" customHeight="1" x14ac:dyDescent="0.3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spans="1:26" ht="11.25" customHeight="1" x14ac:dyDescent="0.3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spans="1:26" ht="11.25" customHeight="1" x14ac:dyDescent="0.3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spans="1:26" ht="11.25" customHeight="1" x14ac:dyDescent="0.3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spans="1:26" ht="11.25" customHeight="1" x14ac:dyDescent="0.3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spans="1:26" ht="11.25" customHeight="1" x14ac:dyDescent="0.3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spans="1:26" ht="11.25" customHeight="1" x14ac:dyDescent="0.3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spans="1:26" ht="11.25" customHeight="1" x14ac:dyDescent="0.3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spans="1:26" ht="11.25" customHeight="1" x14ac:dyDescent="0.3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spans="1:26" ht="11.25" customHeight="1" x14ac:dyDescent="0.3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spans="1:26" ht="11.25" customHeight="1" x14ac:dyDescent="0.3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spans="1:26" ht="11.25" customHeight="1" x14ac:dyDescent="0.3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spans="1:26" ht="11.25" customHeight="1" x14ac:dyDescent="0.3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spans="1:26" ht="11.25" customHeight="1" x14ac:dyDescent="0.3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spans="1:26" ht="11.25" customHeight="1" x14ac:dyDescent="0.3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spans="1:26" ht="11.25" customHeight="1" x14ac:dyDescent="0.3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spans="1:26" ht="11.25" customHeight="1" x14ac:dyDescent="0.3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spans="1:26" ht="11.25" customHeight="1" x14ac:dyDescent="0.3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spans="1:26" ht="11.25" customHeight="1" x14ac:dyDescent="0.3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spans="1:26" ht="11.25" customHeight="1" x14ac:dyDescent="0.3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spans="1:26" ht="11.25" customHeight="1" x14ac:dyDescent="0.3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spans="1:26" ht="11.25" customHeight="1" x14ac:dyDescent="0.3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spans="1:26" ht="11.25" customHeight="1" x14ac:dyDescent="0.3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spans="1:26" ht="11.25" customHeight="1" x14ac:dyDescent="0.3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spans="1:26" ht="11.25" customHeight="1" x14ac:dyDescent="0.3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spans="1:26" ht="11.25" customHeight="1" x14ac:dyDescent="0.3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spans="1:26" ht="11.25" customHeight="1" x14ac:dyDescent="0.3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spans="1:26" ht="11.25" customHeight="1" x14ac:dyDescent="0.3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spans="1:26" ht="11.25" customHeight="1" x14ac:dyDescent="0.3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spans="1:26" ht="11.25" customHeight="1" x14ac:dyDescent="0.3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spans="1:26" ht="11.25" customHeight="1" x14ac:dyDescent="0.3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spans="1:26" ht="11.25" customHeight="1" x14ac:dyDescent="0.3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spans="1:26" ht="11.25" customHeight="1" x14ac:dyDescent="0.3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spans="1:26" ht="11.25" customHeight="1" x14ac:dyDescent="0.3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spans="1:26" ht="11.25" customHeight="1" x14ac:dyDescent="0.3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spans="1:26" ht="11.25" customHeight="1" x14ac:dyDescent="0.3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spans="1:26" ht="11.25" customHeight="1" x14ac:dyDescent="0.3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spans="1:26" ht="11.25" customHeight="1" x14ac:dyDescent="0.3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spans="1:26" ht="11.25" customHeight="1" x14ac:dyDescent="0.3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spans="1:26" ht="11.25" customHeight="1" x14ac:dyDescent="0.3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spans="1:26" ht="11.25" customHeight="1" x14ac:dyDescent="0.3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spans="1:26" ht="11.25" customHeight="1" x14ac:dyDescent="0.3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spans="1:26" ht="11.25" customHeight="1" x14ac:dyDescent="0.3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spans="1:26" ht="11.25" customHeight="1" x14ac:dyDescent="0.3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spans="1:26" ht="11.25" customHeight="1" x14ac:dyDescent="0.3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spans="1:26" ht="11.25" customHeight="1" x14ac:dyDescent="0.3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spans="1:26" ht="11.25" customHeight="1" x14ac:dyDescent="0.3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spans="1:26" ht="11.25" customHeight="1" x14ac:dyDescent="0.3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spans="1:26" ht="11.25" customHeight="1" x14ac:dyDescent="0.3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spans="1:26" ht="11.25" customHeight="1" x14ac:dyDescent="0.3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spans="1:26" ht="11.25" customHeight="1" x14ac:dyDescent="0.3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spans="1:26" ht="11.25" customHeight="1" x14ac:dyDescent="0.3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spans="1:26" ht="11.25" customHeight="1" x14ac:dyDescent="0.3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spans="1:26" ht="11.25" customHeight="1" x14ac:dyDescent="0.3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spans="1:26" ht="11.25" customHeight="1" x14ac:dyDescent="0.3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spans="1:26" ht="11.25" customHeight="1" x14ac:dyDescent="0.3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spans="1:26" ht="11.25" customHeight="1" x14ac:dyDescent="0.3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spans="1:26" ht="11.25" customHeight="1" x14ac:dyDescent="0.3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spans="1:26" ht="11.25" customHeight="1" x14ac:dyDescent="0.3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spans="1:26" ht="11.25" customHeight="1" x14ac:dyDescent="0.3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spans="1:26" ht="11.25" customHeight="1" x14ac:dyDescent="0.3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spans="1:26" ht="11.25" customHeight="1" x14ac:dyDescent="0.3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spans="1:26" ht="11.25" customHeight="1" x14ac:dyDescent="0.3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spans="1:26" ht="11.25" customHeight="1" x14ac:dyDescent="0.3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spans="1:26" ht="11.25" customHeight="1" x14ac:dyDescent="0.3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spans="1:26" ht="11.25" customHeight="1" x14ac:dyDescent="0.3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spans="1:26" ht="11.25" customHeight="1" x14ac:dyDescent="0.3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spans="1:26" ht="11.25" customHeight="1" x14ac:dyDescent="0.3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spans="1:26" ht="11.25" customHeight="1" x14ac:dyDescent="0.3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spans="1:26" ht="11.25" customHeight="1" x14ac:dyDescent="0.3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spans="1:26" ht="11.25" customHeight="1" x14ac:dyDescent="0.3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spans="1:26" ht="11.25" customHeight="1" x14ac:dyDescent="0.3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spans="1:26" ht="11.25" customHeight="1" x14ac:dyDescent="0.3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spans="1:26" ht="11.25" customHeight="1" x14ac:dyDescent="0.3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spans="1:26" ht="11.25" customHeight="1" x14ac:dyDescent="0.3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spans="1:26" ht="11.25" customHeight="1" x14ac:dyDescent="0.3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spans="1:26" ht="11.25" customHeight="1" x14ac:dyDescent="0.3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spans="1:26" ht="11.25" customHeight="1" x14ac:dyDescent="0.3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spans="1:26" ht="11.25" customHeight="1" x14ac:dyDescent="0.3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spans="1:26" ht="11.25" customHeight="1" x14ac:dyDescent="0.3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spans="1:26" ht="11.25" customHeight="1" x14ac:dyDescent="0.3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spans="1:26" ht="11.25" customHeight="1" x14ac:dyDescent="0.3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spans="1:26" ht="11.25" customHeight="1" x14ac:dyDescent="0.3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spans="1:26" ht="11.25" customHeight="1" x14ac:dyDescent="0.3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spans="1:26" ht="11.25" customHeight="1" x14ac:dyDescent="0.3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spans="1:26" ht="11.25" customHeight="1" x14ac:dyDescent="0.3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spans="1:26" ht="11.25" customHeight="1" x14ac:dyDescent="0.3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spans="1:26" ht="11.25" customHeight="1" x14ac:dyDescent="0.3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spans="1:26" ht="11.25" customHeight="1" x14ac:dyDescent="0.3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spans="1:26" ht="11.25" customHeight="1" x14ac:dyDescent="0.3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spans="1:26" ht="11.25" customHeight="1" x14ac:dyDescent="0.3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spans="1:26" ht="11.25" customHeight="1" x14ac:dyDescent="0.3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spans="1:26" ht="11.25" customHeight="1" x14ac:dyDescent="0.3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spans="1:26" ht="11.25" customHeight="1" x14ac:dyDescent="0.3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spans="1:26" ht="11.25" customHeight="1" x14ac:dyDescent="0.3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spans="1:26" ht="11.25" customHeight="1" x14ac:dyDescent="0.3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spans="1:26" ht="11.25" customHeight="1" x14ac:dyDescent="0.3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spans="1:26" ht="11.25" customHeight="1" x14ac:dyDescent="0.3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spans="1:26" ht="11.25" customHeight="1" x14ac:dyDescent="0.3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spans="1:26" ht="11.25" customHeight="1" x14ac:dyDescent="0.3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spans="1:26" ht="11.25" customHeight="1" x14ac:dyDescent="0.3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spans="1:26" ht="11.25" customHeight="1" x14ac:dyDescent="0.3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spans="1:26" ht="11.25" customHeight="1" x14ac:dyDescent="0.3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spans="1:26" ht="11.25" customHeight="1" x14ac:dyDescent="0.3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spans="1:26" ht="11.25" customHeight="1" x14ac:dyDescent="0.3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spans="1:26" ht="11.25" customHeight="1" x14ac:dyDescent="0.3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spans="1:26" ht="11.25" customHeight="1" x14ac:dyDescent="0.3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spans="1:26" ht="11.25" customHeight="1" x14ac:dyDescent="0.3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spans="1:26" ht="11.25" customHeight="1" x14ac:dyDescent="0.3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spans="1:26" ht="11.25" customHeight="1" x14ac:dyDescent="0.3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spans="1:26" ht="11.25" customHeight="1" x14ac:dyDescent="0.3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spans="1:26" ht="11.25" customHeight="1" x14ac:dyDescent="0.3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spans="1:26" ht="11.25" customHeight="1" x14ac:dyDescent="0.3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spans="1:26" ht="11.25" customHeight="1" x14ac:dyDescent="0.3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spans="1:26" ht="11.25" customHeight="1" x14ac:dyDescent="0.3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spans="1:26" ht="11.25" customHeight="1" x14ac:dyDescent="0.3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spans="1:26" ht="11.25" customHeight="1" x14ac:dyDescent="0.3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spans="1:26" ht="11.25" customHeight="1" x14ac:dyDescent="0.3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spans="1:26" ht="11.25" customHeight="1" x14ac:dyDescent="0.3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spans="1:26" ht="11.25" customHeight="1" x14ac:dyDescent="0.3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spans="1:26" ht="11.25" customHeight="1" x14ac:dyDescent="0.3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spans="1:26" ht="11.25" customHeight="1" x14ac:dyDescent="0.3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spans="1:26" ht="11.25" customHeight="1" x14ac:dyDescent="0.3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spans="1:26" ht="11.25" customHeight="1" x14ac:dyDescent="0.3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spans="1:26" ht="11.25" customHeight="1" x14ac:dyDescent="0.3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spans="1:26" ht="11.25" customHeight="1" x14ac:dyDescent="0.3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spans="1:26" ht="11.25" customHeight="1" x14ac:dyDescent="0.3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spans="1:26" ht="11.25" customHeight="1" x14ac:dyDescent="0.3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spans="1:26" ht="11.25" customHeight="1" x14ac:dyDescent="0.3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spans="1:26" ht="11.25" customHeight="1" x14ac:dyDescent="0.3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spans="1:26" ht="11.25" customHeight="1" x14ac:dyDescent="0.3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spans="1:26" ht="11.25" customHeight="1" x14ac:dyDescent="0.3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spans="1:26" ht="11.25" customHeight="1" x14ac:dyDescent="0.3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spans="1:26" ht="11.25" customHeight="1" x14ac:dyDescent="0.3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spans="1:26" ht="11.25" customHeight="1" x14ac:dyDescent="0.3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spans="1:26" ht="11.25" customHeight="1" x14ac:dyDescent="0.3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spans="1:26" ht="11.25" customHeight="1" x14ac:dyDescent="0.3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spans="1:26" ht="11.25" customHeight="1" x14ac:dyDescent="0.3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spans="1:26" ht="11.25" customHeight="1" x14ac:dyDescent="0.3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spans="1:26" ht="11.25" customHeight="1" x14ac:dyDescent="0.3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spans="1:26" ht="11.25" customHeight="1" x14ac:dyDescent="0.3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spans="1:26" ht="11.25" customHeight="1" x14ac:dyDescent="0.3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spans="1:26" ht="11.25" customHeight="1" x14ac:dyDescent="0.3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spans="1:26" ht="11.25" customHeight="1" x14ac:dyDescent="0.3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spans="1:26" ht="11.25" customHeight="1" x14ac:dyDescent="0.3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spans="1:26" ht="11.25" customHeight="1" x14ac:dyDescent="0.3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spans="1:26" ht="11.25" customHeight="1" x14ac:dyDescent="0.3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spans="1:26" ht="11.25" customHeight="1" x14ac:dyDescent="0.3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spans="1:26" ht="11.25" customHeight="1" x14ac:dyDescent="0.3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spans="1:26" ht="11.25" customHeight="1" x14ac:dyDescent="0.3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spans="1:26" ht="11.25" customHeight="1" x14ac:dyDescent="0.3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spans="1:26" ht="11.25" customHeight="1" x14ac:dyDescent="0.3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spans="1:26" ht="11.25" customHeight="1" x14ac:dyDescent="0.3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spans="1:26" ht="11.25" customHeight="1" x14ac:dyDescent="0.3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spans="1:26" ht="11.25" customHeight="1" x14ac:dyDescent="0.3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spans="1:26" ht="11.25" customHeight="1" x14ac:dyDescent="0.3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spans="1:26" ht="11.25" customHeight="1" x14ac:dyDescent="0.3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spans="1:26" ht="11.25" customHeight="1" x14ac:dyDescent="0.3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spans="1:26" ht="11.25" customHeight="1" x14ac:dyDescent="0.3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spans="1:26" ht="11.25" customHeight="1" x14ac:dyDescent="0.3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spans="1:26" ht="11.25" customHeight="1" x14ac:dyDescent="0.3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spans="1:26" ht="11.25" customHeight="1" x14ac:dyDescent="0.3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spans="1:26" ht="11.25" customHeight="1" x14ac:dyDescent="0.3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spans="1:26" ht="11.25" customHeight="1" x14ac:dyDescent="0.3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spans="1:26" ht="11.25" customHeight="1" x14ac:dyDescent="0.3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spans="1:26" ht="11.25" customHeight="1" x14ac:dyDescent="0.3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spans="1:26" ht="11.25" customHeight="1" x14ac:dyDescent="0.3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spans="1:26" ht="11.25" customHeight="1" x14ac:dyDescent="0.3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spans="1:26" ht="11.25" customHeight="1" x14ac:dyDescent="0.3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spans="1:26" ht="11.25" customHeight="1" x14ac:dyDescent="0.3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spans="1:26" ht="11.25" customHeight="1" x14ac:dyDescent="0.3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spans="1:26" ht="11.25" customHeight="1" x14ac:dyDescent="0.3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spans="1:26" ht="11.25" customHeight="1" x14ac:dyDescent="0.3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spans="1:26" ht="11.25" customHeight="1" x14ac:dyDescent="0.3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spans="1:26" ht="11.25" customHeight="1" x14ac:dyDescent="0.3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spans="1:26" ht="11.25" customHeight="1" x14ac:dyDescent="0.3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spans="1:26" ht="11.25" customHeight="1" x14ac:dyDescent="0.3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spans="1:26" ht="11.25" customHeight="1" x14ac:dyDescent="0.3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spans="1:26" ht="11.25" customHeight="1" x14ac:dyDescent="0.3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spans="1:26" ht="11.25" customHeight="1" x14ac:dyDescent="0.3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spans="1:26" ht="11.25" customHeight="1" x14ac:dyDescent="0.3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spans="1:26" ht="11.25" customHeight="1" x14ac:dyDescent="0.3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spans="1:26" ht="11.25" customHeight="1" x14ac:dyDescent="0.3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spans="1:26" ht="11.25" customHeight="1" x14ac:dyDescent="0.3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spans="1:26" ht="11.25" customHeight="1" x14ac:dyDescent="0.3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spans="1:26" ht="11.25" customHeight="1" x14ac:dyDescent="0.3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spans="1:26" ht="11.25" customHeight="1" x14ac:dyDescent="0.3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spans="1:26" ht="11.25" customHeight="1" x14ac:dyDescent="0.3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spans="1:26" ht="11.25" customHeight="1" x14ac:dyDescent="0.3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spans="1:26" ht="11.25" customHeight="1" x14ac:dyDescent="0.3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spans="1:26" ht="11.25" customHeight="1" x14ac:dyDescent="0.3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spans="1:26" ht="11.25" customHeight="1" x14ac:dyDescent="0.3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spans="1:26" ht="11.25" customHeight="1" x14ac:dyDescent="0.3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spans="1:26" ht="11.25" customHeight="1" x14ac:dyDescent="0.3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spans="1:26" ht="11.25" customHeight="1" x14ac:dyDescent="0.3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spans="1:26" ht="11.25" customHeight="1" x14ac:dyDescent="0.3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spans="1:26" ht="11.25" customHeight="1" x14ac:dyDescent="0.3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spans="1:26" ht="11.25" customHeight="1" x14ac:dyDescent="0.3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spans="1:26" ht="11.25" customHeight="1" x14ac:dyDescent="0.3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spans="1:26" ht="11.25" customHeight="1" x14ac:dyDescent="0.3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spans="1:26" ht="11.25" customHeight="1" x14ac:dyDescent="0.3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spans="1:26" ht="11.25" customHeight="1" x14ac:dyDescent="0.3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spans="1:26" ht="11.25" customHeight="1" x14ac:dyDescent="0.3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spans="1:26" ht="11.25" customHeight="1" x14ac:dyDescent="0.3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spans="1:26" ht="11.25" customHeight="1" x14ac:dyDescent="0.3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spans="1:26" ht="11.25" customHeight="1" x14ac:dyDescent="0.3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spans="1:26" ht="11.25" customHeight="1" x14ac:dyDescent="0.3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spans="1:26" ht="11.25" customHeight="1" x14ac:dyDescent="0.3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spans="1:26" ht="11.25" customHeight="1" x14ac:dyDescent="0.3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spans="1:26" ht="11.25" customHeight="1" x14ac:dyDescent="0.3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spans="1:26" ht="11.25" customHeight="1" x14ac:dyDescent="0.3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spans="1:26" ht="11.25" customHeight="1" x14ac:dyDescent="0.3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spans="1:26" ht="11.25" customHeight="1" x14ac:dyDescent="0.3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spans="1:26" ht="11.25" customHeight="1" x14ac:dyDescent="0.3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spans="1:26" ht="11.25" customHeight="1" x14ac:dyDescent="0.3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spans="1:26" ht="11.25" customHeight="1" x14ac:dyDescent="0.3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spans="1:26" ht="11.25" customHeight="1" x14ac:dyDescent="0.3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spans="1:26" ht="11.25" customHeight="1" x14ac:dyDescent="0.3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spans="1:26" ht="11.25" customHeight="1" x14ac:dyDescent="0.3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spans="1:26" ht="11.25" customHeight="1" x14ac:dyDescent="0.3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spans="1:26" ht="11.25" customHeight="1" x14ac:dyDescent="0.3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spans="1:26" ht="11.25" customHeight="1" x14ac:dyDescent="0.3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spans="1:26" ht="11.25" customHeight="1" x14ac:dyDescent="0.3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spans="1:26" ht="11.25" customHeight="1" x14ac:dyDescent="0.3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spans="1:26" ht="11.25" customHeight="1" x14ac:dyDescent="0.3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spans="1:26" ht="11.25" customHeight="1" x14ac:dyDescent="0.3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spans="1:26" ht="11.25" customHeight="1" x14ac:dyDescent="0.3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spans="1:26" ht="11.25" customHeight="1" x14ac:dyDescent="0.3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spans="1:26" ht="11.25" customHeight="1" x14ac:dyDescent="0.3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spans="1:26" ht="11.25" customHeight="1" x14ac:dyDescent="0.3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spans="1:26" ht="11.25" customHeight="1" x14ac:dyDescent="0.3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spans="1:26" ht="11.25" customHeight="1" x14ac:dyDescent="0.3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spans="1:26" ht="11.25" customHeight="1" x14ac:dyDescent="0.3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spans="1:26" ht="11.25" customHeight="1" x14ac:dyDescent="0.3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spans="1:26" ht="11.25" customHeight="1" x14ac:dyDescent="0.3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spans="1:26" ht="11.25" customHeight="1" x14ac:dyDescent="0.3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spans="1:26" ht="11.25" customHeight="1" x14ac:dyDescent="0.3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spans="1:26" ht="11.25" customHeight="1" x14ac:dyDescent="0.3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spans="1:26" ht="11.25" customHeight="1" x14ac:dyDescent="0.3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spans="1:26" ht="11.25" customHeight="1" x14ac:dyDescent="0.3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spans="1:26" ht="11.25" customHeight="1" x14ac:dyDescent="0.3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spans="1:26" ht="11.25" customHeight="1" x14ac:dyDescent="0.3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spans="1:26" ht="11.25" customHeight="1" x14ac:dyDescent="0.3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spans="1:26" ht="11.25" customHeight="1" x14ac:dyDescent="0.3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spans="1:26" ht="11.25" customHeight="1" x14ac:dyDescent="0.3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spans="1:26" ht="11.25" customHeight="1" x14ac:dyDescent="0.3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spans="1:26" ht="11.25" customHeight="1" x14ac:dyDescent="0.3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spans="1:26" ht="11.25" customHeight="1" x14ac:dyDescent="0.3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spans="1:26" ht="11.25" customHeight="1" x14ac:dyDescent="0.3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spans="1:26" ht="11.25" customHeight="1" x14ac:dyDescent="0.3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spans="1:26" ht="11.25" customHeight="1" x14ac:dyDescent="0.3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spans="1:26" ht="11.25" customHeight="1" x14ac:dyDescent="0.3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spans="1:26" ht="11.25" customHeight="1" x14ac:dyDescent="0.3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spans="1:26" ht="11.25" customHeight="1" x14ac:dyDescent="0.3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spans="1:26" ht="11.25" customHeight="1" x14ac:dyDescent="0.3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spans="1:26" ht="11.25" customHeight="1" x14ac:dyDescent="0.3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spans="1:26" ht="11.25" customHeight="1" x14ac:dyDescent="0.3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spans="1:26" ht="11.25" customHeight="1" x14ac:dyDescent="0.3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spans="1:26" ht="11.25" customHeight="1" x14ac:dyDescent="0.3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spans="1:26" ht="11.25" customHeight="1" x14ac:dyDescent="0.3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spans="1:26" ht="11.25" customHeight="1" x14ac:dyDescent="0.3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spans="1:26" ht="11.25" customHeight="1" x14ac:dyDescent="0.3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spans="1:26" ht="11.25" customHeight="1" x14ac:dyDescent="0.3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spans="1:26" ht="11.25" customHeight="1" x14ac:dyDescent="0.3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spans="1:26" ht="11.25" customHeight="1" x14ac:dyDescent="0.3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spans="1:26" ht="11.25" customHeight="1" x14ac:dyDescent="0.3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spans="1:26" ht="11.25" customHeight="1" x14ac:dyDescent="0.3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spans="1:26" ht="11.25" customHeight="1" x14ac:dyDescent="0.3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spans="1:26" ht="11.25" customHeight="1" x14ac:dyDescent="0.3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spans="1:26" ht="11.25" customHeight="1" x14ac:dyDescent="0.3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spans="1:26" ht="11.25" customHeight="1" x14ac:dyDescent="0.3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spans="1:26" ht="11.25" customHeight="1" x14ac:dyDescent="0.3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spans="1:26" ht="11.25" customHeight="1" x14ac:dyDescent="0.3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spans="1:26" ht="11.25" customHeight="1" x14ac:dyDescent="0.3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spans="1:26" ht="11.25" customHeight="1" x14ac:dyDescent="0.3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spans="1:26" ht="11.25" customHeight="1" x14ac:dyDescent="0.3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spans="1:26" ht="11.25" customHeight="1" x14ac:dyDescent="0.3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spans="1:26" ht="11.25" customHeight="1" x14ac:dyDescent="0.3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spans="1:26" ht="11.25" customHeight="1" x14ac:dyDescent="0.3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spans="1:26" ht="11.25" customHeight="1" x14ac:dyDescent="0.3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spans="1:26" ht="11.25" customHeight="1" x14ac:dyDescent="0.3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spans="1:26" ht="11.25" customHeight="1" x14ac:dyDescent="0.3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spans="1:26" ht="11.25" customHeight="1" x14ac:dyDescent="0.3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spans="1:26" ht="11.25" customHeight="1" x14ac:dyDescent="0.3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spans="1:26" ht="11.25" customHeight="1" x14ac:dyDescent="0.3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spans="1:26" ht="11.25" customHeight="1" x14ac:dyDescent="0.3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spans="1:26" ht="11.25" customHeight="1" x14ac:dyDescent="0.3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spans="1:26" ht="11.25" customHeight="1" x14ac:dyDescent="0.3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spans="1:26" ht="11.25" customHeight="1" x14ac:dyDescent="0.3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spans="1:26" ht="11.25" customHeight="1" x14ac:dyDescent="0.3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spans="1:26" ht="11.25" customHeight="1" x14ac:dyDescent="0.3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spans="1:26" ht="11.25" customHeight="1" x14ac:dyDescent="0.3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spans="1:26" ht="11.25" customHeight="1" x14ac:dyDescent="0.3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spans="1:26" ht="11.25" customHeight="1" x14ac:dyDescent="0.3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spans="1:26" ht="11.25" customHeight="1" x14ac:dyDescent="0.3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spans="1:26" ht="11.25" customHeight="1" x14ac:dyDescent="0.3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spans="1:26" ht="11.25" customHeight="1" x14ac:dyDescent="0.3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spans="1:26" ht="11.25" customHeight="1" x14ac:dyDescent="0.3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spans="1:26" ht="11.25" customHeight="1" x14ac:dyDescent="0.3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spans="1:26" ht="11.25" customHeight="1" x14ac:dyDescent="0.3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spans="1:26" ht="11.25" customHeight="1" x14ac:dyDescent="0.3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spans="1:26" ht="11.25" customHeight="1" x14ac:dyDescent="0.3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spans="1:26" ht="11.25" customHeight="1" x14ac:dyDescent="0.3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spans="1:26" ht="11.25" customHeight="1" x14ac:dyDescent="0.3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spans="1:26" ht="11.25" customHeight="1" x14ac:dyDescent="0.3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spans="1:26" ht="11.25" customHeight="1" x14ac:dyDescent="0.3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spans="1:26" ht="11.25" customHeight="1" x14ac:dyDescent="0.3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spans="1:26" ht="11.25" customHeight="1" x14ac:dyDescent="0.3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spans="1:26" ht="11.25" customHeight="1" x14ac:dyDescent="0.3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spans="1:26" ht="11.25" customHeight="1" x14ac:dyDescent="0.3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spans="1:26" ht="11.25" customHeight="1" x14ac:dyDescent="0.3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spans="1:26" ht="11.25" customHeight="1" x14ac:dyDescent="0.3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spans="1:26" ht="11.25" customHeight="1" x14ac:dyDescent="0.3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spans="1:26" ht="11.25" customHeight="1" x14ac:dyDescent="0.3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spans="1:26" ht="11.25" customHeight="1" x14ac:dyDescent="0.3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spans="1:26" ht="11.25" customHeight="1" x14ac:dyDescent="0.3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spans="1:26" ht="11.25" customHeight="1" x14ac:dyDescent="0.3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spans="1:26" ht="11.25" customHeight="1" x14ac:dyDescent="0.3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spans="1:26" ht="11.25" customHeight="1" x14ac:dyDescent="0.3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spans="1:26" ht="11.25" customHeight="1" x14ac:dyDescent="0.3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spans="1:26" ht="11.25" customHeight="1" x14ac:dyDescent="0.3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spans="1:26" ht="11.25" customHeight="1" x14ac:dyDescent="0.3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spans="1:26" ht="11.25" customHeight="1" x14ac:dyDescent="0.3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spans="1:26" ht="11.25" customHeight="1" x14ac:dyDescent="0.3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spans="1:26" ht="11.25" customHeight="1" x14ac:dyDescent="0.3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spans="1:26" ht="11.25" customHeight="1" x14ac:dyDescent="0.3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spans="1:26" ht="11.25" customHeight="1" x14ac:dyDescent="0.3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spans="1:26" ht="11.25" customHeight="1" x14ac:dyDescent="0.3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spans="1:26" ht="11.25" customHeight="1" x14ac:dyDescent="0.3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spans="1:26" ht="11.25" customHeight="1" x14ac:dyDescent="0.3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spans="1:26" ht="11.25" customHeight="1" x14ac:dyDescent="0.3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spans="1:26" ht="11.25" customHeight="1" x14ac:dyDescent="0.3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spans="1:26" ht="11.25" customHeight="1" x14ac:dyDescent="0.3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spans="1:26" ht="11.25" customHeight="1" x14ac:dyDescent="0.3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spans="1:26" ht="11.25" customHeight="1" x14ac:dyDescent="0.3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spans="1:26" ht="11.25" customHeight="1" x14ac:dyDescent="0.3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spans="1:26" ht="11.25" customHeight="1" x14ac:dyDescent="0.3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spans="1:26" ht="11.25" customHeight="1" x14ac:dyDescent="0.3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spans="1:26" ht="11.25" customHeight="1" x14ac:dyDescent="0.3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spans="1:26" ht="11.25" customHeight="1" x14ac:dyDescent="0.3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spans="1:26" ht="11.25" customHeight="1" x14ac:dyDescent="0.3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spans="1:26" ht="11.25" customHeight="1" x14ac:dyDescent="0.3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spans="1:26" ht="11.25" customHeight="1" x14ac:dyDescent="0.3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spans="1:26" ht="11.25" customHeight="1" x14ac:dyDescent="0.3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spans="1:26" ht="11.25" customHeight="1" x14ac:dyDescent="0.3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spans="1:26" ht="11.25" customHeight="1" x14ac:dyDescent="0.3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spans="1:26" ht="11.25" customHeight="1" x14ac:dyDescent="0.3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spans="1:26" ht="11.25" customHeight="1" x14ac:dyDescent="0.3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spans="1:26" ht="11.25" customHeight="1" x14ac:dyDescent="0.3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spans="1:26" ht="11.25" customHeight="1" x14ac:dyDescent="0.3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spans="1:26" ht="11.25" customHeight="1" x14ac:dyDescent="0.3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spans="1:26" ht="11.25" customHeight="1" x14ac:dyDescent="0.3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spans="1:26" ht="11.25" customHeight="1" x14ac:dyDescent="0.3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spans="1:26" ht="11.25" customHeight="1" x14ac:dyDescent="0.3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spans="1:26" ht="11.25" customHeight="1" x14ac:dyDescent="0.3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spans="1:26" ht="11.25" customHeight="1" x14ac:dyDescent="0.3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spans="1:26" ht="11.25" customHeight="1" x14ac:dyDescent="0.3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spans="1:26" ht="11.25" customHeight="1" x14ac:dyDescent="0.3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spans="1:26" ht="11.25" customHeight="1" x14ac:dyDescent="0.3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spans="1:26" ht="11.25" customHeight="1" x14ac:dyDescent="0.3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spans="1:26" ht="11.25" customHeight="1" x14ac:dyDescent="0.3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spans="1:26" ht="11.25" customHeight="1" x14ac:dyDescent="0.3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spans="1:26" ht="11.25" customHeight="1" x14ac:dyDescent="0.3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spans="1:26" ht="11.25" customHeight="1" x14ac:dyDescent="0.3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spans="1:26" ht="11.25" customHeight="1" x14ac:dyDescent="0.3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spans="1:26" ht="11.25" customHeight="1" x14ac:dyDescent="0.3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spans="1:26" ht="11.25" customHeight="1" x14ac:dyDescent="0.3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spans="1:26" ht="11.25" customHeight="1" x14ac:dyDescent="0.3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spans="1:26" ht="11.25" customHeight="1" x14ac:dyDescent="0.3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spans="1:26" ht="11.25" customHeight="1" x14ac:dyDescent="0.3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spans="1:26" ht="11.25" customHeight="1" x14ac:dyDescent="0.3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spans="1:26" ht="11.25" customHeight="1" x14ac:dyDescent="0.3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spans="1:26" ht="11.25" customHeight="1" x14ac:dyDescent="0.3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spans="1:26" ht="11.25" customHeight="1" x14ac:dyDescent="0.3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spans="1:26" ht="11.25" customHeight="1" x14ac:dyDescent="0.3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spans="1:26" ht="11.25" customHeight="1" x14ac:dyDescent="0.3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spans="1:26" ht="11.25" customHeight="1" x14ac:dyDescent="0.3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spans="1:26" ht="11.25" customHeight="1" x14ac:dyDescent="0.3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spans="1:26" ht="11.25" customHeight="1" x14ac:dyDescent="0.3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spans="1:26" ht="11.25" customHeight="1" x14ac:dyDescent="0.3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spans="1:26" ht="11.25" customHeight="1" x14ac:dyDescent="0.3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spans="1:26" ht="11.25" customHeight="1" x14ac:dyDescent="0.3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spans="1:26" ht="11.25" customHeight="1" x14ac:dyDescent="0.3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spans="1:26" ht="11.25" customHeight="1" x14ac:dyDescent="0.3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spans="1:26" ht="11.25" customHeight="1" x14ac:dyDescent="0.3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spans="1:26" ht="11.25" customHeight="1" x14ac:dyDescent="0.3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spans="1:26" ht="11.25" customHeight="1" x14ac:dyDescent="0.3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spans="1:26" ht="11.25" customHeight="1" x14ac:dyDescent="0.3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spans="1:26" ht="11.25" customHeight="1" x14ac:dyDescent="0.3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spans="1:26" ht="11.25" customHeight="1" x14ac:dyDescent="0.3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spans="1:26" ht="11.25" customHeight="1" x14ac:dyDescent="0.3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spans="1:26" ht="11.25" customHeight="1" x14ac:dyDescent="0.3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spans="1:26" ht="11.25" customHeight="1" x14ac:dyDescent="0.3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spans="1:26" ht="11.25" customHeight="1" x14ac:dyDescent="0.3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spans="1:26" ht="11.25" customHeight="1" x14ac:dyDescent="0.3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spans="1:26" ht="11.25" customHeight="1" x14ac:dyDescent="0.3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spans="1:26" ht="11.25" customHeight="1" x14ac:dyDescent="0.3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spans="1:26" ht="11.25" customHeight="1" x14ac:dyDescent="0.3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spans="1:26" ht="11.25" customHeight="1" x14ac:dyDescent="0.3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spans="1:26" ht="11.25" customHeight="1" x14ac:dyDescent="0.3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spans="1:26" ht="11.25" customHeight="1" x14ac:dyDescent="0.3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spans="1:26" ht="11.25" customHeight="1" x14ac:dyDescent="0.3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spans="1:26" ht="11.25" customHeight="1" x14ac:dyDescent="0.3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spans="1:26" ht="11.25" customHeight="1" x14ac:dyDescent="0.3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spans="1:26" ht="11.25" customHeight="1" x14ac:dyDescent="0.3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spans="1:26" ht="11.25" customHeight="1" x14ac:dyDescent="0.3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spans="1:26" ht="11.25" customHeight="1" x14ac:dyDescent="0.3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spans="1:26" ht="11.25" customHeight="1" x14ac:dyDescent="0.3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spans="1:26" ht="11.25" customHeight="1" x14ac:dyDescent="0.3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spans="1:26" ht="11.25" customHeight="1" x14ac:dyDescent="0.3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spans="1:26" ht="11.25" customHeight="1" x14ac:dyDescent="0.3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spans="1:26" ht="11.25" customHeight="1" x14ac:dyDescent="0.3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spans="1:26" ht="11.25" customHeight="1" x14ac:dyDescent="0.3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spans="1:26" ht="11.25" customHeight="1" x14ac:dyDescent="0.3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spans="1:26" ht="11.25" customHeight="1" x14ac:dyDescent="0.3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spans="1:26" ht="11.25" customHeight="1" x14ac:dyDescent="0.3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spans="1:26" ht="11.25" customHeight="1" x14ac:dyDescent="0.3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spans="1:26" ht="11.25" customHeight="1" x14ac:dyDescent="0.3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spans="1:26" ht="11.25" customHeight="1" x14ac:dyDescent="0.3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spans="1:26" ht="11.25" customHeight="1" x14ac:dyDescent="0.3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spans="1:26" ht="11.25" customHeight="1" x14ac:dyDescent="0.3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spans="1:26" ht="11.25" customHeight="1" x14ac:dyDescent="0.3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spans="1:26" ht="11.25" customHeight="1" x14ac:dyDescent="0.3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spans="1:26" ht="11.25" customHeight="1" x14ac:dyDescent="0.3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spans="1:26" ht="11.25" customHeight="1" x14ac:dyDescent="0.3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spans="1:26" ht="11.25" customHeight="1" x14ac:dyDescent="0.3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spans="1:26" ht="11.25" customHeight="1" x14ac:dyDescent="0.3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spans="1:26" ht="11.25" customHeight="1" x14ac:dyDescent="0.3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spans="1:26" ht="11.25" customHeight="1" x14ac:dyDescent="0.3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spans="1:26" ht="11.25" customHeight="1" x14ac:dyDescent="0.3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spans="1:26" ht="11.25" customHeight="1" x14ac:dyDescent="0.3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spans="1:26" ht="11.25" customHeight="1" x14ac:dyDescent="0.3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spans="1:26" ht="11.25" customHeight="1" x14ac:dyDescent="0.3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spans="1:26" ht="11.25" customHeight="1" x14ac:dyDescent="0.3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spans="1:26" ht="11.25" customHeight="1" x14ac:dyDescent="0.3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spans="1:26" ht="11.25" customHeight="1" x14ac:dyDescent="0.3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spans="1:26" ht="11.25" customHeight="1" x14ac:dyDescent="0.3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spans="1:26" ht="11.25" customHeight="1" x14ac:dyDescent="0.3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spans="1:26" ht="11.25" customHeight="1" x14ac:dyDescent="0.3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spans="1:26" ht="11.25" customHeight="1" x14ac:dyDescent="0.3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spans="1:26" ht="11.25" customHeight="1" x14ac:dyDescent="0.3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spans="1:26" ht="11.25" customHeight="1" x14ac:dyDescent="0.3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spans="1:26" ht="11.25" customHeight="1" x14ac:dyDescent="0.3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spans="1:26" ht="11.25" customHeight="1" x14ac:dyDescent="0.3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spans="1:26" ht="11.25" customHeight="1" x14ac:dyDescent="0.3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spans="1:26" ht="11.25" customHeight="1" x14ac:dyDescent="0.3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spans="1:26" ht="11.25" customHeight="1" x14ac:dyDescent="0.3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spans="1:26" ht="11.25" customHeight="1" x14ac:dyDescent="0.3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spans="1:26" ht="11.25" customHeight="1" x14ac:dyDescent="0.3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spans="1:26" ht="11.25" customHeight="1" x14ac:dyDescent="0.3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spans="1:26" ht="11.25" customHeight="1" x14ac:dyDescent="0.3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spans="1:26" ht="11.25" customHeight="1" x14ac:dyDescent="0.3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spans="1:26" ht="11.25" customHeight="1" x14ac:dyDescent="0.3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spans="1:26" ht="11.25" customHeight="1" x14ac:dyDescent="0.3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spans="1:26" ht="11.25" customHeight="1" x14ac:dyDescent="0.3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spans="1:26" ht="11.25" customHeight="1" x14ac:dyDescent="0.3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spans="1:26" ht="11.25" customHeight="1" x14ac:dyDescent="0.3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spans="1:26" ht="11.25" customHeight="1" x14ac:dyDescent="0.3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spans="1:26" ht="11.25" customHeight="1" x14ac:dyDescent="0.3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spans="1:26" ht="11.25" customHeight="1" x14ac:dyDescent="0.3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spans="1:26" ht="11.25" customHeight="1" x14ac:dyDescent="0.3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spans="1:26" ht="11.25" customHeight="1" x14ac:dyDescent="0.3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spans="1:26" ht="11.25" customHeight="1" x14ac:dyDescent="0.3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spans="1:26" ht="11.25" customHeight="1" x14ac:dyDescent="0.3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spans="1:26" ht="11.25" customHeight="1" x14ac:dyDescent="0.3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spans="1:26" ht="11.25" customHeight="1" x14ac:dyDescent="0.3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spans="1:26" ht="11.25" customHeight="1" x14ac:dyDescent="0.3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spans="1:26" ht="11.25" customHeight="1" x14ac:dyDescent="0.3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spans="1:26" ht="11.25" customHeight="1" x14ac:dyDescent="0.3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spans="1:26" ht="11.25" customHeight="1" x14ac:dyDescent="0.3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spans="1:26" ht="11.25" customHeight="1" x14ac:dyDescent="0.3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spans="1:26" ht="11.25" customHeight="1" x14ac:dyDescent="0.3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spans="1:26" ht="11.25" customHeight="1" x14ac:dyDescent="0.3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spans="1:26" ht="11.25" customHeight="1" x14ac:dyDescent="0.3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spans="1:26" ht="11.25" customHeight="1" x14ac:dyDescent="0.3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spans="1:26" ht="11.25" customHeight="1" x14ac:dyDescent="0.3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spans="1:26" ht="11.25" customHeight="1" x14ac:dyDescent="0.3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spans="1:26" ht="11.25" customHeight="1" x14ac:dyDescent="0.3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spans="1:26" ht="11.25" customHeight="1" x14ac:dyDescent="0.3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spans="1:26" ht="11.25" customHeight="1" x14ac:dyDescent="0.3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spans="1:26" ht="11.25" customHeight="1" x14ac:dyDescent="0.3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spans="1:26" ht="11.25" customHeight="1" x14ac:dyDescent="0.3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spans="1:26" ht="11.25" customHeight="1" x14ac:dyDescent="0.3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spans="1:26" ht="11.25" customHeight="1" x14ac:dyDescent="0.3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spans="1:26" ht="11.25" customHeight="1" x14ac:dyDescent="0.3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spans="1:26" ht="11.25" customHeight="1" x14ac:dyDescent="0.3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spans="1:26" ht="11.25" customHeight="1" x14ac:dyDescent="0.3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spans="1:26" ht="11.25" customHeight="1" x14ac:dyDescent="0.3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spans="1:26" ht="11.25" customHeight="1" x14ac:dyDescent="0.3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spans="1:26" ht="11.25" customHeight="1" x14ac:dyDescent="0.3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spans="1:26" ht="11.25" customHeight="1" x14ac:dyDescent="0.3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spans="1:26" ht="11.25" customHeight="1" x14ac:dyDescent="0.3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spans="1:26" ht="11.25" customHeight="1" x14ac:dyDescent="0.3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spans="1:26" ht="11.25" customHeight="1" x14ac:dyDescent="0.3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spans="1:26" ht="11.25" customHeight="1" x14ac:dyDescent="0.3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spans="1:26" ht="11.25" customHeight="1" x14ac:dyDescent="0.3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spans="1:26" ht="11.25" customHeight="1" x14ac:dyDescent="0.3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spans="1:26" ht="11.25" customHeight="1" x14ac:dyDescent="0.3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spans="1:26" ht="11.25" customHeight="1" x14ac:dyDescent="0.3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spans="1:26" ht="11.25" customHeight="1" x14ac:dyDescent="0.3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spans="1:26" ht="11.25" customHeight="1" x14ac:dyDescent="0.3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spans="1:26" ht="11.25" customHeight="1" x14ac:dyDescent="0.3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spans="1:26" ht="11.25" customHeight="1" x14ac:dyDescent="0.3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spans="1:26" ht="11.25" customHeight="1" x14ac:dyDescent="0.3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spans="1:26" ht="11.25" customHeight="1" x14ac:dyDescent="0.3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spans="1:26" ht="11.25" customHeight="1" x14ac:dyDescent="0.3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spans="1:26" ht="11.25" customHeight="1" x14ac:dyDescent="0.3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spans="1:26" ht="11.25" customHeight="1" x14ac:dyDescent="0.3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spans="1:26" ht="11.25" customHeight="1" x14ac:dyDescent="0.3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spans="1:26" ht="11.25" customHeight="1" x14ac:dyDescent="0.3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spans="1:26" ht="11.25" customHeight="1" x14ac:dyDescent="0.3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spans="1:26" ht="11.25" customHeight="1" x14ac:dyDescent="0.3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spans="1:26" ht="11.25" customHeight="1" x14ac:dyDescent="0.3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spans="1:26" ht="11.25" customHeight="1" x14ac:dyDescent="0.3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spans="1:26" ht="11.25" customHeight="1" x14ac:dyDescent="0.3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spans="1:26" ht="11.25" customHeight="1" x14ac:dyDescent="0.3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spans="1:26" ht="11.25" customHeight="1" x14ac:dyDescent="0.3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spans="1:26" ht="11.25" customHeight="1" x14ac:dyDescent="0.3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spans="1:26" ht="11.25" customHeight="1" x14ac:dyDescent="0.3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spans="1:26" ht="11.25" customHeight="1" x14ac:dyDescent="0.3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spans="1:26" ht="11.25" customHeight="1" x14ac:dyDescent="0.3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spans="1:26" ht="11.25" customHeight="1" x14ac:dyDescent="0.3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spans="1:26" ht="11.25" customHeight="1" x14ac:dyDescent="0.3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spans="1:26" ht="11.25" customHeight="1" x14ac:dyDescent="0.3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spans="1:26" ht="11.25" customHeight="1" x14ac:dyDescent="0.3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spans="1:26" ht="11.25" customHeight="1" x14ac:dyDescent="0.3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spans="1:26" ht="11.25" customHeight="1" x14ac:dyDescent="0.3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spans="1:26" ht="11.25" customHeight="1" x14ac:dyDescent="0.3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spans="1:26" ht="11.25" customHeight="1" x14ac:dyDescent="0.3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spans="1:26" ht="11.25" customHeight="1" x14ac:dyDescent="0.3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spans="1:26" ht="11.25" customHeight="1" x14ac:dyDescent="0.3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spans="1:26" ht="11.25" customHeight="1" x14ac:dyDescent="0.3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spans="1:26" ht="11.25" customHeight="1" x14ac:dyDescent="0.3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spans="1:26" ht="11.25" customHeight="1" x14ac:dyDescent="0.3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spans="1:26" ht="11.25" customHeight="1" x14ac:dyDescent="0.3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spans="1:26" ht="11.25" customHeight="1" x14ac:dyDescent="0.3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spans="1:26" ht="11.25" customHeight="1" x14ac:dyDescent="0.3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spans="1:26" ht="11.25" customHeight="1" x14ac:dyDescent="0.3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spans="1:26" ht="11.25" customHeight="1" x14ac:dyDescent="0.3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spans="1:26" ht="11.25" customHeight="1" x14ac:dyDescent="0.3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spans="1:26" ht="11.25" customHeight="1" x14ac:dyDescent="0.3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spans="1:26" ht="11.25" customHeight="1" x14ac:dyDescent="0.3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spans="1:26" ht="11.25" customHeight="1" x14ac:dyDescent="0.3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spans="1:26" ht="11.25" customHeight="1" x14ac:dyDescent="0.3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spans="1:26" ht="11.25" customHeight="1" x14ac:dyDescent="0.3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spans="1:26" ht="11.25" customHeight="1" x14ac:dyDescent="0.3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spans="1:26" ht="11.25" customHeight="1" x14ac:dyDescent="0.3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spans="1:26" ht="11.25" customHeight="1" x14ac:dyDescent="0.3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spans="1:26" ht="11.25" customHeight="1" x14ac:dyDescent="0.3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spans="1:26" ht="11.25" customHeight="1" x14ac:dyDescent="0.3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spans="1:26" ht="11.25" customHeight="1" x14ac:dyDescent="0.3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spans="1:26" ht="11.25" customHeight="1" x14ac:dyDescent="0.3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spans="1:26" ht="11.25" customHeight="1" x14ac:dyDescent="0.3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spans="1:26" ht="11.25" customHeight="1" x14ac:dyDescent="0.3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spans="1:26" ht="11.25" customHeight="1" x14ac:dyDescent="0.3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spans="1:26" ht="11.25" customHeight="1" x14ac:dyDescent="0.3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spans="1:26" ht="11.25" customHeight="1" x14ac:dyDescent="0.3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spans="1:26" ht="11.25" customHeight="1" x14ac:dyDescent="0.3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L24" activeCellId="1" sqref="G24 L2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96" t="s">
        <v>224</v>
      </c>
      <c r="B1" s="197" t="s">
        <v>225</v>
      </c>
      <c r="C1" s="198" t="s">
        <v>226</v>
      </c>
      <c r="D1" s="199"/>
      <c r="E1" s="200" t="s">
        <v>227</v>
      </c>
      <c r="F1" s="201" t="s">
        <v>228</v>
      </c>
      <c r="G1" s="202" t="s">
        <v>229</v>
      </c>
      <c r="H1" s="203" t="s">
        <v>230</v>
      </c>
      <c r="I1" s="204"/>
      <c r="J1" s="205" t="s">
        <v>231</v>
      </c>
      <c r="K1" s="206" t="s">
        <v>232</v>
      </c>
      <c r="L1" s="207" t="s">
        <v>229</v>
      </c>
      <c r="M1" s="208" t="s">
        <v>233</v>
      </c>
      <c r="N1" s="209"/>
      <c r="O1" s="210" t="s">
        <v>234</v>
      </c>
      <c r="P1" s="211" t="s">
        <v>235</v>
      </c>
      <c r="Q1" s="212" t="s">
        <v>229</v>
      </c>
      <c r="R1" s="209"/>
      <c r="S1" s="204"/>
      <c r="T1" s="209"/>
    </row>
    <row r="2" spans="1:20" ht="11.25" customHeight="1" x14ac:dyDescent="0.3">
      <c r="A2" s="213" t="s">
        <v>236</v>
      </c>
      <c r="B2" s="214">
        <v>2</v>
      </c>
      <c r="C2" s="215">
        <v>2</v>
      </c>
      <c r="D2" s="199" t="s">
        <v>287</v>
      </c>
      <c r="E2" s="216">
        <f>(B2*'Proposed Budget'!$O$68)+(C2*'Proposed Budget'!$O$44)+'Proposed Budget'!$L$21+'Proposed Budget'!$L$22</f>
        <v>16606.55292099333</v>
      </c>
      <c r="F2" s="217">
        <f>SUM('Monthly Breakdown'!I49:I52)</f>
        <v>15639.36</v>
      </c>
      <c r="G2" s="218">
        <f t="shared" ref="G2:G13" si="0">F2-E2</f>
        <v>-967.19292099332961</v>
      </c>
      <c r="H2" s="219">
        <f t="shared" ref="H2:H13" si="1">((F2-E2)/E2)</f>
        <v>-5.8241642657257522E-2</v>
      </c>
      <c r="I2" s="209"/>
      <c r="J2" s="220">
        <f t="shared" ref="J2:K2" si="2">SUM(O20,E20,J20)</f>
        <v>13000</v>
      </c>
      <c r="K2" s="221">
        <f t="shared" si="2"/>
        <v>12394.720000000001</v>
      </c>
      <c r="L2" s="222">
        <f t="shared" ref="L2:L13" si="3">J2-K2</f>
        <v>605.27999999999884</v>
      </c>
      <c r="M2" s="223">
        <f t="shared" ref="M2:M13" si="4">((K2-J2)/J2)</f>
        <v>-4.6559999999999907E-2</v>
      </c>
      <c r="N2" s="209"/>
      <c r="O2" s="224">
        <f t="shared" ref="O2:O13" si="5">E2-O20-E20-J20</f>
        <v>3606.5529209933302</v>
      </c>
      <c r="P2" s="225">
        <f>SUM('Monthly Breakdown'!I45:I46)</f>
        <v>3244.64</v>
      </c>
      <c r="Q2" s="226">
        <f t="shared" ref="Q2:Q13" si="6">P2-O2</f>
        <v>-361.91292099333032</v>
      </c>
      <c r="R2" s="209"/>
      <c r="S2" s="209"/>
      <c r="T2" s="209">
        <f t="shared" ref="T2:T13" si="7">F2-K2-P2</f>
        <v>0</v>
      </c>
    </row>
    <row r="3" spans="1:20" ht="11.25" customHeight="1" x14ac:dyDescent="0.3">
      <c r="A3" s="213" t="s">
        <v>237</v>
      </c>
      <c r="B3" s="214">
        <v>2</v>
      </c>
      <c r="C3" s="215">
        <v>2</v>
      </c>
      <c r="D3" s="199" t="s">
        <v>287</v>
      </c>
      <c r="E3" s="216">
        <f>(B3*'Proposed Budget'!$O$68)+(C3*'Proposed Budget'!$O$44)+'Proposed Budget'!$L$21+'Proposed Budget'!$L$22</f>
        <v>16606.55292099333</v>
      </c>
      <c r="F3" s="217">
        <f>SUM('Monthly Breakdown'!K49:K52)</f>
        <v>16615.62</v>
      </c>
      <c r="G3" s="218">
        <f t="shared" si="0"/>
        <v>9.0670790066687914</v>
      </c>
      <c r="H3" s="219">
        <f t="shared" si="1"/>
        <v>5.4599404523057629E-4</v>
      </c>
      <c r="I3" s="209"/>
      <c r="J3" s="220">
        <f t="shared" ref="J3:K3" si="8">SUM(O21,E21,J21)</f>
        <v>13000</v>
      </c>
      <c r="K3" s="221">
        <f t="shared" si="8"/>
        <v>12800.71</v>
      </c>
      <c r="L3" s="222">
        <f t="shared" si="3"/>
        <v>199.29000000000087</v>
      </c>
      <c r="M3" s="223">
        <f t="shared" si="4"/>
        <v>-1.5330000000000068E-2</v>
      </c>
      <c r="N3" s="209"/>
      <c r="O3" s="224">
        <f t="shared" si="5"/>
        <v>3606.5529209933302</v>
      </c>
      <c r="P3" s="225">
        <f>SUM('Monthly Breakdown'!K45:K46)</f>
        <v>3814.91</v>
      </c>
      <c r="Q3" s="226">
        <f t="shared" si="6"/>
        <v>208.35707900666966</v>
      </c>
      <c r="R3" s="209"/>
      <c r="S3" s="209"/>
      <c r="T3" s="209">
        <f t="shared" si="7"/>
        <v>0</v>
      </c>
    </row>
    <row r="4" spans="1:20" ht="11.25" customHeight="1" x14ac:dyDescent="0.3">
      <c r="A4" s="213" t="s">
        <v>238</v>
      </c>
      <c r="B4" s="214">
        <v>2</v>
      </c>
      <c r="C4" s="215">
        <v>2</v>
      </c>
      <c r="D4" s="199" t="s">
        <v>287</v>
      </c>
      <c r="E4" s="216">
        <f>(B4*'Proposed Budget'!$O$68)+(C4*'Proposed Budget'!$O$44)+'Proposed Budget'!$L$21+'Proposed Budget'!$L$22</f>
        <v>16606.55292099333</v>
      </c>
      <c r="F4" s="217">
        <f>SUM('Monthly Breakdown'!M49:M52)</f>
        <v>16971.29</v>
      </c>
      <c r="G4" s="218">
        <f t="shared" si="0"/>
        <v>364.73707900667068</v>
      </c>
      <c r="H4" s="219">
        <f t="shared" si="1"/>
        <v>2.1963443030105594E-2</v>
      </c>
      <c r="I4" s="209"/>
      <c r="J4" s="220">
        <f t="shared" ref="J4:K4" si="9">SUM(O22,E22,J22)</f>
        <v>13000</v>
      </c>
      <c r="K4" s="221">
        <f t="shared" si="9"/>
        <v>12611.71</v>
      </c>
      <c r="L4" s="222">
        <f t="shared" si="3"/>
        <v>388.29000000000087</v>
      </c>
      <c r="M4" s="223">
        <f t="shared" si="4"/>
        <v>-2.9868461538461604E-2</v>
      </c>
      <c r="N4" s="209"/>
      <c r="O4" s="224">
        <f t="shared" si="5"/>
        <v>3606.5529209933302</v>
      </c>
      <c r="P4" s="225">
        <f>SUM('Monthly Breakdown'!M45:M46)</f>
        <v>4359.58</v>
      </c>
      <c r="Q4" s="226">
        <f t="shared" si="6"/>
        <v>753.02707900666974</v>
      </c>
      <c r="R4" s="209"/>
      <c r="S4" s="209"/>
      <c r="T4" s="209">
        <f t="shared" si="7"/>
        <v>0</v>
      </c>
    </row>
    <row r="5" spans="1:20" ht="11.25" customHeight="1" x14ac:dyDescent="0.3">
      <c r="A5" s="213" t="s">
        <v>239</v>
      </c>
      <c r="B5" s="214">
        <v>2</v>
      </c>
      <c r="C5" s="215">
        <v>3</v>
      </c>
      <c r="D5" s="199" t="s">
        <v>287</v>
      </c>
      <c r="E5" s="216">
        <f>(B5*'Proposed Budget'!$O$68)+(C5*'Proposed Budget'!$O$44)+'Proposed Budget'!$L$21+'Proposed Budget'!$L$22</f>
        <v>19370.33642599333</v>
      </c>
      <c r="F5" s="217">
        <f>SUM('Monthly Breakdown'!O49:O52)</f>
        <v>18875.669999999998</v>
      </c>
      <c r="G5" s="218">
        <f t="shared" si="0"/>
        <v>-494.66642599333136</v>
      </c>
      <c r="H5" s="219">
        <f t="shared" si="1"/>
        <v>-2.5537317221270946E-2</v>
      </c>
      <c r="I5" s="209"/>
      <c r="J5" s="220">
        <f t="shared" ref="J5:K5" si="10">SUM(O23,E23,J23)</f>
        <v>13000</v>
      </c>
      <c r="K5" s="221">
        <f t="shared" si="10"/>
        <v>13208.85</v>
      </c>
      <c r="L5" s="222">
        <f t="shared" si="3"/>
        <v>-208.85000000000036</v>
      </c>
      <c r="M5" s="223">
        <f t="shared" si="4"/>
        <v>1.6065384615384645E-2</v>
      </c>
      <c r="N5" s="209"/>
      <c r="O5" s="224">
        <f t="shared" si="5"/>
        <v>6370.3364259933296</v>
      </c>
      <c r="P5" s="225">
        <f>SUM('Monthly Breakdown'!O45:O46)</f>
        <v>5666.82</v>
      </c>
      <c r="Q5" s="226">
        <f t="shared" si="6"/>
        <v>-703.5164259933299</v>
      </c>
      <c r="R5" s="209"/>
      <c r="S5" s="209"/>
      <c r="T5" s="209">
        <f t="shared" si="7"/>
        <v>0</v>
      </c>
    </row>
    <row r="6" spans="1:20" ht="11.25" customHeight="1" x14ac:dyDescent="0.3">
      <c r="A6" s="213" t="s">
        <v>240</v>
      </c>
      <c r="B6" s="214">
        <v>2</v>
      </c>
      <c r="C6" s="215">
        <v>2</v>
      </c>
      <c r="D6" s="199"/>
      <c r="E6" s="216">
        <f>(B6*'Proposed Budget'!$O$68)+(C6*'Proposed Budget'!$O$44)+'Proposed Budget'!$L$21+'Proposed Budget'!$L$22</f>
        <v>16606.55292099333</v>
      </c>
      <c r="F6" s="217">
        <f>SUM('Monthly Breakdown'!Q49:Q52)</f>
        <v>7611.6</v>
      </c>
      <c r="G6" s="218">
        <f t="shared" si="0"/>
        <v>-8994.9529209933298</v>
      </c>
      <c r="H6" s="219">
        <f t="shared" si="1"/>
        <v>-0.54165081481914745</v>
      </c>
      <c r="I6" s="209"/>
      <c r="J6" s="220">
        <f t="shared" ref="J6:K6" si="11">SUM(O24,E24,J24)</f>
        <v>13000</v>
      </c>
      <c r="K6" s="221">
        <f t="shared" si="11"/>
        <v>6886.02</v>
      </c>
      <c r="L6" s="222">
        <f t="shared" si="3"/>
        <v>6113.98</v>
      </c>
      <c r="M6" s="223">
        <f t="shared" si="4"/>
        <v>-0.47030615384615382</v>
      </c>
      <c r="N6" s="209"/>
      <c r="O6" s="224">
        <f t="shared" si="5"/>
        <v>3606.5529209933302</v>
      </c>
      <c r="P6" s="225">
        <f>SUM('Monthly Breakdown'!Q45:Q46)</f>
        <v>50</v>
      </c>
      <c r="Q6" s="226">
        <f t="shared" si="6"/>
        <v>-3556.5529209933302</v>
      </c>
      <c r="R6" s="209"/>
      <c r="S6" s="209"/>
      <c r="T6" s="209">
        <f t="shared" si="7"/>
        <v>675.57999999999993</v>
      </c>
    </row>
    <row r="7" spans="1:20" ht="11.25" customHeight="1" x14ac:dyDescent="0.3">
      <c r="A7" s="213" t="s">
        <v>241</v>
      </c>
      <c r="B7" s="214">
        <v>2</v>
      </c>
      <c r="C7" s="215">
        <v>2</v>
      </c>
      <c r="D7" s="199"/>
      <c r="E7" s="216">
        <f>(B7*'Proposed Budget'!$O$68)+(C7*'Proposed Budget'!$O$44)+'Proposed Budget'!$L$21+'Proposed Budget'!$L$22</f>
        <v>16606.55292099333</v>
      </c>
      <c r="F7" s="217">
        <f>SUM('Monthly Breakdown'!S49:S52)</f>
        <v>0</v>
      </c>
      <c r="G7" s="218">
        <f t="shared" si="0"/>
        <v>-16606.55292099333</v>
      </c>
      <c r="H7" s="219">
        <f t="shared" si="1"/>
        <v>-1</v>
      </c>
      <c r="I7" s="209"/>
      <c r="J7" s="220">
        <f t="shared" ref="J7:K7" si="12">SUM(O25,E25,J25)</f>
        <v>13000</v>
      </c>
      <c r="K7" s="221">
        <f t="shared" si="12"/>
        <v>0</v>
      </c>
      <c r="L7" s="222">
        <f t="shared" si="3"/>
        <v>13000</v>
      </c>
      <c r="M7" s="223">
        <f t="shared" si="4"/>
        <v>-1</v>
      </c>
      <c r="N7" s="209"/>
      <c r="O7" s="224">
        <f t="shared" si="5"/>
        <v>3606.5529209933302</v>
      </c>
      <c r="P7" s="225">
        <f>SUM('Monthly Breakdown'!S45:S46)</f>
        <v>0</v>
      </c>
      <c r="Q7" s="226">
        <f t="shared" si="6"/>
        <v>-3606.5529209933302</v>
      </c>
      <c r="R7" s="209"/>
      <c r="S7" s="209"/>
      <c r="T7" s="209">
        <f t="shared" si="7"/>
        <v>0</v>
      </c>
    </row>
    <row r="8" spans="1:20" ht="11.25" customHeight="1" x14ac:dyDescent="0.3">
      <c r="A8" s="213" t="s">
        <v>242</v>
      </c>
      <c r="B8" s="214">
        <v>2</v>
      </c>
      <c r="C8" s="215">
        <v>2</v>
      </c>
      <c r="D8" s="199"/>
      <c r="E8" s="216">
        <f>(B8*'Proposed Budget'!$O$68)+(C8*'Proposed Budget'!$O$44)+'Proposed Budget'!$L$21+'Proposed Budget'!$L$22</f>
        <v>16606.55292099333</v>
      </c>
      <c r="F8" s="217">
        <f>SUM('Monthly Breakdown'!U49:U52)</f>
        <v>0</v>
      </c>
      <c r="G8" s="218">
        <f t="shared" si="0"/>
        <v>-16606.55292099333</v>
      </c>
      <c r="H8" s="219">
        <f t="shared" si="1"/>
        <v>-1</v>
      </c>
      <c r="I8" s="209"/>
      <c r="J8" s="220">
        <f t="shared" ref="J8:K8" si="13">SUM(O26,E26,J26)</f>
        <v>13000</v>
      </c>
      <c r="K8" s="221">
        <f t="shared" si="13"/>
        <v>0</v>
      </c>
      <c r="L8" s="222">
        <f t="shared" si="3"/>
        <v>13000</v>
      </c>
      <c r="M8" s="223">
        <f t="shared" si="4"/>
        <v>-1</v>
      </c>
      <c r="N8" s="209"/>
      <c r="O8" s="224">
        <f t="shared" si="5"/>
        <v>3606.5529209933302</v>
      </c>
      <c r="P8" s="225">
        <f>SUM('Monthly Breakdown'!U45:U46)</f>
        <v>0</v>
      </c>
      <c r="Q8" s="226">
        <f t="shared" si="6"/>
        <v>-3606.5529209933302</v>
      </c>
      <c r="R8" s="209"/>
      <c r="S8" s="209"/>
      <c r="T8" s="209">
        <f t="shared" si="7"/>
        <v>0</v>
      </c>
    </row>
    <row r="9" spans="1:20" ht="11.25" customHeight="1" x14ac:dyDescent="0.3">
      <c r="A9" s="213" t="s">
        <v>243</v>
      </c>
      <c r="B9" s="214">
        <v>2</v>
      </c>
      <c r="C9" s="215">
        <v>2</v>
      </c>
      <c r="D9" s="199"/>
      <c r="E9" s="216">
        <f>(B9*'Proposed Budget'!$O$68)+(C9*'Proposed Budget'!$O$44)+'Proposed Budget'!$L$21+'Proposed Budget'!$L$22</f>
        <v>16606.55292099333</v>
      </c>
      <c r="F9" s="217">
        <f>SUM('Monthly Breakdown'!W49:W52)</f>
        <v>0</v>
      </c>
      <c r="G9" s="218">
        <f t="shared" si="0"/>
        <v>-16606.55292099333</v>
      </c>
      <c r="H9" s="219">
        <f t="shared" si="1"/>
        <v>-1</v>
      </c>
      <c r="I9" s="209"/>
      <c r="J9" s="220">
        <f t="shared" ref="J9:K9" si="14">SUM(O27,E27,J27)</f>
        <v>13000</v>
      </c>
      <c r="K9" s="221">
        <f t="shared" si="14"/>
        <v>0</v>
      </c>
      <c r="L9" s="222">
        <f t="shared" si="3"/>
        <v>13000</v>
      </c>
      <c r="M9" s="223">
        <f t="shared" si="4"/>
        <v>-1</v>
      </c>
      <c r="N9" s="209"/>
      <c r="O9" s="224">
        <f t="shared" si="5"/>
        <v>3606.5529209933302</v>
      </c>
      <c r="P9" s="225">
        <f>SUM('Monthly Breakdown'!W45:W46)</f>
        <v>0</v>
      </c>
      <c r="Q9" s="226">
        <f t="shared" si="6"/>
        <v>-3606.5529209933302</v>
      </c>
      <c r="R9" s="209"/>
      <c r="S9" s="209"/>
      <c r="T9" s="209">
        <f t="shared" si="7"/>
        <v>0</v>
      </c>
    </row>
    <row r="10" spans="1:20" ht="11.25" customHeight="1" x14ac:dyDescent="0.3">
      <c r="A10" s="227" t="s">
        <v>244</v>
      </c>
      <c r="B10" s="214">
        <v>2</v>
      </c>
      <c r="C10" s="215">
        <v>3</v>
      </c>
      <c r="D10" s="199"/>
      <c r="E10" s="216">
        <f>(B10*'Proposed Budget'!$O$68)+(C10*'Proposed Budget'!$O$44)+'Proposed Budget'!$L$21+'Proposed Budget'!$L$22</f>
        <v>19370.33642599333</v>
      </c>
      <c r="F10" s="217">
        <f>SUM('Monthly Breakdown'!Y49:Y52)</f>
        <v>0</v>
      </c>
      <c r="G10" s="218">
        <f t="shared" si="0"/>
        <v>-19370.33642599333</v>
      </c>
      <c r="H10" s="219">
        <f t="shared" si="1"/>
        <v>-1</v>
      </c>
      <c r="I10" s="209"/>
      <c r="J10" s="220">
        <f t="shared" ref="J10:K10" si="15">SUM(O28,E28,J28)</f>
        <v>13000</v>
      </c>
      <c r="K10" s="221">
        <f t="shared" si="15"/>
        <v>0</v>
      </c>
      <c r="L10" s="222">
        <f t="shared" si="3"/>
        <v>13000</v>
      </c>
      <c r="M10" s="223">
        <f t="shared" si="4"/>
        <v>-1</v>
      </c>
      <c r="N10" s="209"/>
      <c r="O10" s="224">
        <f t="shared" si="5"/>
        <v>6370.3364259933296</v>
      </c>
      <c r="P10" s="225">
        <f>SUM('Monthly Breakdown'!Y45:Y46)</f>
        <v>0</v>
      </c>
      <c r="Q10" s="226">
        <f t="shared" si="6"/>
        <v>-6370.3364259933296</v>
      </c>
      <c r="R10" s="209"/>
      <c r="S10" s="209"/>
      <c r="T10" s="209">
        <f t="shared" si="7"/>
        <v>0</v>
      </c>
    </row>
    <row r="11" spans="1:20" ht="11.25" customHeight="1" x14ac:dyDescent="0.3">
      <c r="A11" s="227" t="s">
        <v>245</v>
      </c>
      <c r="B11" s="214">
        <v>2</v>
      </c>
      <c r="C11" s="215">
        <v>2</v>
      </c>
      <c r="D11" s="199"/>
      <c r="E11" s="216">
        <f>(B11*'Proposed Budget'!$O$68)+(C11*'Proposed Budget'!$O$44)+'Proposed Budget'!$L$21+'Proposed Budget'!$L$22</f>
        <v>16606.55292099333</v>
      </c>
      <c r="F11" s="217">
        <f>SUM('Monthly Breakdown'!AA49:AA52)</f>
        <v>0</v>
      </c>
      <c r="G11" s="218">
        <f t="shared" si="0"/>
        <v>-16606.55292099333</v>
      </c>
      <c r="H11" s="219">
        <f t="shared" si="1"/>
        <v>-1</v>
      </c>
      <c r="I11" s="209"/>
      <c r="J11" s="220">
        <f t="shared" ref="J11:K11" si="16">SUM(O29,E29,J29)</f>
        <v>13000</v>
      </c>
      <c r="K11" s="221">
        <f t="shared" si="16"/>
        <v>0</v>
      </c>
      <c r="L11" s="222">
        <f t="shared" si="3"/>
        <v>13000</v>
      </c>
      <c r="M11" s="223">
        <f t="shared" si="4"/>
        <v>-1</v>
      </c>
      <c r="N11" s="209"/>
      <c r="O11" s="224">
        <f t="shared" si="5"/>
        <v>3606.5529209933302</v>
      </c>
      <c r="P11" s="225">
        <f>SUM('Monthly Breakdown'!AA45:AA46)</f>
        <v>0</v>
      </c>
      <c r="Q11" s="226">
        <f t="shared" si="6"/>
        <v>-3606.5529209933302</v>
      </c>
      <c r="R11" s="209"/>
      <c r="S11" s="209"/>
      <c r="T11" s="209">
        <f t="shared" si="7"/>
        <v>0</v>
      </c>
    </row>
    <row r="12" spans="1:20" ht="11.25" customHeight="1" x14ac:dyDescent="0.3">
      <c r="A12" s="227" t="s">
        <v>246</v>
      </c>
      <c r="B12" s="214">
        <v>2</v>
      </c>
      <c r="C12" s="215">
        <v>2</v>
      </c>
      <c r="D12" s="199"/>
      <c r="E12" s="216">
        <f>(B12*'Proposed Budget'!$O$68)+(C12*'Proposed Budget'!$O$44)+'Proposed Budget'!$L$21+'Proposed Budget'!$L$22</f>
        <v>16606.55292099333</v>
      </c>
      <c r="F12" s="217">
        <f>SUM('Monthly Breakdown'!AC49:AC52)</f>
        <v>0</v>
      </c>
      <c r="G12" s="218">
        <f t="shared" si="0"/>
        <v>-16606.55292099333</v>
      </c>
      <c r="H12" s="219">
        <f t="shared" si="1"/>
        <v>-1</v>
      </c>
      <c r="I12" s="209"/>
      <c r="J12" s="220">
        <f t="shared" ref="J12:K12" si="17">SUM(O30,E30,J30)</f>
        <v>13000</v>
      </c>
      <c r="K12" s="221">
        <f t="shared" si="17"/>
        <v>0</v>
      </c>
      <c r="L12" s="222">
        <f t="shared" si="3"/>
        <v>13000</v>
      </c>
      <c r="M12" s="223">
        <f t="shared" si="4"/>
        <v>-1</v>
      </c>
      <c r="N12" s="209"/>
      <c r="O12" s="224">
        <f t="shared" si="5"/>
        <v>3606.5529209933302</v>
      </c>
      <c r="P12" s="225">
        <f>SUM('Monthly Breakdown'!AC45:AC46)</f>
        <v>0</v>
      </c>
      <c r="Q12" s="226">
        <f t="shared" si="6"/>
        <v>-3606.5529209933302</v>
      </c>
      <c r="R12" s="209"/>
      <c r="S12" s="209"/>
      <c r="T12" s="209">
        <f t="shared" si="7"/>
        <v>0</v>
      </c>
    </row>
    <row r="13" spans="1:20" ht="11.25" customHeight="1" x14ac:dyDescent="0.3">
      <c r="A13" s="227" t="s">
        <v>247</v>
      </c>
      <c r="B13" s="214">
        <v>2</v>
      </c>
      <c r="C13" s="215">
        <v>2</v>
      </c>
      <c r="D13" s="199"/>
      <c r="E13" s="216">
        <f>(B13*'Proposed Budget'!$O$68)+(C13*'Proposed Budget'!$O$44)+'Proposed Budget'!$L$21+'Proposed Budget'!$L$22</f>
        <v>16606.55292099333</v>
      </c>
      <c r="F13" s="217">
        <f>SUM('Monthly Breakdown'!AE49:AE52)</f>
        <v>0</v>
      </c>
      <c r="G13" s="218">
        <f t="shared" si="0"/>
        <v>-16606.55292099333</v>
      </c>
      <c r="H13" s="219">
        <f t="shared" si="1"/>
        <v>-1</v>
      </c>
      <c r="I13" s="209"/>
      <c r="J13" s="220">
        <f t="shared" ref="J13:K13" si="18">SUM(O31,E31,J31)</f>
        <v>13000</v>
      </c>
      <c r="K13" s="221">
        <f t="shared" si="18"/>
        <v>0</v>
      </c>
      <c r="L13" s="222">
        <f t="shared" si="3"/>
        <v>13000</v>
      </c>
      <c r="M13" s="223">
        <f t="shared" si="4"/>
        <v>-1</v>
      </c>
      <c r="N13" s="209"/>
      <c r="O13" s="224">
        <f t="shared" si="5"/>
        <v>3606.5529209933302</v>
      </c>
      <c r="P13" s="225">
        <f>SUM('Monthly Breakdown'!AE45:AE46)</f>
        <v>0</v>
      </c>
      <c r="Q13" s="226">
        <f t="shared" si="6"/>
        <v>-3606.5529209933302</v>
      </c>
      <c r="R13" s="209"/>
      <c r="S13" s="209"/>
      <c r="T13" s="209">
        <f t="shared" si="7"/>
        <v>0</v>
      </c>
    </row>
    <row r="14" spans="1:20" ht="11.25" customHeight="1" x14ac:dyDescent="0.3">
      <c r="A14" s="228"/>
      <c r="B14" s="214"/>
      <c r="C14" s="215"/>
      <c r="D14" s="199"/>
      <c r="E14" s="216"/>
      <c r="F14" s="217"/>
      <c r="G14" s="218"/>
      <c r="H14" s="219"/>
      <c r="I14" s="209"/>
      <c r="J14" s="220"/>
      <c r="K14" s="221"/>
      <c r="L14" s="222"/>
      <c r="M14" s="223"/>
      <c r="N14" s="209"/>
      <c r="O14" s="224"/>
      <c r="P14" s="225"/>
      <c r="Q14" s="226"/>
      <c r="R14" s="209"/>
      <c r="S14" s="209"/>
      <c r="T14" s="209"/>
    </row>
    <row r="15" spans="1:20" ht="11.25" customHeight="1" x14ac:dyDescent="0.3">
      <c r="A15" s="228"/>
      <c r="B15" s="214"/>
      <c r="C15" s="215"/>
      <c r="D15" s="199"/>
      <c r="E15" s="216"/>
      <c r="F15" s="217"/>
      <c r="G15" s="218"/>
      <c r="H15" s="219"/>
      <c r="I15" s="209"/>
      <c r="J15" s="220"/>
      <c r="K15" s="221"/>
      <c r="L15" s="222"/>
      <c r="M15" s="223"/>
      <c r="N15" s="209"/>
      <c r="O15" s="224"/>
      <c r="P15" s="225"/>
      <c r="Q15" s="226"/>
      <c r="R15" s="209"/>
      <c r="S15" s="209"/>
      <c r="T15" s="209"/>
    </row>
    <row r="16" spans="1:20" ht="11.25" customHeight="1" x14ac:dyDescent="0.3">
      <c r="A16" s="228" t="s">
        <v>68</v>
      </c>
      <c r="B16" s="214"/>
      <c r="C16" s="215"/>
      <c r="D16" s="199"/>
      <c r="E16" s="216">
        <f>SUM(E2:E6)</f>
        <v>85796.54810996665</v>
      </c>
      <c r="F16" s="216">
        <f>SUM(F2:F6)</f>
        <v>75713.540000000008</v>
      </c>
      <c r="G16" s="216">
        <f>SUM(G2:G6)</f>
        <v>-10083.008109966651</v>
      </c>
      <c r="H16" s="219">
        <f>((SUM(F16))-SUM(E16))/SUM(E16)</f>
        <v>-0.11752230517529806</v>
      </c>
      <c r="I16" s="209"/>
      <c r="J16" s="220">
        <f>SUM(J2:J6)</f>
        <v>65000</v>
      </c>
      <c r="K16" s="220">
        <f>SUM(K2:K6)</f>
        <v>57902.009999999995</v>
      </c>
      <c r="L16" s="220">
        <f>SUM(L2:L6)</f>
        <v>7097.99</v>
      </c>
      <c r="M16" s="223">
        <f>((K16-SUM(J16))/SUM(J16))</f>
        <v>-0.10919984615384623</v>
      </c>
      <c r="N16" s="209"/>
      <c r="O16" s="224">
        <f>SUM(O2:O6)</f>
        <v>20796.54810996665</v>
      </c>
      <c r="P16" s="224">
        <f>SUM(P2:P6)</f>
        <v>17135.949999999997</v>
      </c>
      <c r="Q16" s="224">
        <f>SUM(Q2:Q6)</f>
        <v>-3660.598109966651</v>
      </c>
      <c r="R16" s="229">
        <f>((P16-SUM(O16))/SUM(O16))</f>
        <v>-0.17601950528570309</v>
      </c>
      <c r="S16" s="209"/>
      <c r="T16" s="209">
        <f>F16-K16-P16</f>
        <v>675.5800000000163</v>
      </c>
    </row>
    <row r="19" spans="1:17" ht="11.25" customHeight="1" x14ac:dyDescent="0.3">
      <c r="A19" s="196" t="s">
        <v>224</v>
      </c>
      <c r="B19" s="199"/>
      <c r="C19" s="199"/>
      <c r="D19" s="199"/>
      <c r="E19" s="230" t="s">
        <v>248</v>
      </c>
      <c r="F19" s="231" t="s">
        <v>249</v>
      </c>
      <c r="G19" s="232" t="s">
        <v>229</v>
      </c>
      <c r="H19" s="233" t="s">
        <v>233</v>
      </c>
      <c r="I19" s="209"/>
      <c r="J19" s="234" t="s">
        <v>250</v>
      </c>
      <c r="K19" s="235" t="s">
        <v>251</v>
      </c>
      <c r="L19" s="236" t="s">
        <v>229</v>
      </c>
      <c r="M19" s="237" t="s">
        <v>233</v>
      </c>
      <c r="N19" s="209"/>
      <c r="O19" s="238" t="s">
        <v>252</v>
      </c>
      <c r="P19" s="239" t="s">
        <v>253</v>
      </c>
      <c r="Q19" s="240" t="s">
        <v>229</v>
      </c>
    </row>
    <row r="20" spans="1:17" ht="11.25" customHeight="1" x14ac:dyDescent="0.3">
      <c r="A20" s="213" t="s">
        <v>236</v>
      </c>
      <c r="B20" s="199"/>
      <c r="C20" s="199"/>
      <c r="D20" s="199"/>
      <c r="E20" s="241">
        <f>SUM('Proposed Budget'!$D$14:$D$31)</f>
        <v>5200</v>
      </c>
      <c r="F20" s="242">
        <f>SUM('Monthly Breakdown'!I14:I31)</f>
        <v>4819.04</v>
      </c>
      <c r="G20" s="243">
        <f t="shared" ref="G20:G31" si="19">E20-F20</f>
        <v>380.96000000000004</v>
      </c>
      <c r="H20" s="244">
        <f t="shared" ref="H20:H31" si="20">((F20-E20)/E20)</f>
        <v>-7.3261538461538475E-2</v>
      </c>
      <c r="I20" s="209"/>
      <c r="J20" s="245">
        <f>SUM('Proposed Budget'!$D$5:$D$12)</f>
        <v>5800</v>
      </c>
      <c r="K20" s="246">
        <f>SUM('Monthly Breakdown'!I5:I12)</f>
        <v>5575.68</v>
      </c>
      <c r="L20" s="247">
        <f t="shared" ref="L20:L31" si="21">J20-K20</f>
        <v>224.31999999999971</v>
      </c>
      <c r="M20" s="248">
        <f t="shared" ref="M20:M31" si="22">((K20-J20)/J20)</f>
        <v>-3.8675862068965464E-2</v>
      </c>
      <c r="N20" s="209"/>
      <c r="O20" s="249">
        <f>SUM('Proposed Budget'!$D$33:$D$43)</f>
        <v>2000</v>
      </c>
      <c r="P20" s="250">
        <f>SUM('Monthly Breakdown'!I33:I43)</f>
        <v>2000</v>
      </c>
      <c r="Q20" s="251">
        <f t="shared" ref="Q20:Q31" si="23">O20-P20</f>
        <v>0</v>
      </c>
    </row>
    <row r="21" spans="1:17" ht="11.25" customHeight="1" x14ac:dyDescent="0.3">
      <c r="A21" s="213" t="s">
        <v>237</v>
      </c>
      <c r="B21" s="199"/>
      <c r="C21" s="199"/>
      <c r="D21" s="199"/>
      <c r="E21" s="241">
        <f>SUM('Proposed Budget'!$D$14:$D$31)</f>
        <v>5200</v>
      </c>
      <c r="F21" s="242">
        <f>SUM('Monthly Breakdown'!K14:K31)</f>
        <v>4930.4799999999996</v>
      </c>
      <c r="G21" s="243">
        <f t="shared" si="19"/>
        <v>269.52000000000044</v>
      </c>
      <c r="H21" s="244">
        <f t="shared" si="20"/>
        <v>-5.1830769230769312E-2</v>
      </c>
      <c r="I21" s="209"/>
      <c r="J21" s="245">
        <f>SUM('Proposed Budget'!$D$5:$D$12)</f>
        <v>5800</v>
      </c>
      <c r="K21" s="246">
        <f>SUM('Monthly Breakdown'!K5:K12)</f>
        <v>5870.2300000000005</v>
      </c>
      <c r="L21" s="247">
        <f t="shared" si="21"/>
        <v>-70.230000000000473</v>
      </c>
      <c r="M21" s="248">
        <f t="shared" si="22"/>
        <v>1.2108620689655254E-2</v>
      </c>
      <c r="N21" s="209"/>
      <c r="O21" s="249">
        <f>SUM('Proposed Budget'!$D$33:$D$43)</f>
        <v>2000</v>
      </c>
      <c r="P21" s="250">
        <f>SUM('Monthly Breakdown'!K33:K43)</f>
        <v>2000</v>
      </c>
      <c r="Q21" s="251">
        <f t="shared" si="23"/>
        <v>0</v>
      </c>
    </row>
    <row r="22" spans="1:17" ht="11.25" customHeight="1" x14ac:dyDescent="0.3">
      <c r="A22" s="213" t="s">
        <v>238</v>
      </c>
      <c r="B22" s="199"/>
      <c r="C22" s="199"/>
      <c r="D22" s="199"/>
      <c r="E22" s="241">
        <f>SUM('Proposed Budget'!$D$14:$D$31)</f>
        <v>5200</v>
      </c>
      <c r="F22" s="242">
        <f>SUM('Monthly Breakdown'!M14:M31)</f>
        <v>5444.89</v>
      </c>
      <c r="G22" s="243">
        <f t="shared" si="19"/>
        <v>-244.89000000000033</v>
      </c>
      <c r="H22" s="244">
        <f t="shared" si="20"/>
        <v>4.7094230769230833E-2</v>
      </c>
      <c r="I22" s="209"/>
      <c r="J22" s="245">
        <f>SUM('Proposed Budget'!$D$5:$D$12)</f>
        <v>5800</v>
      </c>
      <c r="K22" s="246">
        <f>SUM('Monthly Breakdown'!M5:M12)</f>
        <v>5166.82</v>
      </c>
      <c r="L22" s="247">
        <f t="shared" si="21"/>
        <v>633.18000000000029</v>
      </c>
      <c r="M22" s="248">
        <f t="shared" si="22"/>
        <v>-0.10916896551724142</v>
      </c>
      <c r="N22" s="209"/>
      <c r="O22" s="249">
        <f>SUM('Proposed Budget'!$D$33:$D$43)</f>
        <v>2000</v>
      </c>
      <c r="P22" s="250">
        <f>SUM('Monthly Breakdown'!M33:M43)</f>
        <v>2000</v>
      </c>
      <c r="Q22" s="251">
        <f t="shared" si="23"/>
        <v>0</v>
      </c>
    </row>
    <row r="23" spans="1:17" ht="11.25" customHeight="1" x14ac:dyDescent="0.3">
      <c r="A23" s="213" t="s">
        <v>239</v>
      </c>
      <c r="B23" s="199"/>
      <c r="C23" s="199"/>
      <c r="D23" s="199"/>
      <c r="E23" s="241">
        <f>SUM('Proposed Budget'!$D$14:$D$31)</f>
        <v>5200</v>
      </c>
      <c r="F23" s="242">
        <f>SUM('Monthly Breakdown'!O14:O31)</f>
        <v>4511.1900000000005</v>
      </c>
      <c r="G23" s="243">
        <f t="shared" si="19"/>
        <v>688.80999999999949</v>
      </c>
      <c r="H23" s="244">
        <f t="shared" si="20"/>
        <v>-0.13246346153846145</v>
      </c>
      <c r="I23" s="209"/>
      <c r="J23" s="245">
        <f>SUM('Proposed Budget'!$D$5:$D$12)</f>
        <v>5800</v>
      </c>
      <c r="K23" s="246">
        <f>SUM('Monthly Breakdown'!O5:O12)</f>
        <v>6697.66</v>
      </c>
      <c r="L23" s="247">
        <f t="shared" si="21"/>
        <v>-897.65999999999985</v>
      </c>
      <c r="M23" s="248">
        <f t="shared" si="22"/>
        <v>0.15476896551724134</v>
      </c>
      <c r="N23" s="209"/>
      <c r="O23" s="249">
        <f>SUM('Proposed Budget'!$D$33:$D$43)</f>
        <v>2000</v>
      </c>
      <c r="P23" s="250">
        <f>SUM('Monthly Breakdown'!O33:O43)</f>
        <v>2000</v>
      </c>
      <c r="Q23" s="251">
        <f t="shared" si="23"/>
        <v>0</v>
      </c>
    </row>
    <row r="24" spans="1:17" ht="11.25" customHeight="1" x14ac:dyDescent="0.3">
      <c r="A24" s="213" t="s">
        <v>240</v>
      </c>
      <c r="B24" s="199"/>
      <c r="C24" s="199"/>
      <c r="D24" s="199"/>
      <c r="E24" s="241">
        <f>SUM('Proposed Budget'!$D$14:$D$31)</f>
        <v>5200</v>
      </c>
      <c r="F24" s="242">
        <f>SUM('Monthly Breakdown'!Q14:Q31)</f>
        <v>3442.1100000000006</v>
      </c>
      <c r="G24" s="243">
        <f t="shared" si="19"/>
        <v>1757.8899999999994</v>
      </c>
      <c r="H24" s="244">
        <f t="shared" si="20"/>
        <v>-0.33805576923076913</v>
      </c>
      <c r="I24" s="209"/>
      <c r="J24" s="245">
        <f>SUM('Proposed Budget'!$D$5:$D$12)</f>
        <v>5800</v>
      </c>
      <c r="K24" s="246">
        <f>SUM('Monthly Breakdown'!Q5:Q12)</f>
        <v>3443.91</v>
      </c>
      <c r="L24" s="247">
        <f t="shared" si="21"/>
        <v>2356.09</v>
      </c>
      <c r="M24" s="248">
        <f t="shared" si="22"/>
        <v>-0.40622241379310348</v>
      </c>
      <c r="N24" s="209"/>
      <c r="O24" s="249">
        <f>SUM('Proposed Budget'!$D$33:$D$43)</f>
        <v>2000</v>
      </c>
      <c r="P24" s="250">
        <f>SUM('Monthly Breakdown'!Q33:Q43)</f>
        <v>0</v>
      </c>
      <c r="Q24" s="251">
        <f t="shared" si="23"/>
        <v>2000</v>
      </c>
    </row>
    <row r="25" spans="1:17" ht="11.25" customHeight="1" x14ac:dyDescent="0.3">
      <c r="A25" s="213" t="s">
        <v>241</v>
      </c>
      <c r="B25" s="199"/>
      <c r="C25" s="199"/>
      <c r="D25" s="199"/>
      <c r="E25" s="241">
        <f>SUM('Proposed Budget'!$D$14:$D$31)</f>
        <v>5200</v>
      </c>
      <c r="F25" s="242">
        <f>SUM('Monthly Breakdown'!S14:S31)</f>
        <v>0</v>
      </c>
      <c r="G25" s="243">
        <f t="shared" si="19"/>
        <v>5200</v>
      </c>
      <c r="H25" s="244">
        <f t="shared" si="20"/>
        <v>-1</v>
      </c>
      <c r="I25" s="209"/>
      <c r="J25" s="245">
        <f>SUM('Proposed Budget'!$D$5:$D$12)</f>
        <v>5800</v>
      </c>
      <c r="K25" s="246">
        <f>SUM('Monthly Breakdown'!S5:S12)</f>
        <v>0</v>
      </c>
      <c r="L25" s="247">
        <f t="shared" si="21"/>
        <v>5800</v>
      </c>
      <c r="M25" s="248">
        <f t="shared" si="22"/>
        <v>-1</v>
      </c>
      <c r="N25" s="209"/>
      <c r="O25" s="249">
        <f>SUM('Proposed Budget'!$D$33:$D$43)</f>
        <v>2000</v>
      </c>
      <c r="P25" s="250">
        <f>SUM('Monthly Breakdown'!S33:S43)</f>
        <v>0</v>
      </c>
      <c r="Q25" s="251">
        <f t="shared" si="23"/>
        <v>2000</v>
      </c>
    </row>
    <row r="26" spans="1:17" ht="11.25" customHeight="1" x14ac:dyDescent="0.3">
      <c r="A26" s="213" t="s">
        <v>242</v>
      </c>
      <c r="B26" s="199"/>
      <c r="C26" s="199"/>
      <c r="D26" s="199"/>
      <c r="E26" s="241">
        <f>SUM('Proposed Budget'!$D$14:$D$31)</f>
        <v>5200</v>
      </c>
      <c r="F26" s="242">
        <f>SUM('Monthly Breakdown'!U14:U31)</f>
        <v>0</v>
      </c>
      <c r="G26" s="243">
        <f t="shared" si="19"/>
        <v>5200</v>
      </c>
      <c r="H26" s="244">
        <f t="shared" si="20"/>
        <v>-1</v>
      </c>
      <c r="I26" s="209"/>
      <c r="J26" s="245">
        <f>SUM('Proposed Budget'!$D$5:$D$12)</f>
        <v>5800</v>
      </c>
      <c r="K26" s="246">
        <f>SUM('Monthly Breakdown'!U5:U12)</f>
        <v>0</v>
      </c>
      <c r="L26" s="247">
        <f t="shared" si="21"/>
        <v>5800</v>
      </c>
      <c r="M26" s="248">
        <f t="shared" si="22"/>
        <v>-1</v>
      </c>
      <c r="N26" s="209"/>
      <c r="O26" s="249">
        <f>SUM('Proposed Budget'!$D$33:$D$43)</f>
        <v>2000</v>
      </c>
      <c r="P26" s="250">
        <f>SUM('Monthly Breakdown'!U33:U43)</f>
        <v>0</v>
      </c>
      <c r="Q26" s="251">
        <f t="shared" si="23"/>
        <v>2000</v>
      </c>
    </row>
    <row r="27" spans="1:17" ht="11.25" customHeight="1" x14ac:dyDescent="0.3">
      <c r="A27" s="213" t="s">
        <v>243</v>
      </c>
      <c r="B27" s="199"/>
      <c r="C27" s="199"/>
      <c r="D27" s="199"/>
      <c r="E27" s="241">
        <f>SUM('Proposed Budget'!$D$14:$D$31)</f>
        <v>5200</v>
      </c>
      <c r="F27" s="242">
        <f>SUM('Monthly Breakdown'!W14:W31)</f>
        <v>0</v>
      </c>
      <c r="G27" s="243">
        <f t="shared" si="19"/>
        <v>5200</v>
      </c>
      <c r="H27" s="244">
        <f t="shared" si="20"/>
        <v>-1</v>
      </c>
      <c r="I27" s="209"/>
      <c r="J27" s="245">
        <f>SUM('Proposed Budget'!$D$5:$D$12)</f>
        <v>5800</v>
      </c>
      <c r="K27" s="246">
        <f>SUM('Monthly Breakdown'!W5:W12)</f>
        <v>0</v>
      </c>
      <c r="L27" s="247">
        <f t="shared" si="21"/>
        <v>5800</v>
      </c>
      <c r="M27" s="248">
        <f t="shared" si="22"/>
        <v>-1</v>
      </c>
      <c r="N27" s="209"/>
      <c r="O27" s="249">
        <f>SUM('Proposed Budget'!$D$33:$D$43)</f>
        <v>2000</v>
      </c>
      <c r="P27" s="250">
        <f>SUM('Monthly Breakdown'!W33:W43)</f>
        <v>0</v>
      </c>
      <c r="Q27" s="251">
        <f t="shared" si="23"/>
        <v>2000</v>
      </c>
    </row>
    <row r="28" spans="1:17" ht="11.25" customHeight="1" x14ac:dyDescent="0.3">
      <c r="A28" s="227" t="s">
        <v>244</v>
      </c>
      <c r="B28" s="199"/>
      <c r="C28" s="199"/>
      <c r="D28" s="199"/>
      <c r="E28" s="241">
        <f>SUM('Proposed Budget'!$D$14:$D$31)</f>
        <v>5200</v>
      </c>
      <c r="F28" s="242">
        <f>SUM('Monthly Breakdown'!Y14:Y31)</f>
        <v>0</v>
      </c>
      <c r="G28" s="243">
        <f t="shared" si="19"/>
        <v>5200</v>
      </c>
      <c r="H28" s="244">
        <f t="shared" si="20"/>
        <v>-1</v>
      </c>
      <c r="I28" s="209"/>
      <c r="J28" s="245">
        <f>SUM('Proposed Budget'!$D$5:$D$12)</f>
        <v>5800</v>
      </c>
      <c r="K28" s="246">
        <f>SUM('Monthly Breakdown'!Y5:Y12)</f>
        <v>0</v>
      </c>
      <c r="L28" s="247">
        <f t="shared" si="21"/>
        <v>5800</v>
      </c>
      <c r="M28" s="248">
        <f t="shared" si="22"/>
        <v>-1</v>
      </c>
      <c r="N28" s="209"/>
      <c r="O28" s="249">
        <f>SUM('Proposed Budget'!$D$33:$D$43)</f>
        <v>2000</v>
      </c>
      <c r="P28" s="250">
        <f>SUM('Monthly Breakdown'!Y33:Y43)</f>
        <v>0</v>
      </c>
      <c r="Q28" s="251">
        <f t="shared" si="23"/>
        <v>2000</v>
      </c>
    </row>
    <row r="29" spans="1:17" ht="11.25" customHeight="1" x14ac:dyDescent="0.3">
      <c r="A29" s="227" t="s">
        <v>245</v>
      </c>
      <c r="B29" s="199"/>
      <c r="C29" s="199"/>
      <c r="D29" s="199"/>
      <c r="E29" s="241">
        <f>SUM('Proposed Budget'!$D$14:$D$31)</f>
        <v>5200</v>
      </c>
      <c r="F29" s="242">
        <f>SUM('Monthly Breakdown'!AA14:AA31)</f>
        <v>0</v>
      </c>
      <c r="G29" s="243">
        <f t="shared" si="19"/>
        <v>5200</v>
      </c>
      <c r="H29" s="244">
        <f t="shared" si="20"/>
        <v>-1</v>
      </c>
      <c r="I29" s="209"/>
      <c r="J29" s="245">
        <f>SUM('Proposed Budget'!$D$5:$D$12)</f>
        <v>5800</v>
      </c>
      <c r="K29" s="246">
        <f>SUM('Monthly Breakdown'!AA5:AA12)</f>
        <v>0</v>
      </c>
      <c r="L29" s="247">
        <f t="shared" si="21"/>
        <v>5800</v>
      </c>
      <c r="M29" s="248">
        <f t="shared" si="22"/>
        <v>-1</v>
      </c>
      <c r="N29" s="209"/>
      <c r="O29" s="249">
        <f>SUM('Proposed Budget'!$D$33:$D$43)</f>
        <v>2000</v>
      </c>
      <c r="P29" s="250">
        <f>SUM('Monthly Breakdown'!AA33:AA43)</f>
        <v>0</v>
      </c>
      <c r="Q29" s="251">
        <f t="shared" si="23"/>
        <v>2000</v>
      </c>
    </row>
    <row r="30" spans="1:17" ht="11.25" customHeight="1" x14ac:dyDescent="0.3">
      <c r="A30" s="227" t="s">
        <v>246</v>
      </c>
      <c r="B30" s="199"/>
      <c r="C30" s="199"/>
      <c r="D30" s="199"/>
      <c r="E30" s="241">
        <f>SUM('Proposed Budget'!$D$14:$D$31)</f>
        <v>5200</v>
      </c>
      <c r="F30" s="242">
        <f>SUM('Monthly Breakdown'!AC14:AC31)</f>
        <v>0</v>
      </c>
      <c r="G30" s="243">
        <f t="shared" si="19"/>
        <v>5200</v>
      </c>
      <c r="H30" s="244">
        <f t="shared" si="20"/>
        <v>-1</v>
      </c>
      <c r="I30" s="209"/>
      <c r="J30" s="245">
        <f>SUM('Proposed Budget'!$D$5:$D$12)</f>
        <v>5800</v>
      </c>
      <c r="K30" s="246">
        <f>SUM('Monthly Breakdown'!AC5:AC12)</f>
        <v>0</v>
      </c>
      <c r="L30" s="247">
        <f t="shared" si="21"/>
        <v>5800</v>
      </c>
      <c r="M30" s="248">
        <f t="shared" si="22"/>
        <v>-1</v>
      </c>
      <c r="N30" s="209"/>
      <c r="O30" s="249">
        <f>SUM('Proposed Budget'!$D$33:$D$43)</f>
        <v>2000</v>
      </c>
      <c r="P30" s="250">
        <f>SUM('Monthly Breakdown'!AC33:AC43)</f>
        <v>0</v>
      </c>
      <c r="Q30" s="251">
        <f t="shared" si="23"/>
        <v>2000</v>
      </c>
    </row>
    <row r="31" spans="1:17" ht="11.25" customHeight="1" x14ac:dyDescent="0.3">
      <c r="A31" s="227" t="s">
        <v>247</v>
      </c>
      <c r="B31" s="199"/>
      <c r="C31" s="199"/>
      <c r="D31" s="199"/>
      <c r="E31" s="241">
        <f>SUM('Proposed Budget'!$D$14:$D$31)</f>
        <v>5200</v>
      </c>
      <c r="F31" s="242">
        <f>SUM('Monthly Breakdown'!AE14:AE31)</f>
        <v>0</v>
      </c>
      <c r="G31" s="243">
        <f t="shared" si="19"/>
        <v>5200</v>
      </c>
      <c r="H31" s="244">
        <f t="shared" si="20"/>
        <v>-1</v>
      </c>
      <c r="I31" s="209"/>
      <c r="J31" s="245">
        <f>SUM('Proposed Budget'!$D$5:$D$12)</f>
        <v>5800</v>
      </c>
      <c r="K31" s="246">
        <f>SUM('Monthly Breakdown'!AE5:AE12)</f>
        <v>0</v>
      </c>
      <c r="L31" s="247">
        <f t="shared" si="21"/>
        <v>5800</v>
      </c>
      <c r="M31" s="248">
        <f t="shared" si="22"/>
        <v>-1</v>
      </c>
      <c r="N31" s="209"/>
      <c r="O31" s="249">
        <f>SUM('Proposed Budget'!$D$33:$D$43)</f>
        <v>2000</v>
      </c>
      <c r="P31" s="250">
        <f>SUM('Monthly Breakdown'!AE33:AE43)</f>
        <v>0</v>
      </c>
      <c r="Q31" s="251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28" t="s">
        <v>68</v>
      </c>
      <c r="B34" s="199"/>
      <c r="C34" s="199"/>
      <c r="D34" s="199"/>
      <c r="E34" s="241">
        <f>SUM(E20:E24)</f>
        <v>26000</v>
      </c>
      <c r="F34" s="241">
        <f>SUM(F20:F24)</f>
        <v>23147.71</v>
      </c>
      <c r="G34" s="241">
        <f>SUM(G20:G24)</f>
        <v>2852.2899999999991</v>
      </c>
      <c r="H34" s="244">
        <f>((F34-SUM(E34)))/SUM(E34)</f>
        <v>-0.10970346153846157</v>
      </c>
      <c r="I34" s="209"/>
      <c r="J34" s="245">
        <f>SUM(J20:J24)</f>
        <v>29000</v>
      </c>
      <c r="K34" s="245">
        <f>SUM(K20:K24)</f>
        <v>26754.3</v>
      </c>
      <c r="L34" s="245">
        <f>SUM(L20:L24)</f>
        <v>2245.6999999999998</v>
      </c>
      <c r="M34" s="248">
        <f>((K34-SUM(J34))/SUM(J34))</f>
        <v>-7.7437931034482779E-2</v>
      </c>
      <c r="N34" s="209"/>
      <c r="O34" s="249">
        <f t="shared" ref="O34:Q34" si="24">SUM(O20:O31)</f>
        <v>24000</v>
      </c>
      <c r="P34" s="249">
        <f t="shared" si="24"/>
        <v>8000</v>
      </c>
      <c r="Q34" s="249">
        <f t="shared" si="24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D46" sqref="D46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52"/>
      <c r="B1" s="253"/>
      <c r="C1" s="254"/>
      <c r="D1" s="255" t="s">
        <v>254</v>
      </c>
      <c r="E1" s="256" t="s">
        <v>68</v>
      </c>
      <c r="F1" s="256" t="s">
        <v>68</v>
      </c>
      <c r="G1" s="257" t="s">
        <v>255</v>
      </c>
      <c r="H1" s="256" t="s">
        <v>254</v>
      </c>
      <c r="I1" s="258">
        <v>46023</v>
      </c>
      <c r="J1" s="258">
        <v>46053</v>
      </c>
      <c r="K1" s="259">
        <v>46054</v>
      </c>
      <c r="L1" s="259">
        <v>46081</v>
      </c>
      <c r="M1" s="260">
        <v>46082</v>
      </c>
      <c r="N1" s="260">
        <v>46112</v>
      </c>
      <c r="O1" s="261">
        <v>46113</v>
      </c>
      <c r="P1" s="261">
        <v>46142</v>
      </c>
      <c r="Q1" s="258">
        <v>46143</v>
      </c>
      <c r="R1" s="258">
        <v>46173</v>
      </c>
      <c r="S1" s="259">
        <v>45809</v>
      </c>
      <c r="T1" s="259">
        <v>45838</v>
      </c>
      <c r="U1" s="260">
        <v>45839</v>
      </c>
      <c r="V1" s="260">
        <v>45869</v>
      </c>
      <c r="W1" s="261">
        <v>45870</v>
      </c>
      <c r="X1" s="261">
        <v>45900</v>
      </c>
      <c r="Y1" s="262">
        <v>45901</v>
      </c>
      <c r="Z1" s="262">
        <v>45930</v>
      </c>
      <c r="AA1" s="263">
        <v>45931</v>
      </c>
      <c r="AB1" s="263">
        <v>45961</v>
      </c>
      <c r="AC1" s="264">
        <v>45962</v>
      </c>
      <c r="AD1" s="264">
        <v>45991</v>
      </c>
      <c r="AE1" s="265">
        <v>45627</v>
      </c>
      <c r="AF1" s="265">
        <v>45657</v>
      </c>
    </row>
    <row r="2" spans="1:32" ht="11.25" customHeight="1" x14ac:dyDescent="0.3">
      <c r="A2" s="266"/>
      <c r="B2" s="266"/>
      <c r="C2" s="267"/>
      <c r="D2" s="268" t="s">
        <v>256</v>
      </c>
      <c r="E2" s="256" t="s">
        <v>257</v>
      </c>
      <c r="F2" s="256" t="s">
        <v>258</v>
      </c>
      <c r="G2" s="257" t="s">
        <v>259</v>
      </c>
      <c r="H2" s="256" t="s">
        <v>260</v>
      </c>
      <c r="I2" s="269" t="s">
        <v>257</v>
      </c>
      <c r="J2" s="269" t="s">
        <v>258</v>
      </c>
      <c r="K2" s="270" t="s">
        <v>257</v>
      </c>
      <c r="L2" s="270" t="s">
        <v>258</v>
      </c>
      <c r="M2" s="271" t="s">
        <v>257</v>
      </c>
      <c r="N2" s="271" t="s">
        <v>258</v>
      </c>
      <c r="O2" s="272" t="s">
        <v>257</v>
      </c>
      <c r="P2" s="272"/>
      <c r="Q2" s="269" t="s">
        <v>257</v>
      </c>
      <c r="R2" s="269" t="s">
        <v>258</v>
      </c>
      <c r="S2" s="270" t="s">
        <v>257</v>
      </c>
      <c r="T2" s="270" t="s">
        <v>258</v>
      </c>
      <c r="U2" s="271" t="s">
        <v>257</v>
      </c>
      <c r="V2" s="271" t="s">
        <v>258</v>
      </c>
      <c r="W2" s="272" t="s">
        <v>257</v>
      </c>
      <c r="X2" s="272" t="s">
        <v>258</v>
      </c>
      <c r="Y2" s="273" t="s">
        <v>257</v>
      </c>
      <c r="Z2" s="273" t="s">
        <v>258</v>
      </c>
      <c r="AA2" s="274" t="s">
        <v>257</v>
      </c>
      <c r="AB2" s="274" t="s">
        <v>258</v>
      </c>
      <c r="AC2" s="275" t="s">
        <v>257</v>
      </c>
      <c r="AD2" s="275" t="s">
        <v>258</v>
      </c>
      <c r="AE2" s="276" t="s">
        <v>257</v>
      </c>
      <c r="AF2" s="276" t="s">
        <v>258</v>
      </c>
    </row>
    <row r="3" spans="1:32" ht="11.25" customHeight="1" x14ac:dyDescent="0.3">
      <c r="A3" s="563" t="s">
        <v>261</v>
      </c>
      <c r="B3" s="564"/>
      <c r="C3" s="277" t="s">
        <v>156</v>
      </c>
      <c r="D3" s="278"/>
      <c r="E3" s="279">
        <f t="shared" ref="E3:F3" si="0">SUM(E5:E46)</f>
        <v>75037.959999999992</v>
      </c>
      <c r="F3" s="279">
        <f t="shared" si="0"/>
        <v>166.79402063998816</v>
      </c>
      <c r="G3" s="280">
        <f>1-((E3/SUM(E3:F3)))</f>
        <v>2.2178653838056395E-3</v>
      </c>
      <c r="H3" s="279">
        <f>SUM(H5:H67)</f>
        <v>17067.183505159996</v>
      </c>
      <c r="I3" s="281">
        <f>SUM(I5:I46)</f>
        <v>15639.36</v>
      </c>
      <c r="J3" s="282"/>
      <c r="K3" s="243">
        <f>SUM(K5:K46)</f>
        <v>16615.620000000003</v>
      </c>
      <c r="L3" s="283"/>
      <c r="M3" s="284">
        <f>SUM(M5:M46)</f>
        <v>16971.29</v>
      </c>
      <c r="N3" s="285"/>
      <c r="O3" s="247">
        <f>SUM(O5:O46)</f>
        <v>18875.669999999998</v>
      </c>
      <c r="P3" s="286"/>
      <c r="Q3" s="281">
        <f>SUM(Q5:Q46)</f>
        <v>6936.0200000000013</v>
      </c>
      <c r="R3" s="282"/>
      <c r="S3" s="243">
        <f>SUM(S5:S46)</f>
        <v>0</v>
      </c>
      <c r="T3" s="283"/>
      <c r="U3" s="284">
        <f>SUM(U5:U46)</f>
        <v>0</v>
      </c>
      <c r="V3" s="285"/>
      <c r="W3" s="247">
        <f>SUM(W5:W46)</f>
        <v>0</v>
      </c>
      <c r="X3" s="286"/>
      <c r="Y3" s="287">
        <f>SUM(Y5:Y46)</f>
        <v>0</v>
      </c>
      <c r="Z3" s="288"/>
      <c r="AA3" s="289">
        <f>SUM(AA5:AA46)</f>
        <v>0</v>
      </c>
      <c r="AB3" s="290"/>
      <c r="AC3" s="291">
        <f>SUM(AC5:AC46)</f>
        <v>0</v>
      </c>
      <c r="AD3" s="292"/>
      <c r="AE3" s="293">
        <f>SUM(AE5:AE46)</f>
        <v>0</v>
      </c>
      <c r="AF3" s="294"/>
    </row>
    <row r="4" spans="1:32" ht="11.25" customHeight="1" x14ac:dyDescent="0.3">
      <c r="A4" s="563" t="s">
        <v>262</v>
      </c>
      <c r="B4" s="565"/>
      <c r="C4" s="564"/>
      <c r="D4" s="278"/>
      <c r="E4" s="295"/>
      <c r="F4" s="295"/>
      <c r="G4" s="296"/>
      <c r="H4" s="297"/>
      <c r="I4" s="282"/>
      <c r="J4" s="282"/>
      <c r="K4" s="283"/>
      <c r="L4" s="283"/>
      <c r="M4" s="285"/>
      <c r="N4" s="285"/>
      <c r="O4" s="286"/>
      <c r="P4" s="286"/>
      <c r="Q4" s="282"/>
      <c r="R4" s="282"/>
      <c r="S4" s="283"/>
      <c r="T4" s="283"/>
      <c r="U4" s="285"/>
      <c r="V4" s="285"/>
      <c r="W4" s="286"/>
      <c r="X4" s="286"/>
      <c r="Y4" s="288"/>
      <c r="Z4" s="288"/>
      <c r="AA4" s="290"/>
      <c r="AB4" s="290"/>
      <c r="AC4" s="292"/>
      <c r="AD4" s="292"/>
      <c r="AE4" s="294"/>
      <c r="AF4" s="294"/>
    </row>
    <row r="5" spans="1:32" ht="11.25" customHeight="1" x14ac:dyDescent="0.3">
      <c r="A5" s="295" t="str">
        <f>'Proposed Budget'!A5</f>
        <v>D</v>
      </c>
      <c r="B5" s="266">
        <f>'Proposed Budget'!B5</f>
        <v>1</v>
      </c>
      <c r="C5" s="298" t="str">
        <f>'Proposed Budget'!C5</f>
        <v>Groceries/Household</v>
      </c>
      <c r="D5" s="299">
        <f t="shared" ref="D5:D12" ca="1" si="1">(E5/(TODAY()-$I$1))*30.42</f>
        <v>1203.5902791366905</v>
      </c>
      <c r="E5" s="300">
        <f>I5+K5+M5+O5+Q5+S5+U5+W5+Y5+AA5+AC5+AE5</f>
        <v>5499.6399999999994</v>
      </c>
      <c r="F5" s="300">
        <f t="shared" ref="F5:F12" si="2">J5+L5+N5+P5</f>
        <v>54.850000000000136</v>
      </c>
      <c r="G5" s="280">
        <f t="shared" ref="G5:G12" si="3">1-((E5/SUM(E5:F5)))</f>
        <v>9.8748940046701206E-3</v>
      </c>
      <c r="H5" s="300">
        <f>'Proposed Budget'!D5</f>
        <v>1200</v>
      </c>
      <c r="I5" s="281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81">
        <f t="shared" ref="J5:J12" si="4">H5-I5</f>
        <v>132.44000000000005</v>
      </c>
      <c r="K5" s="243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43">
        <f t="shared" ref="L5:L12" si="5">H5-K5</f>
        <v>166.09999999999991</v>
      </c>
      <c r="M5" s="284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84">
        <f t="shared" ref="N5:N12" si="6">H5-M5</f>
        <v>-158.8599999999999</v>
      </c>
      <c r="O5" s="247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47">
        <f t="shared" ref="P5:P12" si="7">H5-O5</f>
        <v>-84.829999999999927</v>
      </c>
      <c r="Q5" s="281">
        <f>SUMIFS('Checking Transaction Log'!$E:$E,'Checking Transaction Log'!$C:$C,"&gt;="&amp;Q1,'Checking Transaction Log'!$C:$C,"&lt;="&amp;R1,'Checking Transaction Log'!$A:$A,"D",'Checking Transaction Log'!$B:$B,1)</f>
        <v>754.49</v>
      </c>
      <c r="R5" s="281">
        <f t="shared" ref="R5:R12" si="8">H5-Q5</f>
        <v>445.51</v>
      </c>
      <c r="S5" s="243">
        <f>SUMIFS('Checking Transaction Log'!$E:$E,'Checking Transaction Log'!$C:$C,"&gt;="&amp;S1,'Checking Transaction Log'!$C:$C,"&lt;="&amp;T1,'Checking Transaction Log'!$A:$A,"D",'Checking Transaction Log'!$B:$B,1)</f>
        <v>0</v>
      </c>
      <c r="T5" s="243">
        <f t="shared" ref="T5:T12" si="9">H5-S5</f>
        <v>1200</v>
      </c>
      <c r="U5" s="284">
        <f>SUMIFS('Checking Transaction Log'!$E:$E,'Checking Transaction Log'!$C:$C,"&gt;="&amp;U1,'Checking Transaction Log'!$C:$C,"&lt;="&amp;V1,'Checking Transaction Log'!$A:$A,"D",'Checking Transaction Log'!$B:$B,1)</f>
        <v>0</v>
      </c>
      <c r="V5" s="284">
        <f t="shared" ref="V5:V12" si="10">H5-U5</f>
        <v>1200</v>
      </c>
      <c r="W5" s="247">
        <f>SUMIFS('Checking Transaction Log'!$E:$E,'Checking Transaction Log'!$C:$C,"&gt;="&amp;W1,'Checking Transaction Log'!$C:$C,"&lt;="&amp;X1,'Checking Transaction Log'!$A:$A,"D",'Checking Transaction Log'!$B:$B,1)</f>
        <v>0</v>
      </c>
      <c r="X5" s="247">
        <f t="shared" ref="X5:X12" si="11">H5-W5</f>
        <v>1200</v>
      </c>
      <c r="Y5" s="287">
        <f>SUMIFS('Checking Transaction Log'!$E:$E,'Checking Transaction Log'!$C:$C,"&gt;="&amp;Y1,'Checking Transaction Log'!$C:$C,"&lt;="&amp;Z1,'Checking Transaction Log'!$A:$A,"D",'Checking Transaction Log'!$B:$B,1)</f>
        <v>0</v>
      </c>
      <c r="Z5" s="287">
        <f t="shared" ref="Z5:Z12" si="12">H5-Y5</f>
        <v>1200</v>
      </c>
      <c r="AA5" s="289">
        <f>SUMIFS('Checking Transaction Log'!$E:$E,'Checking Transaction Log'!$C:$C,"&gt;="&amp;AA1,'Checking Transaction Log'!$C:$C,"&lt;="&amp;AB1,'Checking Transaction Log'!$A:$A,"D",'Checking Transaction Log'!$B:$B,1)</f>
        <v>0</v>
      </c>
      <c r="AB5" s="289">
        <f t="shared" ref="AB5:AB12" si="13">H5-AA5</f>
        <v>1200</v>
      </c>
      <c r="AC5" s="291">
        <f>SUMIFS('Checking Transaction Log'!$E:$E,'Checking Transaction Log'!$C:$C,"&gt;="&amp;AC1,'Checking Transaction Log'!$C:$C,"&lt;="&amp;AD1,'Checking Transaction Log'!$A:$A,"D",'Checking Transaction Log'!$B:$B,1)</f>
        <v>0</v>
      </c>
      <c r="AD5" s="291">
        <f t="shared" ref="AD5:AD12" si="14">H5-AC5</f>
        <v>1200</v>
      </c>
      <c r="AE5" s="293">
        <f>SUMIFS('Checking Transaction Log'!$E:$E,'Checking Transaction Log'!$C:$C,"&gt;="&amp;AE1,'Checking Transaction Log'!$C:$C,"&lt;="&amp;AF1,'Checking Transaction Log'!$A:$A,"D",'Checking Transaction Log'!$B:$B,1)</f>
        <v>0</v>
      </c>
      <c r="AF5" s="293">
        <f t="shared" ref="AF5:AF12" si="15">H5-AE5</f>
        <v>1200</v>
      </c>
    </row>
    <row r="6" spans="1:32" ht="11.25" customHeight="1" x14ac:dyDescent="0.3">
      <c r="A6" s="295" t="str">
        <f>'Proposed Budget'!A6</f>
        <v>D</v>
      </c>
      <c r="B6" s="266">
        <f>'Proposed Budget'!B6</f>
        <v>2</v>
      </c>
      <c r="C6" s="298" t="str">
        <f>'Proposed Budget'!C6</f>
        <v>Dining Out</v>
      </c>
      <c r="D6" s="299">
        <f t="shared" ca="1" si="1"/>
        <v>1131.904126618705</v>
      </c>
      <c r="E6" s="300">
        <f t="shared" ref="E6:E12" si="16">Q6+S6+U6+W6+Y6+AA6+AC6+AE6+I6+K6+M6+O6</f>
        <v>5172.08</v>
      </c>
      <c r="F6" s="300">
        <f t="shared" si="2"/>
        <v>609.23000000000059</v>
      </c>
      <c r="G6" s="280">
        <f t="shared" si="3"/>
        <v>0.1053792306587954</v>
      </c>
      <c r="H6" s="300">
        <f>'Proposed Budget'!D6</f>
        <v>1200</v>
      </c>
      <c r="I6" s="281">
        <f>SUMIFS('Checking Transaction Log'!E:E,'Checking Transaction Log'!C:C,"&gt;="&amp;I1,'Checking Transaction Log'!C:C,"&lt;="&amp;J1,'Checking Transaction Log'!A:A,"D",'Checking Transaction Log'!B:B,2)</f>
        <v>1061.45</v>
      </c>
      <c r="J6" s="281">
        <f t="shared" si="4"/>
        <v>138.54999999999995</v>
      </c>
      <c r="K6" s="243">
        <f>SUMIFS('Checking Transaction Log'!E:E,'Checking Transaction Log'!C:C,"&gt;="&amp;K1,'Checking Transaction Log'!C:C,"&lt;="&amp;L1,'Checking Transaction Log'!A:A,"D",'Checking Transaction Log'!B:B,2)</f>
        <v>911.68</v>
      </c>
      <c r="L6" s="243">
        <f t="shared" si="5"/>
        <v>288.32000000000005</v>
      </c>
      <c r="M6" s="284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84">
        <f t="shared" si="6"/>
        <v>-33.459999999999582</v>
      </c>
      <c r="O6" s="247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47">
        <f t="shared" si="7"/>
        <v>215.82000000000016</v>
      </c>
      <c r="Q6" s="281">
        <f>SUMIFS('Checking Transaction Log'!$E:$E,'Checking Transaction Log'!$C:$C,"&gt;="&amp;Q1,'Checking Transaction Log'!$C:$C,"&lt;="&amp;R1,'Checking Transaction Log'!$A:$A,"D",'Checking Transaction Log'!$B:$B,2)</f>
        <v>981.30999999999983</v>
      </c>
      <c r="R6" s="281">
        <f t="shared" si="8"/>
        <v>218.69000000000017</v>
      </c>
      <c r="S6" s="243">
        <f>SUMIFS('Checking Transaction Log'!$E:$E,'Checking Transaction Log'!$C:$C,"&gt;="&amp;S1,'Checking Transaction Log'!$C:$C,"&lt;="&amp;T1,'Checking Transaction Log'!$A:$A,"D",'Checking Transaction Log'!$B:$B,2)</f>
        <v>0</v>
      </c>
      <c r="T6" s="243">
        <f t="shared" si="9"/>
        <v>1200</v>
      </c>
      <c r="U6" s="284">
        <f>SUMIFS('Checking Transaction Log'!$E:$E,'Checking Transaction Log'!$C:$C,"&gt;="&amp;U1,'Checking Transaction Log'!$C:$C,"&lt;="&amp;V1,'Checking Transaction Log'!$A:$A,"D",'Checking Transaction Log'!$B:$B,2)</f>
        <v>0</v>
      </c>
      <c r="V6" s="284">
        <f t="shared" si="10"/>
        <v>1200</v>
      </c>
      <c r="W6" s="247">
        <f>SUMIFS('Checking Transaction Log'!$E:$E,'Checking Transaction Log'!$C:$C,"&gt;="&amp;W1,'Checking Transaction Log'!$C:$C,"&lt;="&amp;X1,'Checking Transaction Log'!$A:$A,"D",'Checking Transaction Log'!$B:$B,2)</f>
        <v>0</v>
      </c>
      <c r="X6" s="247">
        <f t="shared" si="11"/>
        <v>1200</v>
      </c>
      <c r="Y6" s="287">
        <f>SUMIFS('Checking Transaction Log'!$E:$E,'Checking Transaction Log'!$C:$C,"&gt;="&amp;Y1,'Checking Transaction Log'!$C:$C,"&lt;="&amp;Z1,'Checking Transaction Log'!$A:$A,"D",'Checking Transaction Log'!$B:$B,2)</f>
        <v>0</v>
      </c>
      <c r="Z6" s="287">
        <f t="shared" si="12"/>
        <v>1200</v>
      </c>
      <c r="AA6" s="289">
        <f>SUMIFS('Checking Transaction Log'!$E:$E,'Checking Transaction Log'!$C:$C,"&gt;="&amp;AA1,'Checking Transaction Log'!$C:$C,"&lt;="&amp;AB1,'Checking Transaction Log'!$A:$A,"D",'Checking Transaction Log'!$B:$B,2)</f>
        <v>0</v>
      </c>
      <c r="AB6" s="289">
        <f t="shared" si="13"/>
        <v>1200</v>
      </c>
      <c r="AC6" s="291">
        <f>SUMIFS('Checking Transaction Log'!$E:$E,'Checking Transaction Log'!$C:$C,"&gt;="&amp;AC1,'Checking Transaction Log'!$C:$C,"&lt;="&amp;AD1,'Checking Transaction Log'!$A:$A,"D",'Checking Transaction Log'!$B:$B,2)</f>
        <v>0</v>
      </c>
      <c r="AD6" s="291">
        <f t="shared" si="14"/>
        <v>1200</v>
      </c>
      <c r="AE6" s="293">
        <f>SUMIFS('Checking Transaction Log'!$E:$E,'Checking Transaction Log'!$C:$C,"&gt;="&amp;AE1,'Checking Transaction Log'!$C:$C,"&lt;="&amp;AF1,'Checking Transaction Log'!$A:$A,"D",'Checking Transaction Log'!$B:$B,2)</f>
        <v>0</v>
      </c>
      <c r="AF6" s="293">
        <f t="shared" si="15"/>
        <v>1200</v>
      </c>
    </row>
    <row r="7" spans="1:32" ht="11.25" customHeight="1" x14ac:dyDescent="0.3">
      <c r="A7" s="295" t="str">
        <f>'Proposed Budget'!A7</f>
        <v>D</v>
      </c>
      <c r="B7" s="266">
        <f>'Proposed Budget'!B7</f>
        <v>3</v>
      </c>
      <c r="C7" s="298" t="str">
        <f>'Proposed Budget'!C7</f>
        <v>Misc Food</v>
      </c>
      <c r="D7" s="299">
        <f t="shared" ca="1" si="1"/>
        <v>132.14973237410069</v>
      </c>
      <c r="E7" s="300">
        <f t="shared" si="16"/>
        <v>603.83999999999992</v>
      </c>
      <c r="F7" s="300">
        <f t="shared" si="2"/>
        <v>99.54000000000002</v>
      </c>
      <c r="G7" s="280">
        <f t="shared" si="3"/>
        <v>0.141516676618613</v>
      </c>
      <c r="H7" s="300">
        <f>'Proposed Budget'!D7</f>
        <v>150</v>
      </c>
      <c r="I7" s="281">
        <f>SUMIFS('Checking Transaction Log'!E:E,'Checking Transaction Log'!C:C,"&gt;="&amp;I1,'Checking Transaction Log'!C:C,"&lt;="&amp;J1,'Checking Transaction Log'!A:A,"D",'Checking Transaction Log'!B:B,3)</f>
        <v>144.51</v>
      </c>
      <c r="J7" s="281">
        <f t="shared" si="4"/>
        <v>5.4900000000000091</v>
      </c>
      <c r="K7" s="243">
        <f>SUMIFS('Checking Transaction Log'!E:E,'Checking Transaction Log'!C:C,"&gt;="&amp;K1,'Checking Transaction Log'!C:C,"&lt;="&amp;L1,'Checking Transaction Log'!A:A,"D",'Checking Transaction Log'!B:B,3)</f>
        <v>90.76</v>
      </c>
      <c r="L7" s="243">
        <f t="shared" si="5"/>
        <v>59.239999999999995</v>
      </c>
      <c r="M7" s="284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84">
        <f t="shared" si="6"/>
        <v>-23.53</v>
      </c>
      <c r="O7" s="247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47">
        <f t="shared" si="7"/>
        <v>58.340000000000018</v>
      </c>
      <c r="Q7" s="281">
        <f>SUMIFS('Checking Transaction Log'!$E:$E,'Checking Transaction Log'!$C:$C,"&gt;="&amp;Q1,'Checking Transaction Log'!$C:$C,"&lt;="&amp;R1,'Checking Transaction Log'!$A:$A,"D",'Checking Transaction Log'!$B:$B,3)</f>
        <v>103.38000000000001</v>
      </c>
      <c r="R7" s="281">
        <f t="shared" si="8"/>
        <v>46.61999999999999</v>
      </c>
      <c r="S7" s="243">
        <f>SUMIFS('Checking Transaction Log'!$E:$E,'Checking Transaction Log'!$C:$C,"&gt;="&amp;S1,'Checking Transaction Log'!$C:$C,"&lt;="&amp;T1,'Checking Transaction Log'!$A:$A,"D",'Checking Transaction Log'!$B:$B,3)</f>
        <v>0</v>
      </c>
      <c r="T7" s="243">
        <f t="shared" si="9"/>
        <v>150</v>
      </c>
      <c r="U7" s="284">
        <f>SUMIFS('Checking Transaction Log'!$E:$E,'Checking Transaction Log'!$C:$C,"&gt;="&amp;U1,'Checking Transaction Log'!$C:$C,"&lt;="&amp;V1,'Checking Transaction Log'!$A:$A,"D",'Checking Transaction Log'!$B:$B,3)</f>
        <v>0</v>
      </c>
      <c r="V7" s="284">
        <f t="shared" si="10"/>
        <v>150</v>
      </c>
      <c r="W7" s="247">
        <f>SUMIFS('Checking Transaction Log'!$E:$E,'Checking Transaction Log'!$C:$C,"&gt;="&amp;W1,'Checking Transaction Log'!$C:$C,"&lt;="&amp;X1,'Checking Transaction Log'!$A:$A,"D",'Checking Transaction Log'!$B:$B,3)</f>
        <v>0</v>
      </c>
      <c r="X7" s="247">
        <f t="shared" si="11"/>
        <v>150</v>
      </c>
      <c r="Y7" s="287">
        <f>SUMIFS('Checking Transaction Log'!$E:$E,'Checking Transaction Log'!$C:$C,"&gt;="&amp;Y1,'Checking Transaction Log'!$C:$C,"&lt;="&amp;Z1,'Checking Transaction Log'!$A:$A,"D",'Checking Transaction Log'!$B:$B,3)</f>
        <v>0</v>
      </c>
      <c r="Z7" s="287">
        <f t="shared" si="12"/>
        <v>150</v>
      </c>
      <c r="AA7" s="289">
        <f>SUMIFS('Checking Transaction Log'!$E:$E,'Checking Transaction Log'!$C:$C,"&gt;="&amp;AA1,'Checking Transaction Log'!$C:$C,"&lt;="&amp;AB1,'Checking Transaction Log'!$A:$A,"D",'Checking Transaction Log'!$B:$B,3)</f>
        <v>0</v>
      </c>
      <c r="AB7" s="289">
        <f t="shared" si="13"/>
        <v>150</v>
      </c>
      <c r="AC7" s="291">
        <f>SUMIFS('Checking Transaction Log'!$E:$E,'Checking Transaction Log'!$C:$C,"&gt;="&amp;AC1,'Checking Transaction Log'!$C:$C,"&lt;="&amp;AD1,'Checking Transaction Log'!$A:$A,"D",'Checking Transaction Log'!$B:$B,3)</f>
        <v>0</v>
      </c>
      <c r="AD7" s="291">
        <f t="shared" si="14"/>
        <v>150</v>
      </c>
      <c r="AE7" s="293">
        <f>SUMIFS('Checking Transaction Log'!$E:$E,'Checking Transaction Log'!$C:$C,"&gt;="&amp;AE1,'Checking Transaction Log'!$C:$C,"&lt;="&amp;AF1,'Checking Transaction Log'!$A:$A,"D",'Checking Transaction Log'!$B:$B,3)</f>
        <v>0</v>
      </c>
      <c r="AF7" s="293">
        <f t="shared" si="15"/>
        <v>150</v>
      </c>
    </row>
    <row r="8" spans="1:32" ht="11.25" customHeight="1" x14ac:dyDescent="0.3">
      <c r="A8" s="295" t="str">
        <f>'Proposed Budget'!A8</f>
        <v>D</v>
      </c>
      <c r="B8" s="266">
        <f>'Proposed Budget'!B8</f>
        <v>4</v>
      </c>
      <c r="C8" s="298" t="str">
        <f>'Proposed Budget'!C8</f>
        <v>Gasoline</v>
      </c>
      <c r="D8" s="299">
        <f t="shared" ca="1" si="1"/>
        <v>625.85320143884894</v>
      </c>
      <c r="E8" s="300">
        <f t="shared" si="16"/>
        <v>2859.75</v>
      </c>
      <c r="F8" s="300">
        <f t="shared" si="2"/>
        <v>-1.9300000000000637</v>
      </c>
      <c r="G8" s="280">
        <f t="shared" si="3"/>
        <v>-6.7533994443325085E-4</v>
      </c>
      <c r="H8" s="300">
        <f>'Proposed Budget'!D8</f>
        <v>600</v>
      </c>
      <c r="I8" s="281">
        <f>SUMIFS('Checking Transaction Log'!E:E,'Checking Transaction Log'!C:C,"&gt;="&amp;I1,'Checking Transaction Log'!C:C,"&lt;="&amp;J1,'Checking Transaction Log'!A:A,"D",'Checking Transaction Log'!B:B,4)</f>
        <v>561.41</v>
      </c>
      <c r="J8" s="281">
        <f t="shared" si="4"/>
        <v>38.590000000000032</v>
      </c>
      <c r="K8" s="243">
        <f>SUMIFS('Checking Transaction Log'!E:E,'Checking Transaction Log'!C:C,"&gt;="&amp;K1,'Checking Transaction Log'!C:C,"&lt;="&amp;L1,'Checking Transaction Log'!A:A,"D",'Checking Transaction Log'!B:B,4)</f>
        <v>710.78</v>
      </c>
      <c r="L8" s="243">
        <f t="shared" si="5"/>
        <v>-110.77999999999997</v>
      </c>
      <c r="M8" s="284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84">
        <f t="shared" si="6"/>
        <v>62.589999999999918</v>
      </c>
      <c r="O8" s="247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47">
        <f t="shared" si="7"/>
        <v>7.6699999999999591</v>
      </c>
      <c r="Q8" s="281">
        <f>SUMIFS('Checking Transaction Log'!$E:$E,'Checking Transaction Log'!$C:$C,"&gt;="&amp;Q1,'Checking Transaction Log'!$C:$C,"&lt;="&amp;R1,'Checking Transaction Log'!$A:$A,"D",'Checking Transaction Log'!$B:$B,4)</f>
        <v>457.82</v>
      </c>
      <c r="R8" s="281">
        <f t="shared" si="8"/>
        <v>142.18</v>
      </c>
      <c r="S8" s="243">
        <f>SUMIFS('Checking Transaction Log'!$E:$E,'Checking Transaction Log'!$C:$C,"&gt;="&amp;S1,'Checking Transaction Log'!$C:$C,"&lt;="&amp;T1,'Checking Transaction Log'!$A:$A,"D",'Checking Transaction Log'!$B:$B,4)</f>
        <v>0</v>
      </c>
      <c r="T8" s="243">
        <f t="shared" si="9"/>
        <v>600</v>
      </c>
      <c r="U8" s="284">
        <f>SUMIFS('Checking Transaction Log'!$E:$E,'Checking Transaction Log'!$C:$C,"&gt;="&amp;U1,'Checking Transaction Log'!$C:$C,"&lt;="&amp;V1,'Checking Transaction Log'!$A:$A,"D",'Checking Transaction Log'!$B:$B,4)</f>
        <v>0</v>
      </c>
      <c r="V8" s="284">
        <f t="shared" si="10"/>
        <v>600</v>
      </c>
      <c r="W8" s="247">
        <f>SUMIFS('Checking Transaction Log'!$E:$E,'Checking Transaction Log'!$C:$C,"&gt;="&amp;W1,'Checking Transaction Log'!$C:$C,"&lt;="&amp;X1,'Checking Transaction Log'!$A:$A,"D",'Checking Transaction Log'!$B:$B,4)</f>
        <v>0</v>
      </c>
      <c r="X8" s="247">
        <f t="shared" si="11"/>
        <v>600</v>
      </c>
      <c r="Y8" s="287">
        <f>SUMIFS('Checking Transaction Log'!$E:$E,'Checking Transaction Log'!$C:$C,"&gt;="&amp;Y1,'Checking Transaction Log'!$C:$C,"&lt;="&amp;Z1,'Checking Transaction Log'!$A:$A,"D",'Checking Transaction Log'!$B:$B,4)</f>
        <v>0</v>
      </c>
      <c r="Z8" s="287">
        <f t="shared" si="12"/>
        <v>600</v>
      </c>
      <c r="AA8" s="289">
        <f>SUMIFS('Checking Transaction Log'!$E:$E,'Checking Transaction Log'!$C:$C,"&gt;="&amp;AA1,'Checking Transaction Log'!$C:$C,"&lt;="&amp;AB1,'Checking Transaction Log'!$A:$A,"D",'Checking Transaction Log'!$B:$B,4)</f>
        <v>0</v>
      </c>
      <c r="AB8" s="289">
        <f t="shared" si="13"/>
        <v>600</v>
      </c>
      <c r="AC8" s="291">
        <f>SUMIFS('Checking Transaction Log'!$E:$E,'Checking Transaction Log'!$C:$C,"&gt;="&amp;AC1,'Checking Transaction Log'!$C:$C,"&lt;="&amp;AD1,'Checking Transaction Log'!$A:$A,"D",'Checking Transaction Log'!$B:$B,4)</f>
        <v>0</v>
      </c>
      <c r="AD8" s="291">
        <f t="shared" si="14"/>
        <v>600</v>
      </c>
      <c r="AE8" s="293">
        <f>SUMIFS('Checking Transaction Log'!$E:$E,'Checking Transaction Log'!$C:$C,"&gt;="&amp;AE1,'Checking Transaction Log'!$C:$C,"&lt;="&amp;AF1,'Checking Transaction Log'!$A:$A,"D",'Checking Transaction Log'!$B:$B,4)</f>
        <v>0</v>
      </c>
      <c r="AF8" s="293">
        <f t="shared" si="15"/>
        <v>600</v>
      </c>
    </row>
    <row r="9" spans="1:32" ht="11.25" customHeight="1" x14ac:dyDescent="0.3">
      <c r="A9" s="295" t="str">
        <f>'Proposed Budget'!A9</f>
        <v>D</v>
      </c>
      <c r="B9" s="266">
        <f>'Proposed Budget'!B9</f>
        <v>5</v>
      </c>
      <c r="C9" s="298" t="str">
        <f>'Proposed Budget'!C9</f>
        <v>Family Entertainment</v>
      </c>
      <c r="D9" s="299">
        <f t="shared" ca="1" si="1"/>
        <v>833.31322446043168</v>
      </c>
      <c r="E9" s="300">
        <f t="shared" si="16"/>
        <v>3807.71</v>
      </c>
      <c r="F9" s="300">
        <f t="shared" si="2"/>
        <v>-888.01</v>
      </c>
      <c r="G9" s="280">
        <f t="shared" si="3"/>
        <v>-0.30414426139671891</v>
      </c>
      <c r="H9" s="300">
        <f>'Proposed Budget'!D9</f>
        <v>700</v>
      </c>
      <c r="I9" s="281">
        <f>SUMIFS('Checking Transaction Log'!E:E,'Checking Transaction Log'!C:C,"&gt;="&amp;I1,'Checking Transaction Log'!C:C,"&lt;="&amp;J1,'Checking Transaction Log'!A:A,"D",'Checking Transaction Log'!B:B,5)</f>
        <v>717.1</v>
      </c>
      <c r="J9" s="281">
        <f t="shared" si="4"/>
        <v>-17.100000000000023</v>
      </c>
      <c r="K9" s="243">
        <f>SUMIFS('Checking Transaction Log'!E:E,'Checking Transaction Log'!C:C,"&gt;="&amp;K1,'Checking Transaction Log'!C:C,"&lt;="&amp;L1,'Checking Transaction Log'!A:A,"D",'Checking Transaction Log'!B:B,5)</f>
        <v>780.14</v>
      </c>
      <c r="L9" s="243">
        <f t="shared" si="5"/>
        <v>-80.139999999999986</v>
      </c>
      <c r="M9" s="284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84">
        <f t="shared" si="6"/>
        <v>183.21000000000004</v>
      </c>
      <c r="O9" s="247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47">
        <f t="shared" si="7"/>
        <v>-973.98</v>
      </c>
      <c r="Q9" s="281">
        <f>SUMIFS('Checking Transaction Log'!$E:$E,'Checking Transaction Log'!$C:$C,"&gt;="&amp;Q1,'Checking Transaction Log'!$C:$C,"&lt;="&amp;R1,'Checking Transaction Log'!$A:$A,"D",'Checking Transaction Log'!$B:$B,5)</f>
        <v>119.69999999999999</v>
      </c>
      <c r="R9" s="281">
        <f t="shared" si="8"/>
        <v>580.29999999999995</v>
      </c>
      <c r="S9" s="243">
        <f>SUMIFS('Checking Transaction Log'!$E:$E,'Checking Transaction Log'!$C:$C,"&gt;="&amp;S1,'Checking Transaction Log'!$C:$C,"&lt;="&amp;T1,'Checking Transaction Log'!$A:$A,"D",'Checking Transaction Log'!$B:$B,5)</f>
        <v>0</v>
      </c>
      <c r="T9" s="243">
        <f t="shared" si="9"/>
        <v>700</v>
      </c>
      <c r="U9" s="284">
        <f>SUMIFS('Checking Transaction Log'!$E:$E,'Checking Transaction Log'!$C:$C,"&gt;="&amp;U1,'Checking Transaction Log'!$C:$C,"&lt;="&amp;V1,'Checking Transaction Log'!$A:$A,"D",'Checking Transaction Log'!$B:$B,5)</f>
        <v>0</v>
      </c>
      <c r="V9" s="284">
        <f t="shared" si="10"/>
        <v>700</v>
      </c>
      <c r="W9" s="247">
        <f>SUMIFS('Checking Transaction Log'!$E:$E,'Checking Transaction Log'!$C:$C,"&gt;="&amp;W1,'Checking Transaction Log'!$C:$C,"&lt;="&amp;X1,'Checking Transaction Log'!$A:$A,"D",'Checking Transaction Log'!$B:$B,5)</f>
        <v>0</v>
      </c>
      <c r="X9" s="247">
        <f t="shared" si="11"/>
        <v>700</v>
      </c>
      <c r="Y9" s="287">
        <f>SUMIFS('Checking Transaction Log'!$E:$E,'Checking Transaction Log'!$C:$C,"&gt;="&amp;Y1,'Checking Transaction Log'!$C:$C,"&lt;="&amp;Z1,'Checking Transaction Log'!$A:$A,"D",'Checking Transaction Log'!$B:$B,5)</f>
        <v>0</v>
      </c>
      <c r="Z9" s="287">
        <f t="shared" si="12"/>
        <v>700</v>
      </c>
      <c r="AA9" s="289">
        <f>SUMIFS('Checking Transaction Log'!$E:$E,'Checking Transaction Log'!$C:$C,"&gt;="&amp;AA1,'Checking Transaction Log'!$C:$C,"&lt;="&amp;AB1,'Checking Transaction Log'!$A:$A,"D",'Checking Transaction Log'!$B:$B,5)</f>
        <v>0</v>
      </c>
      <c r="AB9" s="289">
        <f t="shared" si="13"/>
        <v>700</v>
      </c>
      <c r="AC9" s="291">
        <f>SUMIFS('Checking Transaction Log'!$E:$E,'Checking Transaction Log'!$C:$C,"&gt;="&amp;AC1,'Checking Transaction Log'!$C:$C,"&lt;="&amp;AD1,'Checking Transaction Log'!$A:$A,"D",'Checking Transaction Log'!$B:$B,5)</f>
        <v>0</v>
      </c>
      <c r="AD9" s="291">
        <f t="shared" si="14"/>
        <v>700</v>
      </c>
      <c r="AE9" s="293">
        <f>SUMIFS('Checking Transaction Log'!$E:$E,'Checking Transaction Log'!$C:$C,"&gt;="&amp;AE1,'Checking Transaction Log'!$C:$C,"&lt;="&amp;AF1,'Checking Transaction Log'!$A:$A,"D",'Checking Transaction Log'!$B:$B,5)</f>
        <v>0</v>
      </c>
      <c r="AF9" s="293">
        <f t="shared" si="15"/>
        <v>700</v>
      </c>
    </row>
    <row r="10" spans="1:32" ht="11.25" customHeight="1" x14ac:dyDescent="0.3">
      <c r="A10" s="295" t="str">
        <f>'Proposed Budget'!A10</f>
        <v>D</v>
      </c>
      <c r="B10" s="266">
        <f>'Proposed Budget'!B10</f>
        <v>6</v>
      </c>
      <c r="C10" s="298" t="str">
        <f>'Proposed Budget'!C10</f>
        <v>Miscellaneous Spending</v>
      </c>
      <c r="D10" s="299">
        <f t="shared" ca="1" si="1"/>
        <v>740.1382964028777</v>
      </c>
      <c r="E10" s="300">
        <f t="shared" si="16"/>
        <v>3381.96</v>
      </c>
      <c r="F10" s="300">
        <f t="shared" si="2"/>
        <v>561.30999999999983</v>
      </c>
      <c r="G10" s="280">
        <f t="shared" si="3"/>
        <v>0.14234632677955095</v>
      </c>
      <c r="H10" s="300">
        <f>'Proposed Budget'!D10</f>
        <v>900</v>
      </c>
      <c r="I10" s="281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81">
        <f t="shared" si="4"/>
        <v>185.87999999999988</v>
      </c>
      <c r="K10" s="243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43">
        <f t="shared" si="5"/>
        <v>206.92000000000007</v>
      </c>
      <c r="M10" s="284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84">
        <f t="shared" si="6"/>
        <v>415.30000000000007</v>
      </c>
      <c r="O10" s="247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47">
        <f t="shared" si="7"/>
        <v>-246.79000000000019</v>
      </c>
      <c r="Q10" s="281">
        <f>SUMIFS('Checking Transaction Log'!$E:$E,'Checking Transaction Log'!$C:$C,"&gt;="&amp;Q1,'Checking Transaction Log'!$C:$C,"&lt;="&amp;R1,'Checking Transaction Log'!$A:$A,"D",'Checking Transaction Log'!$B:$B,6)</f>
        <v>343.27</v>
      </c>
      <c r="R10" s="281">
        <f t="shared" si="8"/>
        <v>556.73</v>
      </c>
      <c r="S10" s="243">
        <f>SUMIFS('Checking Transaction Log'!$E:$E,'Checking Transaction Log'!$C:$C,"&gt;="&amp;S1,'Checking Transaction Log'!$C:$C,"&lt;="&amp;T1,'Checking Transaction Log'!$A:$A,"D",'Checking Transaction Log'!$B:$B,6)</f>
        <v>0</v>
      </c>
      <c r="T10" s="243">
        <f t="shared" si="9"/>
        <v>900</v>
      </c>
      <c r="U10" s="284">
        <f>SUMIFS('Checking Transaction Log'!$E:$E,'Checking Transaction Log'!$C:$C,"&gt;="&amp;U1,'Checking Transaction Log'!$C:$C,"&lt;="&amp;V1,'Checking Transaction Log'!$A:$A,"D",'Checking Transaction Log'!$B:$B,6)</f>
        <v>0</v>
      </c>
      <c r="V10" s="284">
        <f t="shared" si="10"/>
        <v>900</v>
      </c>
      <c r="W10" s="247">
        <f>SUMIFS('Checking Transaction Log'!$E:$E,'Checking Transaction Log'!$C:$C,"&gt;="&amp;W1,'Checking Transaction Log'!$C:$C,"&lt;="&amp;X1,'Checking Transaction Log'!$A:$A,"D",'Checking Transaction Log'!$B:$B,6)</f>
        <v>0</v>
      </c>
      <c r="X10" s="247">
        <f t="shared" si="11"/>
        <v>900</v>
      </c>
      <c r="Y10" s="287">
        <f>SUMIFS('Checking Transaction Log'!$E:$E,'Checking Transaction Log'!$C:$C,"&gt;="&amp;Y1,'Checking Transaction Log'!$C:$C,"&lt;="&amp;Z1,'Checking Transaction Log'!$A:$A,"D",'Checking Transaction Log'!$B:$B,6)</f>
        <v>0</v>
      </c>
      <c r="Z10" s="287">
        <f t="shared" si="12"/>
        <v>900</v>
      </c>
      <c r="AA10" s="289">
        <f>SUMIFS('Checking Transaction Log'!$E:$E,'Checking Transaction Log'!$C:$C,"&gt;="&amp;AA1,'Checking Transaction Log'!$C:$C,"&lt;="&amp;AB1,'Checking Transaction Log'!$A:$A,"D",'Checking Transaction Log'!$B:$B,6)</f>
        <v>0</v>
      </c>
      <c r="AB10" s="289">
        <f t="shared" si="13"/>
        <v>900</v>
      </c>
      <c r="AC10" s="291">
        <f>SUMIFS('Checking Transaction Log'!$E:$E,'Checking Transaction Log'!$C:$C,"&gt;="&amp;AC1,'Checking Transaction Log'!$C:$C,"&lt;="&amp;AD1,'Checking Transaction Log'!$A:$A,"D",'Checking Transaction Log'!$B:$B,6)</f>
        <v>0</v>
      </c>
      <c r="AD10" s="291">
        <f t="shared" si="14"/>
        <v>900</v>
      </c>
      <c r="AE10" s="293">
        <f>SUMIFS('Checking Transaction Log'!$E:$E,'Checking Transaction Log'!$C:$C,"&gt;="&amp;AE1,'Checking Transaction Log'!$C:$C,"&lt;="&amp;AF1,'Checking Transaction Log'!$A:$A,"D",'Checking Transaction Log'!$B:$B,6)</f>
        <v>0</v>
      </c>
      <c r="AF10" s="293">
        <f t="shared" si="15"/>
        <v>900</v>
      </c>
    </row>
    <row r="11" spans="1:32" ht="11.25" customHeight="1" x14ac:dyDescent="0.3">
      <c r="A11" s="295" t="str">
        <f>'Proposed Budget'!A11</f>
        <v>D</v>
      </c>
      <c r="B11" s="266">
        <f>'Proposed Budget'!B11</f>
        <v>7</v>
      </c>
      <c r="C11" s="298" t="str">
        <f>'Proposed Budget'!C11</f>
        <v>Department Stores/Clothes</v>
      </c>
      <c r="D11" s="299">
        <f t="shared" ca="1" si="1"/>
        <v>443.0114935251799</v>
      </c>
      <c r="E11" s="300">
        <f t="shared" si="16"/>
        <v>2024.2800000000002</v>
      </c>
      <c r="F11" s="300">
        <f t="shared" si="2"/>
        <v>-387.74999999999989</v>
      </c>
      <c r="G11" s="280">
        <f t="shared" si="3"/>
        <v>-0.23693424501842308</v>
      </c>
      <c r="H11" s="300">
        <f>'Proposed Budget'!D11</f>
        <v>350</v>
      </c>
      <c r="I11" s="281">
        <f>SUMIFS('Checking Transaction Log'!E:E,'Checking Transaction Log'!C:C,"&gt;="&amp;I1,'Checking Transaction Log'!C:C,"&lt;="&amp;J1,'Checking Transaction Log'!A:A,"D",'Checking Transaction Log'!B:B,7)</f>
        <v>626.04</v>
      </c>
      <c r="J11" s="281">
        <f t="shared" si="4"/>
        <v>-276.03999999999996</v>
      </c>
      <c r="K11" s="243">
        <f>SUMIFS('Checking Transaction Log'!E:E,'Checking Transaction Log'!C:C,"&gt;="&amp;K1,'Checking Transaction Log'!C:C,"&lt;="&amp;L1,'Checking Transaction Log'!A:A,"D",'Checking Transaction Log'!B:B,7)</f>
        <v>670.18</v>
      </c>
      <c r="L11" s="243">
        <f t="shared" si="5"/>
        <v>-320.17999999999995</v>
      </c>
      <c r="M11" s="284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84">
        <f t="shared" si="6"/>
        <v>128.35000000000002</v>
      </c>
      <c r="O11" s="247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47">
        <f t="shared" si="7"/>
        <v>80.12</v>
      </c>
      <c r="Q11" s="281">
        <f>SUMIFS('Checking Transaction Log'!$E:$E,'Checking Transaction Log'!$C:$C,"&gt;="&amp;Q1,'Checking Transaction Log'!$C:$C,"&lt;="&amp;R1,'Checking Transaction Log'!$A:$A,"D",'Checking Transaction Log'!$B:$B,7)</f>
        <v>236.53</v>
      </c>
      <c r="R11" s="281">
        <f t="shared" si="8"/>
        <v>113.47</v>
      </c>
      <c r="S11" s="243">
        <f>SUMIFS('Checking Transaction Log'!$E:$E,'Checking Transaction Log'!$C:$C,"&gt;="&amp;S1,'Checking Transaction Log'!$C:$C,"&lt;="&amp;T1,'Checking Transaction Log'!$A:$A,"D",'Checking Transaction Log'!$B:$B,7)</f>
        <v>0</v>
      </c>
      <c r="T11" s="243">
        <f t="shared" si="9"/>
        <v>350</v>
      </c>
      <c r="U11" s="284">
        <f>SUMIFS('Checking Transaction Log'!$E:$E,'Checking Transaction Log'!$C:$C,"&gt;="&amp;U1,'Checking Transaction Log'!$C:$C,"&lt;="&amp;V1,'Checking Transaction Log'!$A:$A,"D",'Checking Transaction Log'!$B:$B,7)</f>
        <v>0</v>
      </c>
      <c r="V11" s="284">
        <f t="shared" si="10"/>
        <v>350</v>
      </c>
      <c r="W11" s="247">
        <f>SUMIFS('Checking Transaction Log'!$E:$E,'Checking Transaction Log'!$C:$C,"&gt;="&amp;W1,'Checking Transaction Log'!$C:$C,"&lt;="&amp;X1,'Checking Transaction Log'!$A:$A,"D",'Checking Transaction Log'!$B:$B,7)</f>
        <v>0</v>
      </c>
      <c r="X11" s="247">
        <f t="shared" si="11"/>
        <v>350</v>
      </c>
      <c r="Y11" s="287">
        <f>SUMIFS('Checking Transaction Log'!$E:$E,'Checking Transaction Log'!$C:$C,"&gt;="&amp;Y1,'Checking Transaction Log'!$C:$C,"&lt;="&amp;Z1,'Checking Transaction Log'!$A:$A,"D",'Checking Transaction Log'!$B:$B,7)</f>
        <v>0</v>
      </c>
      <c r="Z11" s="287">
        <f t="shared" si="12"/>
        <v>350</v>
      </c>
      <c r="AA11" s="289">
        <f>SUMIFS('Checking Transaction Log'!$E:$E,'Checking Transaction Log'!$C:$C,"&gt;="&amp;AA1,'Checking Transaction Log'!$C:$C,"&lt;="&amp;AB1,'Checking Transaction Log'!$A:$A,"D",'Checking Transaction Log'!$B:$B,7)</f>
        <v>0</v>
      </c>
      <c r="AB11" s="289">
        <f t="shared" si="13"/>
        <v>350</v>
      </c>
      <c r="AC11" s="291">
        <f>SUMIFS('Checking Transaction Log'!$E:$E,'Checking Transaction Log'!$C:$C,"&gt;="&amp;AC1,'Checking Transaction Log'!$C:$C,"&lt;="&amp;AD1,'Checking Transaction Log'!$A:$A,"D",'Checking Transaction Log'!$B:$B,7)</f>
        <v>0</v>
      </c>
      <c r="AD11" s="291">
        <f t="shared" si="14"/>
        <v>350</v>
      </c>
      <c r="AE11" s="293">
        <f>SUMIFS('Checking Transaction Log'!$E:$E,'Checking Transaction Log'!$C:$C,"&gt;="&amp;AE1,'Checking Transaction Log'!$C:$C,"&lt;="&amp;AF1,'Checking Transaction Log'!$A:$A,"D",'Checking Transaction Log'!$B:$B,7)</f>
        <v>0</v>
      </c>
      <c r="AF11" s="293">
        <f t="shared" si="15"/>
        <v>350</v>
      </c>
    </row>
    <row r="12" spans="1:32" ht="11.25" customHeight="1" x14ac:dyDescent="0.3">
      <c r="A12" s="295" t="str">
        <f>'Proposed Budget'!A12</f>
        <v>D</v>
      </c>
      <c r="B12" s="266">
        <f>'Proposed Budget'!B12</f>
        <v>8</v>
      </c>
      <c r="C12" s="298" t="str">
        <f>'Proposed Budget'!C12</f>
        <v>Alcohol/Bars</v>
      </c>
      <c r="D12" s="299">
        <f t="shared" ca="1" si="1"/>
        <v>745.18932949640282</v>
      </c>
      <c r="E12" s="300">
        <f t="shared" si="16"/>
        <v>3405.0399999999995</v>
      </c>
      <c r="F12" s="300">
        <f t="shared" si="2"/>
        <v>-157.63000000000011</v>
      </c>
      <c r="G12" s="280">
        <f t="shared" si="3"/>
        <v>-4.8540221284038676E-2</v>
      </c>
      <c r="H12" s="300">
        <f>'Proposed Budget'!D12</f>
        <v>700</v>
      </c>
      <c r="I12" s="281">
        <f>SUMIFS('Checking Transaction Log'!E:E,'Checking Transaction Log'!C:C,"&gt;="&amp;I1,'Checking Transaction Log'!C:C,"&lt;="&amp;J1,'Checking Transaction Log'!A:A,"D",'Checking Transaction Log'!B:B,8)</f>
        <v>683.49</v>
      </c>
      <c r="J12" s="281">
        <f t="shared" si="4"/>
        <v>16.509999999999991</v>
      </c>
      <c r="K12" s="243">
        <f>SUMIFS('Checking Transaction Log'!E:E,'Checking Transaction Log'!C:C,"&gt;="&amp;K1,'Checking Transaction Log'!C:C,"&lt;="&amp;L1,'Checking Transaction Log'!A:A,"D",'Checking Transaction Log'!B:B,8)</f>
        <v>979.71</v>
      </c>
      <c r="L12" s="243">
        <f t="shared" si="5"/>
        <v>-279.71000000000004</v>
      </c>
      <c r="M12" s="284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84">
        <f t="shared" si="6"/>
        <v>59.579999999999814</v>
      </c>
      <c r="O12" s="247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47">
        <f t="shared" si="7"/>
        <v>45.990000000000123</v>
      </c>
      <c r="Q12" s="281">
        <f>SUMIFS('Checking Transaction Log'!$E:$E,'Checking Transaction Log'!$C:$C,"&gt;="&amp;Q1,'Checking Transaction Log'!$C:$C,"&lt;="&amp;R1,'Checking Transaction Log'!$A:$A,"D",'Checking Transaction Log'!$B:$B,8)</f>
        <v>447.40999999999991</v>
      </c>
      <c r="R12" s="281">
        <f t="shared" si="8"/>
        <v>252.59000000000009</v>
      </c>
      <c r="S12" s="243">
        <f>SUMIFS('Checking Transaction Log'!$E:$E,'Checking Transaction Log'!$C:$C,"&gt;="&amp;S1,'Checking Transaction Log'!$C:$C,"&lt;="&amp;T1,'Checking Transaction Log'!$A:$A,"D",'Checking Transaction Log'!$B:$B,8)</f>
        <v>0</v>
      </c>
      <c r="T12" s="243">
        <f t="shared" si="9"/>
        <v>700</v>
      </c>
      <c r="U12" s="284">
        <f>SUMIFS('Checking Transaction Log'!$E:$E,'Checking Transaction Log'!$C:$C,"&gt;="&amp;U1,'Checking Transaction Log'!$C:$C,"&lt;="&amp;V1,'Checking Transaction Log'!$A:$A,"D",'Checking Transaction Log'!$B:$B,8)</f>
        <v>0</v>
      </c>
      <c r="V12" s="284">
        <f t="shared" si="10"/>
        <v>700</v>
      </c>
      <c r="W12" s="247">
        <f>SUMIFS('Checking Transaction Log'!$E:$E,'Checking Transaction Log'!$C:$C,"&gt;="&amp;W1,'Checking Transaction Log'!$C:$C,"&lt;="&amp;X1,'Checking Transaction Log'!$A:$A,"D",'Checking Transaction Log'!$B:$B,8)</f>
        <v>0</v>
      </c>
      <c r="X12" s="247">
        <f t="shared" si="11"/>
        <v>700</v>
      </c>
      <c r="Y12" s="287">
        <f>SUMIFS('Checking Transaction Log'!$E:$E,'Checking Transaction Log'!$C:$C,"&gt;="&amp;Y1,'Checking Transaction Log'!$C:$C,"&lt;="&amp;Z1,'Checking Transaction Log'!$A:$A,"D",'Checking Transaction Log'!$B:$B,8)</f>
        <v>0</v>
      </c>
      <c r="Z12" s="287">
        <f t="shared" si="12"/>
        <v>700</v>
      </c>
      <c r="AA12" s="289">
        <f>SUMIFS('Checking Transaction Log'!$E:$E,'Checking Transaction Log'!$C:$C,"&gt;="&amp;AA1,'Checking Transaction Log'!$C:$C,"&lt;="&amp;AB1,'Checking Transaction Log'!$A:$A,"D",'Checking Transaction Log'!$B:$B,8)</f>
        <v>0</v>
      </c>
      <c r="AB12" s="289">
        <f t="shared" si="13"/>
        <v>700</v>
      </c>
      <c r="AC12" s="291">
        <f>SUMIFS('Checking Transaction Log'!$E:$E,'Checking Transaction Log'!$C:$C,"&gt;="&amp;AC1,'Checking Transaction Log'!$C:$C,"&lt;="&amp;AD1,'Checking Transaction Log'!$A:$A,"D",'Checking Transaction Log'!$B:$B,8)</f>
        <v>0</v>
      </c>
      <c r="AD12" s="291">
        <f t="shared" si="14"/>
        <v>700</v>
      </c>
      <c r="AE12" s="293">
        <f>SUMIFS('Checking Transaction Log'!$E:$E,'Checking Transaction Log'!$C:$C,"&gt;="&amp;AE1,'Checking Transaction Log'!$C:$C,"&lt;="&amp;AF1,'Checking Transaction Log'!$A:$A,"D",'Checking Transaction Log'!$B:$B,8)</f>
        <v>0</v>
      </c>
      <c r="AF12" s="293">
        <f t="shared" si="15"/>
        <v>700</v>
      </c>
    </row>
    <row r="13" spans="1:32" ht="11.25" customHeight="1" x14ac:dyDescent="0.3">
      <c r="A13" s="295"/>
      <c r="B13" s="266"/>
      <c r="C13" s="298"/>
      <c r="D13" s="299"/>
      <c r="E13" s="301"/>
      <c r="F13" s="301"/>
      <c r="G13" s="280"/>
      <c r="H13" s="300"/>
      <c r="I13" s="281"/>
      <c r="J13" s="281"/>
      <c r="K13" s="243"/>
      <c r="L13" s="243"/>
      <c r="M13" s="284"/>
      <c r="N13" s="284"/>
      <c r="O13" s="247"/>
      <c r="P13" s="247"/>
      <c r="Q13" s="281"/>
      <c r="R13" s="281"/>
      <c r="S13" s="243"/>
      <c r="T13" s="243"/>
      <c r="U13" s="284"/>
      <c r="V13" s="284"/>
      <c r="W13" s="247"/>
      <c r="X13" s="247"/>
      <c r="Y13" s="287"/>
      <c r="Z13" s="287"/>
      <c r="AA13" s="289"/>
      <c r="AB13" s="289"/>
      <c r="AC13" s="291"/>
      <c r="AD13" s="291"/>
      <c r="AE13" s="293"/>
      <c r="AF13" s="293"/>
    </row>
    <row r="14" spans="1:32" ht="11.25" customHeight="1" x14ac:dyDescent="0.3">
      <c r="A14" s="295" t="str">
        <f>'Proposed Budget'!A14</f>
        <v>F</v>
      </c>
      <c r="B14" s="266">
        <f>'Proposed Budget'!B14</f>
        <v>9</v>
      </c>
      <c r="C14" s="298" t="str">
        <f>'Proposed Budget'!C14</f>
        <v>Rocket Mortgage</v>
      </c>
      <c r="D14" s="299">
        <f t="shared" ref="D14:D31" ca="1" si="17">(E14/(TODAY()-$I$1))*30.42</f>
        <v>1391.397669064748</v>
      </c>
      <c r="E14" s="300">
        <f t="shared" ref="E14:E31" si="18">Q14+S14+U14+W14+Y14+AA14+AC14+AE14+I14+K14+M14+O14</f>
        <v>6357.7999999999993</v>
      </c>
      <c r="F14" s="300">
        <f t="shared" ref="F14:F31" si="19">J14+L14+N14+P14</f>
        <v>13.880000000000109</v>
      </c>
      <c r="G14" s="280">
        <f t="shared" ref="G14:G31" si="20">1-((E14/SUM(E14:F14)))</f>
        <v>2.1783893729754311E-3</v>
      </c>
      <c r="H14" s="300">
        <f>'Proposed Budget'!D14</f>
        <v>1285</v>
      </c>
      <c r="I14" s="281">
        <f>SUMIFS('Checking Transaction Log'!E:E,'Checking Transaction Log'!C:C,"&gt;="&amp;I1,'Checking Transaction Log'!C:C,"&lt;="&amp;J1,'Checking Transaction Log'!A:A,"F",'Checking Transaction Log'!B:B,9)</f>
        <v>1281.53</v>
      </c>
      <c r="J14" s="281">
        <f t="shared" ref="J14:J31" si="21">H14-I14</f>
        <v>3.4700000000000273</v>
      </c>
      <c r="K14" s="243">
        <f>SUMIFS('Checking Transaction Log'!E:E,'Checking Transaction Log'!C:C,"&gt;="&amp;K1,'Checking Transaction Log'!C:C,"&lt;="&amp;L1,'Checking Transaction Log'!A:A,"F",'Checking Transaction Log'!B:B,9)</f>
        <v>1281.53</v>
      </c>
      <c r="L14" s="243">
        <f t="shared" ref="L14:L31" si="22">H14-K14</f>
        <v>3.4700000000000273</v>
      </c>
      <c r="M14" s="284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84">
        <f t="shared" ref="N14:N31" si="23">H14-M14</f>
        <v>3.4700000000000273</v>
      </c>
      <c r="O14" s="247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47">
        <f t="shared" ref="P14:P31" si="24">H14-O14</f>
        <v>3.4700000000000273</v>
      </c>
      <c r="Q14" s="281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81">
        <f t="shared" ref="R14:R31" si="25">H14-Q14</f>
        <v>53.319999999999936</v>
      </c>
      <c r="S14" s="243">
        <f>SUMIFS('Checking Transaction Log'!$E:$E,'Checking Transaction Log'!$C:$C,"&gt;="&amp;S1,'Checking Transaction Log'!$C:$C,"&lt;="&amp;T1,'Checking Transaction Log'!$A:$A,"F",'Checking Transaction Log'!$B:$B,9)</f>
        <v>0</v>
      </c>
      <c r="T14" s="243">
        <f t="shared" ref="T14:T31" si="26">H14-S14</f>
        <v>1285</v>
      </c>
      <c r="U14" s="284">
        <f>SUMIFS('Checking Transaction Log'!$E:$E,'Checking Transaction Log'!$C:$C,"&gt;="&amp;U1,'Checking Transaction Log'!$C:$C,"&lt;="&amp;V1,'Checking Transaction Log'!$A:$A,"F",'Checking Transaction Log'!$B:$B,9)</f>
        <v>0</v>
      </c>
      <c r="V14" s="284">
        <f t="shared" ref="V14:V31" si="27">H14-U14</f>
        <v>1285</v>
      </c>
      <c r="W14" s="247">
        <f>SUMIFS('Checking Transaction Log'!$E:$E,'Checking Transaction Log'!$C:$C,"&gt;="&amp;W1,'Checking Transaction Log'!$C:$C,"&lt;="&amp;X1,'Checking Transaction Log'!$A:$A,"F",'Checking Transaction Log'!$B:$B,9)</f>
        <v>0</v>
      </c>
      <c r="X14" s="247">
        <f t="shared" ref="X14:X31" si="28">H14-W14</f>
        <v>1285</v>
      </c>
      <c r="Y14" s="287">
        <f>SUMIFS('Checking Transaction Log'!$E:$E,'Checking Transaction Log'!$C:$C,"&gt;="&amp;Y1,'Checking Transaction Log'!$C:$C,"&lt;="&amp;Z1,'Checking Transaction Log'!$A:$A,"F",'Checking Transaction Log'!$B:$B,9)</f>
        <v>0</v>
      </c>
      <c r="Z14" s="287">
        <f t="shared" ref="Z14:Z31" si="29">H14-Y14</f>
        <v>1285</v>
      </c>
      <c r="AA14" s="289">
        <f>SUMIFS('Checking Transaction Log'!$E:$E,'Checking Transaction Log'!$C:$C,"&gt;="&amp;AA1,'Checking Transaction Log'!$C:$C,"&lt;="&amp;AB1,'Checking Transaction Log'!$A:$A,"F",'Checking Transaction Log'!$B:$B,9)</f>
        <v>0</v>
      </c>
      <c r="AB14" s="289">
        <f t="shared" ref="AB14:AB31" si="30">H14-AA14</f>
        <v>1285</v>
      </c>
      <c r="AC14" s="291">
        <f>SUMIFS('Checking Transaction Log'!$E:$E,'Checking Transaction Log'!$C:$C,"&gt;="&amp;AC1,'Checking Transaction Log'!$C:$C,"&lt;="&amp;AD1,'Checking Transaction Log'!$A:$A,"F",'Checking Transaction Log'!$B:$B,9)</f>
        <v>0</v>
      </c>
      <c r="AD14" s="291">
        <f t="shared" ref="AD14:AD31" si="31">H14-AC14</f>
        <v>1285</v>
      </c>
      <c r="AE14" s="293">
        <f>SUMIFS('Checking Transaction Log'!$E:$E,'Checking Transaction Log'!$C:$C,"&gt;="&amp;AE1,'Checking Transaction Log'!$C:$C,"&lt;="&amp;AF1,'Checking Transaction Log'!$A:$A,"F",'Checking Transaction Log'!$B:$B,9)</f>
        <v>0</v>
      </c>
      <c r="AF14" s="293">
        <f t="shared" ref="AF14:AF31" si="32">H14-AE14</f>
        <v>1285</v>
      </c>
    </row>
    <row r="15" spans="1:32" ht="11.25" customHeight="1" x14ac:dyDescent="0.3">
      <c r="A15" s="295" t="str">
        <f>'Proposed Budget'!A15</f>
        <v>F</v>
      </c>
      <c r="B15" s="266">
        <f>'Proposed Budget'!B15</f>
        <v>10</v>
      </c>
      <c r="C15" s="298" t="str">
        <f>'Proposed Budget'!C15</f>
        <v>EH Roberts</v>
      </c>
      <c r="D15" s="299">
        <f t="shared" ca="1" si="17"/>
        <v>15.66958273381295</v>
      </c>
      <c r="E15" s="300">
        <f t="shared" si="18"/>
        <v>71.599999999999994</v>
      </c>
      <c r="F15" s="300">
        <f t="shared" si="19"/>
        <v>8.4000000000000057</v>
      </c>
      <c r="G15" s="280">
        <f t="shared" si="20"/>
        <v>0.10500000000000009</v>
      </c>
      <c r="H15" s="300">
        <f>'Proposed Budget'!D15</f>
        <v>20</v>
      </c>
      <c r="I15" s="281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81">
        <f t="shared" si="21"/>
        <v>2.1000000000000014</v>
      </c>
      <c r="K15" s="243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43">
        <f t="shared" si="22"/>
        <v>2.1000000000000014</v>
      </c>
      <c r="M15" s="284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84">
        <f t="shared" si="23"/>
        <v>2.1000000000000014</v>
      </c>
      <c r="O15" s="247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47">
        <f t="shared" si="24"/>
        <v>2.1000000000000014</v>
      </c>
      <c r="Q15" s="281">
        <f>SUMIFS('Checking Transaction Log'!$E:$E,'Checking Transaction Log'!$C:$C,"&gt;="&amp;Q1,'Checking Transaction Log'!$C:$C,"&lt;="&amp;R1,'Checking Transaction Log'!$A:$A,"F",'Checking Transaction Log'!$B:$B,10)</f>
        <v>0</v>
      </c>
      <c r="R15" s="281">
        <f t="shared" si="25"/>
        <v>20</v>
      </c>
      <c r="S15" s="243">
        <f>SUMIFS('Checking Transaction Log'!$E:$E,'Checking Transaction Log'!$C:$C,"&gt;="&amp;S1,'Checking Transaction Log'!$C:$C,"&lt;="&amp;T1,'Checking Transaction Log'!$A:$A,"F",'Checking Transaction Log'!$B:$B,10)</f>
        <v>0</v>
      </c>
      <c r="T15" s="243">
        <f t="shared" si="26"/>
        <v>20</v>
      </c>
      <c r="U15" s="284">
        <f>SUMIFS('Checking Transaction Log'!$E:$E,'Checking Transaction Log'!$C:$C,"&gt;="&amp;U1,'Checking Transaction Log'!$C:$C,"&lt;="&amp;V1,'Checking Transaction Log'!$A:$A,"F",'Checking Transaction Log'!$B:$B,10)</f>
        <v>0</v>
      </c>
      <c r="V15" s="284">
        <f t="shared" si="27"/>
        <v>20</v>
      </c>
      <c r="W15" s="247">
        <f>SUMIFS('Checking Transaction Log'!$E:$E,'Checking Transaction Log'!$C:$C,"&gt;="&amp;W1,'Checking Transaction Log'!$C:$C,"&lt;="&amp;X1,'Checking Transaction Log'!$A:$A,"F",'Checking Transaction Log'!$B:$B,10)</f>
        <v>0</v>
      </c>
      <c r="X15" s="247">
        <f t="shared" si="28"/>
        <v>20</v>
      </c>
      <c r="Y15" s="287">
        <f>SUMIFS('Checking Transaction Log'!$E:$E,'Checking Transaction Log'!$C:$C,"&gt;="&amp;Y1,'Checking Transaction Log'!$C:$C,"&lt;="&amp;Z1,'Checking Transaction Log'!$A:$A,"F",'Checking Transaction Log'!$B:$B,10)</f>
        <v>0</v>
      </c>
      <c r="Z15" s="287">
        <f t="shared" si="29"/>
        <v>20</v>
      </c>
      <c r="AA15" s="289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89">
        <f t="shared" si="30"/>
        <v>20</v>
      </c>
      <c r="AC15" s="291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91">
        <f t="shared" si="31"/>
        <v>20</v>
      </c>
      <c r="AE15" s="293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93">
        <f t="shared" si="32"/>
        <v>20</v>
      </c>
    </row>
    <row r="16" spans="1:32" ht="11.25" customHeight="1" x14ac:dyDescent="0.3">
      <c r="A16" s="295" t="str">
        <f>'Proposed Budget'!A16</f>
        <v>F</v>
      </c>
      <c r="B16" s="266">
        <f>'Proposed Budget'!B16</f>
        <v>11</v>
      </c>
      <c r="C16" s="298" t="str">
        <f>'Proposed Budget'!C16</f>
        <v>Verizon Wireless</v>
      </c>
      <c r="D16" s="299">
        <f t="shared" ca="1" si="17"/>
        <v>339.73449928057556</v>
      </c>
      <c r="E16" s="300">
        <f t="shared" si="18"/>
        <v>1552.3700000000001</v>
      </c>
      <c r="F16" s="300">
        <f t="shared" si="19"/>
        <v>-204.69000000000005</v>
      </c>
      <c r="G16" s="280">
        <f t="shared" si="20"/>
        <v>-0.15188323637658785</v>
      </c>
      <c r="H16" s="300">
        <f>'Proposed Budget'!D16</f>
        <v>270</v>
      </c>
      <c r="I16" s="281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81">
        <f t="shared" si="21"/>
        <v>2.0400000000000205</v>
      </c>
      <c r="K16" s="243">
        <f>SUMIFS('Checking Transaction Log'!E:E,'Checking Transaction Log'!C:C,"&gt;="&amp;K1,'Checking Transaction Log'!C:C,"&lt;="&amp;L1,'Checking Transaction Log'!A:A,"F",'Checking Transaction Log'!B:B,11)</f>
        <v>480.91</v>
      </c>
      <c r="L16" s="243">
        <f t="shared" si="22"/>
        <v>-210.91000000000003</v>
      </c>
      <c r="M16" s="284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84">
        <f t="shared" si="23"/>
        <v>2.089999999999975</v>
      </c>
      <c r="O16" s="247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47">
        <f t="shared" si="24"/>
        <v>2.089999999999975</v>
      </c>
      <c r="Q16" s="281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81">
        <f t="shared" si="25"/>
        <v>2.3199999999999932</v>
      </c>
      <c r="S16" s="243">
        <f>SUMIFS('Checking Transaction Log'!$E:$E,'Checking Transaction Log'!$C:$C,"&gt;="&amp;S1,'Checking Transaction Log'!$C:$C,"&lt;="&amp;T1,'Checking Transaction Log'!$A:$A,"F",'Checking Transaction Log'!$B:$B,11)</f>
        <v>0</v>
      </c>
      <c r="T16" s="243">
        <f t="shared" si="26"/>
        <v>270</v>
      </c>
      <c r="U16" s="284">
        <f>SUMIFS('Checking Transaction Log'!$E:$E,'Checking Transaction Log'!$C:$C,"&gt;="&amp;U1,'Checking Transaction Log'!$C:$C,"&lt;="&amp;V1,'Checking Transaction Log'!$A:$A,"F",'Checking Transaction Log'!$B:$B,11)</f>
        <v>0</v>
      </c>
      <c r="V16" s="284">
        <f t="shared" si="27"/>
        <v>270</v>
      </c>
      <c r="W16" s="247">
        <f>SUMIFS('Checking Transaction Log'!$E:$E,'Checking Transaction Log'!$C:$C,"&gt;="&amp;W1,'Checking Transaction Log'!$C:$C,"&lt;="&amp;X1,'Checking Transaction Log'!$A:$A,"F",'Checking Transaction Log'!$B:$B,11)</f>
        <v>0</v>
      </c>
      <c r="X16" s="247">
        <f t="shared" si="28"/>
        <v>270</v>
      </c>
      <c r="Y16" s="287">
        <f>SUMIFS('Checking Transaction Log'!$E:$E,'Checking Transaction Log'!$C:$C,"&gt;="&amp;Y1,'Checking Transaction Log'!$C:$C,"&lt;="&amp;Z1,'Checking Transaction Log'!$A:$A,"F",'Checking Transaction Log'!$B:$B,11)</f>
        <v>0</v>
      </c>
      <c r="Z16" s="287">
        <f t="shared" si="29"/>
        <v>270</v>
      </c>
      <c r="AA16" s="289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89">
        <f t="shared" si="30"/>
        <v>270</v>
      </c>
      <c r="AC16" s="291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91">
        <f t="shared" si="31"/>
        <v>270</v>
      </c>
      <c r="AE16" s="293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93">
        <f t="shared" si="32"/>
        <v>270</v>
      </c>
    </row>
    <row r="17" spans="1:32" ht="11.25" customHeight="1" x14ac:dyDescent="0.3">
      <c r="A17" s="295" t="str">
        <f>'Proposed Budget'!A17</f>
        <v>F</v>
      </c>
      <c r="B17" s="266">
        <f>'Proposed Budget'!B17</f>
        <v>12</v>
      </c>
      <c r="C17" s="298" t="str">
        <f>'Proposed Budget'!C17</f>
        <v>Spectrum TV/Internet</v>
      </c>
      <c r="D17" s="299">
        <f t="shared" ca="1" si="17"/>
        <v>181.31851942446045</v>
      </c>
      <c r="E17" s="300">
        <f t="shared" si="18"/>
        <v>828.51</v>
      </c>
      <c r="F17" s="300">
        <f t="shared" si="19"/>
        <v>-8.5100000000000193</v>
      </c>
      <c r="G17" s="280">
        <f t="shared" si="20"/>
        <v>-1.037804878048787E-2</v>
      </c>
      <c r="H17" s="300">
        <f>'Proposed Budget'!D17</f>
        <v>205</v>
      </c>
      <c r="I17" s="281">
        <f>SUMIFS('Checking Transaction Log'!E:E,'Checking Transaction Log'!C:C,"&gt;="&amp;I1,'Checking Transaction Log'!C:C,"&lt;="&amp;J1,'Checking Transaction Log'!A:A,"F",'Checking Transaction Log'!B:B,12)</f>
        <v>204.83</v>
      </c>
      <c r="J17" s="281">
        <f t="shared" si="21"/>
        <v>0.16999999999998749</v>
      </c>
      <c r="K17" s="243">
        <f>SUMIFS('Checking Transaction Log'!E:E,'Checking Transaction Log'!C:C,"&gt;="&amp;K1,'Checking Transaction Log'!C:C,"&lt;="&amp;L1,'Checking Transaction Log'!A:A,"F",'Checking Transaction Log'!B:B,12)</f>
        <v>204.47</v>
      </c>
      <c r="L17" s="243">
        <f t="shared" si="22"/>
        <v>0.53000000000000114</v>
      </c>
      <c r="M17" s="284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84">
        <f t="shared" si="23"/>
        <v>0.53000000000000114</v>
      </c>
      <c r="O17" s="247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47">
        <f t="shared" si="24"/>
        <v>-9.7400000000000091</v>
      </c>
      <c r="Q17" s="281">
        <f>SUMIFS('Checking Transaction Log'!$E:$E,'Checking Transaction Log'!$C:$C,"&gt;="&amp;Q1,'Checking Transaction Log'!$C:$C,"&lt;="&amp;R1,'Checking Transaction Log'!$A:$A,"F",'Checking Transaction Log'!$B:$B,12)</f>
        <v>0</v>
      </c>
      <c r="R17" s="281">
        <f t="shared" si="25"/>
        <v>205</v>
      </c>
      <c r="S17" s="243">
        <f>SUMIFS('Checking Transaction Log'!$E:$E,'Checking Transaction Log'!$C:$C,"&gt;="&amp;S1,'Checking Transaction Log'!$C:$C,"&lt;="&amp;T1,'Checking Transaction Log'!$A:$A,"F",'Checking Transaction Log'!$B:$B,12)</f>
        <v>0</v>
      </c>
      <c r="T17" s="243">
        <f t="shared" si="26"/>
        <v>205</v>
      </c>
      <c r="U17" s="284">
        <f>SUMIFS('Checking Transaction Log'!$E:$E,'Checking Transaction Log'!$C:$C,"&gt;="&amp;U1,'Checking Transaction Log'!$C:$C,"&lt;="&amp;V1,'Checking Transaction Log'!$A:$A,"F",'Checking Transaction Log'!$B:$B,12)</f>
        <v>0</v>
      </c>
      <c r="V17" s="284">
        <f t="shared" si="27"/>
        <v>205</v>
      </c>
      <c r="W17" s="247">
        <f>SUMIFS('Checking Transaction Log'!$E:$E,'Checking Transaction Log'!$C:$C,"&gt;="&amp;W1,'Checking Transaction Log'!$C:$C,"&lt;="&amp;X1,'Checking Transaction Log'!$A:$A,"F",'Checking Transaction Log'!$B:$B,12)</f>
        <v>0</v>
      </c>
      <c r="X17" s="247">
        <f t="shared" si="28"/>
        <v>205</v>
      </c>
      <c r="Y17" s="287">
        <f>SUMIFS('Checking Transaction Log'!$E:$E,'Checking Transaction Log'!$C:$C,"&gt;="&amp;Y1,'Checking Transaction Log'!$C:$C,"&lt;="&amp;Z1,'Checking Transaction Log'!$A:$A,"F",'Checking Transaction Log'!$B:$B,12)</f>
        <v>0</v>
      </c>
      <c r="Z17" s="287">
        <f t="shared" si="29"/>
        <v>205</v>
      </c>
      <c r="AA17" s="289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89">
        <f t="shared" si="30"/>
        <v>205</v>
      </c>
      <c r="AC17" s="291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91">
        <f t="shared" si="31"/>
        <v>205</v>
      </c>
      <c r="AE17" s="293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93">
        <f t="shared" si="32"/>
        <v>205</v>
      </c>
    </row>
    <row r="18" spans="1:32" ht="11.25" customHeight="1" x14ac:dyDescent="0.3">
      <c r="A18" s="295" t="str">
        <f>'Proposed Budget'!A18</f>
        <v>F</v>
      </c>
      <c r="B18" s="266">
        <f>'Proposed Budget'!B18</f>
        <v>13</v>
      </c>
      <c r="C18" s="298" t="str">
        <f>'Proposed Budget'!C18</f>
        <v>First Energy</v>
      </c>
      <c r="D18" s="299">
        <f t="shared" ca="1" si="17"/>
        <v>150.75626762589931</v>
      </c>
      <c r="E18" s="300">
        <f t="shared" si="18"/>
        <v>688.86000000000013</v>
      </c>
      <c r="F18" s="300">
        <f t="shared" si="19"/>
        <v>153.32</v>
      </c>
      <c r="G18" s="280">
        <f t="shared" si="20"/>
        <v>0.18205134294331371</v>
      </c>
      <c r="H18" s="300">
        <f>'Proposed Budget'!D18</f>
        <v>180</v>
      </c>
      <c r="I18" s="281">
        <f>SUMIFS('Checking Transaction Log'!E:E,'Checking Transaction Log'!C:C,"&gt;="&amp;I1,'Checking Transaction Log'!C:C,"&lt;="&amp;J1,'Checking Transaction Log'!A:A,"F",'Checking Transaction Log'!B:B,13)</f>
        <v>167.42</v>
      </c>
      <c r="J18" s="281">
        <f t="shared" si="21"/>
        <v>12.580000000000013</v>
      </c>
      <c r="K18" s="243">
        <f>SUMIFS('Checking Transaction Log'!E:E,'Checking Transaction Log'!C:C,"&gt;="&amp;K1,'Checking Transaction Log'!C:C,"&lt;="&amp;L1,'Checking Transaction Log'!A:A,"F",'Checking Transaction Log'!B:B,13)</f>
        <v>159.35</v>
      </c>
      <c r="L18" s="243">
        <f t="shared" si="22"/>
        <v>20.650000000000006</v>
      </c>
      <c r="M18" s="284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84">
        <f t="shared" si="23"/>
        <v>45.069999999999993</v>
      </c>
      <c r="O18" s="247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47">
        <f t="shared" si="24"/>
        <v>75.02</v>
      </c>
      <c r="Q18" s="281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81">
        <f t="shared" si="25"/>
        <v>57.819999999999993</v>
      </c>
      <c r="S18" s="243">
        <f>SUMIFS('Checking Transaction Log'!$E:$E,'Checking Transaction Log'!$C:$C,"&gt;="&amp;S1,'Checking Transaction Log'!$C:$C,"&lt;="&amp;T1,'Checking Transaction Log'!$A:$A,"F",'Checking Transaction Log'!$B:$B,13)</f>
        <v>0</v>
      </c>
      <c r="T18" s="243">
        <f t="shared" si="26"/>
        <v>180</v>
      </c>
      <c r="U18" s="284">
        <f>SUMIFS('Checking Transaction Log'!$E:$E,'Checking Transaction Log'!$C:$C,"&gt;="&amp;U1,'Checking Transaction Log'!$C:$C,"&lt;="&amp;V1,'Checking Transaction Log'!$A:$A,"F",'Checking Transaction Log'!$B:$B,13)</f>
        <v>0</v>
      </c>
      <c r="V18" s="284">
        <f t="shared" si="27"/>
        <v>180</v>
      </c>
      <c r="W18" s="247">
        <f>SUMIFS('Checking Transaction Log'!$E:$E,'Checking Transaction Log'!$C:$C,"&gt;="&amp;W1,'Checking Transaction Log'!$C:$C,"&lt;="&amp;X1,'Checking Transaction Log'!$A:$A,"F",'Checking Transaction Log'!$B:$B,13)</f>
        <v>0</v>
      </c>
      <c r="X18" s="247">
        <f t="shared" si="28"/>
        <v>180</v>
      </c>
      <c r="Y18" s="287">
        <f>SUMIFS('Checking Transaction Log'!$E:$E,'Checking Transaction Log'!$C:$C,"&gt;="&amp;Y1,'Checking Transaction Log'!$C:$C,"&lt;="&amp;Z1,'Checking Transaction Log'!$A:$A,"F",'Checking Transaction Log'!$B:$B,13)</f>
        <v>0</v>
      </c>
      <c r="Z18" s="287">
        <f t="shared" si="29"/>
        <v>180</v>
      </c>
      <c r="AA18" s="289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89">
        <f t="shared" si="30"/>
        <v>180</v>
      </c>
      <c r="AC18" s="291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91">
        <f t="shared" si="31"/>
        <v>180</v>
      </c>
      <c r="AE18" s="293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93">
        <f t="shared" si="32"/>
        <v>180</v>
      </c>
    </row>
    <row r="19" spans="1:32" ht="11.25" customHeight="1" x14ac:dyDescent="0.3">
      <c r="A19" s="295" t="str">
        <f>'Proposed Budget'!A19</f>
        <v>F</v>
      </c>
      <c r="B19" s="266">
        <f>'Proposed Budget'!B19</f>
        <v>14</v>
      </c>
      <c r="C19" s="298" t="str">
        <f>'Proposed Budget'!C19</f>
        <v>Vivint Home Security</v>
      </c>
      <c r="D19" s="299">
        <f t="shared" ca="1" si="17"/>
        <v>148.83258561151078</v>
      </c>
      <c r="E19" s="300">
        <f t="shared" si="18"/>
        <v>680.06999999999994</v>
      </c>
      <c r="F19" s="300">
        <f t="shared" si="19"/>
        <v>16.849999999999994</v>
      </c>
      <c r="G19" s="280">
        <f t="shared" si="20"/>
        <v>2.4177810939562727E-2</v>
      </c>
      <c r="H19" s="300">
        <f>'Proposed Budget'!D19</f>
        <v>140</v>
      </c>
      <c r="I19" s="281">
        <f>SUMIFS('Checking Transaction Log'!E:E,'Checking Transaction Log'!C:C,"&gt;="&amp;I1,'Checking Transaction Log'!C:C,"&lt;="&amp;J1,'Checking Transaction Log'!A:A,"F",'Checking Transaction Log'!B:B,14)</f>
        <v>135.41</v>
      </c>
      <c r="J19" s="281">
        <f t="shared" si="21"/>
        <v>4.5900000000000034</v>
      </c>
      <c r="K19" s="243">
        <f>SUMIFS('Checking Transaction Log'!E:E,'Checking Transaction Log'!C:C,"&gt;="&amp;K1,'Checking Transaction Log'!C:C,"&lt;="&amp;L1,'Checking Transaction Log'!A:A,"F",'Checking Transaction Log'!B:B,14)</f>
        <v>135.41</v>
      </c>
      <c r="L19" s="243">
        <f t="shared" si="22"/>
        <v>4.5900000000000034</v>
      </c>
      <c r="M19" s="284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84">
        <f t="shared" si="23"/>
        <v>4.5900000000000034</v>
      </c>
      <c r="O19" s="247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47">
        <f t="shared" si="24"/>
        <v>3.0799999999999841</v>
      </c>
      <c r="Q19" s="281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81">
        <f t="shared" si="25"/>
        <v>3.0799999999999841</v>
      </c>
      <c r="S19" s="243">
        <f>SUMIFS('Checking Transaction Log'!$E:$E,'Checking Transaction Log'!$C:$C,"&gt;="&amp;S1,'Checking Transaction Log'!$C:$C,"&lt;="&amp;T1,'Checking Transaction Log'!$A:$A,"F",'Checking Transaction Log'!$B:$B,14)</f>
        <v>0</v>
      </c>
      <c r="T19" s="243">
        <f t="shared" si="26"/>
        <v>140</v>
      </c>
      <c r="U19" s="284">
        <f>SUMIFS('Checking Transaction Log'!$E:$E,'Checking Transaction Log'!$C:$C,"&gt;="&amp;U1,'Checking Transaction Log'!$C:$C,"&lt;="&amp;V1,'Checking Transaction Log'!$A:$A,"F",'Checking Transaction Log'!$B:$B,14)</f>
        <v>0</v>
      </c>
      <c r="V19" s="284">
        <f t="shared" si="27"/>
        <v>140</v>
      </c>
      <c r="W19" s="247">
        <f>SUMIFS('Checking Transaction Log'!$E:$E,'Checking Transaction Log'!$C:$C,"&gt;="&amp;W1,'Checking Transaction Log'!$C:$C,"&lt;="&amp;X1,'Checking Transaction Log'!$A:$A,"F",'Checking Transaction Log'!$B:$B,14)</f>
        <v>0</v>
      </c>
      <c r="X19" s="247">
        <f t="shared" si="28"/>
        <v>140</v>
      </c>
      <c r="Y19" s="287">
        <f>SUMIFS('Checking Transaction Log'!$E:$E,'Checking Transaction Log'!$C:$C,"&gt;="&amp;Y1,'Checking Transaction Log'!$C:$C,"&lt;="&amp;Z1,'Checking Transaction Log'!$A:$A,"F",'Checking Transaction Log'!$B:$B,14)</f>
        <v>0</v>
      </c>
      <c r="Z19" s="287">
        <f t="shared" si="29"/>
        <v>140</v>
      </c>
      <c r="AA19" s="289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89">
        <f t="shared" si="30"/>
        <v>140</v>
      </c>
      <c r="AC19" s="291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91">
        <f t="shared" si="31"/>
        <v>140</v>
      </c>
      <c r="AE19" s="293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93">
        <f t="shared" si="32"/>
        <v>140</v>
      </c>
    </row>
    <row r="20" spans="1:32" ht="11.25" customHeight="1" x14ac:dyDescent="0.3">
      <c r="A20" s="295" t="str">
        <f>'Proposed Budget'!A20</f>
        <v>F</v>
      </c>
      <c r="B20" s="266">
        <f>'Proposed Budget'!B20</f>
        <v>15</v>
      </c>
      <c r="C20" s="298" t="str">
        <f>'Proposed Budget'!C20</f>
        <v>Columbia Gas</v>
      </c>
      <c r="D20" s="299">
        <f t="shared" ca="1" si="17"/>
        <v>159.37672661870502</v>
      </c>
      <c r="E20" s="300">
        <f t="shared" si="18"/>
        <v>728.25</v>
      </c>
      <c r="F20" s="300">
        <f t="shared" si="19"/>
        <v>-226.88</v>
      </c>
      <c r="G20" s="280">
        <f t="shared" si="20"/>
        <v>-0.45252009493986467</v>
      </c>
      <c r="H20" s="300">
        <f>'Proposed Budget'!D20</f>
        <v>100</v>
      </c>
      <c r="I20" s="281">
        <f>SUMIFS('Checking Transaction Log'!E:E,'Checking Transaction Log'!C:C,"&gt;="&amp;I1,'Checking Transaction Log'!C:C,"&lt;="&amp;J1,'Checking Transaction Log'!A:A,"F",'Checking Transaction Log'!B:B,15)</f>
        <v>132.4</v>
      </c>
      <c r="J20" s="281">
        <f t="shared" si="21"/>
        <v>-32.400000000000006</v>
      </c>
      <c r="K20" s="243">
        <f>SUMIFS('Checking Transaction Log'!E:E,'Checking Transaction Log'!C:C,"&gt;="&amp;K1,'Checking Transaction Log'!C:C,"&lt;="&amp;L1,'Checking Transaction Log'!A:A,"F",'Checking Transaction Log'!B:B,15)</f>
        <v>188.16</v>
      </c>
      <c r="L20" s="243">
        <f t="shared" si="22"/>
        <v>-88.16</v>
      </c>
      <c r="M20" s="284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84">
        <f t="shared" si="23"/>
        <v>-75.09</v>
      </c>
      <c r="O20" s="247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47">
        <f t="shared" si="24"/>
        <v>-31.22999999999999</v>
      </c>
      <c r="Q20" s="281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81">
        <f t="shared" si="25"/>
        <v>-1.3700000000000045</v>
      </c>
      <c r="S20" s="243">
        <f>SUMIFS('Checking Transaction Log'!$E:$E,'Checking Transaction Log'!$C:$C,"&gt;="&amp;S1,'Checking Transaction Log'!$C:$C,"&lt;="&amp;T1,'Checking Transaction Log'!$A:$A,"F",'Checking Transaction Log'!$B:$B,15)</f>
        <v>0</v>
      </c>
      <c r="T20" s="243">
        <f t="shared" si="26"/>
        <v>100</v>
      </c>
      <c r="U20" s="284">
        <f>SUMIFS('Checking Transaction Log'!$E:$E,'Checking Transaction Log'!$C:$C,"&gt;="&amp;U1,'Checking Transaction Log'!$C:$C,"&lt;="&amp;V1,'Checking Transaction Log'!$A:$A,"F",'Checking Transaction Log'!$B:$B,15)</f>
        <v>0</v>
      </c>
      <c r="V20" s="284">
        <f t="shared" si="27"/>
        <v>100</v>
      </c>
      <c r="W20" s="247">
        <f>SUMIFS('Checking Transaction Log'!$E:$E,'Checking Transaction Log'!$C:$C,"&gt;="&amp;W1,'Checking Transaction Log'!$C:$C,"&lt;="&amp;X1,'Checking Transaction Log'!$A:$A,"F",'Checking Transaction Log'!$B:$B,15)</f>
        <v>0</v>
      </c>
      <c r="X20" s="247">
        <f t="shared" si="28"/>
        <v>100</v>
      </c>
      <c r="Y20" s="287">
        <f>SUMIFS('Checking Transaction Log'!$E:$E,'Checking Transaction Log'!$C:$C,"&gt;="&amp;Y1,'Checking Transaction Log'!$C:$C,"&lt;="&amp;Z1,'Checking Transaction Log'!$A:$A,"F",'Checking Transaction Log'!$B:$B,15)</f>
        <v>0</v>
      </c>
      <c r="Z20" s="287">
        <f t="shared" si="29"/>
        <v>100</v>
      </c>
      <c r="AA20" s="289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89">
        <f t="shared" si="30"/>
        <v>100</v>
      </c>
      <c r="AC20" s="291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91">
        <f t="shared" si="31"/>
        <v>100</v>
      </c>
      <c r="AE20" s="293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93">
        <f t="shared" si="32"/>
        <v>100</v>
      </c>
    </row>
    <row r="21" spans="1:32" ht="11.25" customHeight="1" x14ac:dyDescent="0.3">
      <c r="A21" s="295" t="str">
        <f>'Proposed Budget'!A21</f>
        <v>F</v>
      </c>
      <c r="B21" s="266">
        <f>'Proposed Budget'!B21</f>
        <v>16</v>
      </c>
      <c r="C21" s="298" t="str">
        <f>'Proposed Budget'!C21</f>
        <v>Medical Bills</v>
      </c>
      <c r="D21" s="299">
        <f t="shared" ca="1" si="17"/>
        <v>182.7519798561151</v>
      </c>
      <c r="E21" s="300">
        <f t="shared" si="18"/>
        <v>835.06</v>
      </c>
      <c r="F21" s="300">
        <f t="shared" si="19"/>
        <v>-835.06</v>
      </c>
      <c r="G21" s="280" t="e">
        <f t="shared" si="20"/>
        <v>#DIV/0!</v>
      </c>
      <c r="H21" s="300">
        <f>'Proposed Budget'!D21</f>
        <v>0</v>
      </c>
      <c r="I21" s="281">
        <f>SUMIFS('Checking Transaction Log'!E:E,'Checking Transaction Log'!C:C,"&gt;="&amp;I1,'Checking Transaction Log'!C:C,"&lt;="&amp;J1,'Checking Transaction Log'!A:A,"F",'Checking Transaction Log'!B:B,16)</f>
        <v>0</v>
      </c>
      <c r="J21" s="281">
        <f t="shared" si="21"/>
        <v>0</v>
      </c>
      <c r="K21" s="243">
        <f>SUMIFS('Checking Transaction Log'!E:E,'Checking Transaction Log'!C:C,"&gt;="&amp;K1,'Checking Transaction Log'!C:C,"&lt;="&amp;L1,'Checking Transaction Log'!A:A,"F",'Checking Transaction Log'!B:B,16)</f>
        <v>0</v>
      </c>
      <c r="L21" s="243">
        <f t="shared" si="22"/>
        <v>0</v>
      </c>
      <c r="M21" s="284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84">
        <f t="shared" si="23"/>
        <v>-820.06</v>
      </c>
      <c r="O21" s="247">
        <f>SUMIFS('Checking Transaction Log'!$E:$E,'Checking Transaction Log'!$C:$C,"&gt;="&amp;O1,'Checking Transaction Log'!$C:$C,"&lt;="&amp;P1,'Checking Transaction Log'!$A:$A,"F",'Checking Transaction Log'!$B:$B,16)</f>
        <v>15</v>
      </c>
      <c r="P21" s="247">
        <f t="shared" si="24"/>
        <v>-15</v>
      </c>
      <c r="Q21" s="281">
        <f>SUMIFS('Checking Transaction Log'!$E:$E,'Checking Transaction Log'!$C:$C,"&gt;="&amp;Q1,'Checking Transaction Log'!$C:$C,"&lt;="&amp;R1,'Checking Transaction Log'!$A:$A,"F",'Checking Transaction Log'!$B:$B,16)</f>
        <v>0</v>
      </c>
      <c r="R21" s="281">
        <f t="shared" si="25"/>
        <v>0</v>
      </c>
      <c r="S21" s="243">
        <f>SUMIFS('Checking Transaction Log'!$E:$E,'Checking Transaction Log'!$C:$C,"&gt;="&amp;S1,'Checking Transaction Log'!$C:$C,"&lt;="&amp;T1,'Checking Transaction Log'!$A:$A,"F",'Checking Transaction Log'!$B:$B,16)</f>
        <v>0</v>
      </c>
      <c r="T21" s="243">
        <f t="shared" si="26"/>
        <v>0</v>
      </c>
      <c r="U21" s="284">
        <f>SUMIFS('Checking Transaction Log'!$E:$E,'Checking Transaction Log'!$C:$C,"&gt;="&amp;U1,'Checking Transaction Log'!$C:$C,"&lt;="&amp;V1,'Checking Transaction Log'!$A:$A,"F",'Checking Transaction Log'!$B:$B,16)</f>
        <v>0</v>
      </c>
      <c r="V21" s="284">
        <f t="shared" si="27"/>
        <v>0</v>
      </c>
      <c r="W21" s="247">
        <f>SUMIFS('Checking Transaction Log'!$E:$E,'Checking Transaction Log'!$C:$C,"&gt;="&amp;W1,'Checking Transaction Log'!$C:$C,"&lt;="&amp;X1,'Checking Transaction Log'!$A:$A,"F",'Checking Transaction Log'!$B:$B,16)</f>
        <v>0</v>
      </c>
      <c r="X21" s="247">
        <f t="shared" si="28"/>
        <v>0</v>
      </c>
      <c r="Y21" s="287">
        <f>SUMIFS('Checking Transaction Log'!$E:$E,'Checking Transaction Log'!$C:$C,"&gt;="&amp;Y1,'Checking Transaction Log'!$C:$C,"&lt;="&amp;Z1,'Checking Transaction Log'!$A:$A,"F",'Checking Transaction Log'!$B:$B,16)</f>
        <v>0</v>
      </c>
      <c r="Z21" s="287">
        <f t="shared" si="29"/>
        <v>0</v>
      </c>
      <c r="AA21" s="289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89">
        <f t="shared" si="30"/>
        <v>0</v>
      </c>
      <c r="AC21" s="291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91">
        <f t="shared" si="31"/>
        <v>0</v>
      </c>
      <c r="AE21" s="293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93">
        <f t="shared" si="32"/>
        <v>0</v>
      </c>
    </row>
    <row r="22" spans="1:32" ht="11.25" customHeight="1" x14ac:dyDescent="0.3">
      <c r="A22" s="295" t="str">
        <f>'Proposed Budget'!A22</f>
        <v>F</v>
      </c>
      <c r="B22" s="266">
        <f>'Proposed Budget'!B22</f>
        <v>17</v>
      </c>
      <c r="C22" s="298" t="str">
        <f>'Proposed Budget'!C22</f>
        <v>Planet Fitness</v>
      </c>
      <c r="D22" s="299">
        <f t="shared" ca="1" si="17"/>
        <v>203.71114100719424</v>
      </c>
      <c r="E22" s="300">
        <f t="shared" si="18"/>
        <v>930.82999999999993</v>
      </c>
      <c r="F22" s="300">
        <f t="shared" si="19"/>
        <v>-209.18</v>
      </c>
      <c r="G22" s="280">
        <f t="shared" si="20"/>
        <v>-0.28986350724035215</v>
      </c>
      <c r="H22" s="300">
        <f>'Proposed Budget'!D22</f>
        <v>145</v>
      </c>
      <c r="I22" s="281">
        <f>SUMIFS('Checking Transaction Log'!E:E,'Checking Transaction Log'!C:C,"&gt;="&amp;I1,'Checking Transaction Log'!C:C,"&lt;="&amp;J1,'Checking Transaction Log'!A:A,"F",'Checking Transaction Log'!B:B,17)</f>
        <v>281.25</v>
      </c>
      <c r="J22" s="281">
        <f t="shared" si="21"/>
        <v>-136.25</v>
      </c>
      <c r="K22" s="243">
        <f>SUMIFS('Checking Transaction Log'!E:E,'Checking Transaction Log'!C:C,"&gt;="&amp;K1,'Checking Transaction Log'!C:C,"&lt;="&amp;L1,'Checking Transaction Log'!A:A,"F",'Checking Transaction Log'!B:B,17)</f>
        <v>183.19</v>
      </c>
      <c r="L22" s="243">
        <f t="shared" si="22"/>
        <v>-38.19</v>
      </c>
      <c r="M22" s="284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84">
        <f t="shared" si="23"/>
        <v>-38.090000000000003</v>
      </c>
      <c r="O22" s="247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47">
        <f t="shared" si="24"/>
        <v>3.3499999999999943</v>
      </c>
      <c r="Q22" s="281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81">
        <f t="shared" si="25"/>
        <v>3.3499999999999943</v>
      </c>
      <c r="S22" s="243">
        <f>SUMIFS('Checking Transaction Log'!$E:$E,'Checking Transaction Log'!$C:$C,"&gt;="&amp;S1,'Checking Transaction Log'!$C:$C,"&lt;="&amp;T1,'Checking Transaction Log'!$A:$A,"F",'Checking Transaction Log'!$B:$B,17)</f>
        <v>0</v>
      </c>
      <c r="T22" s="243">
        <f t="shared" si="26"/>
        <v>145</v>
      </c>
      <c r="U22" s="284">
        <f>SUMIFS('Checking Transaction Log'!$E:$E,'Checking Transaction Log'!$C:$C,"&gt;="&amp;U1,'Checking Transaction Log'!$C:$C,"&lt;="&amp;V1,'Checking Transaction Log'!$A:$A,"F",'Checking Transaction Log'!$B:$B,17)</f>
        <v>0</v>
      </c>
      <c r="V22" s="284">
        <f t="shared" si="27"/>
        <v>145</v>
      </c>
      <c r="W22" s="247">
        <f>SUMIFS('Checking Transaction Log'!$E:$E,'Checking Transaction Log'!$C:$C,"&gt;="&amp;W1,'Checking Transaction Log'!$C:$C,"&lt;="&amp;X1,'Checking Transaction Log'!$A:$A,"F",'Checking Transaction Log'!$B:$B,17)</f>
        <v>0</v>
      </c>
      <c r="X22" s="247">
        <f t="shared" si="28"/>
        <v>145</v>
      </c>
      <c r="Y22" s="287">
        <f>SUMIFS('Checking Transaction Log'!$E:$E,'Checking Transaction Log'!$C:$C,"&gt;="&amp;Y1,'Checking Transaction Log'!$C:$C,"&lt;="&amp;Z1,'Checking Transaction Log'!$A:$A,"F",'Checking Transaction Log'!$B:$B,17)</f>
        <v>0</v>
      </c>
      <c r="Z22" s="287">
        <f t="shared" si="29"/>
        <v>145</v>
      </c>
      <c r="AA22" s="289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89">
        <f t="shared" si="30"/>
        <v>145</v>
      </c>
      <c r="AC22" s="291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91">
        <f t="shared" si="31"/>
        <v>145</v>
      </c>
      <c r="AE22" s="293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93">
        <f t="shared" si="32"/>
        <v>145</v>
      </c>
    </row>
    <row r="23" spans="1:32" ht="11.25" customHeight="1" x14ac:dyDescent="0.3">
      <c r="A23" s="295" t="str">
        <f>'Proposed Budget'!A23</f>
        <v>F</v>
      </c>
      <c r="B23" s="266">
        <f>'Proposed Budget'!B23</f>
        <v>18</v>
      </c>
      <c r="C23" s="298" t="str">
        <f>'Proposed Budget'!C23</f>
        <v>Lowes Rewards</v>
      </c>
      <c r="D23" s="299">
        <f t="shared" ca="1" si="17"/>
        <v>437.69784172661872</v>
      </c>
      <c r="E23" s="300">
        <f t="shared" si="18"/>
        <v>2000</v>
      </c>
      <c r="F23" s="300">
        <f t="shared" si="19"/>
        <v>0</v>
      </c>
      <c r="G23" s="280">
        <f t="shared" si="20"/>
        <v>0</v>
      </c>
      <c r="H23" s="300">
        <f>'Proposed Budget'!D23</f>
        <v>400</v>
      </c>
      <c r="I23" s="281">
        <f>SUMIFS('Checking Transaction Log'!E:E,'Checking Transaction Log'!C:C,"&gt;="&amp;I1,'Checking Transaction Log'!C:C,"&lt;="&amp;J1,'Checking Transaction Log'!A:A,"F",'Checking Transaction Log'!B:B,18)</f>
        <v>400</v>
      </c>
      <c r="J23" s="281">
        <f t="shared" si="21"/>
        <v>0</v>
      </c>
      <c r="K23" s="243">
        <f>SUMIFS('Checking Transaction Log'!E:E,'Checking Transaction Log'!C:C,"&gt;="&amp;K1,'Checking Transaction Log'!C:C,"&lt;="&amp;L1,'Checking Transaction Log'!A:A,"F",'Checking Transaction Log'!B:B,18)</f>
        <v>400</v>
      </c>
      <c r="L23" s="243">
        <f t="shared" si="22"/>
        <v>0</v>
      </c>
      <c r="M23" s="284">
        <f>SUMIFS('Checking Transaction Log'!$E:$E,'Checking Transaction Log'!$C:$C,"&gt;="&amp;M1,'Checking Transaction Log'!$C:$C,"&lt;="&amp;N1,'Checking Transaction Log'!$A:$A,"F",'Checking Transaction Log'!$B:$B,18)</f>
        <v>400</v>
      </c>
      <c r="N23" s="284">
        <f t="shared" si="23"/>
        <v>0</v>
      </c>
      <c r="O23" s="247">
        <f>SUMIFS('Checking Transaction Log'!$E:$E,'Checking Transaction Log'!$C:$C,"&gt;="&amp;O1,'Checking Transaction Log'!$C:$C,"&lt;="&amp;P1,'Checking Transaction Log'!$A:$A,"F",'Checking Transaction Log'!$B:$B,18)</f>
        <v>400</v>
      </c>
      <c r="P23" s="247">
        <f t="shared" si="24"/>
        <v>0</v>
      </c>
      <c r="Q23" s="281">
        <f>SUMIFS('Checking Transaction Log'!$E:$E,'Checking Transaction Log'!$C:$C,"&gt;="&amp;Q1,'Checking Transaction Log'!$C:$C,"&lt;="&amp;R1,'Checking Transaction Log'!$A:$A,"F",'Checking Transaction Log'!$B:$B,18)</f>
        <v>400</v>
      </c>
      <c r="R23" s="281">
        <f t="shared" si="25"/>
        <v>0</v>
      </c>
      <c r="S23" s="243">
        <f>SUMIFS('Checking Transaction Log'!$E:$E,'Checking Transaction Log'!$C:$C,"&gt;="&amp;S1,'Checking Transaction Log'!$C:$C,"&lt;="&amp;T1,'Checking Transaction Log'!$A:$A,"F",'Checking Transaction Log'!$B:$B,18)</f>
        <v>0</v>
      </c>
      <c r="T23" s="243">
        <f t="shared" si="26"/>
        <v>400</v>
      </c>
      <c r="U23" s="284">
        <f>SUMIFS('Checking Transaction Log'!$E:$E,'Checking Transaction Log'!$C:$C,"&gt;="&amp;U1,'Checking Transaction Log'!$C:$C,"&lt;="&amp;V1,'Checking Transaction Log'!$A:$A,"F",'Checking Transaction Log'!$B:$B,18)</f>
        <v>0</v>
      </c>
      <c r="V23" s="284">
        <f t="shared" si="27"/>
        <v>400</v>
      </c>
      <c r="W23" s="247">
        <f>SUMIFS('Checking Transaction Log'!$E:$E,'Checking Transaction Log'!$C:$C,"&gt;="&amp;W1,'Checking Transaction Log'!$C:$C,"&lt;="&amp;X1,'Checking Transaction Log'!$A:$A,"F",'Checking Transaction Log'!$B:$B,18)</f>
        <v>0</v>
      </c>
      <c r="X23" s="247">
        <f t="shared" si="28"/>
        <v>400</v>
      </c>
      <c r="Y23" s="287">
        <f>SUMIFS('Checking Transaction Log'!$E:$E,'Checking Transaction Log'!$C:$C,"&gt;="&amp;Y1,'Checking Transaction Log'!$C:$C,"&lt;="&amp;Z1,'Checking Transaction Log'!$A:$A,"F",'Checking Transaction Log'!$B:$B,18)</f>
        <v>0</v>
      </c>
      <c r="Z23" s="287">
        <f t="shared" si="29"/>
        <v>400</v>
      </c>
      <c r="AA23" s="289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89">
        <f t="shared" si="30"/>
        <v>400</v>
      </c>
      <c r="AC23" s="291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91">
        <f t="shared" si="31"/>
        <v>400</v>
      </c>
      <c r="AE23" s="293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93">
        <f t="shared" si="32"/>
        <v>400</v>
      </c>
    </row>
    <row r="24" spans="1:32" ht="11.25" customHeight="1" x14ac:dyDescent="0.3">
      <c r="A24" s="295" t="str">
        <f>'Proposed Budget'!A24</f>
        <v>F</v>
      </c>
      <c r="B24" s="266">
        <f>'Proposed Budget'!B24</f>
        <v>19</v>
      </c>
      <c r="C24" s="298" t="str">
        <f>'Proposed Budget'!C24</f>
        <v>Wells Fargo - Pool</v>
      </c>
      <c r="D24" s="299">
        <f t="shared" ca="1" si="17"/>
        <v>218.84892086330936</v>
      </c>
      <c r="E24" s="300">
        <f t="shared" si="18"/>
        <v>1000</v>
      </c>
      <c r="F24" s="300">
        <f t="shared" si="19"/>
        <v>0</v>
      </c>
      <c r="G24" s="280">
        <f t="shared" si="20"/>
        <v>0</v>
      </c>
      <c r="H24" s="300">
        <f>'Proposed Budget'!D24</f>
        <v>200</v>
      </c>
      <c r="I24" s="281">
        <f>SUMIFS('Checking Transaction Log'!E:E,'Checking Transaction Log'!C:C,"&gt;="&amp;I1,'Checking Transaction Log'!C:C,"&lt;="&amp;J1,'Checking Transaction Log'!A:A,"F",'Checking Transaction Log'!B:B,19)</f>
        <v>200</v>
      </c>
      <c r="J24" s="281">
        <f t="shared" si="21"/>
        <v>0</v>
      </c>
      <c r="K24" s="243">
        <f>SUMIFS('Checking Transaction Log'!E:E,'Checking Transaction Log'!C:C,"&gt;="&amp;K1,'Checking Transaction Log'!C:C,"&lt;="&amp;L1,'Checking Transaction Log'!A:A,"F",'Checking Transaction Log'!B:B,19)</f>
        <v>200</v>
      </c>
      <c r="L24" s="243">
        <f t="shared" si="22"/>
        <v>0</v>
      </c>
      <c r="M24" s="284">
        <f>SUMIFS('Checking Transaction Log'!$E:$E,'Checking Transaction Log'!$C:$C,"&gt;="&amp;M1,'Checking Transaction Log'!$C:$C,"&lt;="&amp;N1,'Checking Transaction Log'!$A:$A,"F",'Checking Transaction Log'!$B:$B,19)</f>
        <v>200</v>
      </c>
      <c r="N24" s="284">
        <f t="shared" si="23"/>
        <v>0</v>
      </c>
      <c r="O24" s="247">
        <f>SUMIFS('Checking Transaction Log'!$E:$E,'Checking Transaction Log'!$C:$C,"&gt;="&amp;O1,'Checking Transaction Log'!$C:$C,"&lt;="&amp;P1,'Checking Transaction Log'!$A:$A,"F",'Checking Transaction Log'!$B:$B,19)</f>
        <v>200</v>
      </c>
      <c r="P24" s="247">
        <f t="shared" si="24"/>
        <v>0</v>
      </c>
      <c r="Q24" s="281">
        <f>SUMIFS('Checking Transaction Log'!$E:$E,'Checking Transaction Log'!$C:$C,"&gt;="&amp;Q1,'Checking Transaction Log'!$C:$C,"&lt;="&amp;R1,'Checking Transaction Log'!$A:$A,"F",'Checking Transaction Log'!$B:$B,19)</f>
        <v>200</v>
      </c>
      <c r="R24" s="281">
        <f t="shared" si="25"/>
        <v>0</v>
      </c>
      <c r="S24" s="243">
        <f>SUMIFS('Checking Transaction Log'!$E:$E,'Checking Transaction Log'!$C:$C,"&gt;="&amp;S1,'Checking Transaction Log'!$C:$C,"&lt;="&amp;T1,'Checking Transaction Log'!$A:$A,"F",'Checking Transaction Log'!$B:$B,19)</f>
        <v>0</v>
      </c>
      <c r="T24" s="243">
        <f t="shared" si="26"/>
        <v>200</v>
      </c>
      <c r="U24" s="284">
        <f>SUMIFS('Checking Transaction Log'!$E:$E,'Checking Transaction Log'!$C:$C,"&gt;="&amp;U1,'Checking Transaction Log'!$C:$C,"&lt;="&amp;V1,'Checking Transaction Log'!$A:$A,"F",'Checking Transaction Log'!$B:$B,19)</f>
        <v>0</v>
      </c>
      <c r="V24" s="284">
        <f t="shared" si="27"/>
        <v>200</v>
      </c>
      <c r="W24" s="247">
        <f>SUMIFS('Checking Transaction Log'!$E:$E,'Checking Transaction Log'!$C:$C,"&gt;="&amp;W1,'Checking Transaction Log'!$C:$C,"&lt;="&amp;X1,'Checking Transaction Log'!$A:$A,"F",'Checking Transaction Log'!$B:$B,19)</f>
        <v>0</v>
      </c>
      <c r="X24" s="247">
        <f t="shared" si="28"/>
        <v>200</v>
      </c>
      <c r="Y24" s="287">
        <f>SUMIFS('Checking Transaction Log'!$E:$E,'Checking Transaction Log'!$C:$C,"&gt;="&amp;Y1,'Checking Transaction Log'!$C:$C,"&lt;="&amp;Z1,'Checking Transaction Log'!$A:$A,"F",'Checking Transaction Log'!$B:$B,19)</f>
        <v>0</v>
      </c>
      <c r="Z24" s="287">
        <f t="shared" si="29"/>
        <v>200</v>
      </c>
      <c r="AA24" s="289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89">
        <f t="shared" si="30"/>
        <v>200</v>
      </c>
      <c r="AC24" s="291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91">
        <f t="shared" si="31"/>
        <v>200</v>
      </c>
      <c r="AE24" s="293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93">
        <f t="shared" si="32"/>
        <v>200</v>
      </c>
    </row>
    <row r="25" spans="1:32" ht="11.25" customHeight="1" x14ac:dyDescent="0.3">
      <c r="A25" s="295" t="str">
        <f>'Proposed Budget'!A25</f>
        <v>F</v>
      </c>
      <c r="B25" s="266">
        <f>'Proposed Budget'!B25</f>
        <v>20</v>
      </c>
      <c r="C25" s="298" t="str">
        <f>'Proposed Budget'!C25</f>
        <v>Wells Fargo - Deck</v>
      </c>
      <c r="D25" s="299">
        <f t="shared" ca="1" si="17"/>
        <v>0</v>
      </c>
      <c r="E25" s="300">
        <f t="shared" si="18"/>
        <v>0</v>
      </c>
      <c r="F25" s="300">
        <f t="shared" si="19"/>
        <v>2400</v>
      </c>
      <c r="G25" s="280">
        <f t="shared" si="20"/>
        <v>1</v>
      </c>
      <c r="H25" s="300">
        <f>'Proposed Budget'!D25</f>
        <v>600</v>
      </c>
      <c r="I25" s="281">
        <f>SUMIFS('Checking Transaction Log'!E:E,'Checking Transaction Log'!C:C,"&gt;="&amp;I1,'Checking Transaction Log'!C:C,"&lt;="&amp;J1,'Checking Transaction Log'!A:A,"F",'Checking Transaction Log'!B:B,20)</f>
        <v>0</v>
      </c>
      <c r="J25" s="281">
        <f t="shared" si="21"/>
        <v>600</v>
      </c>
      <c r="K25" s="243">
        <f>SUMIFS('Checking Transaction Log'!E:E,'Checking Transaction Log'!C:C,"&gt;="&amp;K1,'Checking Transaction Log'!C:C,"&lt;="&amp;L1,'Checking Transaction Log'!A:A,"F",'Checking Transaction Log'!B:B,20)</f>
        <v>0</v>
      </c>
      <c r="L25" s="243">
        <f t="shared" si="22"/>
        <v>600</v>
      </c>
      <c r="M25" s="284">
        <f>SUMIFS('Checking Transaction Log'!$E:$E,'Checking Transaction Log'!$C:$C,"&gt;="&amp;M1,'Checking Transaction Log'!$C:$C,"&lt;="&amp;N1,'Checking Transaction Log'!$A:$A,"F",'Checking Transaction Log'!$B:$B,20)</f>
        <v>0</v>
      </c>
      <c r="N25" s="284">
        <f t="shared" si="23"/>
        <v>600</v>
      </c>
      <c r="O25" s="247">
        <f>SUMIFS('Checking Transaction Log'!$E:$E,'Checking Transaction Log'!$C:$C,"&gt;="&amp;O1,'Checking Transaction Log'!$C:$C,"&lt;="&amp;P1,'Checking Transaction Log'!$A:$A,"F",'Checking Transaction Log'!$B:$B,20)</f>
        <v>0</v>
      </c>
      <c r="P25" s="247">
        <f t="shared" si="24"/>
        <v>600</v>
      </c>
      <c r="Q25" s="281">
        <f>SUMIFS('Checking Transaction Log'!$E:$E,'Checking Transaction Log'!$C:$C,"&gt;="&amp;Q1,'Checking Transaction Log'!$C:$C,"&lt;="&amp;R1,'Checking Transaction Log'!$A:$A,"F",'Checking Transaction Log'!$B:$B,20)</f>
        <v>0</v>
      </c>
      <c r="R25" s="281">
        <f t="shared" si="25"/>
        <v>600</v>
      </c>
      <c r="S25" s="243">
        <f>SUMIFS('Checking Transaction Log'!$E:$E,'Checking Transaction Log'!$C:$C,"&gt;="&amp;S1,'Checking Transaction Log'!$C:$C,"&lt;="&amp;T1,'Checking Transaction Log'!$A:$A,"F",'Checking Transaction Log'!$B:$B,20)</f>
        <v>0</v>
      </c>
      <c r="T25" s="243">
        <f t="shared" si="26"/>
        <v>600</v>
      </c>
      <c r="U25" s="284">
        <f>SUMIFS('Checking Transaction Log'!$E:$E,'Checking Transaction Log'!$C:$C,"&gt;="&amp;U1,'Checking Transaction Log'!$C:$C,"&lt;="&amp;V1,'Checking Transaction Log'!$A:$A,"F",'Checking Transaction Log'!$B:$B,20)</f>
        <v>0</v>
      </c>
      <c r="V25" s="284">
        <f t="shared" si="27"/>
        <v>600</v>
      </c>
      <c r="W25" s="247">
        <f>SUMIFS('Checking Transaction Log'!$E:$E,'Checking Transaction Log'!$C:$C,"&gt;="&amp;W1,'Checking Transaction Log'!$C:$C,"&lt;="&amp;X1,'Checking Transaction Log'!$A:$A,"F",'Checking Transaction Log'!$B:$B,20)</f>
        <v>0</v>
      </c>
      <c r="X25" s="247">
        <f t="shared" si="28"/>
        <v>600</v>
      </c>
      <c r="Y25" s="287">
        <f>SUMIFS('Checking Transaction Log'!$E:$E,'Checking Transaction Log'!$C:$C,"&gt;="&amp;Y1,'Checking Transaction Log'!$C:$C,"&lt;="&amp;Z1,'Checking Transaction Log'!$A:$A,"F",'Checking Transaction Log'!$B:$B,20)</f>
        <v>0</v>
      </c>
      <c r="Z25" s="287">
        <f t="shared" si="29"/>
        <v>600</v>
      </c>
      <c r="AA25" s="289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89">
        <f t="shared" si="30"/>
        <v>600</v>
      </c>
      <c r="AC25" s="291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91">
        <f t="shared" si="31"/>
        <v>600</v>
      </c>
      <c r="AE25" s="293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93">
        <f t="shared" si="32"/>
        <v>600</v>
      </c>
    </row>
    <row r="26" spans="1:32" ht="11.25" customHeight="1" x14ac:dyDescent="0.3">
      <c r="A26" s="295" t="str">
        <f>'Proposed Budget'!A26</f>
        <v>F</v>
      </c>
      <c r="B26" s="266">
        <f>'Proposed Budget'!B26</f>
        <v>21</v>
      </c>
      <c r="C26" s="298" t="str">
        <f>'Proposed Budget'!C26</f>
        <v>Massage Envy</v>
      </c>
      <c r="D26" s="299">
        <f t="shared" ca="1" si="17"/>
        <v>105.4983107913669</v>
      </c>
      <c r="E26" s="300">
        <f t="shared" si="18"/>
        <v>482.05999999999995</v>
      </c>
      <c r="F26" s="300">
        <f t="shared" si="19"/>
        <v>-61.059999999999988</v>
      </c>
      <c r="G26" s="280">
        <f t="shared" si="20"/>
        <v>-0.14503562945368165</v>
      </c>
      <c r="H26" s="300">
        <f>'Proposed Budget'!D26</f>
        <v>85</v>
      </c>
      <c r="I26" s="281">
        <f>SUMIFS('Checking Transaction Log'!E:E,'Checking Transaction Log'!C:C,"&gt;="&amp;I1,'Checking Transaction Log'!C:C,"&lt;="&amp;J1,'Checking Transaction Log'!A:A,"F",'Checking Transaction Log'!B:B,21)</f>
        <v>100.79</v>
      </c>
      <c r="J26" s="281">
        <f t="shared" si="21"/>
        <v>-15.790000000000006</v>
      </c>
      <c r="K26" s="243">
        <f>SUMIFS('Checking Transaction Log'!E:E,'Checking Transaction Log'!C:C,"&gt;="&amp;K1,'Checking Transaction Log'!C:C,"&lt;="&amp;L1,'Checking Transaction Log'!A:A,"F",'Checking Transaction Log'!B:B,21)</f>
        <v>108.35</v>
      </c>
      <c r="L26" s="243">
        <f t="shared" si="22"/>
        <v>-23.349999999999994</v>
      </c>
      <c r="M26" s="284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84">
        <f t="shared" si="23"/>
        <v>-31.319999999999993</v>
      </c>
      <c r="O26" s="247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47">
        <f t="shared" si="24"/>
        <v>9.4000000000000057</v>
      </c>
      <c r="Q26" s="281">
        <f>SUMIFS('Checking Transaction Log'!$E:$E,'Checking Transaction Log'!$C:$C,"&gt;="&amp;Q1,'Checking Transaction Log'!$C:$C,"&lt;="&amp;R1,'Checking Transaction Log'!$A:$A,"F",'Checking Transaction Log'!$B:$B,21)</f>
        <v>81</v>
      </c>
      <c r="R26" s="281">
        <f t="shared" si="25"/>
        <v>4</v>
      </c>
      <c r="S26" s="243">
        <f>SUMIFS('Checking Transaction Log'!$E:$E,'Checking Transaction Log'!$C:$C,"&gt;="&amp;S1,'Checking Transaction Log'!$C:$C,"&lt;="&amp;T1,'Checking Transaction Log'!$A:$A,"F",'Checking Transaction Log'!$B:$B,21)</f>
        <v>0</v>
      </c>
      <c r="T26" s="243">
        <f t="shared" si="26"/>
        <v>85</v>
      </c>
      <c r="U26" s="284">
        <f>SUMIFS('Checking Transaction Log'!$E:$E,'Checking Transaction Log'!$C:$C,"&gt;="&amp;U1,'Checking Transaction Log'!$C:$C,"&lt;="&amp;V1,'Checking Transaction Log'!$A:$A,"F",'Checking Transaction Log'!$B:$B,21)</f>
        <v>0</v>
      </c>
      <c r="V26" s="284">
        <f t="shared" si="27"/>
        <v>85</v>
      </c>
      <c r="W26" s="247">
        <f>SUMIFS('Checking Transaction Log'!$E:$E,'Checking Transaction Log'!$C:$C,"&gt;="&amp;W1,'Checking Transaction Log'!$C:$C,"&lt;="&amp;X1,'Checking Transaction Log'!$A:$A,"F",'Checking Transaction Log'!$B:$B,21)</f>
        <v>0</v>
      </c>
      <c r="X26" s="247">
        <f t="shared" si="28"/>
        <v>85</v>
      </c>
      <c r="Y26" s="287">
        <f>SUMIFS('Checking Transaction Log'!$E:$E,'Checking Transaction Log'!$C:$C,"&gt;="&amp;Y1,'Checking Transaction Log'!$C:$C,"&lt;="&amp;Z1,'Checking Transaction Log'!$A:$A,"F",'Checking Transaction Log'!$B:$B,21)</f>
        <v>0</v>
      </c>
      <c r="Z26" s="287">
        <f t="shared" si="29"/>
        <v>85</v>
      </c>
      <c r="AA26" s="289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89">
        <f t="shared" si="30"/>
        <v>85</v>
      </c>
      <c r="AC26" s="291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91">
        <f t="shared" si="31"/>
        <v>85</v>
      </c>
      <c r="AE26" s="293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93">
        <f t="shared" si="32"/>
        <v>85</v>
      </c>
    </row>
    <row r="27" spans="1:32" ht="11.25" customHeight="1" x14ac:dyDescent="0.3">
      <c r="A27" s="295" t="str">
        <f>'Proposed Budget'!A27</f>
        <v>F</v>
      </c>
      <c r="B27" s="266">
        <f>'Proposed Budget'!B27</f>
        <v>22</v>
      </c>
      <c r="C27" s="298" t="str">
        <f>'Proposed Budget'!C27</f>
        <v>Streaming/Music</v>
      </c>
      <c r="D27" s="299">
        <f t="shared" ca="1" si="17"/>
        <v>111.58231079136692</v>
      </c>
      <c r="E27" s="300">
        <f t="shared" si="18"/>
        <v>509.86</v>
      </c>
      <c r="F27" s="300">
        <f t="shared" si="19"/>
        <v>-41.759999999999977</v>
      </c>
      <c r="G27" s="280">
        <f t="shared" si="20"/>
        <v>-8.9211706900234944E-2</v>
      </c>
      <c r="H27" s="300">
        <f>'Proposed Budget'!D27</f>
        <v>100</v>
      </c>
      <c r="I27" s="281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81">
        <f t="shared" si="21"/>
        <v>-118.26999999999998</v>
      </c>
      <c r="K27" s="243">
        <f>SUMIFS('Checking Transaction Log'!E:E,'Checking Transaction Log'!C:C,"&gt;="&amp;K1,'Checking Transaction Log'!C:C,"&lt;="&amp;L1,'Checking Transaction Log'!A:A,"F",'Checking Transaction Log'!B:B,22)</f>
        <v>67.05</v>
      </c>
      <c r="L27" s="243">
        <f t="shared" si="22"/>
        <v>32.950000000000003</v>
      </c>
      <c r="M27" s="284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84">
        <f t="shared" si="23"/>
        <v>20.180000000000007</v>
      </c>
      <c r="O27" s="247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47">
        <f t="shared" si="24"/>
        <v>23.379999999999995</v>
      </c>
      <c r="Q27" s="281">
        <f>SUMIFS('Checking Transaction Log'!$E:$E,'Checking Transaction Log'!$C:$C,"&gt;="&amp;Q1,'Checking Transaction Log'!$C:$C,"&lt;="&amp;R1,'Checking Transaction Log'!$A:$A,"F",'Checking Transaction Log'!$B:$B,22)</f>
        <v>68.099999999999994</v>
      </c>
      <c r="R27" s="281">
        <f t="shared" si="25"/>
        <v>31.900000000000006</v>
      </c>
      <c r="S27" s="243">
        <f>SUMIFS('Checking Transaction Log'!$E:$E,'Checking Transaction Log'!$C:$C,"&gt;="&amp;S1,'Checking Transaction Log'!$C:$C,"&lt;="&amp;T1,'Checking Transaction Log'!$A:$A,"F",'Checking Transaction Log'!$B:$B,22)</f>
        <v>0</v>
      </c>
      <c r="T27" s="243">
        <f t="shared" si="26"/>
        <v>100</v>
      </c>
      <c r="U27" s="284">
        <f>SUMIFS('Checking Transaction Log'!$E:$E,'Checking Transaction Log'!$C:$C,"&gt;="&amp;U1,'Checking Transaction Log'!$C:$C,"&lt;="&amp;V1,'Checking Transaction Log'!$A:$A,"F",'Checking Transaction Log'!$B:$B,22)</f>
        <v>0</v>
      </c>
      <c r="V27" s="284">
        <f t="shared" si="27"/>
        <v>100</v>
      </c>
      <c r="W27" s="247">
        <f>SUMIFS('Checking Transaction Log'!$E:$E,'Checking Transaction Log'!$C:$C,"&gt;="&amp;W1,'Checking Transaction Log'!$C:$C,"&lt;="&amp;X1,'Checking Transaction Log'!$A:$A,"F",'Checking Transaction Log'!$B:$B,22)</f>
        <v>0</v>
      </c>
      <c r="X27" s="247">
        <f t="shared" si="28"/>
        <v>100</v>
      </c>
      <c r="Y27" s="287">
        <f>SUMIFS('Checking Transaction Log'!$E:$E,'Checking Transaction Log'!$C:$C,"&gt;="&amp;Y1,'Checking Transaction Log'!$C:$C,"&lt;="&amp;Z1,'Checking Transaction Log'!$A:$A,"F",'Checking Transaction Log'!$B:$B,22)</f>
        <v>0</v>
      </c>
      <c r="Z27" s="287">
        <f t="shared" si="29"/>
        <v>100</v>
      </c>
      <c r="AA27" s="289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89">
        <f t="shared" si="30"/>
        <v>100</v>
      </c>
      <c r="AC27" s="291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91">
        <f t="shared" si="31"/>
        <v>100</v>
      </c>
      <c r="AE27" s="293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93">
        <f t="shared" si="32"/>
        <v>100</v>
      </c>
    </row>
    <row r="28" spans="1:32" ht="11.25" customHeight="1" x14ac:dyDescent="0.3">
      <c r="A28" s="295" t="str">
        <f>'Proposed Budget'!A28</f>
        <v>F</v>
      </c>
      <c r="B28" s="266">
        <f>'Proposed Budget'!B28</f>
        <v>23</v>
      </c>
      <c r="C28" s="298" t="str">
        <f>'Proposed Budget'!C28</f>
        <v>GM Financial/Toyota</v>
      </c>
      <c r="D28" s="299">
        <f t="shared" ca="1" si="17"/>
        <v>1149.1362906474822</v>
      </c>
      <c r="E28" s="300">
        <f t="shared" si="18"/>
        <v>5250.8200000000006</v>
      </c>
      <c r="F28" s="300">
        <f t="shared" si="19"/>
        <v>78.639999999999418</v>
      </c>
      <c r="G28" s="280">
        <f t="shared" si="20"/>
        <v>1.4755716338991087E-2</v>
      </c>
      <c r="H28" s="300">
        <f>'Proposed Budget'!D28</f>
        <v>1200</v>
      </c>
      <c r="I28" s="281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81">
        <f t="shared" si="21"/>
        <v>19.659999999999854</v>
      </c>
      <c r="K28" s="243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43">
        <f t="shared" si="22"/>
        <v>19.659999999999854</v>
      </c>
      <c r="M28" s="284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84">
        <f t="shared" si="23"/>
        <v>19.659999999999854</v>
      </c>
      <c r="O28" s="247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47">
        <f t="shared" si="24"/>
        <v>19.659999999999854</v>
      </c>
      <c r="Q28" s="281">
        <f>SUMIFS('Checking Transaction Log'!$E:$E,'Checking Transaction Log'!$C:$C,"&gt;="&amp;Q1,'Checking Transaction Log'!$C:$C,"&lt;="&amp;R1,'Checking Transaction Log'!$A:$A,"F",'Checking Transaction Log'!$B:$B,23)</f>
        <v>529.46</v>
      </c>
      <c r="R28" s="281">
        <f t="shared" si="25"/>
        <v>670.54</v>
      </c>
      <c r="S28" s="243">
        <f>SUMIFS('Checking Transaction Log'!$E:$E,'Checking Transaction Log'!$C:$C,"&gt;="&amp;S1,'Checking Transaction Log'!$C:$C,"&lt;="&amp;T1,'Checking Transaction Log'!$A:$A,"F",'Checking Transaction Log'!$B:$B,23)</f>
        <v>0</v>
      </c>
      <c r="T28" s="243">
        <f t="shared" si="26"/>
        <v>1200</v>
      </c>
      <c r="U28" s="284">
        <f>SUMIFS('Checking Transaction Log'!$E:$E,'Checking Transaction Log'!$C:$C,"&gt;="&amp;U1,'Checking Transaction Log'!$C:$C,"&lt;="&amp;V1,'Checking Transaction Log'!$A:$A,"F",'Checking Transaction Log'!$B:$B,23)</f>
        <v>0</v>
      </c>
      <c r="V28" s="284">
        <f t="shared" si="27"/>
        <v>1200</v>
      </c>
      <c r="W28" s="247">
        <f>SUMIFS('Checking Transaction Log'!$E:$E,'Checking Transaction Log'!$C:$C,"&gt;="&amp;W1,'Checking Transaction Log'!$C:$C,"&lt;="&amp;X1,'Checking Transaction Log'!$A:$A,"F",'Checking Transaction Log'!$B:$B,23)</f>
        <v>0</v>
      </c>
      <c r="X28" s="247">
        <f t="shared" si="28"/>
        <v>1200</v>
      </c>
      <c r="Y28" s="287">
        <f>SUMIFS('Checking Transaction Log'!$E:$E,'Checking Transaction Log'!$C:$C,"&gt;="&amp;Y1,'Checking Transaction Log'!$C:$C,"&lt;="&amp;Z1,'Checking Transaction Log'!$A:$A,"F",'Checking Transaction Log'!$B:$B,23)</f>
        <v>0</v>
      </c>
      <c r="Z28" s="287">
        <f t="shared" si="29"/>
        <v>1200</v>
      </c>
      <c r="AA28" s="289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89">
        <f t="shared" si="30"/>
        <v>1200</v>
      </c>
      <c r="AC28" s="291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91">
        <f t="shared" si="31"/>
        <v>1200</v>
      </c>
      <c r="AE28" s="293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93">
        <f t="shared" si="32"/>
        <v>1200</v>
      </c>
    </row>
    <row r="29" spans="1:32" ht="11.25" customHeight="1" x14ac:dyDescent="0.3">
      <c r="A29" s="295" t="str">
        <f>'Proposed Budget'!A29</f>
        <v>F</v>
      </c>
      <c r="B29" s="266">
        <f>'Proposed Budget'!B29</f>
        <v>24</v>
      </c>
      <c r="C29" s="298" t="str">
        <f>'Proposed Budget'!C29</f>
        <v>Ohio Turnpike</v>
      </c>
      <c r="D29" s="299">
        <f t="shared" ca="1" si="17"/>
        <v>121.16789352517985</v>
      </c>
      <c r="E29" s="300">
        <f t="shared" si="18"/>
        <v>553.66</v>
      </c>
      <c r="F29" s="300">
        <f t="shared" si="19"/>
        <v>36.260000000000005</v>
      </c>
      <c r="G29" s="280">
        <f t="shared" si="20"/>
        <v>6.1465961486303233E-2</v>
      </c>
      <c r="H29" s="300">
        <f>'Proposed Budget'!D29</f>
        <v>120</v>
      </c>
      <c r="I29" s="281">
        <f>SUMIFS('Checking Transaction Log'!E:E,'Checking Transaction Log'!C:C,"&gt;="&amp;I1,'Checking Transaction Log'!C:C,"&lt;="&amp;J1,'Checking Transaction Log'!A:A,"F",'Checking Transaction Log'!B:B,24)</f>
        <v>83.42</v>
      </c>
      <c r="J29" s="281">
        <f t="shared" si="21"/>
        <v>36.58</v>
      </c>
      <c r="K29" s="243">
        <f>SUMIFS('Checking Transaction Log'!E:E,'Checking Transaction Log'!C:C,"&gt;="&amp;K1,'Checking Transaction Log'!C:C,"&lt;="&amp;L1,'Checking Transaction Log'!A:A,"F",'Checking Transaction Log'!B:B,24)</f>
        <v>168.41</v>
      </c>
      <c r="L29" s="243">
        <f t="shared" si="22"/>
        <v>-48.41</v>
      </c>
      <c r="M29" s="284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84">
        <f t="shared" si="23"/>
        <v>33.42</v>
      </c>
      <c r="O29" s="247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47">
        <f t="shared" si="24"/>
        <v>14.670000000000002</v>
      </c>
      <c r="Q29" s="281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81">
        <f t="shared" si="25"/>
        <v>10.079999999999998</v>
      </c>
      <c r="S29" s="243">
        <f>SUMIFS('Checking Transaction Log'!$E:$E,'Checking Transaction Log'!$C:$C,"&gt;="&amp;S1,'Checking Transaction Log'!$C:$C,"&lt;="&amp;T1,'Checking Transaction Log'!$A:$A,"F",'Checking Transaction Log'!$B:$B,24)</f>
        <v>0</v>
      </c>
      <c r="T29" s="243">
        <f t="shared" si="26"/>
        <v>120</v>
      </c>
      <c r="U29" s="284">
        <f>SUMIFS('Checking Transaction Log'!$E:$E,'Checking Transaction Log'!$C:$C,"&gt;="&amp;U1,'Checking Transaction Log'!$C:$C,"&lt;="&amp;V1,'Checking Transaction Log'!$A:$A,"F",'Checking Transaction Log'!$B:$B,24)</f>
        <v>0</v>
      </c>
      <c r="V29" s="284">
        <f t="shared" si="27"/>
        <v>120</v>
      </c>
      <c r="W29" s="247">
        <f>SUMIFS('Checking Transaction Log'!$E:$E,'Checking Transaction Log'!$C:$C,"&gt;="&amp;W1,'Checking Transaction Log'!$C:$C,"&lt;="&amp;X1,'Checking Transaction Log'!$A:$A,"F",'Checking Transaction Log'!$B:$B,24)</f>
        <v>0</v>
      </c>
      <c r="X29" s="247">
        <f t="shared" si="28"/>
        <v>120</v>
      </c>
      <c r="Y29" s="287">
        <f>SUMIFS('Checking Transaction Log'!$E:$E,'Checking Transaction Log'!$C:$C,"&gt;="&amp;Y1,'Checking Transaction Log'!$C:$C,"&lt;="&amp;Z1,'Checking Transaction Log'!$A:$A,"F",'Checking Transaction Log'!$B:$B,24)</f>
        <v>0</v>
      </c>
      <c r="Z29" s="287">
        <f t="shared" si="29"/>
        <v>120</v>
      </c>
      <c r="AA29" s="289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89">
        <f t="shared" si="30"/>
        <v>120</v>
      </c>
      <c r="AC29" s="291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91">
        <f t="shared" si="31"/>
        <v>120</v>
      </c>
      <c r="AE29" s="293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93">
        <f t="shared" si="32"/>
        <v>120</v>
      </c>
    </row>
    <row r="30" spans="1:32" ht="11.25" customHeight="1" x14ac:dyDescent="0.3">
      <c r="A30" s="295" t="str">
        <f>'Proposed Budget'!A30</f>
        <v>F</v>
      </c>
      <c r="B30" s="266">
        <f>'Proposed Budget'!B30</f>
        <v>42</v>
      </c>
      <c r="C30" s="298" t="str">
        <f>'Proposed Budget'!C30</f>
        <v>Water Bill - Main</v>
      </c>
      <c r="D30" s="299">
        <f t="shared" ca="1" si="17"/>
        <v>83.961388489208645</v>
      </c>
      <c r="E30" s="300">
        <f t="shared" si="18"/>
        <v>383.65000000000003</v>
      </c>
      <c r="F30" s="300">
        <f t="shared" si="19"/>
        <v>-53.849999999999994</v>
      </c>
      <c r="G30" s="280">
        <f t="shared" si="20"/>
        <v>-0.16328077622801684</v>
      </c>
      <c r="H30" s="300">
        <f>'Proposed Budget'!D30</f>
        <v>75</v>
      </c>
      <c r="I30" s="281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81">
        <f t="shared" si="21"/>
        <v>-5.9899999999999949</v>
      </c>
      <c r="K30" s="243">
        <f>SUMIFS('Checking Transaction Log'!E:E,'Checking Transaction Log'!C:C,"&gt;="&amp;K1,'Checking Transaction Log'!C:C,"&lt;="&amp;L1,'Checking Transaction Log'!A:A,"F",'Checking Transaction Log'!B:B,42)</f>
        <v>88.44</v>
      </c>
      <c r="L30" s="243">
        <f t="shared" si="22"/>
        <v>-13.439999999999998</v>
      </c>
      <c r="M30" s="284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84">
        <f t="shared" si="23"/>
        <v>-21.25</v>
      </c>
      <c r="O30" s="247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47">
        <f t="shared" si="24"/>
        <v>-13.170000000000002</v>
      </c>
      <c r="Q30" s="281">
        <f>SUMIFS('Checking Transaction Log'!$E:$E,'Checking Transaction Log'!$C:$C,"&gt;="&amp;Q1,'Checking Transaction Log'!$C:$C,"&lt;="&amp;R1,'Checking Transaction Log'!$A:$A,"F",'Checking Transaction Log'!$B:$B,42)</f>
        <v>29.8</v>
      </c>
      <c r="R30" s="281">
        <f t="shared" si="25"/>
        <v>45.2</v>
      </c>
      <c r="S30" s="243">
        <f>SUMIFS('Checking Transaction Log'!$E:$E,'Checking Transaction Log'!$C:$C,"&gt;="&amp;S1,'Checking Transaction Log'!$C:$C,"&lt;="&amp;T1,'Checking Transaction Log'!$A:$A,"F",'Checking Transaction Log'!$B:$B,42)</f>
        <v>0</v>
      </c>
      <c r="T30" s="243">
        <f t="shared" si="26"/>
        <v>75</v>
      </c>
      <c r="U30" s="284">
        <f>SUMIFS('Checking Transaction Log'!$E:$E,'Checking Transaction Log'!$C:$C,"&gt;="&amp;U1,'Checking Transaction Log'!$C:$C,"&lt;="&amp;V1,'Checking Transaction Log'!$A:$A,"F",'Checking Transaction Log'!$B:$B,42)</f>
        <v>0</v>
      </c>
      <c r="V30" s="284">
        <f t="shared" si="27"/>
        <v>75</v>
      </c>
      <c r="W30" s="247">
        <f>SUMIFS('Checking Transaction Log'!$E:$E,'Checking Transaction Log'!$C:$C,"&gt;="&amp;W1,'Checking Transaction Log'!$C:$C,"&lt;="&amp;X1,'Checking Transaction Log'!$A:$A,"F",'Checking Transaction Log'!$B:$B,42)</f>
        <v>0</v>
      </c>
      <c r="X30" s="247">
        <f t="shared" si="28"/>
        <v>75</v>
      </c>
      <c r="Y30" s="287">
        <f>SUMIFS('Checking Transaction Log'!$E:$E,'Checking Transaction Log'!$C:$C,"&gt;="&amp;Y1,'Checking Transaction Log'!$C:$C,"&lt;="&amp;Z1,'Checking Transaction Log'!$A:$A,"F",'Checking Transaction Log'!$B:$B,42)</f>
        <v>0</v>
      </c>
      <c r="Z30" s="287">
        <f t="shared" si="29"/>
        <v>75</v>
      </c>
      <c r="AA30" s="289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89">
        <f t="shared" si="30"/>
        <v>75</v>
      </c>
      <c r="AC30" s="291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91">
        <f t="shared" si="31"/>
        <v>75</v>
      </c>
      <c r="AE30" s="293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93">
        <f t="shared" si="32"/>
        <v>75</v>
      </c>
    </row>
    <row r="31" spans="1:32" ht="11.25" customHeight="1" x14ac:dyDescent="0.3">
      <c r="A31" s="295" t="str">
        <f>'Proposed Budget'!A31</f>
        <v>F</v>
      </c>
      <c r="B31" s="266">
        <f>'Proposed Budget'!B31</f>
        <v>43</v>
      </c>
      <c r="C31" s="298" t="str">
        <f>'Proposed Budget'!C31</f>
        <v>Water Bill - Rental</v>
      </c>
      <c r="D31" s="299">
        <f t="shared" ca="1" si="17"/>
        <v>64.409425899280592</v>
      </c>
      <c r="E31" s="300">
        <f t="shared" si="18"/>
        <v>294.31</v>
      </c>
      <c r="F31" s="300">
        <f t="shared" si="19"/>
        <v>28.039999999999992</v>
      </c>
      <c r="G31" s="280">
        <f t="shared" si="20"/>
        <v>8.6986195129517663E-2</v>
      </c>
      <c r="H31" s="300">
        <f>'Proposed Budget'!D31</f>
        <v>75</v>
      </c>
      <c r="I31" s="281">
        <f>SUMIFS('Checking Transaction Log'!E:E,'Checking Transaction Log'!C:C,"&gt;="&amp;I1,'Checking Transaction Log'!C:C,"&lt;="&amp;J1,'Checking Transaction Log'!A:A,"F",'Checking Transaction Log'!B:B,43)</f>
        <v>66.53</v>
      </c>
      <c r="J31" s="281">
        <f t="shared" si="21"/>
        <v>8.4699999999999989</v>
      </c>
      <c r="K31" s="243">
        <f>SUMIFS('Checking Transaction Log'!E:E,'Checking Transaction Log'!C:C,"&gt;="&amp;K1,'Checking Transaction Log'!C:C,"&lt;="&amp;L1,'Checking Transaction Log'!A:A,"F",'Checking Transaction Log'!B:B,43)</f>
        <v>66.97</v>
      </c>
      <c r="L31" s="243">
        <f t="shared" si="22"/>
        <v>8.0300000000000011</v>
      </c>
      <c r="M31" s="284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84">
        <f t="shared" si="23"/>
        <v>9.8100000000000023</v>
      </c>
      <c r="O31" s="247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47">
        <f t="shared" si="24"/>
        <v>1.7299999999999898</v>
      </c>
      <c r="Q31" s="281">
        <f>SUMIFS('Checking Transaction Log'!$E:$E,'Checking Transaction Log'!$C:$C,"&gt;="&amp;Q1,'Checking Transaction Log'!$C:$C,"&lt;="&amp;R1,'Checking Transaction Log'!$A:$A,"F",'Checking Transaction Log'!$B:$B,43)</f>
        <v>22.35</v>
      </c>
      <c r="R31" s="281">
        <f t="shared" si="25"/>
        <v>52.65</v>
      </c>
      <c r="S31" s="243">
        <f>SUMIFS('Checking Transaction Log'!$E:$E,'Checking Transaction Log'!$C:$C,"&gt;="&amp;S1,'Checking Transaction Log'!$C:$C,"&lt;="&amp;T1,'Checking Transaction Log'!$A:$A,"F",'Checking Transaction Log'!$B:$B,43)</f>
        <v>0</v>
      </c>
      <c r="T31" s="243">
        <f t="shared" si="26"/>
        <v>75</v>
      </c>
      <c r="U31" s="284">
        <f>SUMIFS('Checking Transaction Log'!$E:$E,'Checking Transaction Log'!$C:$C,"&gt;="&amp;U1,'Checking Transaction Log'!$C:$C,"&lt;="&amp;V1,'Checking Transaction Log'!$A:$A,"F",'Checking Transaction Log'!$B:$B,43)</f>
        <v>0</v>
      </c>
      <c r="V31" s="284">
        <f t="shared" si="27"/>
        <v>75</v>
      </c>
      <c r="W31" s="247">
        <f>SUMIFS('Checking Transaction Log'!$E:$E,'Checking Transaction Log'!$C:$C,"&gt;="&amp;W1,'Checking Transaction Log'!$C:$C,"&lt;="&amp;X1,'Checking Transaction Log'!$A:$A,"F",'Checking Transaction Log'!$B:$B,43)</f>
        <v>0</v>
      </c>
      <c r="X31" s="247">
        <f t="shared" si="28"/>
        <v>75</v>
      </c>
      <c r="Y31" s="287">
        <f>SUMIFS('Checking Transaction Log'!$E:$E,'Checking Transaction Log'!$C:$C,"&gt;="&amp;Y1,'Checking Transaction Log'!$C:$C,"&lt;="&amp;Z1,'Checking Transaction Log'!$A:$A,"F",'Checking Transaction Log'!$B:$B,43)</f>
        <v>0</v>
      </c>
      <c r="Z31" s="287">
        <f t="shared" si="29"/>
        <v>75</v>
      </c>
      <c r="AA31" s="289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89">
        <f t="shared" si="30"/>
        <v>75</v>
      </c>
      <c r="AC31" s="291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91">
        <f t="shared" si="31"/>
        <v>75</v>
      </c>
      <c r="AE31" s="293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93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95" t="str">
        <f>'Proposed Budget'!A33</f>
        <v>R</v>
      </c>
      <c r="B33" s="266">
        <f>'Proposed Budget'!B33</f>
        <v>25</v>
      </c>
      <c r="C33" s="298" t="str">
        <f>'Proposed Budget'!C33</f>
        <v>Vehicle Maintenance</v>
      </c>
      <c r="D33" s="299">
        <f t="shared" ref="D33:D43" ca="1" si="33">(E33/(TODAY()-$I$1))*30.42</f>
        <v>306.38848920863308</v>
      </c>
      <c r="E33" s="300">
        <f t="shared" ref="E33:E43" si="34">Q33+S33+U33+W33+Y33+AA33+AC33+AE33+I33+K33+M33+O33</f>
        <v>1400</v>
      </c>
      <c r="F33" s="300">
        <f t="shared" ref="F33:F43" si="35">J33+L33+N33+P33</f>
        <v>0</v>
      </c>
      <c r="G33" s="280">
        <f t="shared" ref="G33:G43" si="36">1-((E33/SUM(E33:F33)))</f>
        <v>0</v>
      </c>
      <c r="H33" s="300">
        <f>'Proposed Budget'!D33</f>
        <v>350</v>
      </c>
      <c r="I33" s="281">
        <f>SUMIFS('Checking Transaction Log'!$E:$E,'Checking Transaction Log'!$C:$C,"&gt;="&amp;I1,'Checking Transaction Log'!$C:$C,"&lt;="&amp;J1,'Checking Transaction Log'!$A:$A,"R",'Checking Transaction Log'!$B:$B,25)</f>
        <v>350</v>
      </c>
      <c r="J33" s="281">
        <f t="shared" ref="J33:J43" si="37">H33-I33</f>
        <v>0</v>
      </c>
      <c r="K33" s="243">
        <f>SUMIFS('Checking Transaction Log'!$E:$E,'Checking Transaction Log'!$C:$C,"&gt;="&amp;K1,'Checking Transaction Log'!$C:$C,"&lt;="&amp;L1,'Checking Transaction Log'!$A:$A,"R",'Checking Transaction Log'!$B:$B,25)</f>
        <v>350</v>
      </c>
      <c r="L33" s="243">
        <f t="shared" ref="L33:L43" si="38">H33-K33</f>
        <v>0</v>
      </c>
      <c r="M33" s="284">
        <f>SUMIFS('Checking Transaction Log'!$E:$E,'Checking Transaction Log'!$C:$C,"&gt;="&amp;M1,'Checking Transaction Log'!$C:$C,"&lt;="&amp;N1,'Checking Transaction Log'!$A:$A,"R",'Checking Transaction Log'!$B:$B,25)</f>
        <v>350</v>
      </c>
      <c r="N33" s="284">
        <f t="shared" ref="N33:N43" si="39">H33-M33</f>
        <v>0</v>
      </c>
      <c r="O33" s="247">
        <f>SUMIFS('Checking Transaction Log'!$E:$E,'Checking Transaction Log'!$C:$C,"&gt;="&amp;O1,'Checking Transaction Log'!$C:$C,"&lt;="&amp;P1,'Checking Transaction Log'!$A:$A,"R",'Checking Transaction Log'!$B:$B,25)</f>
        <v>350</v>
      </c>
      <c r="P33" s="247">
        <f t="shared" ref="P33:P43" si="40">H33-O33</f>
        <v>0</v>
      </c>
      <c r="Q33" s="281">
        <f>SUMIFS('Checking Transaction Log'!$E:$E,'Checking Transaction Log'!$C:$C,"&gt;="&amp;Q1,'Checking Transaction Log'!$C:$C,"&lt;="&amp;R1,'Checking Transaction Log'!$A:$A,"R",'Checking Transaction Log'!$B:$B,25)</f>
        <v>0</v>
      </c>
      <c r="R33" s="281">
        <f t="shared" ref="R33:R43" si="41">H33-Q33</f>
        <v>350</v>
      </c>
      <c r="S33" s="243">
        <f>SUMIFS('Checking Transaction Log'!$E:$E,'Checking Transaction Log'!$C:$C,"&gt;="&amp;S1,'Checking Transaction Log'!$C:$C,"&lt;="&amp;T1,'Checking Transaction Log'!$A:$A,"R",'Checking Transaction Log'!$B:$B,25)</f>
        <v>0</v>
      </c>
      <c r="T33" s="243">
        <f t="shared" ref="T33:T43" si="42">H33-S33</f>
        <v>350</v>
      </c>
      <c r="U33" s="284">
        <f>SUMIFS('Checking Transaction Log'!$E:$E,'Checking Transaction Log'!$C:$C,"&gt;="&amp;U1,'Checking Transaction Log'!$C:$C,"&lt;="&amp;V1,'Checking Transaction Log'!$A:$A,"R",'Checking Transaction Log'!$B:$B,25)</f>
        <v>0</v>
      </c>
      <c r="V33" s="284">
        <f t="shared" ref="V33:V43" si="43">H33-U33</f>
        <v>350</v>
      </c>
      <c r="W33" s="247">
        <f>SUMIFS('Checking Transaction Log'!$E:$E,'Checking Transaction Log'!$C:$C,"&gt;="&amp;W1,'Checking Transaction Log'!$C:$C,"&lt;="&amp;X1,'Checking Transaction Log'!$A:$A,"R",'Checking Transaction Log'!$B:$B,25)</f>
        <v>0</v>
      </c>
      <c r="X33" s="247">
        <f t="shared" ref="X33:X43" si="44">H33-W33</f>
        <v>350</v>
      </c>
      <c r="Y33" s="287">
        <f>SUMIFS('Checking Transaction Log'!$E:$E,'Checking Transaction Log'!$C:$C,"&gt;="&amp;Y1,'Checking Transaction Log'!$C:$C,"&lt;="&amp;Z1,'Checking Transaction Log'!$A:$A,"R",'Checking Transaction Log'!$B:$B,25)</f>
        <v>0</v>
      </c>
      <c r="Z33" s="287">
        <f t="shared" ref="Z33:Z43" si="45">H33-Y33</f>
        <v>350</v>
      </c>
      <c r="AA33" s="289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89">
        <f t="shared" ref="AB33:AB43" si="46">H33-AA33</f>
        <v>350</v>
      </c>
      <c r="AC33" s="291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91">
        <f t="shared" ref="AD33:AD43" si="47">H33-AC33</f>
        <v>350</v>
      </c>
      <c r="AE33" s="293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93">
        <f t="shared" ref="AF33:AF43" si="48">H33-AE33</f>
        <v>350</v>
      </c>
    </row>
    <row r="34" spans="1:32" ht="11.25" customHeight="1" x14ac:dyDescent="0.3">
      <c r="A34" s="295" t="str">
        <f>'Proposed Budget'!A34</f>
        <v>R</v>
      </c>
      <c r="B34" s="266">
        <f>'Proposed Budget'!B34</f>
        <v>26</v>
      </c>
      <c r="C34" s="298" t="str">
        <f>'Proposed Budget'!C34</f>
        <v>Car Insurance</v>
      </c>
      <c r="D34" s="299">
        <f t="shared" ca="1" si="33"/>
        <v>280.12661870503598</v>
      </c>
      <c r="E34" s="300">
        <f t="shared" si="34"/>
        <v>1280</v>
      </c>
      <c r="F34" s="300">
        <f t="shared" si="35"/>
        <v>0</v>
      </c>
      <c r="G34" s="280">
        <f t="shared" si="36"/>
        <v>0</v>
      </c>
      <c r="H34" s="300">
        <f>'Proposed Budget'!D34</f>
        <v>320</v>
      </c>
      <c r="I34" s="281">
        <f>SUMIFS('Checking Transaction Log'!E:E,'Checking Transaction Log'!C:C,"&gt;="&amp;I1,'Checking Transaction Log'!C:C,"&lt;="&amp;J1,'Checking Transaction Log'!A:A,"R",'Checking Transaction Log'!B:B,26)</f>
        <v>320</v>
      </c>
      <c r="J34" s="281">
        <f t="shared" si="37"/>
        <v>0</v>
      </c>
      <c r="K34" s="243">
        <f>SUMIFS('Checking Transaction Log'!$E:$E,'Checking Transaction Log'!$C:$C,"&gt;="&amp;K1,'Checking Transaction Log'!$C:$C,"&lt;="&amp;L1,'Checking Transaction Log'!$A:$A,"R",'Checking Transaction Log'!$B:$B,26)</f>
        <v>320</v>
      </c>
      <c r="L34" s="243">
        <f t="shared" si="38"/>
        <v>0</v>
      </c>
      <c r="M34" s="284">
        <f>SUMIFS('Checking Transaction Log'!$E:$E,'Checking Transaction Log'!$C:$C,"&gt;="&amp;M1,'Checking Transaction Log'!$C:$C,"&lt;="&amp;N1,'Checking Transaction Log'!$A:$A,"R",'Checking Transaction Log'!$B:$B,26)</f>
        <v>320</v>
      </c>
      <c r="N34" s="284">
        <f t="shared" si="39"/>
        <v>0</v>
      </c>
      <c r="O34" s="247">
        <f>SUMIFS('Checking Transaction Log'!$E:$E,'Checking Transaction Log'!$C:$C,"&gt;="&amp;O1,'Checking Transaction Log'!$C:$C,"&lt;="&amp;P1,'Checking Transaction Log'!$A:$A,"R",'Checking Transaction Log'!$B:$B,26)</f>
        <v>320</v>
      </c>
      <c r="P34" s="247">
        <f t="shared" si="40"/>
        <v>0</v>
      </c>
      <c r="Q34" s="281">
        <f>SUMIFS('Checking Transaction Log'!$E:$E,'Checking Transaction Log'!$C:$C,"&gt;="&amp;Q1,'Checking Transaction Log'!$C:$C,"&lt;="&amp;R1,'Checking Transaction Log'!$A:$A,"R",'Checking Transaction Log'!$B:$B,26)</f>
        <v>0</v>
      </c>
      <c r="R34" s="281">
        <f t="shared" si="41"/>
        <v>320</v>
      </c>
      <c r="S34" s="243">
        <f>SUMIFS('Checking Transaction Log'!$E:$E,'Checking Transaction Log'!$C:$C,"&gt;="&amp;S1,'Checking Transaction Log'!$C:$C,"&lt;="&amp;T1,'Checking Transaction Log'!$A:$A,"R",'Checking Transaction Log'!$B:$B,26)</f>
        <v>0</v>
      </c>
      <c r="T34" s="243">
        <f t="shared" si="42"/>
        <v>320</v>
      </c>
      <c r="U34" s="284">
        <f>SUMIFS('Checking Transaction Log'!$E:$E,'Checking Transaction Log'!$C:$C,"&gt;="&amp;U1,'Checking Transaction Log'!$C:$C,"&lt;="&amp;V1,'Checking Transaction Log'!$A:$A,"R",'Checking Transaction Log'!$B:$B,26)</f>
        <v>0</v>
      </c>
      <c r="V34" s="284">
        <f t="shared" si="43"/>
        <v>320</v>
      </c>
      <c r="W34" s="247">
        <f>SUMIFS('Checking Transaction Log'!$E:$E,'Checking Transaction Log'!$C:$C,"&gt;="&amp;W1,'Checking Transaction Log'!$C:$C,"&lt;="&amp;X1,'Checking Transaction Log'!$A:$A,"R",'Checking Transaction Log'!$B:$B,26)</f>
        <v>0</v>
      </c>
      <c r="X34" s="247">
        <f t="shared" si="44"/>
        <v>320</v>
      </c>
      <c r="Y34" s="287">
        <f>SUMIFS('Checking Transaction Log'!$E:$E,'Checking Transaction Log'!$C:$C,"&gt;="&amp;Y1,'Checking Transaction Log'!$C:$C,"&lt;="&amp;Z1,'Checking Transaction Log'!$A:$A,"R",'Checking Transaction Log'!$B:$B,26)</f>
        <v>0</v>
      </c>
      <c r="Z34" s="287">
        <f t="shared" si="45"/>
        <v>320</v>
      </c>
      <c r="AA34" s="289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89">
        <f t="shared" si="46"/>
        <v>320</v>
      </c>
      <c r="AC34" s="291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91">
        <f t="shared" si="47"/>
        <v>320</v>
      </c>
      <c r="AE34" s="293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93">
        <f t="shared" si="48"/>
        <v>320</v>
      </c>
    </row>
    <row r="35" spans="1:32" ht="11.25" customHeight="1" x14ac:dyDescent="0.3">
      <c r="A35" s="295" t="str">
        <f>'Proposed Budget'!A35</f>
        <v>R</v>
      </c>
      <c r="B35" s="266">
        <f>'Proposed Budget'!B35</f>
        <v>27</v>
      </c>
      <c r="C35" s="298" t="str">
        <f>'Proposed Budget'!C35</f>
        <v>Rental Garbage</v>
      </c>
      <c r="D35" s="299">
        <f t="shared" ca="1" si="33"/>
        <v>21.884892086330936</v>
      </c>
      <c r="E35" s="300">
        <f t="shared" si="34"/>
        <v>100</v>
      </c>
      <c r="F35" s="300">
        <f t="shared" si="35"/>
        <v>0</v>
      </c>
      <c r="G35" s="280">
        <f t="shared" si="36"/>
        <v>0</v>
      </c>
      <c r="H35" s="300">
        <f>'Proposed Budget'!D35</f>
        <v>25</v>
      </c>
      <c r="I35" s="281">
        <f>SUMIFS('Checking Transaction Log'!E:E,'Checking Transaction Log'!C:C,"&gt;="&amp;I1,'Checking Transaction Log'!C:C,"&lt;="&amp;J1,'Checking Transaction Log'!A:A,"R",'Checking Transaction Log'!B:B,27)</f>
        <v>25</v>
      </c>
      <c r="J35" s="281">
        <f t="shared" si="37"/>
        <v>0</v>
      </c>
      <c r="K35" s="243">
        <f>SUMIFS('Checking Transaction Log'!$E:$E,'Checking Transaction Log'!$C:$C,"&gt;="&amp;K1,'Checking Transaction Log'!$C:$C,"&lt;="&amp;L1,'Checking Transaction Log'!$A:$A,"R",'Checking Transaction Log'!$B:$B,27)</f>
        <v>25</v>
      </c>
      <c r="L35" s="243">
        <f t="shared" si="38"/>
        <v>0</v>
      </c>
      <c r="M35" s="284">
        <f>SUMIFS('Checking Transaction Log'!$E:$E,'Checking Transaction Log'!$C:$C,"&gt;="&amp;M1,'Checking Transaction Log'!$C:$C,"&lt;="&amp;N1,'Checking Transaction Log'!$A:$A,"R",'Checking Transaction Log'!$B:$B,27)</f>
        <v>25</v>
      </c>
      <c r="N35" s="284">
        <f t="shared" si="39"/>
        <v>0</v>
      </c>
      <c r="O35" s="247">
        <f>SUMIFS('Checking Transaction Log'!$E:$E,'Checking Transaction Log'!$C:$C,"&gt;="&amp;O1,'Checking Transaction Log'!$C:$C,"&lt;="&amp;P1,'Checking Transaction Log'!$A:$A,"R",'Checking Transaction Log'!$B:$B,27)</f>
        <v>25</v>
      </c>
      <c r="P35" s="247">
        <f t="shared" si="40"/>
        <v>0</v>
      </c>
      <c r="Q35" s="281">
        <f>SUMIFS('Checking Transaction Log'!$E:$E,'Checking Transaction Log'!$C:$C,"&gt;="&amp;Q1,'Checking Transaction Log'!$C:$C,"&lt;="&amp;R1,'Checking Transaction Log'!$A:$A,"R",'Checking Transaction Log'!$B:$B,27)</f>
        <v>0</v>
      </c>
      <c r="R35" s="281">
        <f t="shared" si="41"/>
        <v>25</v>
      </c>
      <c r="S35" s="243">
        <f>SUMIFS('Checking Transaction Log'!$E:$E,'Checking Transaction Log'!$C:$C,"&gt;="&amp;S1,'Checking Transaction Log'!$C:$C,"&lt;="&amp;T1,'Checking Transaction Log'!$A:$A,"R",'Checking Transaction Log'!$B:$B,27)</f>
        <v>0</v>
      </c>
      <c r="T35" s="243">
        <f t="shared" si="42"/>
        <v>25</v>
      </c>
      <c r="U35" s="284">
        <f>SUMIFS('Checking Transaction Log'!$E:$E,'Checking Transaction Log'!$C:$C,"&gt;="&amp;U1,'Checking Transaction Log'!$C:$C,"&lt;="&amp;V1,'Checking Transaction Log'!$A:$A,"R",'Checking Transaction Log'!$B:$B,27)</f>
        <v>0</v>
      </c>
      <c r="V35" s="284">
        <f t="shared" si="43"/>
        <v>25</v>
      </c>
      <c r="W35" s="247">
        <f>SUMIFS('Checking Transaction Log'!$E:$E,'Checking Transaction Log'!$C:$C,"&gt;="&amp;W1,'Checking Transaction Log'!$C:$C,"&lt;="&amp;X1,'Checking Transaction Log'!$A:$A,"R",'Checking Transaction Log'!$B:$B,27)</f>
        <v>0</v>
      </c>
      <c r="X35" s="247">
        <f t="shared" si="44"/>
        <v>25</v>
      </c>
      <c r="Y35" s="287">
        <f>SUMIFS('Checking Transaction Log'!$E:$E,'Checking Transaction Log'!$C:$C,"&gt;="&amp;Y1,'Checking Transaction Log'!$C:$C,"&lt;="&amp;Z1,'Checking Transaction Log'!$A:$A,"R",'Checking Transaction Log'!$B:$B,27)</f>
        <v>0</v>
      </c>
      <c r="Z35" s="287">
        <f t="shared" si="45"/>
        <v>25</v>
      </c>
      <c r="AA35" s="289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89">
        <f t="shared" si="46"/>
        <v>25</v>
      </c>
      <c r="AC35" s="291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91">
        <f t="shared" si="47"/>
        <v>25</v>
      </c>
      <c r="AE35" s="293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93">
        <f t="shared" si="48"/>
        <v>25</v>
      </c>
    </row>
    <row r="36" spans="1:32" ht="11.25" customHeight="1" x14ac:dyDescent="0.3">
      <c r="A36" s="295" t="str">
        <f>'Proposed Budget'!A36</f>
        <v>R</v>
      </c>
      <c r="B36" s="266">
        <f>'Proposed Budget'!B36</f>
        <v>28</v>
      </c>
      <c r="C36" s="298" t="str">
        <f>'Proposed Budget'!C36</f>
        <v>Garbage</v>
      </c>
      <c r="D36" s="299">
        <f t="shared" ca="1" si="33"/>
        <v>21.884892086330936</v>
      </c>
      <c r="E36" s="300">
        <f t="shared" si="34"/>
        <v>100</v>
      </c>
      <c r="F36" s="300">
        <f t="shared" si="35"/>
        <v>0</v>
      </c>
      <c r="G36" s="280">
        <f t="shared" si="36"/>
        <v>0</v>
      </c>
      <c r="H36" s="300">
        <f>'Proposed Budget'!D36</f>
        <v>25</v>
      </c>
      <c r="I36" s="281">
        <f>SUMIFS('Checking Transaction Log'!E:E,'Checking Transaction Log'!C:C,"&gt;="&amp;I1,'Checking Transaction Log'!C:C,"&lt;="&amp;J1,'Checking Transaction Log'!A:A,"R",'Checking Transaction Log'!B:B,28)</f>
        <v>25</v>
      </c>
      <c r="J36" s="281">
        <f t="shared" si="37"/>
        <v>0</v>
      </c>
      <c r="K36" s="243">
        <f>SUMIFS('Checking Transaction Log'!$E:$E,'Checking Transaction Log'!$C:$C,"&gt;="&amp;K1,'Checking Transaction Log'!$C:$C,"&lt;="&amp;L1,'Checking Transaction Log'!$A:$A,"R",'Checking Transaction Log'!$B:$B,28)</f>
        <v>25</v>
      </c>
      <c r="L36" s="243">
        <f t="shared" si="38"/>
        <v>0</v>
      </c>
      <c r="M36" s="284">
        <f>SUMIFS('Checking Transaction Log'!$E:$E,'Checking Transaction Log'!$C:$C,"&gt;="&amp;M1,'Checking Transaction Log'!$C:$C,"&lt;="&amp;N1,'Checking Transaction Log'!$A:$A,"R",'Checking Transaction Log'!$B:$B,28)</f>
        <v>25</v>
      </c>
      <c r="N36" s="284">
        <f t="shared" si="39"/>
        <v>0</v>
      </c>
      <c r="O36" s="247">
        <f>SUMIFS('Checking Transaction Log'!$E:$E,'Checking Transaction Log'!$C:$C,"&gt;="&amp;O1,'Checking Transaction Log'!$C:$C,"&lt;="&amp;P1,'Checking Transaction Log'!$A:$A,"R",'Checking Transaction Log'!$B:$B,28)</f>
        <v>25</v>
      </c>
      <c r="P36" s="247">
        <f t="shared" si="40"/>
        <v>0</v>
      </c>
      <c r="Q36" s="281">
        <f>SUMIFS('Checking Transaction Log'!$E:$E,'Checking Transaction Log'!$C:$C,"&gt;="&amp;Q1,'Checking Transaction Log'!$C:$C,"&lt;="&amp;R1,'Checking Transaction Log'!$A:$A,"R",'Checking Transaction Log'!$B:$B,28)</f>
        <v>0</v>
      </c>
      <c r="R36" s="281">
        <f t="shared" si="41"/>
        <v>25</v>
      </c>
      <c r="S36" s="243">
        <f>SUMIFS('Checking Transaction Log'!$E:$E,'Checking Transaction Log'!$C:$C,"&gt;="&amp;S1,'Checking Transaction Log'!$C:$C,"&lt;="&amp;T1,'Checking Transaction Log'!$A:$A,"R",'Checking Transaction Log'!$B:$B,28)</f>
        <v>0</v>
      </c>
      <c r="T36" s="243">
        <f t="shared" si="42"/>
        <v>25</v>
      </c>
      <c r="U36" s="284">
        <f>SUMIFS('Checking Transaction Log'!$E:$E,'Checking Transaction Log'!$C:$C,"&gt;="&amp;U1,'Checking Transaction Log'!$C:$C,"&lt;="&amp;V1,'Checking Transaction Log'!$A:$A,"R",'Checking Transaction Log'!$B:$B,28)</f>
        <v>0</v>
      </c>
      <c r="V36" s="284">
        <f t="shared" si="43"/>
        <v>25</v>
      </c>
      <c r="W36" s="247">
        <f>SUMIFS('Checking Transaction Log'!$E:$E,'Checking Transaction Log'!$C:$C,"&gt;="&amp;W1,'Checking Transaction Log'!$C:$C,"&lt;="&amp;X1,'Checking Transaction Log'!$A:$A,"R",'Checking Transaction Log'!$B:$B,28)</f>
        <v>0</v>
      </c>
      <c r="X36" s="247">
        <f t="shared" si="44"/>
        <v>25</v>
      </c>
      <c r="Y36" s="287">
        <f>SUMIFS('Checking Transaction Log'!$E:$E,'Checking Transaction Log'!$C:$C,"&gt;="&amp;Y1,'Checking Transaction Log'!$C:$C,"&lt;="&amp;Z1,'Checking Transaction Log'!$A:$A,"R",'Checking Transaction Log'!$B:$B,28)</f>
        <v>0</v>
      </c>
      <c r="Z36" s="287">
        <f t="shared" si="45"/>
        <v>25</v>
      </c>
      <c r="AA36" s="289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89">
        <f t="shared" si="46"/>
        <v>25</v>
      </c>
      <c r="AC36" s="291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91">
        <f t="shared" si="47"/>
        <v>25</v>
      </c>
      <c r="AE36" s="293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93">
        <f t="shared" si="48"/>
        <v>25</v>
      </c>
    </row>
    <row r="37" spans="1:32" ht="11.25" customHeight="1" x14ac:dyDescent="0.3">
      <c r="A37" s="295" t="str">
        <f>'Proposed Budget'!A37</f>
        <v>R</v>
      </c>
      <c r="B37" s="266">
        <f>'Proposed Budget'!B37</f>
        <v>29</v>
      </c>
      <c r="C37" s="298" t="str">
        <f>'Proposed Budget'!C37</f>
        <v>Sanitation - Main</v>
      </c>
      <c r="D37" s="299">
        <f t="shared" ca="1" si="33"/>
        <v>39.392805755395685</v>
      </c>
      <c r="E37" s="300">
        <f t="shared" si="34"/>
        <v>180</v>
      </c>
      <c r="F37" s="300">
        <f t="shared" si="35"/>
        <v>0</v>
      </c>
      <c r="G37" s="280">
        <f t="shared" si="36"/>
        <v>0</v>
      </c>
      <c r="H37" s="300">
        <f>'Proposed Budget'!D37</f>
        <v>45</v>
      </c>
      <c r="I37" s="281">
        <f>SUMIFS('Checking Transaction Log'!E:E,'Checking Transaction Log'!C:C,"&gt;="&amp;I1,'Checking Transaction Log'!C:C,"&lt;="&amp;J1,'Checking Transaction Log'!A:A,"R",'Checking Transaction Log'!B:B,29)</f>
        <v>45</v>
      </c>
      <c r="J37" s="281">
        <f t="shared" si="37"/>
        <v>0</v>
      </c>
      <c r="K37" s="243">
        <f>SUMIFS('Checking Transaction Log'!$E:$E,'Checking Transaction Log'!$C:$C,"&gt;="&amp;K1,'Checking Transaction Log'!$C:$C,"&lt;="&amp;L1,'Checking Transaction Log'!$A:$A,"R",'Checking Transaction Log'!$B:$B,29)</f>
        <v>45</v>
      </c>
      <c r="L37" s="243">
        <f t="shared" si="38"/>
        <v>0</v>
      </c>
      <c r="M37" s="284">
        <f>SUMIFS('Checking Transaction Log'!$E:$E,'Checking Transaction Log'!$C:$C,"&gt;="&amp;M1,'Checking Transaction Log'!$C:$C,"&lt;="&amp;N1,'Checking Transaction Log'!$A:$A,"R",'Checking Transaction Log'!$B:$B,29)</f>
        <v>45</v>
      </c>
      <c r="N37" s="284">
        <f t="shared" si="39"/>
        <v>0</v>
      </c>
      <c r="O37" s="247">
        <f>SUMIFS('Checking Transaction Log'!$E:$E,'Checking Transaction Log'!$C:$C,"&gt;="&amp;O1,'Checking Transaction Log'!$C:$C,"&lt;="&amp;P1,'Checking Transaction Log'!$A:$A,"R",'Checking Transaction Log'!$B:$B,29)</f>
        <v>45</v>
      </c>
      <c r="P37" s="247">
        <f t="shared" si="40"/>
        <v>0</v>
      </c>
      <c r="Q37" s="281">
        <f>SUMIFS('Checking Transaction Log'!$E:$E,'Checking Transaction Log'!$C:$C,"&gt;="&amp;Q1,'Checking Transaction Log'!$C:$C,"&lt;="&amp;R1,'Checking Transaction Log'!$A:$A,"R",'Checking Transaction Log'!$B:$B,29)</f>
        <v>0</v>
      </c>
      <c r="R37" s="281">
        <f t="shared" si="41"/>
        <v>45</v>
      </c>
      <c r="S37" s="243">
        <f>SUMIFS('Checking Transaction Log'!$E:$E,'Checking Transaction Log'!$C:$C,"&gt;="&amp;S1,'Checking Transaction Log'!$C:$C,"&lt;="&amp;T1,'Checking Transaction Log'!$A:$A,"R",'Checking Transaction Log'!$B:$B,29)</f>
        <v>0</v>
      </c>
      <c r="T37" s="243">
        <f t="shared" si="42"/>
        <v>45</v>
      </c>
      <c r="U37" s="284">
        <f>SUMIFS('Checking Transaction Log'!$E:$E,'Checking Transaction Log'!$C:$C,"&gt;="&amp;U1,'Checking Transaction Log'!$C:$C,"&lt;="&amp;V1,'Checking Transaction Log'!$A:$A,"R",'Checking Transaction Log'!$B:$B,29)</f>
        <v>0</v>
      </c>
      <c r="V37" s="284">
        <f t="shared" si="43"/>
        <v>45</v>
      </c>
      <c r="W37" s="247">
        <f>SUMIFS('Checking Transaction Log'!$E:$E,'Checking Transaction Log'!$C:$C,"&gt;="&amp;W1,'Checking Transaction Log'!$C:$C,"&lt;="&amp;X1,'Checking Transaction Log'!$A:$A,"R",'Checking Transaction Log'!$B:$B,29)</f>
        <v>0</v>
      </c>
      <c r="X37" s="247">
        <f t="shared" si="44"/>
        <v>45</v>
      </c>
      <c r="Y37" s="287">
        <f>SUMIFS('Checking Transaction Log'!$E:$E,'Checking Transaction Log'!$C:$C,"&gt;="&amp;Y1,'Checking Transaction Log'!$C:$C,"&lt;="&amp;Z1,'Checking Transaction Log'!$A:$A,"R",'Checking Transaction Log'!$B:$B,29)</f>
        <v>0</v>
      </c>
      <c r="Z37" s="287">
        <f t="shared" si="45"/>
        <v>45</v>
      </c>
      <c r="AA37" s="289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89">
        <f t="shared" si="46"/>
        <v>45</v>
      </c>
      <c r="AC37" s="291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91">
        <f t="shared" si="47"/>
        <v>45</v>
      </c>
      <c r="AE37" s="293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93">
        <f t="shared" si="48"/>
        <v>45</v>
      </c>
    </row>
    <row r="38" spans="1:32" ht="11.25" customHeight="1" x14ac:dyDescent="0.3">
      <c r="A38" s="295" t="str">
        <f>'Proposed Budget'!A38</f>
        <v>R</v>
      </c>
      <c r="B38" s="266">
        <f>'Proposed Budget'!B38</f>
        <v>30</v>
      </c>
      <c r="C38" s="298" t="str">
        <f>'Proposed Budget'!C38</f>
        <v>Camping/Vacation</v>
      </c>
      <c r="D38" s="299">
        <f t="shared" ca="1" si="33"/>
        <v>350.15827338129498</v>
      </c>
      <c r="E38" s="300">
        <f t="shared" si="34"/>
        <v>1600</v>
      </c>
      <c r="F38" s="300">
        <f t="shared" si="35"/>
        <v>0</v>
      </c>
      <c r="G38" s="280">
        <f t="shared" si="36"/>
        <v>0</v>
      </c>
      <c r="H38" s="300">
        <f>'Proposed Budget'!D38</f>
        <v>400</v>
      </c>
      <c r="I38" s="281">
        <f>SUMIFS('Checking Transaction Log'!E:E,'Checking Transaction Log'!C:C,"&gt;="&amp;I1,'Checking Transaction Log'!C:C,"&lt;="&amp;J1,'Checking Transaction Log'!A:A,"R",'Checking Transaction Log'!B:B,30)</f>
        <v>400</v>
      </c>
      <c r="J38" s="281">
        <f t="shared" si="37"/>
        <v>0</v>
      </c>
      <c r="K38" s="243">
        <f>SUMIFS('Checking Transaction Log'!$E:$E,'Checking Transaction Log'!$C:$C,"&gt;="&amp;K1,'Checking Transaction Log'!$C:$C,"&lt;="&amp;L1,'Checking Transaction Log'!$A:$A,"R",'Checking Transaction Log'!$B:$B,30)</f>
        <v>400</v>
      </c>
      <c r="L38" s="243">
        <f t="shared" si="38"/>
        <v>0</v>
      </c>
      <c r="M38" s="284">
        <f>SUMIFS('Checking Transaction Log'!$E:$E,'Checking Transaction Log'!$C:$C,"&gt;="&amp;M1,'Checking Transaction Log'!$C:$C,"&lt;="&amp;N1,'Checking Transaction Log'!$A:$A,"R",'Checking Transaction Log'!$B:$B,30)</f>
        <v>400</v>
      </c>
      <c r="N38" s="284">
        <f t="shared" si="39"/>
        <v>0</v>
      </c>
      <c r="O38" s="247">
        <f>SUMIFS('Checking Transaction Log'!$E:$E,'Checking Transaction Log'!$C:$C,"&gt;="&amp;O1,'Checking Transaction Log'!$C:$C,"&lt;="&amp;P1,'Checking Transaction Log'!$A:$A,"R",'Checking Transaction Log'!$B:$B,30)</f>
        <v>400</v>
      </c>
      <c r="P38" s="247">
        <f t="shared" si="40"/>
        <v>0</v>
      </c>
      <c r="Q38" s="281">
        <f>SUMIFS('Checking Transaction Log'!$E:$E,'Checking Transaction Log'!$C:$C,"&gt;="&amp;Q1,'Checking Transaction Log'!$C:$C,"&lt;="&amp;R1,'Checking Transaction Log'!$A:$A,"R",'Checking Transaction Log'!$B:$B,30)</f>
        <v>0</v>
      </c>
      <c r="R38" s="281">
        <f t="shared" si="41"/>
        <v>400</v>
      </c>
      <c r="S38" s="243">
        <f>SUMIFS('Checking Transaction Log'!$E:$E,'Checking Transaction Log'!$C:$C,"&gt;="&amp;S1,'Checking Transaction Log'!$C:$C,"&lt;="&amp;T1,'Checking Transaction Log'!$A:$A,"R",'Checking Transaction Log'!$B:$B,30)</f>
        <v>0</v>
      </c>
      <c r="T38" s="243">
        <f t="shared" si="42"/>
        <v>400</v>
      </c>
      <c r="U38" s="284">
        <f>SUMIFS('Checking Transaction Log'!$E:$E,'Checking Transaction Log'!$C:$C,"&gt;="&amp;U1,'Checking Transaction Log'!$C:$C,"&lt;="&amp;V1,'Checking Transaction Log'!$A:$A,"R",'Checking Transaction Log'!$B:$B,30)</f>
        <v>0</v>
      </c>
      <c r="V38" s="284">
        <f t="shared" si="43"/>
        <v>400</v>
      </c>
      <c r="W38" s="247">
        <f>SUMIFS('Checking Transaction Log'!$E:$E,'Checking Transaction Log'!$C:$C,"&gt;="&amp;W1,'Checking Transaction Log'!$C:$C,"&lt;="&amp;X1,'Checking Transaction Log'!$A:$A,"R",'Checking Transaction Log'!$B:$B,30)</f>
        <v>0</v>
      </c>
      <c r="X38" s="247">
        <f t="shared" si="44"/>
        <v>400</v>
      </c>
      <c r="Y38" s="287">
        <f>SUMIFS('Checking Transaction Log'!$E:$E,'Checking Transaction Log'!$C:$C,"&gt;="&amp;Y1,'Checking Transaction Log'!$C:$C,"&lt;="&amp;Z1,'Checking Transaction Log'!$A:$A,"R",'Checking Transaction Log'!$B:$B,30)</f>
        <v>0</v>
      </c>
      <c r="Z38" s="287">
        <f t="shared" si="45"/>
        <v>400</v>
      </c>
      <c r="AA38" s="289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89">
        <f t="shared" si="46"/>
        <v>400</v>
      </c>
      <c r="AC38" s="291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91">
        <f t="shared" si="47"/>
        <v>400</v>
      </c>
      <c r="AE38" s="293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93">
        <f t="shared" si="48"/>
        <v>400</v>
      </c>
    </row>
    <row r="39" spans="1:32" ht="11.25" customHeight="1" x14ac:dyDescent="0.3">
      <c r="A39" s="295" t="str">
        <f>'Proposed Budget'!A39</f>
        <v>R</v>
      </c>
      <c r="B39" s="266">
        <f>'Proposed Budget'!B39</f>
        <v>31</v>
      </c>
      <c r="C39" s="298" t="str">
        <f>'Proposed Budget'!C39</f>
        <v>Home Maintenance</v>
      </c>
      <c r="D39" s="299">
        <f t="shared" ca="1" si="33"/>
        <v>328.27338129496405</v>
      </c>
      <c r="E39" s="300">
        <f t="shared" si="34"/>
        <v>1500</v>
      </c>
      <c r="F39" s="300">
        <f t="shared" si="35"/>
        <v>0</v>
      </c>
      <c r="G39" s="280">
        <f t="shared" si="36"/>
        <v>0</v>
      </c>
      <c r="H39" s="300">
        <f>'Proposed Budget'!D39</f>
        <v>375</v>
      </c>
      <c r="I39" s="281">
        <f>SUMIFS('Checking Transaction Log'!E:E,'Checking Transaction Log'!C:C,"&gt;="&amp;I1,'Checking Transaction Log'!C:C,"&lt;="&amp;J1,'Checking Transaction Log'!A:A,"R",'Checking Transaction Log'!B:B,31)</f>
        <v>375</v>
      </c>
      <c r="J39" s="281">
        <f t="shared" si="37"/>
        <v>0</v>
      </c>
      <c r="K39" s="243">
        <f>SUMIFS('Checking Transaction Log'!$E:$E,'Checking Transaction Log'!$C:$C,"&gt;="&amp;K1,'Checking Transaction Log'!$C:$C,"&lt;="&amp;L1,'Checking Transaction Log'!$A:$A,"R",'Checking Transaction Log'!$B:$B,31)</f>
        <v>375</v>
      </c>
      <c r="L39" s="243">
        <f t="shared" si="38"/>
        <v>0</v>
      </c>
      <c r="M39" s="284">
        <f>SUMIFS('Checking Transaction Log'!$E:$E,'Checking Transaction Log'!$C:$C,"&gt;="&amp;M1,'Checking Transaction Log'!$C:$C,"&lt;="&amp;N1,'Checking Transaction Log'!$A:$A,"R",'Checking Transaction Log'!$B:$B,31)</f>
        <v>375</v>
      </c>
      <c r="N39" s="284">
        <f t="shared" si="39"/>
        <v>0</v>
      </c>
      <c r="O39" s="247">
        <f>SUMIFS('Checking Transaction Log'!$E:$E,'Checking Transaction Log'!$C:$C,"&gt;="&amp;O1,'Checking Transaction Log'!$C:$C,"&lt;="&amp;P1,'Checking Transaction Log'!$A:$A,"R",'Checking Transaction Log'!$B:$B,31)</f>
        <v>375</v>
      </c>
      <c r="P39" s="247">
        <f t="shared" si="40"/>
        <v>0</v>
      </c>
      <c r="Q39" s="281">
        <f>SUMIFS('Checking Transaction Log'!$E:$E,'Checking Transaction Log'!$C:$C,"&gt;="&amp;Q1,'Checking Transaction Log'!$C:$C,"&lt;="&amp;R1,'Checking Transaction Log'!$A:$A,"R",'Checking Transaction Log'!$B:$B,31)</f>
        <v>0</v>
      </c>
      <c r="R39" s="281">
        <f t="shared" si="41"/>
        <v>375</v>
      </c>
      <c r="S39" s="243">
        <f>SUMIFS('Checking Transaction Log'!$E:$E,'Checking Transaction Log'!$C:$C,"&gt;="&amp;S1,'Checking Transaction Log'!$C:$C,"&lt;="&amp;T1,'Checking Transaction Log'!$A:$A,"R",'Checking Transaction Log'!$B:$B,31)</f>
        <v>0</v>
      </c>
      <c r="T39" s="243">
        <f t="shared" si="42"/>
        <v>375</v>
      </c>
      <c r="U39" s="284">
        <f>SUMIFS('Checking Transaction Log'!$E:$E,'Checking Transaction Log'!$C:$C,"&gt;="&amp;U1,'Checking Transaction Log'!$C:$C,"&lt;="&amp;V1,'Checking Transaction Log'!$A:$A,"R",'Checking Transaction Log'!$B:$B,31)</f>
        <v>0</v>
      </c>
      <c r="V39" s="284">
        <f t="shared" si="43"/>
        <v>375</v>
      </c>
      <c r="W39" s="247">
        <f>SUMIFS('Checking Transaction Log'!$E:$E,'Checking Transaction Log'!$C:$C,"&gt;="&amp;W1,'Checking Transaction Log'!$C:$C,"&lt;="&amp;X1,'Checking Transaction Log'!$A:$A,"R",'Checking Transaction Log'!$B:$B,31)</f>
        <v>0</v>
      </c>
      <c r="X39" s="247">
        <f t="shared" si="44"/>
        <v>375</v>
      </c>
      <c r="Y39" s="287">
        <f>SUMIFS('Checking Transaction Log'!$E:$E,'Checking Transaction Log'!$C:$C,"&gt;="&amp;Y1,'Checking Transaction Log'!$C:$C,"&lt;="&amp;Z1,'Checking Transaction Log'!$A:$A,"R",'Checking Transaction Log'!$B:$B,31)</f>
        <v>0</v>
      </c>
      <c r="Z39" s="287">
        <f t="shared" si="45"/>
        <v>375</v>
      </c>
      <c r="AA39" s="289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89">
        <f t="shared" si="46"/>
        <v>375</v>
      </c>
      <c r="AC39" s="291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91">
        <f t="shared" si="47"/>
        <v>375</v>
      </c>
      <c r="AE39" s="293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93">
        <f t="shared" si="48"/>
        <v>375</v>
      </c>
    </row>
    <row r="40" spans="1:32" ht="11.25" customHeight="1" x14ac:dyDescent="0.3">
      <c r="A40" s="295" t="str">
        <f>'Proposed Budget'!A40</f>
        <v>R</v>
      </c>
      <c r="B40" s="266">
        <f>'Proposed Budget'!B40</f>
        <v>32</v>
      </c>
      <c r="C40" s="298" t="str">
        <f>'Proposed Budget'!C40</f>
        <v>Rental Repairs</v>
      </c>
      <c r="D40" s="299">
        <f t="shared" ca="1" si="33"/>
        <v>87.539568345323744</v>
      </c>
      <c r="E40" s="300">
        <f t="shared" si="34"/>
        <v>400</v>
      </c>
      <c r="F40" s="300">
        <f t="shared" si="35"/>
        <v>0</v>
      </c>
      <c r="G40" s="280">
        <f t="shared" si="36"/>
        <v>0</v>
      </c>
      <c r="H40" s="300">
        <f>'Proposed Budget'!D40</f>
        <v>100</v>
      </c>
      <c r="I40" s="281">
        <f>SUMIFS('Checking Transaction Log'!E:E,'Checking Transaction Log'!C:C,"&gt;="&amp;I1,'Checking Transaction Log'!C:C,"&lt;="&amp;J1,'Checking Transaction Log'!A:A,"R",'Checking Transaction Log'!B:B,32)</f>
        <v>100</v>
      </c>
      <c r="J40" s="281">
        <f t="shared" si="37"/>
        <v>0</v>
      </c>
      <c r="K40" s="243">
        <f>SUMIFS('Checking Transaction Log'!$E:$E,'Checking Transaction Log'!$C:$C,"&gt;="&amp;K1,'Checking Transaction Log'!$C:$C,"&lt;="&amp;L1,'Checking Transaction Log'!$A:$A,"R",'Checking Transaction Log'!$B:$B,32)</f>
        <v>100</v>
      </c>
      <c r="L40" s="243">
        <f t="shared" si="38"/>
        <v>0</v>
      </c>
      <c r="M40" s="284">
        <f>SUMIFS('Checking Transaction Log'!$E:$E,'Checking Transaction Log'!$C:$C,"&gt;="&amp;M1,'Checking Transaction Log'!$C:$C,"&lt;="&amp;N1,'Checking Transaction Log'!$A:$A,"R",'Checking Transaction Log'!$B:$B,32)</f>
        <v>100</v>
      </c>
      <c r="N40" s="284">
        <f t="shared" si="39"/>
        <v>0</v>
      </c>
      <c r="O40" s="247">
        <f>SUMIFS('Checking Transaction Log'!$E:$E,'Checking Transaction Log'!$C:$C,"&gt;="&amp;O1,'Checking Transaction Log'!$C:$C,"&lt;="&amp;P1,'Checking Transaction Log'!$A:$A,"R",'Checking Transaction Log'!$B:$B,32)</f>
        <v>100</v>
      </c>
      <c r="P40" s="247">
        <f t="shared" si="40"/>
        <v>0</v>
      </c>
      <c r="Q40" s="281">
        <f>SUMIFS('Checking Transaction Log'!$E:$E,'Checking Transaction Log'!$C:$C,"&gt;="&amp;Q1,'Checking Transaction Log'!$C:$C,"&lt;="&amp;R1,'Checking Transaction Log'!$A:$A,"R",'Checking Transaction Log'!$B:$B,32)</f>
        <v>0</v>
      </c>
      <c r="R40" s="281">
        <f t="shared" si="41"/>
        <v>100</v>
      </c>
      <c r="S40" s="243">
        <f>SUMIFS('Checking Transaction Log'!$E:$E,'Checking Transaction Log'!$C:$C,"&gt;="&amp;S1,'Checking Transaction Log'!$C:$C,"&lt;="&amp;T1,'Checking Transaction Log'!$A:$A,"R",'Checking Transaction Log'!$B:$B,32)</f>
        <v>0</v>
      </c>
      <c r="T40" s="243">
        <f t="shared" si="42"/>
        <v>100</v>
      </c>
      <c r="U40" s="284">
        <f>SUMIFS('Checking Transaction Log'!$E:$E,'Checking Transaction Log'!$C:$C,"&gt;="&amp;U1,'Checking Transaction Log'!$C:$C,"&lt;="&amp;V1,'Checking Transaction Log'!$A:$A,"R",'Checking Transaction Log'!$B:$B,32)</f>
        <v>0</v>
      </c>
      <c r="V40" s="284">
        <f t="shared" si="43"/>
        <v>100</v>
      </c>
      <c r="W40" s="247">
        <f>SUMIFS('Checking Transaction Log'!$E:$E,'Checking Transaction Log'!$C:$C,"&gt;="&amp;W1,'Checking Transaction Log'!$C:$C,"&lt;="&amp;X1,'Checking Transaction Log'!$A:$A,"R",'Checking Transaction Log'!$B:$B,32)</f>
        <v>0</v>
      </c>
      <c r="X40" s="247">
        <f t="shared" si="44"/>
        <v>100</v>
      </c>
      <c r="Y40" s="287">
        <f>SUMIFS('Checking Transaction Log'!$E:$E,'Checking Transaction Log'!$C:$C,"&gt;="&amp;Y1,'Checking Transaction Log'!$C:$C,"&lt;="&amp;Z1,'Checking Transaction Log'!$A:$A,"R",'Checking Transaction Log'!$B:$B,32)</f>
        <v>0</v>
      </c>
      <c r="Z40" s="287">
        <f t="shared" si="45"/>
        <v>100</v>
      </c>
      <c r="AA40" s="289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89">
        <f t="shared" si="46"/>
        <v>100</v>
      </c>
      <c r="AC40" s="291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91">
        <f t="shared" si="47"/>
        <v>100</v>
      </c>
      <c r="AE40" s="293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93">
        <f t="shared" si="48"/>
        <v>100</v>
      </c>
    </row>
    <row r="41" spans="1:32" ht="11.25" customHeight="1" x14ac:dyDescent="0.3">
      <c r="A41" s="295" t="str">
        <f>'Proposed Budget'!A41</f>
        <v>R</v>
      </c>
      <c r="B41" s="266">
        <f>'Proposed Budget'!B41</f>
        <v>33</v>
      </c>
      <c r="C41" s="298" t="str">
        <f>'Proposed Budget'!C41</f>
        <v>Rental Insurance</v>
      </c>
      <c r="D41" s="299">
        <f t="shared" ca="1" si="33"/>
        <v>74.408633093525182</v>
      </c>
      <c r="E41" s="300">
        <f t="shared" si="34"/>
        <v>340</v>
      </c>
      <c r="F41" s="300">
        <f t="shared" si="35"/>
        <v>0</v>
      </c>
      <c r="G41" s="280">
        <f t="shared" si="36"/>
        <v>0</v>
      </c>
      <c r="H41" s="300">
        <f>'Proposed Budget'!D41</f>
        <v>85</v>
      </c>
      <c r="I41" s="281">
        <f>SUMIFS('Checking Transaction Log'!E:E,'Checking Transaction Log'!C:C,"&gt;="&amp;I1,'Checking Transaction Log'!C:C,"&lt;="&amp;J1,'Checking Transaction Log'!A:A,"R",'Checking Transaction Log'!B:B,33)</f>
        <v>85</v>
      </c>
      <c r="J41" s="281">
        <f t="shared" si="37"/>
        <v>0</v>
      </c>
      <c r="K41" s="243">
        <f>SUMIFS('Checking Transaction Log'!$E:$E,'Checking Transaction Log'!$C:$C,"&gt;="&amp;K1,'Checking Transaction Log'!$C:$C,"&lt;="&amp;L1,'Checking Transaction Log'!$A:$A,"R",'Checking Transaction Log'!$B:$B,33)</f>
        <v>85</v>
      </c>
      <c r="L41" s="243">
        <f t="shared" si="38"/>
        <v>0</v>
      </c>
      <c r="M41" s="284">
        <f>SUMIFS('Checking Transaction Log'!$E:$E,'Checking Transaction Log'!$C:$C,"&gt;="&amp;M1,'Checking Transaction Log'!$C:$C,"&lt;="&amp;N1,'Checking Transaction Log'!$A:$A,"R",'Checking Transaction Log'!$B:$B,33)</f>
        <v>85</v>
      </c>
      <c r="N41" s="284">
        <f t="shared" si="39"/>
        <v>0</v>
      </c>
      <c r="O41" s="247">
        <f>SUMIFS('Checking Transaction Log'!$E:$E,'Checking Transaction Log'!$C:$C,"&gt;="&amp;O1,'Checking Transaction Log'!$C:$C,"&lt;="&amp;P1,'Checking Transaction Log'!$A:$A,"R",'Checking Transaction Log'!$B:$B,33)</f>
        <v>85</v>
      </c>
      <c r="P41" s="247">
        <f t="shared" si="40"/>
        <v>0</v>
      </c>
      <c r="Q41" s="281">
        <f>SUMIFS('Checking Transaction Log'!$E:$E,'Checking Transaction Log'!$C:$C,"&gt;="&amp;Q1,'Checking Transaction Log'!$C:$C,"&lt;="&amp;R1,'Checking Transaction Log'!$A:$A,"R",'Checking Transaction Log'!$B:$B,33)</f>
        <v>0</v>
      </c>
      <c r="R41" s="281">
        <f t="shared" si="41"/>
        <v>85</v>
      </c>
      <c r="S41" s="243">
        <f>SUMIFS('Checking Transaction Log'!$E:$E,'Checking Transaction Log'!$C:$C,"&gt;="&amp;S1,'Checking Transaction Log'!$C:$C,"&lt;="&amp;T1,'Checking Transaction Log'!$A:$A,"R",'Checking Transaction Log'!$B:$B,33)</f>
        <v>0</v>
      </c>
      <c r="T41" s="243">
        <f t="shared" si="42"/>
        <v>85</v>
      </c>
      <c r="U41" s="284">
        <f>SUMIFS('Checking Transaction Log'!$E:$E,'Checking Transaction Log'!$C:$C,"&gt;="&amp;U1,'Checking Transaction Log'!$C:$C,"&lt;="&amp;V1,'Checking Transaction Log'!$A:$A,"R",'Checking Transaction Log'!$B:$B,33)</f>
        <v>0</v>
      </c>
      <c r="V41" s="284">
        <f t="shared" si="43"/>
        <v>85</v>
      </c>
      <c r="W41" s="247">
        <f>SUMIFS('Checking Transaction Log'!$E:$E,'Checking Transaction Log'!$C:$C,"&gt;="&amp;W1,'Checking Transaction Log'!$C:$C,"&lt;="&amp;X1,'Checking Transaction Log'!$A:$A,"R",'Checking Transaction Log'!$B:$B,33)</f>
        <v>0</v>
      </c>
      <c r="X41" s="247">
        <f t="shared" si="44"/>
        <v>85</v>
      </c>
      <c r="Y41" s="287">
        <f>SUMIFS('Checking Transaction Log'!$E:$E,'Checking Transaction Log'!$C:$C,"&gt;="&amp;Y1,'Checking Transaction Log'!$C:$C,"&lt;="&amp;Z1,'Checking Transaction Log'!$A:$A,"R",'Checking Transaction Log'!$B:$B,33)</f>
        <v>0</v>
      </c>
      <c r="Z41" s="287">
        <f t="shared" si="45"/>
        <v>85</v>
      </c>
      <c r="AA41" s="289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89">
        <f t="shared" si="46"/>
        <v>85</v>
      </c>
      <c r="AC41" s="291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91">
        <f t="shared" si="47"/>
        <v>85</v>
      </c>
      <c r="AE41" s="293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93">
        <f t="shared" si="48"/>
        <v>85</v>
      </c>
    </row>
    <row r="42" spans="1:32" ht="11.25" customHeight="1" x14ac:dyDescent="0.3">
      <c r="A42" s="295" t="str">
        <f>'Proposed Budget'!A42</f>
        <v>R</v>
      </c>
      <c r="B42" s="266">
        <f>'Proposed Budget'!B42</f>
        <v>34</v>
      </c>
      <c r="C42" s="298" t="str">
        <f>'Proposed Budget'!C42</f>
        <v>Rental Property Taxes</v>
      </c>
      <c r="D42" s="299">
        <f t="shared" ca="1" si="33"/>
        <v>201.34100719424461</v>
      </c>
      <c r="E42" s="300">
        <f t="shared" si="34"/>
        <v>920</v>
      </c>
      <c r="F42" s="300">
        <f t="shared" si="35"/>
        <v>0</v>
      </c>
      <c r="G42" s="280">
        <f t="shared" si="36"/>
        <v>0</v>
      </c>
      <c r="H42" s="300">
        <f>'Proposed Budget'!D42</f>
        <v>230</v>
      </c>
      <c r="I42" s="281">
        <f>SUMIFS('Checking Transaction Log'!E:E,'Checking Transaction Log'!C:C,"&gt;="&amp;I1,'Checking Transaction Log'!C:C,"&lt;="&amp;J1,'Checking Transaction Log'!A:A,"R",'Checking Transaction Log'!B:B,34)</f>
        <v>230</v>
      </c>
      <c r="J42" s="281">
        <f t="shared" si="37"/>
        <v>0</v>
      </c>
      <c r="K42" s="243">
        <f>SUMIFS('Checking Transaction Log'!$E:$E,'Checking Transaction Log'!$C:$C,"&gt;="&amp;K1,'Checking Transaction Log'!$C:$C,"&lt;="&amp;L1,'Checking Transaction Log'!$A:$A,"R",'Checking Transaction Log'!$B:$B,34)</f>
        <v>230</v>
      </c>
      <c r="L42" s="243">
        <f t="shared" si="38"/>
        <v>0</v>
      </c>
      <c r="M42" s="284">
        <f>SUMIFS('Checking Transaction Log'!$E:$E,'Checking Transaction Log'!$C:$C,"&gt;="&amp;M1,'Checking Transaction Log'!$C:$C,"&lt;="&amp;N1,'Checking Transaction Log'!$A:$A,"R",'Checking Transaction Log'!$B:$B,34)</f>
        <v>230</v>
      </c>
      <c r="N42" s="284">
        <f t="shared" si="39"/>
        <v>0</v>
      </c>
      <c r="O42" s="247">
        <f>SUMIFS('Checking Transaction Log'!$E:$E,'Checking Transaction Log'!$C:$C,"&gt;="&amp;O1,'Checking Transaction Log'!$C:$C,"&lt;="&amp;P1,'Checking Transaction Log'!$A:$A,"R",'Checking Transaction Log'!$B:$B,34)</f>
        <v>230</v>
      </c>
      <c r="P42" s="247">
        <f t="shared" si="40"/>
        <v>0</v>
      </c>
      <c r="Q42" s="281">
        <f>SUMIFS('Checking Transaction Log'!$E:$E,'Checking Transaction Log'!$C:$C,"&gt;="&amp;Q1,'Checking Transaction Log'!$C:$C,"&lt;="&amp;R1,'Checking Transaction Log'!$A:$A,"R",'Checking Transaction Log'!$B:$B,34)</f>
        <v>0</v>
      </c>
      <c r="R42" s="281">
        <f t="shared" si="41"/>
        <v>230</v>
      </c>
      <c r="S42" s="243">
        <f>SUMIFS('Checking Transaction Log'!$E:$E,'Checking Transaction Log'!$C:$C,"&gt;="&amp;S1,'Checking Transaction Log'!$C:$C,"&lt;="&amp;T1,'Checking Transaction Log'!$A:$A,"R",'Checking Transaction Log'!$B:$B,34)</f>
        <v>0</v>
      </c>
      <c r="T42" s="243">
        <f t="shared" si="42"/>
        <v>230</v>
      </c>
      <c r="U42" s="284">
        <f>SUMIFS('Checking Transaction Log'!$E:$E,'Checking Transaction Log'!$C:$C,"&gt;="&amp;U1,'Checking Transaction Log'!$C:$C,"&lt;="&amp;V1,'Checking Transaction Log'!$A:$A,"R",'Checking Transaction Log'!$B:$B,34)</f>
        <v>0</v>
      </c>
      <c r="V42" s="284">
        <f t="shared" si="43"/>
        <v>230</v>
      </c>
      <c r="W42" s="247">
        <f>SUMIFS('Checking Transaction Log'!$E:$E,'Checking Transaction Log'!$C:$C,"&gt;="&amp;W1,'Checking Transaction Log'!$C:$C,"&lt;="&amp;X1,'Checking Transaction Log'!$A:$A,"R",'Checking Transaction Log'!$B:$B,34)</f>
        <v>0</v>
      </c>
      <c r="X42" s="247">
        <f t="shared" si="44"/>
        <v>230</v>
      </c>
      <c r="Y42" s="287">
        <f>SUMIFS('Checking Transaction Log'!$E:$E,'Checking Transaction Log'!$C:$C,"&gt;="&amp;Y1,'Checking Transaction Log'!$C:$C,"&lt;="&amp;Z1,'Checking Transaction Log'!$A:$A,"R",'Checking Transaction Log'!$B:$B,34)</f>
        <v>0</v>
      </c>
      <c r="Z42" s="287">
        <f t="shared" si="45"/>
        <v>230</v>
      </c>
      <c r="AA42" s="289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89">
        <f t="shared" si="46"/>
        <v>230</v>
      </c>
      <c r="AC42" s="291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91">
        <f t="shared" si="47"/>
        <v>230</v>
      </c>
      <c r="AE42" s="293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93">
        <f t="shared" si="48"/>
        <v>230</v>
      </c>
    </row>
    <row r="43" spans="1:32" ht="11.25" customHeight="1" x14ac:dyDescent="0.3">
      <c r="A43" s="295" t="str">
        <f>'Proposed Budget'!A43</f>
        <v>R</v>
      </c>
      <c r="B43" s="266">
        <f>'Proposed Budget'!B43</f>
        <v>35</v>
      </c>
      <c r="C43" s="298" t="str">
        <f>'Proposed Budget'!C43</f>
        <v>Rental Sanitation</v>
      </c>
      <c r="D43" s="299">
        <f t="shared" ca="1" si="33"/>
        <v>39.392805755395685</v>
      </c>
      <c r="E43" s="300">
        <f t="shared" si="34"/>
        <v>180</v>
      </c>
      <c r="F43" s="300">
        <f t="shared" si="35"/>
        <v>0</v>
      </c>
      <c r="G43" s="280">
        <f t="shared" si="36"/>
        <v>0</v>
      </c>
      <c r="H43" s="300">
        <f>'Proposed Budget'!D43</f>
        <v>45</v>
      </c>
      <c r="I43" s="281">
        <f>SUMIFS('Checking Transaction Log'!E:E,'Checking Transaction Log'!C:C,"&gt;="&amp;I1,'Checking Transaction Log'!C:C,"&lt;="&amp;J1,'Checking Transaction Log'!A:A,"R",'Checking Transaction Log'!B:B,35)</f>
        <v>45</v>
      </c>
      <c r="J43" s="281">
        <f t="shared" si="37"/>
        <v>0</v>
      </c>
      <c r="K43" s="243">
        <f>SUMIFS('Checking Transaction Log'!$E:$E,'Checking Transaction Log'!$C:$C,"&gt;="&amp;K1,'Checking Transaction Log'!$C:$C,"&lt;="&amp;L1,'Checking Transaction Log'!$A:$A,"R",'Checking Transaction Log'!$B:$B,35)</f>
        <v>45</v>
      </c>
      <c r="L43" s="243">
        <f t="shared" si="38"/>
        <v>0</v>
      </c>
      <c r="M43" s="284">
        <f>SUMIFS('Checking Transaction Log'!$E:$E,'Checking Transaction Log'!$C:$C,"&gt;="&amp;M1,'Checking Transaction Log'!$C:$C,"&lt;="&amp;N1,'Checking Transaction Log'!$A:$A,"R",'Checking Transaction Log'!$B:$B,35)</f>
        <v>45</v>
      </c>
      <c r="N43" s="284">
        <f t="shared" si="39"/>
        <v>0</v>
      </c>
      <c r="O43" s="247">
        <f>SUMIFS('Checking Transaction Log'!$E:$E,'Checking Transaction Log'!$C:$C,"&gt;="&amp;O1,'Checking Transaction Log'!$C:$C,"&lt;="&amp;P1,'Checking Transaction Log'!$A:$A,"R",'Checking Transaction Log'!$B:$B,35)</f>
        <v>45</v>
      </c>
      <c r="P43" s="247">
        <f t="shared" si="40"/>
        <v>0</v>
      </c>
      <c r="Q43" s="281">
        <f>SUMIFS('Checking Transaction Log'!$E:$E,'Checking Transaction Log'!$C:$C,"&gt;="&amp;Q1,'Checking Transaction Log'!$C:$C,"&lt;="&amp;R1,'Checking Transaction Log'!$A:$A,"R",'Checking Transaction Log'!$B:$B,35)</f>
        <v>0</v>
      </c>
      <c r="R43" s="281">
        <f t="shared" si="41"/>
        <v>45</v>
      </c>
      <c r="S43" s="243">
        <f>SUMIFS('Checking Transaction Log'!$E:$E,'Checking Transaction Log'!$C:$C,"&gt;="&amp;S1,'Checking Transaction Log'!$C:$C,"&lt;="&amp;T1,'Checking Transaction Log'!$A:$A,"R",'Checking Transaction Log'!$B:$B,35)</f>
        <v>0</v>
      </c>
      <c r="T43" s="243">
        <f t="shared" si="42"/>
        <v>45</v>
      </c>
      <c r="U43" s="284">
        <f>SUMIFS('Checking Transaction Log'!$E:$E,'Checking Transaction Log'!$C:$C,"&gt;="&amp;U1,'Checking Transaction Log'!$C:$C,"&lt;="&amp;V1,'Checking Transaction Log'!$A:$A,"R",'Checking Transaction Log'!$B:$B,35)</f>
        <v>0</v>
      </c>
      <c r="V43" s="284">
        <f t="shared" si="43"/>
        <v>45</v>
      </c>
      <c r="W43" s="247">
        <f>SUMIFS('Checking Transaction Log'!$E:$E,'Checking Transaction Log'!$C:$C,"&gt;="&amp;W1,'Checking Transaction Log'!$C:$C,"&lt;="&amp;X1,'Checking Transaction Log'!$A:$A,"R",'Checking Transaction Log'!$B:$B,35)</f>
        <v>0</v>
      </c>
      <c r="X43" s="247">
        <f t="shared" si="44"/>
        <v>45</v>
      </c>
      <c r="Y43" s="287">
        <f>SUMIFS('Checking Transaction Log'!$E:$E,'Checking Transaction Log'!$C:$C,"&gt;="&amp;Y1,'Checking Transaction Log'!$C:$C,"&lt;="&amp;Z1,'Checking Transaction Log'!$A:$A,"R",'Checking Transaction Log'!$B:$B,35)</f>
        <v>0</v>
      </c>
      <c r="Z43" s="287">
        <f t="shared" si="45"/>
        <v>45</v>
      </c>
      <c r="AA43" s="289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89">
        <f t="shared" si="46"/>
        <v>45</v>
      </c>
      <c r="AC43" s="291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91">
        <f t="shared" si="47"/>
        <v>45</v>
      </c>
      <c r="AE43" s="293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93">
        <f t="shared" si="48"/>
        <v>45</v>
      </c>
    </row>
    <row r="44" spans="1:32" ht="11.25" customHeight="1" x14ac:dyDescent="0.3">
      <c r="A44" s="295"/>
      <c r="B44" s="266"/>
      <c r="C44" s="298"/>
      <c r="D44" s="299"/>
      <c r="E44" s="300"/>
      <c r="F44" s="300"/>
      <c r="G44" s="280"/>
      <c r="H44" s="300"/>
      <c r="I44" s="281"/>
      <c r="J44" s="281"/>
      <c r="K44" s="243"/>
      <c r="L44" s="243"/>
      <c r="M44" s="284"/>
      <c r="N44" s="284"/>
      <c r="O44" s="247"/>
      <c r="P44" s="247"/>
      <c r="Q44" s="281"/>
      <c r="R44" s="281"/>
      <c r="S44" s="243"/>
      <c r="T44" s="243"/>
      <c r="U44" s="284"/>
      <c r="V44" s="284"/>
      <c r="W44" s="247"/>
      <c r="X44" s="247"/>
      <c r="Y44" s="287"/>
      <c r="Z44" s="287"/>
      <c r="AA44" s="289"/>
      <c r="AB44" s="289"/>
      <c r="AC44" s="291"/>
      <c r="AD44" s="291"/>
      <c r="AE44" s="293"/>
      <c r="AF44" s="293"/>
    </row>
    <row r="45" spans="1:32" ht="11.25" customHeight="1" x14ac:dyDescent="0.3">
      <c r="A45" s="295" t="str">
        <f>'Proposed Budget'!A45</f>
        <v>S</v>
      </c>
      <c r="B45" s="266">
        <f>'Proposed Budget'!B45</f>
        <v>36</v>
      </c>
      <c r="C45" s="298" t="str">
        <f>'Proposed Budget'!C45</f>
        <v>Kids Savings</v>
      </c>
      <c r="D45" s="299">
        <f t="shared" ref="D45:D46" ca="1" si="49">(E45/(TODAY()-$I$1))*30.42</f>
        <v>54.71223021582734</v>
      </c>
      <c r="E45" s="300">
        <f t="shared" ref="E45:E46" si="50">Q45+S45+U45+W45+Y45+AA45+AC45+AE45+I45+K45+M45+O45</f>
        <v>250</v>
      </c>
      <c r="F45" s="300">
        <f t="shared" ref="F45:F46" si="51">J45+L45+N45+P45</f>
        <v>0</v>
      </c>
      <c r="G45" s="280">
        <f t="shared" ref="G45:G46" si="52">1-((E45/SUM(E45:F45)))</f>
        <v>0</v>
      </c>
      <c r="H45" s="300">
        <f>'Proposed Budget'!D45</f>
        <v>50</v>
      </c>
      <c r="I45" s="281">
        <f>SUMIFS('Checking Transaction Log'!E:E,'Checking Transaction Log'!C:C,"&gt;="&amp;I1,'Checking Transaction Log'!C:C,"&lt;="&amp;J1,'Checking Transaction Log'!A:A,"S",'Checking Transaction Log'!B:B,36)</f>
        <v>50</v>
      </c>
      <c r="J45" s="281">
        <f t="shared" ref="J45:J46" si="53">H45-I45</f>
        <v>0</v>
      </c>
      <c r="K45" s="243">
        <f>SUMIFS('Checking Transaction Log'!E:E,'Checking Transaction Log'!C:C,"&gt;="&amp;K1,'Checking Transaction Log'!C:C,"&lt;="&amp;L1,'Checking Transaction Log'!A:A,"S",'Checking Transaction Log'!B:B,36)</f>
        <v>50</v>
      </c>
      <c r="L45" s="243">
        <f t="shared" ref="L45:L46" si="54">H45-K45</f>
        <v>0</v>
      </c>
      <c r="M45" s="284">
        <f>SUMIFS('Checking Transaction Log'!$E:$E,'Checking Transaction Log'!$C:$C,"&gt;="&amp;M1,'Checking Transaction Log'!$C:$C,"&lt;="&amp;N1,'Checking Transaction Log'!$A:$A,"s",'Checking Transaction Log'!$B:$B,36)</f>
        <v>50</v>
      </c>
      <c r="N45" s="284">
        <f t="shared" ref="N45:N46" si="55">H45-M45</f>
        <v>0</v>
      </c>
      <c r="O45" s="247">
        <f>SUMIFS('Checking Transaction Log'!$E:$E,'Checking Transaction Log'!$C:$C,"&gt;="&amp;O1,'Checking Transaction Log'!$C:$C,"&lt;="&amp;P1,'Checking Transaction Log'!$A:$A,"s",'Checking Transaction Log'!$B:$B,36)</f>
        <v>50</v>
      </c>
      <c r="P45" s="247">
        <f t="shared" ref="P45:P46" si="56">H45-O45</f>
        <v>0</v>
      </c>
      <c r="Q45" s="281">
        <f>SUMIFS('Checking Transaction Log'!$E:$E,'Checking Transaction Log'!$C:$C,"&gt;="&amp;Q1,'Checking Transaction Log'!$C:$C,"&lt;="&amp;R1,'Checking Transaction Log'!$A:$A,"s",'Checking Transaction Log'!$B:$B,36)</f>
        <v>50</v>
      </c>
      <c r="R45" s="281">
        <f t="shared" ref="R45:R46" si="57">H45-Q45</f>
        <v>0</v>
      </c>
      <c r="S45" s="243">
        <f>SUMIFS('Checking Transaction Log'!$E:$E,'Checking Transaction Log'!$C:$C,"&gt;="&amp;S1,'Checking Transaction Log'!$C:$C,"&lt;="&amp;T1,'Checking Transaction Log'!$A:$A,"s",'Checking Transaction Log'!$B:$B,36)</f>
        <v>0</v>
      </c>
      <c r="T45" s="243">
        <f t="shared" ref="T45:T46" si="58">H45-S45</f>
        <v>50</v>
      </c>
      <c r="U45" s="284">
        <f>SUMIFS('Checking Transaction Log'!$E:$E,'Checking Transaction Log'!$C:$C,"&gt;="&amp;U1,'Checking Transaction Log'!$C:$C,"&lt;="&amp;V1,'Checking Transaction Log'!$A:$A,"s",'Checking Transaction Log'!$B:$B,36)</f>
        <v>0</v>
      </c>
      <c r="V45" s="284">
        <f t="shared" ref="V45:V46" si="59">H45-U45</f>
        <v>50</v>
      </c>
      <c r="W45" s="247">
        <f>SUMIFS('Checking Transaction Log'!$E:$E,'Checking Transaction Log'!$C:$C,"&gt;="&amp;W1,'Checking Transaction Log'!$C:$C,"&lt;="&amp;X1,'Checking Transaction Log'!$A:$A,"s",'Checking Transaction Log'!$B:$B,36)</f>
        <v>0</v>
      </c>
      <c r="X45" s="247">
        <f t="shared" ref="X45:X46" si="60">H45-W45</f>
        <v>50</v>
      </c>
      <c r="Y45" s="287">
        <f>SUMIFS('Checking Transaction Log'!$E:$E,'Checking Transaction Log'!$C:$C,"&gt;="&amp;Y1,'Checking Transaction Log'!$C:$C,"&lt;="&amp;Z1,'Checking Transaction Log'!$A:$A,"s",'Checking Transaction Log'!$B:$B,36)</f>
        <v>0</v>
      </c>
      <c r="Z45" s="287">
        <f t="shared" ref="Z45:Z46" si="61">H45-Y45</f>
        <v>50</v>
      </c>
      <c r="AA45" s="289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89">
        <f t="shared" ref="AB45:AB46" si="62">H45-AA45</f>
        <v>50</v>
      </c>
      <c r="AC45" s="291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91">
        <f t="shared" ref="AD45:AD46" si="63">H45-AC45</f>
        <v>50</v>
      </c>
      <c r="AE45" s="293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93">
        <f t="shared" ref="AF45:AF46" si="64">H45-AE45</f>
        <v>50</v>
      </c>
    </row>
    <row r="46" spans="1:32" ht="11.25" customHeight="1" x14ac:dyDescent="0.3">
      <c r="A46" s="295" t="str">
        <f>'Proposed Budget'!A46</f>
        <v>S</v>
      </c>
      <c r="B46" s="266">
        <f>'Proposed Budget'!B46</f>
        <v>37</v>
      </c>
      <c r="C46" s="298" t="str">
        <f>'Proposed Budget'!C46</f>
        <v>Our Savings</v>
      </c>
      <c r="D46" s="299">
        <f t="shared" ca="1" si="49"/>
        <v>3695.4719352517982</v>
      </c>
      <c r="E46" s="300">
        <f t="shared" si="50"/>
        <v>16885.949999999997</v>
      </c>
      <c r="F46" s="300">
        <f t="shared" si="51"/>
        <v>-817.21597936001172</v>
      </c>
      <c r="G46" s="280">
        <f t="shared" si="52"/>
        <v>-5.0857521090977853E-2</v>
      </c>
      <c r="H46" s="300">
        <f>'Proposed Budget'!D46</f>
        <v>4017.1835051599969</v>
      </c>
      <c r="I46" s="281">
        <f>SUMIFS('Checking Transaction Log'!E:E,'Checking Transaction Log'!C:C,"&gt;="&amp;I1,'Checking Transaction Log'!C:C,"&lt;="&amp;J1,'Checking Transaction Log'!A:A,"S",'Checking Transaction Log'!B:B,37)</f>
        <v>3194.64</v>
      </c>
      <c r="J46" s="281">
        <f t="shared" si="53"/>
        <v>822.54350515999704</v>
      </c>
      <c r="K46" s="243">
        <f>SUMIFS('Checking Transaction Log'!E:E,'Checking Transaction Log'!C:C,"&gt;="&amp;K1,'Checking Transaction Log'!C:C,"&lt;="&amp;L1,'Checking Transaction Log'!A:A,"S",'Checking Transaction Log'!B:B,37)</f>
        <v>3764.91</v>
      </c>
      <c r="L46" s="243">
        <f t="shared" si="54"/>
        <v>252.27350515999706</v>
      </c>
      <c r="M46" s="284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84">
        <f t="shared" si="55"/>
        <v>-292.39649484000302</v>
      </c>
      <c r="O46" s="247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47">
        <f t="shared" si="56"/>
        <v>-1599.6364948400028</v>
      </c>
      <c r="Q46" s="281">
        <f>SUMIFS('Checking Transaction Log'!$E:$E,'Checking Transaction Log'!$C:$C,"&gt;="&amp;Q1,'Checking Transaction Log'!$C:$C,"&lt;="&amp;R1,'Checking Transaction Log'!$A:$A,"s",'Checking Transaction Log'!$B:$B,37)</f>
        <v>0</v>
      </c>
      <c r="R46" s="281">
        <f t="shared" si="57"/>
        <v>4017.1835051599969</v>
      </c>
      <c r="S46" s="243">
        <f>SUMIFS('Checking Transaction Log'!$E:$E,'Checking Transaction Log'!$C:$C,"&gt;="&amp;S1,'Checking Transaction Log'!$C:$C,"&lt;="&amp;T1,'Checking Transaction Log'!$A:$A,"s",'Checking Transaction Log'!$B:$B,37)</f>
        <v>0</v>
      </c>
      <c r="T46" s="243">
        <f t="shared" si="58"/>
        <v>4017.1835051599969</v>
      </c>
      <c r="U46" s="284">
        <f>SUMIFS('Checking Transaction Log'!$E:$E,'Checking Transaction Log'!$C:$C,"&gt;="&amp;U1,'Checking Transaction Log'!$C:$C,"&lt;="&amp;V1,'Checking Transaction Log'!$A:$A,"s",'Checking Transaction Log'!$B:$B,37)</f>
        <v>0</v>
      </c>
      <c r="V46" s="284">
        <f t="shared" si="59"/>
        <v>4017.1835051599969</v>
      </c>
      <c r="W46" s="247">
        <f>SUMIFS('Checking Transaction Log'!$E:$E,'Checking Transaction Log'!$C:$C,"&gt;="&amp;W1,'Checking Transaction Log'!$C:$C,"&lt;="&amp;X1,'Checking Transaction Log'!$A:$A,"s",'Checking Transaction Log'!$B:$B,37)</f>
        <v>0</v>
      </c>
      <c r="X46" s="247">
        <f t="shared" si="60"/>
        <v>4017.1835051599969</v>
      </c>
      <c r="Y46" s="287">
        <f>SUMIFS('Checking Transaction Log'!$E:$E,'Checking Transaction Log'!$C:$C,"&gt;="&amp;Y1,'Checking Transaction Log'!$C:$C,"&lt;="&amp;Z1,'Checking Transaction Log'!$A:$A,"s",'Checking Transaction Log'!$B:$B,37)</f>
        <v>0</v>
      </c>
      <c r="Z46" s="287">
        <f t="shared" si="61"/>
        <v>4017.1835051599969</v>
      </c>
      <c r="AA46" s="289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89">
        <f t="shared" si="62"/>
        <v>4017.1835051599969</v>
      </c>
      <c r="AC46" s="291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91">
        <f t="shared" si="63"/>
        <v>4017.1835051599969</v>
      </c>
      <c r="AE46" s="293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93">
        <f t="shared" si="64"/>
        <v>4017.1835051599969</v>
      </c>
    </row>
    <row r="47" spans="1:32" ht="11.25" customHeight="1" x14ac:dyDescent="0.3">
      <c r="A47" s="295"/>
      <c r="B47" s="266"/>
      <c r="C47" s="298"/>
      <c r="D47" s="302"/>
      <c r="E47" s="256" t="s">
        <v>68</v>
      </c>
      <c r="F47" s="256" t="s">
        <v>68</v>
      </c>
      <c r="G47" s="257" t="s">
        <v>153</v>
      </c>
      <c r="H47" s="297"/>
      <c r="I47" s="281"/>
      <c r="J47" s="281"/>
      <c r="K47" s="243"/>
      <c r="L47" s="243"/>
      <c r="M47" s="284"/>
      <c r="N47" s="284"/>
      <c r="O47" s="247"/>
      <c r="P47" s="247"/>
      <c r="Q47" s="281"/>
      <c r="R47" s="281"/>
      <c r="S47" s="243"/>
      <c r="T47" s="243"/>
      <c r="U47" s="284"/>
      <c r="V47" s="284"/>
      <c r="W47" s="247"/>
      <c r="X47" s="247"/>
      <c r="Y47" s="287"/>
      <c r="Z47" s="287"/>
      <c r="AA47" s="289"/>
      <c r="AB47" s="289"/>
      <c r="AC47" s="291"/>
      <c r="AD47" s="291"/>
      <c r="AE47" s="293"/>
    </row>
    <row r="48" spans="1:32" ht="11.25" customHeight="1" x14ac:dyDescent="0.3">
      <c r="A48" s="295"/>
      <c r="B48" s="266"/>
      <c r="C48" s="298"/>
      <c r="D48" s="302"/>
      <c r="E48" s="256" t="s">
        <v>263</v>
      </c>
      <c r="F48" s="256" t="s">
        <v>258</v>
      </c>
      <c r="G48" s="257" t="s">
        <v>264</v>
      </c>
      <c r="H48" s="295"/>
      <c r="I48" s="282"/>
      <c r="J48" s="282"/>
      <c r="K48" s="283"/>
      <c r="L48" s="283"/>
      <c r="M48" s="285"/>
      <c r="N48" s="285"/>
      <c r="O48" s="286"/>
      <c r="P48" s="286"/>
      <c r="Q48" s="282"/>
      <c r="R48" s="282"/>
      <c r="S48" s="283"/>
      <c r="T48" s="283"/>
      <c r="U48" s="285"/>
      <c r="V48" s="285"/>
      <c r="W48" s="286"/>
      <c r="X48" s="286"/>
      <c r="Y48" s="288"/>
      <c r="Z48" s="288"/>
      <c r="AA48" s="290"/>
      <c r="AB48" s="290"/>
      <c r="AC48" s="292"/>
      <c r="AD48" s="292"/>
      <c r="AE48" s="294"/>
    </row>
    <row r="49" spans="1:31" ht="11.25" customHeight="1" x14ac:dyDescent="0.3">
      <c r="A49" s="297" t="s">
        <v>226</v>
      </c>
      <c r="B49" s="266">
        <v>38</v>
      </c>
      <c r="C49" s="303" t="s">
        <v>265</v>
      </c>
      <c r="D49" s="299">
        <f t="shared" ref="D49:D52" ca="1" si="65">(E49/(TODAY()-$I$1))*30.42</f>
        <v>8772.8106690647473</v>
      </c>
      <c r="E49" s="279">
        <f t="shared" ref="E49:E52" si="66">Q49+S49+U49+W49+Y49+AA49+AC49+AE49+I49+K49+M49+O49</f>
        <v>40086.149999999994</v>
      </c>
      <c r="F49" s="279">
        <f>E49-('Proposed Budget'!J68*14)</f>
        <v>-24283.418043619997</v>
      </c>
      <c r="G49" s="257">
        <f t="shared" ref="G49:G50" si="67">(E49/(E49-F49))-1</f>
        <v>-0.37724997668408089</v>
      </c>
      <c r="H49" s="297"/>
      <c r="I49" s="281">
        <f>SUMIFS('Checking Transaction Log'!F:F,'Checking Transaction Log'!C:C,"&gt;="&amp;I1,'Checking Transaction Log'!C:C,"&lt;="&amp;J1,'Checking Transaction Log'!A:A,"i",'Checking Transaction Log'!B:B,38)</f>
        <v>8731.32</v>
      </c>
      <c r="J49" s="281"/>
      <c r="K49" s="243">
        <f>SUMIFS('Checking Transaction Log'!F:F,'Checking Transaction Log'!C:C,"&gt;="&amp;K1,'Checking Transaction Log'!C:C,"&lt;="&amp;L1,'Checking Transaction Log'!A:A,"i",'Checking Transaction Log'!B:B,38)</f>
        <v>8556.31</v>
      </c>
      <c r="L49" s="243"/>
      <c r="M49" s="284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84"/>
      <c r="O49" s="247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47"/>
      <c r="Q49" s="281">
        <f>SUMIFS('Checking Transaction Log'!$F:$F,'Checking Transaction Log'!$C:$C,"&gt;="&amp;Q1,'Checking Transaction Log'!$C:$C,"&lt;="&amp;R1,'Checking Transaction Log'!$A:$A,"i",'Checking Transaction Log'!$B:$B,38)</f>
        <v>4597.82</v>
      </c>
      <c r="R49" s="281"/>
      <c r="S49" s="243">
        <f>SUMIFS('Checking Transaction Log'!$F:$F,'Checking Transaction Log'!$C:$C,"&gt;="&amp;S1,'Checking Transaction Log'!$C:$C,"&lt;="&amp;T1,'Checking Transaction Log'!$A:$A,"i",'Checking Transaction Log'!$B:$B,38)</f>
        <v>0</v>
      </c>
      <c r="T49" s="243"/>
      <c r="U49" s="284">
        <f>SUMIFS('Checking Transaction Log'!$F:$F,'Checking Transaction Log'!$C:$C,"&gt;="&amp;U1,'Checking Transaction Log'!$C:$C,"&lt;="&amp;V1,'Checking Transaction Log'!$A:$A,"i",'Checking Transaction Log'!$B:$B,38)</f>
        <v>0</v>
      </c>
      <c r="V49" s="284"/>
      <c r="W49" s="247">
        <f>SUMIFS('Checking Transaction Log'!$F:$F,'Checking Transaction Log'!$C:$C,"&gt;="&amp;W1,'Checking Transaction Log'!$C:$C,"&lt;="&amp;X1,'Checking Transaction Log'!$A:$A,"i",'Checking Transaction Log'!$B:$B,38)</f>
        <v>0</v>
      </c>
      <c r="X49" s="247"/>
      <c r="Y49" s="287">
        <f>SUMIFS('Checking Transaction Log'!$F:$F,'Checking Transaction Log'!$C:$C,"&gt;="&amp;Y1,'Checking Transaction Log'!$C:$C,"&lt;="&amp;Z1,'Checking Transaction Log'!$A:$A,"i",'Checking Transaction Log'!$B:$B,38)</f>
        <v>0</v>
      </c>
      <c r="Z49" s="287"/>
      <c r="AA49" s="289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89"/>
      <c r="AC49" s="291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91"/>
      <c r="AE49" s="293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97" t="s">
        <v>226</v>
      </c>
      <c r="B50" s="266">
        <v>39</v>
      </c>
      <c r="C50" s="303" t="s">
        <v>266</v>
      </c>
      <c r="D50" s="299">
        <f t="shared" ca="1" si="65"/>
        <v>6175.5401266187055</v>
      </c>
      <c r="E50" s="279">
        <f t="shared" si="66"/>
        <v>28218.28</v>
      </c>
      <c r="F50" s="279">
        <f>E50-('Proposed Budget'!J44*14)</f>
        <v>-10474.689069999993</v>
      </c>
      <c r="G50" s="257">
        <f t="shared" si="67"/>
        <v>-0.270712982791527</v>
      </c>
      <c r="H50" s="297"/>
      <c r="I50" s="281">
        <f>SUMIFS('Checking Transaction Log'!F:F,'Checking Transaction Log'!C:C,"&gt;="&amp;I1,'Checking Transaction Log'!C:C,"&lt;="&amp;J1,'Checking Transaction Log'!A:A,"i",'Checking Transaction Log'!B:B,39)</f>
        <v>6108.04</v>
      </c>
      <c r="J50" s="281"/>
      <c r="K50" s="243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43"/>
      <c r="M50" s="284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84"/>
      <c r="O50" s="247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47"/>
      <c r="Q50" s="281">
        <f>SUMIFS('Checking Transaction Log'!$F:$F,'Checking Transaction Log'!$C:$C,"&gt;="&amp;Q1,'Checking Transaction Log'!$C:$C,"&lt;="&amp;R1,'Checking Transaction Log'!$A:$A,"i",'Checking Transaction Log'!$B:$B,39)</f>
        <v>2763.78</v>
      </c>
      <c r="R50" s="281"/>
      <c r="S50" s="243">
        <f>SUMIFS('Checking Transaction Log'!$F:$F,'Checking Transaction Log'!$C:$C,"&gt;="&amp;S1,'Checking Transaction Log'!$C:$C,"&lt;="&amp;T1,'Checking Transaction Log'!$A:$A,"i",'Checking Transaction Log'!$B:$B,39)</f>
        <v>0</v>
      </c>
      <c r="T50" s="243"/>
      <c r="U50" s="284">
        <f>SUMIFS('Checking Transaction Log'!$F:$F,'Checking Transaction Log'!$C:$C,"&gt;="&amp;U1,'Checking Transaction Log'!$C:$C,"&lt;="&amp;V1,'Checking Transaction Log'!$A:$A,"i",'Checking Transaction Log'!$B:$B,39)</f>
        <v>0</v>
      </c>
      <c r="V50" s="284"/>
      <c r="W50" s="247">
        <f>SUMIFS('Checking Transaction Log'!$F:$F,'Checking Transaction Log'!$C:$C,"&gt;="&amp;W1,'Checking Transaction Log'!$C:$C,"&lt;="&amp;X1,'Checking Transaction Log'!$A:$A,"i",'Checking Transaction Log'!$B:$B,39)</f>
        <v>0</v>
      </c>
      <c r="X50" s="247"/>
      <c r="Y50" s="287">
        <f>SUMIFS('Checking Transaction Log'!$F:$F,'Checking Transaction Log'!$C:$C,"&gt;="&amp;Y1,'Checking Transaction Log'!$C:$C,"&lt;="&amp;Z1,'Checking Transaction Log'!$A:$A,"i",'Checking Transaction Log'!$B:$B,39)</f>
        <v>0</v>
      </c>
      <c r="Z50" s="287"/>
      <c r="AA50" s="289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89"/>
      <c r="AC50" s="291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91"/>
      <c r="AE50" s="293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97" t="s">
        <v>226</v>
      </c>
      <c r="B51" s="266">
        <v>40</v>
      </c>
      <c r="C51" s="303" t="s">
        <v>267</v>
      </c>
      <c r="D51" s="299">
        <f t="shared" ca="1" si="65"/>
        <v>921.15918129496424</v>
      </c>
      <c r="E51" s="279">
        <f t="shared" si="66"/>
        <v>4209.1100000000006</v>
      </c>
      <c r="F51" s="279"/>
      <c r="G51" s="257"/>
      <c r="H51" s="297"/>
      <c r="I51" s="281">
        <f>SUMIFS('Checking Transaction Log'!F:F,'Checking Transaction Log'!C:C,"&gt;="&amp;I1,'Checking Transaction Log'!C:C,"&lt;="&amp;J1,'Checking Transaction Log'!A:A,"i",'Checking Transaction Log'!B:B,40)</f>
        <v>0</v>
      </c>
      <c r="J51" s="281"/>
      <c r="K51" s="243">
        <f>SUMIFS('Checking Transaction Log'!F:F,'Checking Transaction Log'!C:C,"&gt;="&amp;K1,'Checking Transaction Log'!C:C,"&lt;="&amp;L1,'Checking Transaction Log'!A:A,"i",'Checking Transaction Log'!B:B,40)</f>
        <v>2531.75</v>
      </c>
      <c r="L51" s="243"/>
      <c r="M51" s="284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84"/>
      <c r="O51" s="247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47"/>
      <c r="Q51" s="281">
        <f>SUMIFS('Checking Transaction Log'!$F:$F,'Checking Transaction Log'!$C:$C,"&gt;="&amp;Q1,'Checking Transaction Log'!$C:$C,"&lt;="&amp;R1,'Checking Transaction Log'!$A:$A,"i",'Checking Transaction Log'!$B:$B,40)</f>
        <v>0</v>
      </c>
      <c r="R51" s="281"/>
      <c r="S51" s="243">
        <f>SUMIFS('Checking Transaction Log'!$F:$F,'Checking Transaction Log'!$C:$C,"&gt;="&amp;S1,'Checking Transaction Log'!$C:$C,"&lt;="&amp;T1,'Checking Transaction Log'!$A:$A,"i",'Checking Transaction Log'!$B:$B,40)</f>
        <v>0</v>
      </c>
      <c r="T51" s="243"/>
      <c r="U51" s="284">
        <f>SUMIFS('Checking Transaction Log'!$F:$F,'Checking Transaction Log'!$C:$C,"&gt;="&amp;U1,'Checking Transaction Log'!$C:$C,"&lt;="&amp;V1,'Checking Transaction Log'!$A:$A,"i",'Checking Transaction Log'!$B:$B,40)</f>
        <v>0</v>
      </c>
      <c r="V51" s="284"/>
      <c r="W51" s="247">
        <f>SUMIFS('Checking Transaction Log'!$F:$F,'Checking Transaction Log'!$C:$C,"&gt;="&amp;W1,'Checking Transaction Log'!$C:$C,"&lt;="&amp;X1,'Checking Transaction Log'!$A:$A,"i",'Checking Transaction Log'!$B:$B,40)</f>
        <v>0</v>
      </c>
      <c r="X51" s="247"/>
      <c r="Y51" s="287">
        <f>SUMIFS('Checking Transaction Log'!$F:$F,'Checking Transaction Log'!$C:$C,"&gt;="&amp;Y1,'Checking Transaction Log'!$C:$C,"&lt;="&amp;Z1,'Checking Transaction Log'!$A:$A,"i",'Checking Transaction Log'!$B:$B,40)</f>
        <v>0</v>
      </c>
      <c r="Z51" s="287"/>
      <c r="AA51" s="289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89"/>
      <c r="AC51" s="291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91"/>
      <c r="AE51" s="293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97" t="s">
        <v>226</v>
      </c>
      <c r="B52" s="266">
        <v>41</v>
      </c>
      <c r="C52" s="303" t="s">
        <v>189</v>
      </c>
      <c r="D52" s="299">
        <f t="shared" ca="1" si="65"/>
        <v>700.31654676258995</v>
      </c>
      <c r="E52" s="279">
        <f t="shared" si="66"/>
        <v>3200</v>
      </c>
      <c r="F52" s="279"/>
      <c r="G52" s="257"/>
      <c r="H52" s="297"/>
      <c r="I52" s="281">
        <f>SUMIFS('Checking Transaction Log'!F:F,'Checking Transaction Log'!C:C,"&gt;="&amp;I1,'Checking Transaction Log'!C:C,"&lt;="&amp;J1,'Checking Transaction Log'!A:A,"i",'Checking Transaction Log'!B:B,41)</f>
        <v>800</v>
      </c>
      <c r="J52" s="281"/>
      <c r="K52" s="243">
        <f>SUMIFS('Checking Transaction Log'!F:F,'Checking Transaction Log'!C:C,"&gt;="&amp;K1,'Checking Transaction Log'!C:C,"&lt;="&amp;L1,'Checking Transaction Log'!A:A,"i",'Checking Transaction Log'!B:B,41)</f>
        <v>0</v>
      </c>
      <c r="L52" s="243"/>
      <c r="M52" s="284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84"/>
      <c r="O52" s="247">
        <f>SUMIFS('Checking Transaction Log'!$F:$F,'Checking Transaction Log'!$C:$C,"&gt;="&amp;O1,'Checking Transaction Log'!$C:$C,"&lt;="&amp;P1,'Checking Transaction Log'!$A:$A,"i",'Checking Transaction Log'!$B:$B,41)</f>
        <v>550</v>
      </c>
      <c r="P52" s="247"/>
      <c r="Q52" s="281">
        <f>SUMIFS('Checking Transaction Log'!$F:$F,'Checking Transaction Log'!$C:$C,"&gt;="&amp;Q1,'Checking Transaction Log'!$C:$C,"&lt;="&amp;R1,'Checking Transaction Log'!$A:$A,"i",'Checking Transaction Log'!$B:$B,41)</f>
        <v>250</v>
      </c>
      <c r="R52" s="281"/>
      <c r="S52" s="243">
        <f>SUMIFS('Checking Transaction Log'!$F:$F,'Checking Transaction Log'!$C:$C,"&gt;="&amp;S1,'Checking Transaction Log'!$C:$C,"&lt;="&amp;T1,'Checking Transaction Log'!$A:$A,"i",'Checking Transaction Log'!$B:$B,41)</f>
        <v>0</v>
      </c>
      <c r="T52" s="243"/>
      <c r="U52" s="284">
        <f>SUMIFS('Checking Transaction Log'!$F:$F,'Checking Transaction Log'!$C:$C,"&gt;="&amp;U1,'Checking Transaction Log'!$C:$C,"&lt;="&amp;V1,'Checking Transaction Log'!$A:$A,"i",'Checking Transaction Log'!$B:$B,41)</f>
        <v>0</v>
      </c>
      <c r="V52" s="284"/>
      <c r="W52" s="247">
        <f>SUMIFS('Checking Transaction Log'!$F:$F,'Checking Transaction Log'!$C:$C,"&gt;="&amp;W1,'Checking Transaction Log'!$C:$C,"&lt;="&amp;X1,'Checking Transaction Log'!$A:$A,"i",'Checking Transaction Log'!$B:$B,41)</f>
        <v>0</v>
      </c>
      <c r="X52" s="247"/>
      <c r="Y52" s="287">
        <f>SUMIFS('Checking Transaction Log'!$F:$F,'Checking Transaction Log'!$C:$C,"&gt;="&amp;Y1,'Checking Transaction Log'!$C:$C,"&lt;="&amp;Z1,'Checking Transaction Log'!$A:$A,"i",'Checking Transaction Log'!$B:$B,41)</f>
        <v>0</v>
      </c>
      <c r="Z52" s="287"/>
      <c r="AA52" s="289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89"/>
      <c r="AC52" s="291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91"/>
      <c r="AE52" s="293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99"/>
      <c r="B53" s="304"/>
      <c r="C53" s="305"/>
      <c r="D53" s="133"/>
      <c r="E53" s="306"/>
      <c r="F53" s="306"/>
      <c r="G53" s="307"/>
      <c r="H53" s="306"/>
      <c r="I53" s="306"/>
      <c r="J53" s="306"/>
      <c r="K53" s="306"/>
      <c r="L53" s="306"/>
      <c r="M53" s="306"/>
      <c r="N53" s="306"/>
      <c r="O53" s="306"/>
      <c r="P53" s="306"/>
      <c r="Q53" s="306"/>
      <c r="R53" s="306"/>
      <c r="S53" s="306"/>
      <c r="T53" s="306"/>
      <c r="U53" s="306"/>
      <c r="V53" s="306"/>
      <c r="W53" s="306"/>
      <c r="X53" s="306"/>
      <c r="Y53" s="306"/>
      <c r="Z53" s="306"/>
      <c r="AA53" s="306"/>
      <c r="AB53" s="306"/>
      <c r="AC53" s="306"/>
      <c r="AD53" s="306"/>
      <c r="AE53" s="306"/>
    </row>
    <row r="54" spans="1:31" ht="11.25" customHeight="1" x14ac:dyDescent="0.3">
      <c r="A54" s="199"/>
      <c r="B54" s="304"/>
      <c r="C54" s="305"/>
      <c r="D54" s="133"/>
      <c r="E54" s="308">
        <f>SUM(E49:E52)</f>
        <v>75713.539999999994</v>
      </c>
      <c r="F54" s="308">
        <f>F49+F50+E52</f>
        <v>-31558.10711361999</v>
      </c>
      <c r="G54" s="257">
        <f>(E54/(E54-F54))-1</f>
        <v>-0.29418870654791263</v>
      </c>
      <c r="H54" s="306"/>
      <c r="I54" s="209">
        <f>SUM(I49:I52)</f>
        <v>15639.36</v>
      </c>
      <c r="J54" s="306"/>
      <c r="K54" s="209">
        <f>SUM(K49:K52)</f>
        <v>16615.62</v>
      </c>
      <c r="L54" s="306"/>
      <c r="M54" s="209">
        <f>SUM(M49:M52)</f>
        <v>16971.29</v>
      </c>
      <c r="N54" s="306"/>
      <c r="O54" s="209">
        <f>SUM(O49:O52)</f>
        <v>18875.669999999998</v>
      </c>
      <c r="P54" s="306"/>
      <c r="Q54" s="209">
        <f>SUM(Q49:Q52)</f>
        <v>7611.6</v>
      </c>
      <c r="R54" s="306"/>
      <c r="S54" s="209">
        <f>SUM(S49:S52)</f>
        <v>0</v>
      </c>
      <c r="T54" s="306"/>
      <c r="U54" s="209">
        <f>SUM(U49:U52)</f>
        <v>0</v>
      </c>
      <c r="V54" s="306"/>
      <c r="W54" s="209">
        <f>SUM(W49:W52)</f>
        <v>0</v>
      </c>
      <c r="X54" s="306"/>
      <c r="Y54" s="209">
        <f>SUM(Y49:Y52)</f>
        <v>0</v>
      </c>
      <c r="Z54" s="306"/>
      <c r="AA54" s="209">
        <f>SUM(AA49:AA52)</f>
        <v>0</v>
      </c>
      <c r="AB54" s="306"/>
      <c r="AC54" s="209">
        <f>SUM(AC49:AC52)</f>
        <v>0</v>
      </c>
      <c r="AD54" s="306"/>
      <c r="AE54" s="209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682"/>
  <sheetViews>
    <sheetView tabSelected="1" workbookViewId="0">
      <pane ySplit="4" topLeftCell="A5" activePane="bottomLeft" state="frozen"/>
      <selection pane="bottomLeft" activeCell="D17" sqref="D17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6" t="s">
        <v>261</v>
      </c>
      <c r="B1" s="564"/>
      <c r="C1" s="309" t="s">
        <v>268</v>
      </c>
      <c r="D1" s="310" t="s">
        <v>269</v>
      </c>
      <c r="E1" s="567" t="s">
        <v>270</v>
      </c>
      <c r="F1" s="564"/>
      <c r="G1" s="311">
        <f t="array" aca="1" ref="G1" ca="1">(SUM(INDIRECT("g5:g5")))+J2+L2+N2+P2-R2+T2-G885</f>
        <v>4446.1799999999848</v>
      </c>
      <c r="H1" s="312"/>
      <c r="I1" s="313" t="s">
        <v>271</v>
      </c>
      <c r="J1" s="314">
        <v>25000</v>
      </c>
      <c r="K1" s="315" t="s">
        <v>272</v>
      </c>
      <c r="L1" s="316">
        <v>25000</v>
      </c>
      <c r="M1" s="317" t="s">
        <v>273</v>
      </c>
      <c r="N1" s="318">
        <f>10500-N2</f>
        <v>10500</v>
      </c>
      <c r="O1" s="319" t="s">
        <v>274</v>
      </c>
      <c r="P1" s="320">
        <f>5000-P2</f>
        <v>5000</v>
      </c>
      <c r="Q1" s="568" t="s">
        <v>39</v>
      </c>
      <c r="R1" s="564"/>
      <c r="S1" s="321" t="s">
        <v>273</v>
      </c>
      <c r="T1" s="322">
        <f>1200-T2</f>
        <v>1200</v>
      </c>
    </row>
    <row r="2" spans="1:20" ht="12" customHeight="1" x14ac:dyDescent="0.3">
      <c r="A2" s="310"/>
      <c r="B2" s="323"/>
      <c r="C2" s="309"/>
      <c r="D2" s="324"/>
      <c r="E2" s="567" t="s">
        <v>39</v>
      </c>
      <c r="F2" s="564"/>
      <c r="G2" s="311">
        <f>R2</f>
        <v>100</v>
      </c>
      <c r="H2" s="312"/>
      <c r="I2" s="325" t="s">
        <v>275</v>
      </c>
      <c r="J2" s="314">
        <f>SUMIFS(E:E,I:I,"1")</f>
        <v>1367.25</v>
      </c>
      <c r="K2" s="315" t="s">
        <v>276</v>
      </c>
      <c r="L2" s="316">
        <f>(SUMIFS(E:E,I:I,"2"))</f>
        <v>460.68999999999994</v>
      </c>
      <c r="M2" s="317" t="s">
        <v>277</v>
      </c>
      <c r="N2" s="318">
        <f>SUMIFS(E:E,I:I,"3")</f>
        <v>0</v>
      </c>
      <c r="O2" s="319" t="s">
        <v>278</v>
      </c>
      <c r="P2" s="320">
        <f>SUMIFS(E:E,I:I,"4")</f>
        <v>0</v>
      </c>
      <c r="Q2" s="326"/>
      <c r="R2" s="327">
        <f>SUMIFS(F:F,H:H,"cash")-SUMIFS(E:E,H:H,"cash")</f>
        <v>100</v>
      </c>
      <c r="S2" s="321" t="s">
        <v>279</v>
      </c>
      <c r="T2" s="322">
        <f>SUMIFS(E:E,I:I,"6")</f>
        <v>0</v>
      </c>
    </row>
    <row r="3" spans="1:20" ht="12" customHeight="1" x14ac:dyDescent="0.3">
      <c r="A3" s="310"/>
      <c r="B3" s="323"/>
      <c r="C3" s="309"/>
      <c r="D3" s="324"/>
      <c r="E3" s="567" t="s">
        <v>280</v>
      </c>
      <c r="F3" s="564"/>
      <c r="G3" s="311">
        <f>SUM(J1,L1,N1,P1,T1)</f>
        <v>66700</v>
      </c>
      <c r="H3" s="312"/>
      <c r="I3" s="328"/>
      <c r="J3" s="329"/>
      <c r="K3" s="330"/>
      <c r="L3" s="331"/>
      <c r="M3" s="332"/>
      <c r="N3" s="333"/>
      <c r="O3" s="334"/>
      <c r="P3" s="335"/>
      <c r="Q3" s="336"/>
      <c r="R3" s="337"/>
      <c r="S3" s="338"/>
      <c r="T3" s="339"/>
    </row>
    <row r="4" spans="1:20" ht="12" customHeight="1" x14ac:dyDescent="0.3">
      <c r="A4" s="340"/>
      <c r="B4" s="341"/>
      <c r="C4" s="309"/>
      <c r="D4" s="310"/>
      <c r="E4" s="342" t="s">
        <v>281</v>
      </c>
      <c r="F4" s="343" t="s">
        <v>282</v>
      </c>
      <c r="G4" s="344" t="s">
        <v>283</v>
      </c>
      <c r="H4" s="345"/>
      <c r="I4" s="346"/>
      <c r="J4" s="347"/>
      <c r="K4" s="312"/>
      <c r="L4" s="347"/>
      <c r="M4" s="312"/>
      <c r="N4" s="347"/>
      <c r="O4" s="312"/>
      <c r="P4" s="347"/>
      <c r="Q4" s="312"/>
      <c r="R4" s="347"/>
      <c r="S4" s="312"/>
      <c r="T4" s="347"/>
    </row>
    <row r="5" spans="1:20" ht="12" customHeight="1" x14ac:dyDescent="0.3">
      <c r="A5" s="340" t="s">
        <v>294</v>
      </c>
      <c r="B5" s="341">
        <v>22</v>
      </c>
      <c r="C5" s="309">
        <v>46160</v>
      </c>
      <c r="D5" s="310" t="s">
        <v>401</v>
      </c>
      <c r="E5" s="533">
        <v>13.84</v>
      </c>
      <c r="F5" s="533"/>
      <c r="G5" s="344">
        <f t="shared" ref="G5:G88" si="0">G6-E5+F5</f>
        <v>2718.2399999999848</v>
      </c>
      <c r="H5" s="345"/>
      <c r="I5" s="346">
        <v>1</v>
      </c>
      <c r="J5" s="347"/>
      <c r="K5" s="312"/>
      <c r="L5" s="347"/>
      <c r="M5" s="312"/>
      <c r="N5" s="347"/>
      <c r="O5" s="312"/>
      <c r="P5" s="347"/>
      <c r="Q5" s="312"/>
      <c r="R5" s="347"/>
      <c r="S5" s="312"/>
      <c r="T5" s="347"/>
    </row>
    <row r="6" spans="1:20" ht="12" customHeight="1" x14ac:dyDescent="0.3">
      <c r="A6" s="340"/>
      <c r="B6" s="341"/>
      <c r="C6" s="309">
        <v>46160</v>
      </c>
      <c r="D6" s="310" t="s">
        <v>300</v>
      </c>
      <c r="E6" s="533">
        <v>138.44</v>
      </c>
      <c r="F6" s="533"/>
      <c r="G6" s="344">
        <f t="shared" si="0"/>
        <v>2732.0799999999849</v>
      </c>
      <c r="H6" s="345"/>
      <c r="I6" s="346">
        <v>1</v>
      </c>
      <c r="J6" s="347"/>
      <c r="K6" s="312"/>
      <c r="L6" s="347"/>
      <c r="M6" s="312"/>
      <c r="N6" s="347"/>
      <c r="O6" s="312"/>
      <c r="P6" s="347"/>
      <c r="Q6" s="312"/>
      <c r="R6" s="347"/>
      <c r="S6" s="312"/>
      <c r="T6" s="347"/>
    </row>
    <row r="7" spans="1:20" ht="12" customHeight="1" x14ac:dyDescent="0.3">
      <c r="A7" s="340" t="s">
        <v>294</v>
      </c>
      <c r="B7" s="341">
        <v>17</v>
      </c>
      <c r="C7" s="309">
        <v>46160</v>
      </c>
      <c r="D7" s="310" t="s">
        <v>188</v>
      </c>
      <c r="E7" s="533">
        <v>42.65</v>
      </c>
      <c r="F7" s="533"/>
      <c r="G7" s="344">
        <f t="shared" si="0"/>
        <v>2870.519999999985</v>
      </c>
      <c r="H7" s="345"/>
      <c r="I7" s="346"/>
      <c r="J7" s="347"/>
      <c r="K7" s="312"/>
      <c r="L7" s="347"/>
      <c r="M7" s="312"/>
      <c r="N7" s="347"/>
      <c r="O7" s="312"/>
      <c r="P7" s="347"/>
      <c r="Q7" s="312"/>
      <c r="R7" s="347"/>
      <c r="S7" s="312"/>
      <c r="T7" s="347"/>
    </row>
    <row r="8" spans="1:20" ht="12" customHeight="1" x14ac:dyDescent="0.3">
      <c r="A8" s="340" t="s">
        <v>294</v>
      </c>
      <c r="B8" s="341">
        <v>15</v>
      </c>
      <c r="C8" s="309">
        <v>46160</v>
      </c>
      <c r="D8" s="310" t="s">
        <v>185</v>
      </c>
      <c r="E8" s="533">
        <v>101.37</v>
      </c>
      <c r="F8" s="533"/>
      <c r="G8" s="344">
        <f t="shared" si="0"/>
        <v>2913.1699999999851</v>
      </c>
      <c r="H8" s="345"/>
      <c r="I8" s="346"/>
      <c r="J8" s="347"/>
      <c r="K8" s="312"/>
      <c r="L8" s="347"/>
      <c r="M8" s="312"/>
      <c r="N8" s="347"/>
      <c r="O8" s="312"/>
      <c r="P8" s="347"/>
      <c r="Q8" s="312"/>
      <c r="R8" s="347"/>
      <c r="S8" s="312"/>
      <c r="T8" s="347"/>
    </row>
    <row r="9" spans="1:20" ht="12" customHeight="1" x14ac:dyDescent="0.3">
      <c r="A9" s="340" t="s">
        <v>335</v>
      </c>
      <c r="B9" s="341" t="s">
        <v>335</v>
      </c>
      <c r="C9" s="309">
        <v>46160</v>
      </c>
      <c r="D9" s="310" t="s">
        <v>336</v>
      </c>
      <c r="E9" s="533">
        <v>93.13</v>
      </c>
      <c r="F9" s="533"/>
      <c r="G9" s="344">
        <f t="shared" si="0"/>
        <v>3014.539999999985</v>
      </c>
      <c r="H9" s="345"/>
      <c r="I9" s="346"/>
      <c r="J9" s="347"/>
      <c r="K9" s="312"/>
      <c r="L9" s="347"/>
      <c r="M9" s="312"/>
      <c r="N9" s="347"/>
      <c r="O9" s="312"/>
      <c r="P9" s="347"/>
      <c r="Q9" s="312"/>
      <c r="R9" s="347"/>
      <c r="S9" s="312"/>
      <c r="T9" s="347"/>
    </row>
    <row r="10" spans="1:20" ht="12" customHeight="1" x14ac:dyDescent="0.3">
      <c r="A10" s="340" t="s">
        <v>294</v>
      </c>
      <c r="B10" s="341">
        <v>11</v>
      </c>
      <c r="C10" s="309">
        <v>46160</v>
      </c>
      <c r="D10" s="310" t="s">
        <v>178</v>
      </c>
      <c r="E10" s="533">
        <v>267.68</v>
      </c>
      <c r="F10" s="533"/>
      <c r="G10" s="344">
        <f t="shared" si="0"/>
        <v>3107.6699999999851</v>
      </c>
      <c r="H10" s="345"/>
      <c r="I10" s="346"/>
      <c r="J10" s="347"/>
      <c r="K10" s="312"/>
      <c r="L10" s="347"/>
      <c r="M10" s="312"/>
      <c r="N10" s="347"/>
      <c r="O10" s="312"/>
      <c r="P10" s="347"/>
      <c r="Q10" s="312"/>
      <c r="R10" s="347"/>
      <c r="S10" s="312"/>
      <c r="T10" s="347"/>
    </row>
    <row r="11" spans="1:20" ht="12" customHeight="1" x14ac:dyDescent="0.3">
      <c r="A11" s="340" t="s">
        <v>294</v>
      </c>
      <c r="B11" s="341">
        <v>23</v>
      </c>
      <c r="C11" s="309">
        <v>46160</v>
      </c>
      <c r="D11" s="310" t="s">
        <v>63</v>
      </c>
      <c r="E11" s="533">
        <v>529.46</v>
      </c>
      <c r="F11" s="533"/>
      <c r="G11" s="344">
        <f t="shared" si="0"/>
        <v>3375.3499999999849</v>
      </c>
      <c r="H11" s="345"/>
      <c r="I11" s="346"/>
      <c r="J11" s="347"/>
      <c r="K11" s="312"/>
      <c r="L11" s="347"/>
      <c r="M11" s="312"/>
      <c r="N11" s="347"/>
      <c r="O11" s="312"/>
      <c r="P11" s="347"/>
      <c r="Q11" s="312"/>
      <c r="R11" s="347"/>
      <c r="S11" s="312"/>
      <c r="T11" s="347"/>
    </row>
    <row r="12" spans="1:20" ht="12" customHeight="1" x14ac:dyDescent="0.3">
      <c r="A12" s="340" t="s">
        <v>289</v>
      </c>
      <c r="B12" s="341">
        <v>1</v>
      </c>
      <c r="C12" s="309">
        <v>46159</v>
      </c>
      <c r="D12" s="310" t="s">
        <v>311</v>
      </c>
      <c r="E12" s="533">
        <v>148.25</v>
      </c>
      <c r="F12" s="533"/>
      <c r="G12" s="344">
        <f t="shared" si="0"/>
        <v>3904.8099999999849</v>
      </c>
      <c r="H12" s="345"/>
      <c r="I12" s="346">
        <v>2</v>
      </c>
      <c r="J12" s="347"/>
      <c r="K12" s="312"/>
      <c r="L12" s="347"/>
      <c r="M12" s="312"/>
      <c r="N12" s="347"/>
      <c r="O12" s="312"/>
      <c r="P12" s="347"/>
      <c r="Q12" s="312"/>
      <c r="R12" s="347"/>
      <c r="S12" s="312"/>
      <c r="T12" s="347"/>
    </row>
    <row r="13" spans="1:20" ht="12" customHeight="1" x14ac:dyDescent="0.3">
      <c r="A13" s="340" t="s">
        <v>289</v>
      </c>
      <c r="B13" s="341">
        <v>1</v>
      </c>
      <c r="C13" s="309">
        <v>46159</v>
      </c>
      <c r="D13" s="310" t="s">
        <v>306</v>
      </c>
      <c r="E13" s="533">
        <v>90.2</v>
      </c>
      <c r="F13" s="533"/>
      <c r="G13" s="344">
        <f t="shared" si="0"/>
        <v>4053.0599999999849</v>
      </c>
      <c r="H13" s="345"/>
      <c r="I13" s="346">
        <v>2</v>
      </c>
      <c r="J13" s="347"/>
      <c r="K13" s="312"/>
      <c r="L13" s="347"/>
      <c r="M13" s="312"/>
      <c r="N13" s="347"/>
      <c r="O13" s="312"/>
      <c r="P13" s="347"/>
      <c r="Q13" s="312"/>
      <c r="R13" s="347"/>
      <c r="S13" s="312"/>
      <c r="T13" s="347"/>
    </row>
    <row r="14" spans="1:20" ht="12" customHeight="1" x14ac:dyDescent="0.3">
      <c r="A14" s="340" t="s">
        <v>294</v>
      </c>
      <c r="B14" s="341">
        <v>21</v>
      </c>
      <c r="C14" s="309">
        <v>46159</v>
      </c>
      <c r="D14" s="310" t="s">
        <v>194</v>
      </c>
      <c r="E14" s="533">
        <v>81</v>
      </c>
      <c r="F14" s="533"/>
      <c r="G14" s="344">
        <f t="shared" si="0"/>
        <v>4143.2599999999848</v>
      </c>
      <c r="H14" s="345"/>
      <c r="I14" s="346">
        <v>2</v>
      </c>
      <c r="J14" s="347"/>
      <c r="K14" s="312"/>
      <c r="L14" s="347"/>
      <c r="M14" s="312"/>
      <c r="N14" s="347"/>
      <c r="O14" s="312"/>
      <c r="P14" s="347"/>
      <c r="Q14" s="312"/>
      <c r="R14" s="347"/>
      <c r="S14" s="312"/>
      <c r="T14" s="347"/>
    </row>
    <row r="15" spans="1:20" ht="12" customHeight="1" x14ac:dyDescent="0.3">
      <c r="A15" s="340" t="s">
        <v>289</v>
      </c>
      <c r="B15" s="341">
        <v>6</v>
      </c>
      <c r="C15" s="309">
        <v>46159</v>
      </c>
      <c r="D15" s="310" t="s">
        <v>300</v>
      </c>
      <c r="E15" s="533">
        <v>38.33</v>
      </c>
      <c r="F15" s="533"/>
      <c r="G15" s="344">
        <f t="shared" si="0"/>
        <v>4224.2599999999848</v>
      </c>
      <c r="H15" s="345"/>
      <c r="I15" s="346">
        <v>1</v>
      </c>
      <c r="J15" s="347"/>
      <c r="K15" s="312"/>
      <c r="L15" s="347"/>
      <c r="M15" s="312"/>
      <c r="N15" s="347"/>
      <c r="O15" s="312"/>
      <c r="P15" s="347"/>
      <c r="Q15" s="312"/>
      <c r="R15" s="347"/>
      <c r="S15" s="312"/>
      <c r="T15" s="347"/>
    </row>
    <row r="16" spans="1:20" ht="12" customHeight="1" x14ac:dyDescent="0.3">
      <c r="A16" s="340" t="s">
        <v>294</v>
      </c>
      <c r="B16" s="341">
        <v>42</v>
      </c>
      <c r="C16" s="309">
        <v>46159</v>
      </c>
      <c r="D16" s="310" t="s">
        <v>333</v>
      </c>
      <c r="E16" s="533">
        <v>29.8</v>
      </c>
      <c r="F16" s="533"/>
      <c r="G16" s="344">
        <f t="shared" si="0"/>
        <v>4262.5899999999847</v>
      </c>
      <c r="H16" s="345"/>
      <c r="I16" s="346">
        <v>1</v>
      </c>
      <c r="J16" s="347"/>
      <c r="K16" s="312"/>
      <c r="L16" s="347"/>
      <c r="M16" s="312"/>
      <c r="N16" s="347"/>
      <c r="O16" s="312"/>
      <c r="P16" s="347"/>
      <c r="Q16" s="312"/>
      <c r="R16" s="347"/>
      <c r="S16" s="312"/>
      <c r="T16" s="347"/>
    </row>
    <row r="17" spans="1:20" ht="12" customHeight="1" x14ac:dyDescent="0.3">
      <c r="A17" s="340" t="s">
        <v>294</v>
      </c>
      <c r="B17" s="341">
        <v>43</v>
      </c>
      <c r="C17" s="309">
        <v>46159</v>
      </c>
      <c r="D17" s="310" t="s">
        <v>333</v>
      </c>
      <c r="E17" s="533">
        <v>22.35</v>
      </c>
      <c r="F17" s="533"/>
      <c r="G17" s="344">
        <f t="shared" si="0"/>
        <v>4292.3899999999849</v>
      </c>
      <c r="H17" s="345"/>
      <c r="I17" s="346">
        <v>1</v>
      </c>
      <c r="J17" s="347"/>
      <c r="K17" s="312"/>
      <c r="L17" s="347"/>
      <c r="M17" s="312"/>
      <c r="N17" s="347"/>
      <c r="O17" s="312"/>
      <c r="P17" s="347"/>
      <c r="Q17" s="312"/>
      <c r="R17" s="347"/>
      <c r="S17" s="312"/>
      <c r="T17" s="347"/>
    </row>
    <row r="18" spans="1:20" ht="12" customHeight="1" x14ac:dyDescent="0.3">
      <c r="A18" s="340" t="s">
        <v>289</v>
      </c>
      <c r="B18" s="341">
        <v>8</v>
      </c>
      <c r="C18" s="309">
        <v>46159</v>
      </c>
      <c r="D18" s="310" t="s">
        <v>319</v>
      </c>
      <c r="E18" s="533">
        <v>50.75</v>
      </c>
      <c r="F18" s="533"/>
      <c r="G18" s="344">
        <f t="shared" si="0"/>
        <v>4314.7399999999852</v>
      </c>
      <c r="H18" s="345"/>
      <c r="I18" s="346">
        <v>1</v>
      </c>
      <c r="J18" s="347"/>
      <c r="K18" s="312"/>
      <c r="L18" s="347"/>
      <c r="M18" s="312"/>
      <c r="N18" s="347"/>
      <c r="O18" s="312"/>
      <c r="P18" s="347"/>
      <c r="Q18" s="312"/>
      <c r="R18" s="347"/>
      <c r="S18" s="312"/>
      <c r="T18" s="347"/>
    </row>
    <row r="19" spans="1:20" ht="12" customHeight="1" x14ac:dyDescent="0.3">
      <c r="A19" s="340" t="s">
        <v>289</v>
      </c>
      <c r="B19" s="341">
        <v>6</v>
      </c>
      <c r="C19" s="309">
        <v>46158</v>
      </c>
      <c r="D19" s="310" t="s">
        <v>340</v>
      </c>
      <c r="E19" s="533">
        <v>21.3</v>
      </c>
      <c r="F19" s="533"/>
      <c r="G19" s="344">
        <f t="shared" si="0"/>
        <v>4365.4899999999852</v>
      </c>
      <c r="H19" s="345"/>
      <c r="I19" s="346">
        <v>1</v>
      </c>
      <c r="J19" s="347"/>
      <c r="K19" s="312"/>
      <c r="L19" s="347"/>
      <c r="M19" s="312"/>
      <c r="N19" s="347"/>
      <c r="O19" s="312"/>
      <c r="P19" s="347"/>
      <c r="Q19" s="312"/>
      <c r="R19" s="347"/>
      <c r="S19" s="312"/>
      <c r="T19" s="347"/>
    </row>
    <row r="20" spans="1:20" ht="12" customHeight="1" x14ac:dyDescent="0.3">
      <c r="A20" s="340" t="s">
        <v>289</v>
      </c>
      <c r="B20" s="341">
        <v>8</v>
      </c>
      <c r="C20" s="309">
        <v>46158</v>
      </c>
      <c r="D20" s="310" t="s">
        <v>319</v>
      </c>
      <c r="E20" s="533">
        <v>41.46</v>
      </c>
      <c r="F20" s="533"/>
      <c r="G20" s="344">
        <f t="shared" si="0"/>
        <v>4386.7899999999854</v>
      </c>
      <c r="H20" s="345"/>
      <c r="I20" s="346">
        <v>1</v>
      </c>
      <c r="J20" s="347"/>
      <c r="K20" s="312"/>
      <c r="L20" s="347"/>
      <c r="M20" s="312"/>
      <c r="N20" s="347"/>
      <c r="O20" s="312"/>
      <c r="P20" s="347"/>
      <c r="Q20" s="312"/>
      <c r="R20" s="347"/>
      <c r="S20" s="312"/>
      <c r="T20" s="347"/>
    </row>
    <row r="21" spans="1:20" ht="12" customHeight="1" x14ac:dyDescent="0.3">
      <c r="A21" s="340"/>
      <c r="B21" s="341"/>
      <c r="C21" s="309">
        <v>46158</v>
      </c>
      <c r="D21" s="310" t="s">
        <v>850</v>
      </c>
      <c r="E21" s="533">
        <v>95.85</v>
      </c>
      <c r="F21" s="533"/>
      <c r="G21" s="344">
        <f t="shared" si="0"/>
        <v>4428.2499999999854</v>
      </c>
      <c r="H21" s="345"/>
      <c r="I21" s="346">
        <v>1</v>
      </c>
      <c r="J21" s="347"/>
      <c r="K21" s="312"/>
      <c r="L21" s="347"/>
      <c r="M21" s="312"/>
      <c r="N21" s="347"/>
      <c r="O21" s="312"/>
      <c r="P21" s="347"/>
      <c r="Q21" s="312"/>
      <c r="R21" s="347"/>
      <c r="S21" s="312"/>
      <c r="T21" s="347"/>
    </row>
    <row r="22" spans="1:20" ht="12" customHeight="1" x14ac:dyDescent="0.3">
      <c r="A22" s="340"/>
      <c r="B22" s="341"/>
      <c r="C22" s="309">
        <v>46158</v>
      </c>
      <c r="D22" s="310" t="s">
        <v>848</v>
      </c>
      <c r="E22" s="533">
        <v>87.13</v>
      </c>
      <c r="F22" s="533"/>
      <c r="G22" s="344">
        <f t="shared" si="0"/>
        <v>4524.0999999999858</v>
      </c>
      <c r="H22" s="345"/>
      <c r="I22" s="346">
        <v>1</v>
      </c>
      <c r="J22" s="347"/>
      <c r="K22" s="312"/>
      <c r="L22" s="347"/>
      <c r="M22" s="312"/>
      <c r="N22" s="347"/>
      <c r="O22" s="312"/>
      <c r="P22" s="347"/>
      <c r="Q22" s="312"/>
      <c r="R22" s="347"/>
      <c r="S22" s="312"/>
      <c r="T22" s="347"/>
    </row>
    <row r="23" spans="1:20" ht="12" customHeight="1" x14ac:dyDescent="0.3">
      <c r="A23" s="340" t="s">
        <v>289</v>
      </c>
      <c r="B23" s="341">
        <v>4</v>
      </c>
      <c r="C23" s="309">
        <v>46158</v>
      </c>
      <c r="D23" s="310" t="s">
        <v>310</v>
      </c>
      <c r="E23" s="533">
        <v>48.15</v>
      </c>
      <c r="F23" s="533"/>
      <c r="G23" s="344">
        <f t="shared" si="0"/>
        <v>4611.2299999999859</v>
      </c>
      <c r="H23" s="345"/>
      <c r="I23" s="346">
        <v>2</v>
      </c>
      <c r="J23" s="347"/>
      <c r="K23" s="312"/>
      <c r="L23" s="347"/>
      <c r="M23" s="312"/>
      <c r="N23" s="347"/>
      <c r="O23" s="312"/>
      <c r="P23" s="347"/>
      <c r="Q23" s="312"/>
      <c r="R23" s="347"/>
      <c r="S23" s="312"/>
      <c r="T23" s="347"/>
    </row>
    <row r="24" spans="1:20" ht="12" customHeight="1" x14ac:dyDescent="0.3">
      <c r="A24" s="340" t="s">
        <v>289</v>
      </c>
      <c r="B24" s="341">
        <v>8</v>
      </c>
      <c r="C24" s="309">
        <v>46158</v>
      </c>
      <c r="D24" s="310" t="s">
        <v>308</v>
      </c>
      <c r="E24" s="533">
        <v>75.069999999999993</v>
      </c>
      <c r="F24" s="533"/>
      <c r="G24" s="344">
        <f t="shared" si="0"/>
        <v>4659.3799999999856</v>
      </c>
      <c r="H24" s="345"/>
      <c r="I24" s="346">
        <v>1</v>
      </c>
      <c r="J24" s="347"/>
      <c r="K24" s="312"/>
      <c r="L24" s="347"/>
      <c r="M24" s="312"/>
      <c r="N24" s="347"/>
      <c r="O24" s="312"/>
      <c r="P24" s="347"/>
      <c r="Q24" s="312"/>
      <c r="R24" s="347"/>
      <c r="S24" s="312"/>
      <c r="T24" s="347"/>
    </row>
    <row r="25" spans="1:20" ht="12" customHeight="1" x14ac:dyDescent="0.3">
      <c r="A25" s="340" t="s">
        <v>289</v>
      </c>
      <c r="B25" s="341">
        <v>2</v>
      </c>
      <c r="C25" s="309">
        <v>46158</v>
      </c>
      <c r="D25" s="310" t="s">
        <v>308</v>
      </c>
      <c r="E25" s="533">
        <v>75</v>
      </c>
      <c r="F25" s="533"/>
      <c r="G25" s="344">
        <f t="shared" si="0"/>
        <v>4734.4499999999853</v>
      </c>
      <c r="H25" s="345"/>
      <c r="I25" s="346">
        <v>1</v>
      </c>
      <c r="J25" s="347"/>
      <c r="K25" s="312"/>
      <c r="L25" s="347"/>
      <c r="M25" s="312"/>
      <c r="N25" s="347"/>
      <c r="O25" s="312"/>
      <c r="P25" s="347"/>
      <c r="Q25" s="312"/>
      <c r="R25" s="347"/>
      <c r="S25" s="312"/>
      <c r="T25" s="347"/>
    </row>
    <row r="26" spans="1:20" ht="12" customHeight="1" x14ac:dyDescent="0.3">
      <c r="A26" s="340" t="s">
        <v>289</v>
      </c>
      <c r="B26" s="341">
        <v>3</v>
      </c>
      <c r="C26" s="309">
        <v>46158</v>
      </c>
      <c r="D26" s="310" t="s">
        <v>348</v>
      </c>
      <c r="E26" s="533">
        <v>8.3800000000000008</v>
      </c>
      <c r="F26" s="533"/>
      <c r="G26" s="344">
        <f t="shared" si="0"/>
        <v>4809.4499999999853</v>
      </c>
      <c r="H26" s="345"/>
      <c r="I26" s="346">
        <v>1</v>
      </c>
      <c r="J26" s="347"/>
      <c r="K26" s="312"/>
      <c r="L26" s="347"/>
      <c r="M26" s="312"/>
      <c r="N26" s="347"/>
      <c r="O26" s="312"/>
      <c r="P26" s="347"/>
      <c r="Q26" s="312"/>
      <c r="R26" s="347"/>
      <c r="S26" s="312"/>
      <c r="T26" s="347"/>
    </row>
    <row r="27" spans="1:20" ht="12" customHeight="1" x14ac:dyDescent="0.3">
      <c r="A27" s="340" t="s">
        <v>289</v>
      </c>
      <c r="B27" s="341">
        <v>8</v>
      </c>
      <c r="C27" s="309">
        <v>46157</v>
      </c>
      <c r="D27" s="310" t="s">
        <v>319</v>
      </c>
      <c r="E27" s="533">
        <v>63.55</v>
      </c>
      <c r="F27" s="533"/>
      <c r="G27" s="344">
        <f t="shared" si="0"/>
        <v>4817.8299999999854</v>
      </c>
      <c r="H27" s="345"/>
      <c r="I27" s="346">
        <v>1</v>
      </c>
      <c r="J27" s="347"/>
      <c r="K27" s="312"/>
      <c r="L27" s="347"/>
      <c r="M27" s="312"/>
      <c r="N27" s="347"/>
      <c r="O27" s="312"/>
      <c r="P27" s="347"/>
      <c r="Q27" s="312"/>
      <c r="R27" s="347"/>
      <c r="S27" s="312"/>
      <c r="T27" s="347"/>
    </row>
    <row r="28" spans="1:20" ht="12" customHeight="1" x14ac:dyDescent="0.3">
      <c r="A28" s="340" t="s">
        <v>289</v>
      </c>
      <c r="B28" s="341">
        <v>4</v>
      </c>
      <c r="C28" s="309">
        <v>46157</v>
      </c>
      <c r="D28" s="310" t="s">
        <v>296</v>
      </c>
      <c r="E28" s="533">
        <v>45.1</v>
      </c>
      <c r="F28" s="533"/>
      <c r="G28" s="344">
        <f t="shared" si="0"/>
        <v>4881.3799999999856</v>
      </c>
      <c r="H28" s="345"/>
      <c r="I28" s="346">
        <v>1</v>
      </c>
      <c r="J28" s="347"/>
      <c r="K28" s="312"/>
      <c r="L28" s="347"/>
      <c r="M28" s="312"/>
      <c r="N28" s="347"/>
      <c r="O28" s="312"/>
      <c r="P28" s="347"/>
      <c r="Q28" s="312"/>
      <c r="R28" s="347"/>
      <c r="S28" s="312"/>
      <c r="T28" s="347"/>
    </row>
    <row r="29" spans="1:20" ht="12" customHeight="1" x14ac:dyDescent="0.3">
      <c r="A29" s="340" t="s">
        <v>289</v>
      </c>
      <c r="B29" s="341">
        <v>2</v>
      </c>
      <c r="C29" s="309">
        <v>46157</v>
      </c>
      <c r="D29" s="310" t="s">
        <v>296</v>
      </c>
      <c r="E29" s="533">
        <v>24.54</v>
      </c>
      <c r="F29" s="533"/>
      <c r="G29" s="344">
        <f t="shared" si="0"/>
        <v>4926.4799999999859</v>
      </c>
      <c r="H29" s="345"/>
      <c r="I29" s="346">
        <v>1</v>
      </c>
      <c r="J29" s="347"/>
      <c r="K29" s="312"/>
      <c r="L29" s="347"/>
      <c r="M29" s="312"/>
      <c r="N29" s="347"/>
      <c r="O29" s="312"/>
      <c r="P29" s="347"/>
      <c r="Q29" s="312"/>
      <c r="R29" s="347"/>
      <c r="S29" s="312"/>
      <c r="T29" s="347"/>
    </row>
    <row r="30" spans="1:20" ht="12" customHeight="1" x14ac:dyDescent="0.3">
      <c r="A30" s="340" t="s">
        <v>289</v>
      </c>
      <c r="B30" s="341">
        <v>2</v>
      </c>
      <c r="C30" s="309">
        <v>46157</v>
      </c>
      <c r="D30" s="310" t="s">
        <v>334</v>
      </c>
      <c r="E30" s="533">
        <v>14.28</v>
      </c>
      <c r="F30" s="533"/>
      <c r="G30" s="344">
        <f t="shared" si="0"/>
        <v>4951.0199999999859</v>
      </c>
      <c r="H30" s="345"/>
      <c r="I30" s="346">
        <v>1</v>
      </c>
      <c r="J30" s="347"/>
      <c r="K30" s="312"/>
      <c r="L30" s="347"/>
      <c r="M30" s="312"/>
      <c r="N30" s="347"/>
      <c r="O30" s="312"/>
      <c r="P30" s="347"/>
      <c r="Q30" s="312"/>
      <c r="R30" s="347"/>
      <c r="S30" s="312"/>
      <c r="T30" s="347"/>
    </row>
    <row r="31" spans="1:20" ht="12" customHeight="1" x14ac:dyDescent="0.3">
      <c r="A31" s="340"/>
      <c r="B31" s="341"/>
      <c r="C31" s="309">
        <v>46157</v>
      </c>
      <c r="D31" s="310" t="s">
        <v>506</v>
      </c>
      <c r="E31" s="533">
        <v>146.15</v>
      </c>
      <c r="F31" s="533"/>
      <c r="G31" s="344">
        <f t="shared" si="0"/>
        <v>4965.2999999999856</v>
      </c>
      <c r="H31" s="345"/>
      <c r="I31" s="346">
        <v>1</v>
      </c>
      <c r="J31" s="347"/>
      <c r="K31" s="312"/>
      <c r="L31" s="347"/>
      <c r="M31" s="312"/>
      <c r="N31" s="347"/>
      <c r="O31" s="312"/>
      <c r="P31" s="347"/>
      <c r="Q31" s="312"/>
      <c r="R31" s="347"/>
      <c r="S31" s="312"/>
      <c r="T31" s="347"/>
    </row>
    <row r="32" spans="1:20" ht="12" customHeight="1" x14ac:dyDescent="0.3">
      <c r="A32" s="340" t="s">
        <v>289</v>
      </c>
      <c r="B32" s="341">
        <v>2</v>
      </c>
      <c r="C32" s="309">
        <v>46157</v>
      </c>
      <c r="D32" s="310" t="s">
        <v>869</v>
      </c>
      <c r="E32" s="533">
        <v>202.87</v>
      </c>
      <c r="F32" s="533"/>
      <c r="G32" s="344">
        <f>G33-E32+F32</f>
        <v>5111.4499999999853</v>
      </c>
      <c r="H32" s="345"/>
      <c r="I32" s="346">
        <v>1</v>
      </c>
      <c r="J32" s="347"/>
      <c r="K32" s="312"/>
      <c r="L32" s="347"/>
      <c r="M32" s="312"/>
      <c r="N32" s="347"/>
      <c r="O32" s="312"/>
      <c r="P32" s="347"/>
      <c r="Q32" s="312"/>
      <c r="R32" s="347"/>
      <c r="S32" s="312"/>
      <c r="T32" s="347"/>
    </row>
    <row r="33" spans="1:20" ht="12" customHeight="1" x14ac:dyDescent="0.3">
      <c r="A33" s="340" t="s">
        <v>289</v>
      </c>
      <c r="B33" s="341">
        <v>6</v>
      </c>
      <c r="C33" s="309">
        <v>46157</v>
      </c>
      <c r="D33" s="310" t="s">
        <v>300</v>
      </c>
      <c r="E33" s="533">
        <v>14.9</v>
      </c>
      <c r="F33" s="533"/>
      <c r="G33" s="344">
        <f t="shared" si="0"/>
        <v>5314.3199999999852</v>
      </c>
      <c r="H33" s="345"/>
      <c r="I33" s="346">
        <v>1</v>
      </c>
      <c r="J33" s="347"/>
      <c r="K33" s="312"/>
      <c r="L33" s="347"/>
      <c r="M33" s="312"/>
      <c r="N33" s="347"/>
      <c r="O33" s="312"/>
      <c r="P33" s="347"/>
      <c r="Q33" s="312"/>
      <c r="R33" s="347"/>
      <c r="S33" s="312"/>
      <c r="T33" s="347"/>
    </row>
    <row r="34" spans="1:20" ht="12" customHeight="1" x14ac:dyDescent="0.3">
      <c r="A34" s="340" t="s">
        <v>291</v>
      </c>
      <c r="B34" s="341">
        <v>38</v>
      </c>
      <c r="C34" s="309">
        <v>46157</v>
      </c>
      <c r="D34" s="310" t="s">
        <v>293</v>
      </c>
      <c r="E34" s="533"/>
      <c r="F34" s="533">
        <v>4597.82</v>
      </c>
      <c r="G34" s="344">
        <f t="shared" si="0"/>
        <v>5329.2199999999848</v>
      </c>
      <c r="H34" s="345"/>
      <c r="I34" s="346"/>
      <c r="J34" s="347"/>
      <c r="K34" s="312"/>
      <c r="L34" s="347"/>
      <c r="M34" s="312"/>
      <c r="N34" s="347"/>
      <c r="O34" s="312"/>
      <c r="P34" s="347"/>
      <c r="Q34" s="312"/>
      <c r="R34" s="347"/>
      <c r="S34" s="312"/>
      <c r="T34" s="347"/>
    </row>
    <row r="35" spans="1:20" ht="12" customHeight="1" x14ac:dyDescent="0.3">
      <c r="A35" s="340" t="s">
        <v>289</v>
      </c>
      <c r="B35" s="341">
        <v>8</v>
      </c>
      <c r="C35" s="309">
        <v>46156</v>
      </c>
      <c r="D35" s="310" t="s">
        <v>868</v>
      </c>
      <c r="E35" s="533">
        <v>34.96</v>
      </c>
      <c r="F35" s="533"/>
      <c r="G35" s="344">
        <f t="shared" si="0"/>
        <v>731.39999999998463</v>
      </c>
      <c r="H35" s="345"/>
      <c r="I35" s="346">
        <v>2</v>
      </c>
      <c r="J35" s="347"/>
      <c r="K35" s="312"/>
      <c r="L35" s="347"/>
      <c r="M35" s="312"/>
      <c r="N35" s="347"/>
      <c r="O35" s="312"/>
      <c r="P35" s="347"/>
      <c r="Q35" s="312"/>
      <c r="R35" s="347"/>
      <c r="S35" s="312"/>
      <c r="T35" s="347"/>
    </row>
    <row r="36" spans="1:20" ht="12" customHeight="1" x14ac:dyDescent="0.3">
      <c r="A36" s="340" t="s">
        <v>289</v>
      </c>
      <c r="B36" s="341">
        <v>2</v>
      </c>
      <c r="C36" s="309">
        <v>46156</v>
      </c>
      <c r="D36" s="310" t="s">
        <v>408</v>
      </c>
      <c r="E36" s="533">
        <v>23.9</v>
      </c>
      <c r="F36" s="533"/>
      <c r="G36" s="344">
        <f t="shared" si="0"/>
        <v>766.35999999998467</v>
      </c>
      <c r="H36" s="345"/>
      <c r="I36" s="346">
        <v>1</v>
      </c>
      <c r="J36" s="347"/>
      <c r="K36" s="312"/>
      <c r="L36" s="347"/>
      <c r="M36" s="312"/>
      <c r="N36" s="347"/>
      <c r="O36" s="312"/>
      <c r="P36" s="347"/>
      <c r="Q36" s="312"/>
      <c r="R36" s="347"/>
      <c r="S36" s="312"/>
      <c r="T36" s="347"/>
    </row>
    <row r="37" spans="1:20" ht="12" customHeight="1" x14ac:dyDescent="0.3">
      <c r="A37" s="340" t="s">
        <v>294</v>
      </c>
      <c r="B37" s="341">
        <v>24</v>
      </c>
      <c r="C37" s="309">
        <v>46156</v>
      </c>
      <c r="D37" s="310" t="s">
        <v>861</v>
      </c>
      <c r="E37" s="533">
        <v>109.92</v>
      </c>
      <c r="F37" s="533"/>
      <c r="G37" s="344">
        <f t="shared" si="0"/>
        <v>790.25999999998464</v>
      </c>
      <c r="H37" s="345"/>
      <c r="I37" s="346">
        <v>1</v>
      </c>
      <c r="J37" s="347"/>
      <c r="K37" s="312"/>
      <c r="L37" s="347"/>
      <c r="M37" s="312"/>
      <c r="N37" s="347"/>
      <c r="O37" s="312"/>
      <c r="P37" s="347"/>
      <c r="Q37" s="312"/>
      <c r="R37" s="347"/>
      <c r="S37" s="312"/>
      <c r="T37" s="347"/>
    </row>
    <row r="38" spans="1:20" ht="12" customHeight="1" x14ac:dyDescent="0.3">
      <c r="A38" s="340" t="s">
        <v>289</v>
      </c>
      <c r="B38" s="341">
        <v>2</v>
      </c>
      <c r="C38" s="309">
        <v>46156</v>
      </c>
      <c r="D38" s="310" t="s">
        <v>334</v>
      </c>
      <c r="E38" s="533">
        <v>24.34</v>
      </c>
      <c r="F38" s="533"/>
      <c r="G38" s="344">
        <f t="shared" si="0"/>
        <v>900.1799999999846</v>
      </c>
      <c r="H38" s="345"/>
      <c r="I38" s="346">
        <v>1</v>
      </c>
      <c r="J38" s="347"/>
      <c r="K38" s="312"/>
      <c r="L38" s="347"/>
      <c r="M38" s="312"/>
      <c r="N38" s="347"/>
      <c r="O38" s="312"/>
      <c r="P38" s="347"/>
      <c r="Q38" s="312"/>
      <c r="R38" s="347"/>
      <c r="S38" s="312"/>
      <c r="T38" s="347"/>
    </row>
    <row r="39" spans="1:20" ht="12" customHeight="1" x14ac:dyDescent="0.3">
      <c r="A39" s="340" t="s">
        <v>289</v>
      </c>
      <c r="B39" s="341">
        <v>5</v>
      </c>
      <c r="C39" s="309">
        <v>46156</v>
      </c>
      <c r="D39" s="310" t="s">
        <v>847</v>
      </c>
      <c r="E39" s="533">
        <v>24.89</v>
      </c>
      <c r="F39" s="533"/>
      <c r="G39" s="344">
        <f t="shared" si="0"/>
        <v>924.51999999998463</v>
      </c>
      <c r="H39" s="345"/>
      <c r="I39" s="346">
        <v>2</v>
      </c>
      <c r="J39" s="347"/>
      <c r="K39" s="312"/>
      <c r="L39" s="347"/>
      <c r="M39" s="312"/>
      <c r="N39" s="347"/>
      <c r="O39" s="312"/>
      <c r="P39" s="347"/>
      <c r="Q39" s="312"/>
      <c r="R39" s="347"/>
      <c r="S39" s="312"/>
      <c r="T39" s="347"/>
    </row>
    <row r="40" spans="1:20" ht="12" customHeight="1" x14ac:dyDescent="0.3">
      <c r="A40" s="340" t="s">
        <v>289</v>
      </c>
      <c r="B40" s="341">
        <v>6</v>
      </c>
      <c r="C40" s="309">
        <v>46156</v>
      </c>
      <c r="D40" s="310" t="s">
        <v>847</v>
      </c>
      <c r="E40" s="533">
        <v>11.2</v>
      </c>
      <c r="F40" s="533"/>
      <c r="G40" s="344">
        <f t="shared" si="0"/>
        <v>949.40999999998462</v>
      </c>
      <c r="H40" s="345"/>
      <c r="I40" s="346">
        <v>2</v>
      </c>
      <c r="J40" s="347"/>
      <c r="K40" s="312"/>
      <c r="L40" s="347"/>
      <c r="M40" s="312"/>
      <c r="N40" s="347"/>
      <c r="O40" s="312"/>
      <c r="P40" s="347"/>
      <c r="Q40" s="312"/>
      <c r="R40" s="347"/>
      <c r="S40" s="312"/>
      <c r="T40" s="347"/>
    </row>
    <row r="41" spans="1:20" ht="12" customHeight="1" x14ac:dyDescent="0.3">
      <c r="A41" s="340" t="s">
        <v>289</v>
      </c>
      <c r="B41" s="341">
        <v>2</v>
      </c>
      <c r="C41" s="309">
        <v>46156</v>
      </c>
      <c r="D41" s="310" t="s">
        <v>324</v>
      </c>
      <c r="E41" s="533">
        <v>22.04</v>
      </c>
      <c r="F41" s="533"/>
      <c r="G41" s="344">
        <f t="shared" si="0"/>
        <v>960.60999999998467</v>
      </c>
      <c r="H41" s="345"/>
      <c r="I41" s="346">
        <v>2</v>
      </c>
      <c r="J41" s="347"/>
      <c r="K41" s="312"/>
      <c r="L41" s="347"/>
      <c r="M41" s="312"/>
      <c r="N41" s="347"/>
      <c r="O41" s="312"/>
      <c r="P41" s="347"/>
      <c r="Q41" s="312"/>
      <c r="R41" s="347"/>
      <c r="S41" s="312"/>
      <c r="T41" s="347"/>
    </row>
    <row r="42" spans="1:20" ht="12" customHeight="1" x14ac:dyDescent="0.3">
      <c r="A42" s="340" t="s">
        <v>291</v>
      </c>
      <c r="B42" s="341">
        <v>39</v>
      </c>
      <c r="C42" s="309">
        <v>46156</v>
      </c>
      <c r="D42" s="310" t="s">
        <v>292</v>
      </c>
      <c r="E42" s="533"/>
      <c r="F42" s="533">
        <v>2763.78</v>
      </c>
      <c r="G42" s="344">
        <f t="shared" si="0"/>
        <v>982.64999999998463</v>
      </c>
      <c r="H42" s="345"/>
      <c r="I42" s="346"/>
      <c r="J42" s="347"/>
      <c r="K42" s="312"/>
      <c r="L42" s="347"/>
      <c r="M42" s="312"/>
      <c r="N42" s="347"/>
      <c r="O42" s="312"/>
      <c r="P42" s="347"/>
      <c r="Q42" s="312"/>
      <c r="R42" s="347"/>
      <c r="S42" s="312"/>
      <c r="T42" s="347"/>
    </row>
    <row r="43" spans="1:20" ht="12" customHeight="1" x14ac:dyDescent="0.3">
      <c r="A43" s="340" t="s">
        <v>291</v>
      </c>
      <c r="B43" s="341">
        <v>41</v>
      </c>
      <c r="C43" s="309">
        <v>46156</v>
      </c>
      <c r="D43" s="310" t="s">
        <v>299</v>
      </c>
      <c r="E43" s="533"/>
      <c r="F43" s="533">
        <v>250</v>
      </c>
      <c r="G43" s="344">
        <f t="shared" si="0"/>
        <v>-1781.1300000000156</v>
      </c>
      <c r="H43" s="345"/>
      <c r="I43" s="346"/>
      <c r="J43" s="347"/>
      <c r="K43" s="312"/>
      <c r="L43" s="347"/>
      <c r="M43" s="312"/>
      <c r="N43" s="347"/>
      <c r="O43" s="312"/>
      <c r="P43" s="347"/>
      <c r="Q43" s="312"/>
      <c r="R43" s="347"/>
      <c r="S43" s="312"/>
      <c r="T43" s="347"/>
    </row>
    <row r="44" spans="1:20" ht="12" customHeight="1" x14ac:dyDescent="0.3">
      <c r="A44" s="340" t="s">
        <v>335</v>
      </c>
      <c r="B44" s="341" t="s">
        <v>335</v>
      </c>
      <c r="C44" s="309">
        <v>46156</v>
      </c>
      <c r="D44" s="310" t="s">
        <v>460</v>
      </c>
      <c r="E44" s="533"/>
      <c r="F44" s="533">
        <v>100</v>
      </c>
      <c r="G44" s="344">
        <f t="shared" si="0"/>
        <v>-2031.1300000000156</v>
      </c>
      <c r="H44" s="345"/>
      <c r="I44" s="346"/>
      <c r="J44" s="347"/>
      <c r="K44" s="312"/>
      <c r="L44" s="347"/>
      <c r="M44" s="312"/>
      <c r="N44" s="347"/>
      <c r="O44" s="312"/>
      <c r="P44" s="347"/>
      <c r="Q44" s="312"/>
      <c r="R44" s="347"/>
      <c r="S44" s="312"/>
      <c r="T44" s="347"/>
    </row>
    <row r="45" spans="1:20" ht="12" customHeight="1" x14ac:dyDescent="0.3">
      <c r="A45" s="340" t="s">
        <v>289</v>
      </c>
      <c r="B45" s="341">
        <v>6</v>
      </c>
      <c r="C45" s="309">
        <v>46156</v>
      </c>
      <c r="D45" s="310" t="s">
        <v>300</v>
      </c>
      <c r="E45" s="533">
        <v>13.3</v>
      </c>
      <c r="F45" s="533"/>
      <c r="G45" s="344">
        <f t="shared" si="0"/>
        <v>-2131.1300000000156</v>
      </c>
      <c r="H45" s="345"/>
      <c r="I45" s="346"/>
      <c r="J45" s="347"/>
      <c r="K45" s="312"/>
      <c r="L45" s="347"/>
      <c r="M45" s="312"/>
      <c r="N45" s="347"/>
      <c r="O45" s="312"/>
      <c r="P45" s="347"/>
      <c r="Q45" s="312"/>
      <c r="R45" s="347"/>
      <c r="S45" s="312"/>
      <c r="T45" s="347"/>
    </row>
    <row r="46" spans="1:20" ht="12" customHeight="1" x14ac:dyDescent="0.3">
      <c r="A46" s="340" t="s">
        <v>289</v>
      </c>
      <c r="B46" s="341">
        <v>2</v>
      </c>
      <c r="C46" s="309">
        <v>46155</v>
      </c>
      <c r="D46" s="310" t="s">
        <v>296</v>
      </c>
      <c r="E46" s="533">
        <v>14.67</v>
      </c>
      <c r="F46" s="533"/>
      <c r="G46" s="344">
        <f t="shared" si="0"/>
        <v>-2117.8300000000154</v>
      </c>
      <c r="H46" s="345"/>
      <c r="I46" s="346"/>
      <c r="J46" s="347"/>
      <c r="K46" s="312"/>
      <c r="L46" s="347"/>
      <c r="M46" s="312"/>
      <c r="N46" s="347"/>
      <c r="O46" s="312"/>
      <c r="P46" s="347"/>
      <c r="Q46" s="312"/>
      <c r="R46" s="347"/>
      <c r="S46" s="312"/>
      <c r="T46" s="347"/>
    </row>
    <row r="47" spans="1:20" ht="12" customHeight="1" x14ac:dyDescent="0.3">
      <c r="A47" s="340" t="s">
        <v>289</v>
      </c>
      <c r="B47" s="341">
        <v>8</v>
      </c>
      <c r="C47" s="309">
        <v>46155</v>
      </c>
      <c r="D47" s="310" t="s">
        <v>319</v>
      </c>
      <c r="E47" s="533">
        <v>22.96</v>
      </c>
      <c r="F47" s="533"/>
      <c r="G47" s="344">
        <f t="shared" si="0"/>
        <v>-2103.1600000000153</v>
      </c>
      <c r="H47" s="345"/>
      <c r="I47" s="346"/>
      <c r="J47" s="347"/>
      <c r="K47" s="312"/>
      <c r="L47" s="347"/>
      <c r="M47" s="312"/>
      <c r="N47" s="347"/>
      <c r="O47" s="312"/>
      <c r="P47" s="347"/>
      <c r="Q47" s="312"/>
      <c r="R47" s="347"/>
      <c r="S47" s="312"/>
      <c r="T47" s="347"/>
    </row>
    <row r="48" spans="1:20" ht="12" customHeight="1" x14ac:dyDescent="0.3">
      <c r="A48" s="340" t="s">
        <v>287</v>
      </c>
      <c r="B48" s="341" t="s">
        <v>287</v>
      </c>
      <c r="C48" s="309">
        <v>46155</v>
      </c>
      <c r="D48" s="310" t="s">
        <v>856</v>
      </c>
      <c r="E48" s="533">
        <v>100</v>
      </c>
      <c r="F48" s="533">
        <v>100</v>
      </c>
      <c r="G48" s="344">
        <f t="shared" si="0"/>
        <v>-2080.2000000000153</v>
      </c>
      <c r="H48" s="345"/>
      <c r="I48" s="346"/>
      <c r="J48" s="347"/>
      <c r="K48" s="312"/>
      <c r="L48" s="347"/>
      <c r="M48" s="312"/>
      <c r="N48" s="347"/>
      <c r="O48" s="312"/>
      <c r="P48" s="347"/>
      <c r="Q48" s="312"/>
      <c r="R48" s="347"/>
      <c r="S48" s="312"/>
      <c r="T48" s="347"/>
    </row>
    <row r="49" spans="1:20" ht="12" customHeight="1" x14ac:dyDescent="0.3">
      <c r="A49" s="340" t="s">
        <v>289</v>
      </c>
      <c r="B49" s="341">
        <v>4</v>
      </c>
      <c r="C49" s="309">
        <v>46154</v>
      </c>
      <c r="D49" s="310" t="s">
        <v>455</v>
      </c>
      <c r="E49" s="533">
        <v>43.14</v>
      </c>
      <c r="F49" s="533"/>
      <c r="G49" s="344">
        <f t="shared" si="0"/>
        <v>-2080.2000000000153</v>
      </c>
      <c r="H49" s="345"/>
      <c r="I49" s="346"/>
      <c r="J49" s="347"/>
      <c r="K49" s="312"/>
      <c r="L49" s="347"/>
      <c r="M49" s="312"/>
      <c r="N49" s="347"/>
      <c r="O49" s="312"/>
      <c r="P49" s="347"/>
      <c r="Q49" s="312"/>
      <c r="R49" s="347"/>
      <c r="S49" s="312"/>
      <c r="T49" s="347"/>
    </row>
    <row r="50" spans="1:20" ht="12" customHeight="1" x14ac:dyDescent="0.3">
      <c r="A50" s="340" t="s">
        <v>289</v>
      </c>
      <c r="B50" s="341">
        <v>3</v>
      </c>
      <c r="C50" s="309">
        <v>46154</v>
      </c>
      <c r="D50" s="310" t="s">
        <v>455</v>
      </c>
      <c r="E50" s="533">
        <v>7.29</v>
      </c>
      <c r="F50" s="533"/>
      <c r="G50" s="344">
        <f t="shared" si="0"/>
        <v>-2037.0600000000154</v>
      </c>
      <c r="H50" s="345"/>
      <c r="I50" s="346"/>
      <c r="J50" s="347"/>
      <c r="K50" s="312"/>
      <c r="L50" s="347"/>
      <c r="M50" s="312"/>
      <c r="N50" s="347"/>
      <c r="O50" s="312"/>
      <c r="P50" s="347"/>
      <c r="Q50" s="312"/>
      <c r="R50" s="347"/>
      <c r="S50" s="312"/>
      <c r="T50" s="347"/>
    </row>
    <row r="51" spans="1:20" ht="12" customHeight="1" x14ac:dyDescent="0.3">
      <c r="A51" s="340" t="s">
        <v>294</v>
      </c>
      <c r="B51" s="341">
        <v>19</v>
      </c>
      <c r="C51" s="309">
        <v>46154</v>
      </c>
      <c r="D51" s="310" t="s">
        <v>191</v>
      </c>
      <c r="E51" s="533">
        <v>200</v>
      </c>
      <c r="F51" s="533"/>
      <c r="G51" s="344">
        <f t="shared" si="0"/>
        <v>-2029.7700000000154</v>
      </c>
      <c r="H51" s="345"/>
      <c r="I51" s="346"/>
      <c r="J51" s="347"/>
      <c r="K51" s="312"/>
      <c r="L51" s="347"/>
      <c r="M51" s="312"/>
      <c r="N51" s="347"/>
      <c r="O51" s="312"/>
      <c r="P51" s="347"/>
      <c r="Q51" s="312"/>
      <c r="R51" s="347"/>
      <c r="S51" s="312"/>
      <c r="T51" s="347"/>
    </row>
    <row r="52" spans="1:20" ht="12" customHeight="1" x14ac:dyDescent="0.3">
      <c r="A52" s="340" t="s">
        <v>289</v>
      </c>
      <c r="B52" s="341">
        <v>6</v>
      </c>
      <c r="C52" s="309">
        <v>46154</v>
      </c>
      <c r="D52" s="310" t="s">
        <v>446</v>
      </c>
      <c r="E52" s="533">
        <v>-0.06</v>
      </c>
      <c r="F52" s="533"/>
      <c r="G52" s="344">
        <f t="shared" si="0"/>
        <v>-1829.7700000000154</v>
      </c>
      <c r="H52" s="345"/>
      <c r="I52" s="346"/>
      <c r="J52" s="347"/>
      <c r="K52" s="312"/>
      <c r="L52" s="347"/>
      <c r="M52" s="312"/>
      <c r="N52" s="347"/>
      <c r="O52" s="312"/>
      <c r="P52" s="347"/>
      <c r="Q52" s="312"/>
      <c r="R52" s="347"/>
      <c r="S52" s="312"/>
      <c r="T52" s="347"/>
    </row>
    <row r="53" spans="1:20" ht="12" customHeight="1" x14ac:dyDescent="0.3">
      <c r="A53" s="340" t="s">
        <v>289</v>
      </c>
      <c r="B53" s="341">
        <v>2</v>
      </c>
      <c r="C53" s="309">
        <v>46154</v>
      </c>
      <c r="D53" s="310" t="s">
        <v>301</v>
      </c>
      <c r="E53" s="533">
        <v>21.55</v>
      </c>
      <c r="F53" s="533"/>
      <c r="G53" s="344">
        <f t="shared" si="0"/>
        <v>-1829.8300000000154</v>
      </c>
      <c r="H53" s="345"/>
      <c r="I53" s="346"/>
      <c r="J53" s="347"/>
      <c r="K53" s="312"/>
      <c r="L53" s="347"/>
      <c r="M53" s="312"/>
      <c r="N53" s="347"/>
      <c r="O53" s="312"/>
      <c r="P53" s="347"/>
      <c r="Q53" s="312"/>
      <c r="R53" s="347"/>
      <c r="S53" s="312"/>
      <c r="T53" s="347"/>
    </row>
    <row r="54" spans="1:20" ht="12" customHeight="1" x14ac:dyDescent="0.3">
      <c r="A54" s="340" t="s">
        <v>289</v>
      </c>
      <c r="B54" s="341">
        <v>3</v>
      </c>
      <c r="C54" s="309">
        <v>46153</v>
      </c>
      <c r="D54" s="310" t="s">
        <v>296</v>
      </c>
      <c r="E54" s="533">
        <v>4.79</v>
      </c>
      <c r="F54" s="533"/>
      <c r="G54" s="344">
        <f t="shared" si="0"/>
        <v>-1808.2800000000154</v>
      </c>
      <c r="H54" s="345"/>
      <c r="I54" s="346"/>
      <c r="J54" s="347"/>
      <c r="K54" s="312"/>
      <c r="L54" s="347"/>
      <c r="M54" s="312"/>
      <c r="N54" s="347"/>
      <c r="O54" s="312"/>
      <c r="P54" s="347"/>
      <c r="Q54" s="312"/>
      <c r="R54" s="347"/>
      <c r="S54" s="312"/>
      <c r="T54" s="347"/>
    </row>
    <row r="55" spans="1:20" ht="12" customHeight="1" x14ac:dyDescent="0.3">
      <c r="A55" s="340" t="s">
        <v>289</v>
      </c>
      <c r="B55" s="341">
        <v>4</v>
      </c>
      <c r="C55" s="309">
        <v>46153</v>
      </c>
      <c r="D55" s="310" t="s">
        <v>296</v>
      </c>
      <c r="E55" s="533">
        <v>66.59</v>
      </c>
      <c r="F55" s="533"/>
      <c r="G55" s="344">
        <f t="shared" si="0"/>
        <v>-1803.4900000000155</v>
      </c>
      <c r="H55" s="345"/>
      <c r="I55" s="346"/>
      <c r="J55" s="347"/>
      <c r="K55" s="312"/>
      <c r="L55" s="347"/>
      <c r="M55" s="312"/>
      <c r="N55" s="347"/>
      <c r="O55" s="312"/>
      <c r="P55" s="347"/>
      <c r="Q55" s="312"/>
      <c r="R55" s="347"/>
      <c r="S55" s="312"/>
      <c r="T55" s="347"/>
    </row>
    <row r="56" spans="1:20" ht="12" customHeight="1" x14ac:dyDescent="0.3">
      <c r="A56" s="340" t="s">
        <v>287</v>
      </c>
      <c r="B56" s="341" t="s">
        <v>287</v>
      </c>
      <c r="C56" s="309">
        <v>46153</v>
      </c>
      <c r="D56" s="310" t="s">
        <v>844</v>
      </c>
      <c r="E56" s="533">
        <v>-51.06</v>
      </c>
      <c r="F56" s="533">
        <v>-51.06</v>
      </c>
      <c r="G56" s="344">
        <f t="shared" si="0"/>
        <v>-1736.9000000000156</v>
      </c>
      <c r="H56" s="345"/>
      <c r="I56" s="346"/>
      <c r="J56" s="347"/>
      <c r="K56" s="312"/>
      <c r="L56" s="347"/>
      <c r="M56" s="312"/>
      <c r="N56" s="347"/>
      <c r="O56" s="312"/>
      <c r="P56" s="347"/>
      <c r="Q56" s="312"/>
      <c r="R56" s="347"/>
      <c r="S56" s="312"/>
      <c r="T56" s="347"/>
    </row>
    <row r="57" spans="1:20" ht="12" customHeight="1" x14ac:dyDescent="0.3">
      <c r="A57" s="340" t="s">
        <v>294</v>
      </c>
      <c r="B57" s="341">
        <v>22</v>
      </c>
      <c r="C57" s="309">
        <v>46153</v>
      </c>
      <c r="D57" s="310" t="s">
        <v>352</v>
      </c>
      <c r="E57" s="533">
        <v>21.29</v>
      </c>
      <c r="F57" s="533"/>
      <c r="G57" s="344">
        <f t="shared" si="0"/>
        <v>-1736.9000000000156</v>
      </c>
      <c r="H57" s="345"/>
      <c r="I57" s="346"/>
      <c r="J57" s="347"/>
      <c r="K57" s="312"/>
      <c r="L57" s="347"/>
      <c r="M57" s="312"/>
      <c r="N57" s="347"/>
      <c r="O57" s="312"/>
      <c r="P57" s="347"/>
      <c r="Q57" s="312"/>
      <c r="R57" s="347"/>
      <c r="S57" s="312"/>
      <c r="T57" s="347"/>
    </row>
    <row r="58" spans="1:20" ht="12" customHeight="1" x14ac:dyDescent="0.3">
      <c r="A58" s="340" t="s">
        <v>289</v>
      </c>
      <c r="B58" s="341">
        <v>8</v>
      </c>
      <c r="C58" s="309">
        <v>46152</v>
      </c>
      <c r="D58" s="310" t="s">
        <v>319</v>
      </c>
      <c r="E58" s="533">
        <v>59.25</v>
      </c>
      <c r="F58" s="533"/>
      <c r="G58" s="344">
        <f t="shared" si="0"/>
        <v>-1715.6100000000156</v>
      </c>
      <c r="H58" s="345"/>
      <c r="I58" s="346"/>
      <c r="J58" s="347"/>
      <c r="K58" s="312"/>
      <c r="L58" s="347"/>
      <c r="M58" s="312"/>
      <c r="N58" s="347"/>
      <c r="O58" s="312"/>
      <c r="P58" s="347"/>
      <c r="Q58" s="312"/>
      <c r="R58" s="347"/>
      <c r="S58" s="312"/>
      <c r="T58" s="347"/>
    </row>
    <row r="59" spans="1:20" ht="12" customHeight="1" x14ac:dyDescent="0.3">
      <c r="A59" s="340" t="s">
        <v>289</v>
      </c>
      <c r="B59" s="341">
        <v>1</v>
      </c>
      <c r="C59" s="309">
        <v>46152</v>
      </c>
      <c r="D59" s="310" t="s">
        <v>304</v>
      </c>
      <c r="E59" s="533">
        <v>145.94999999999999</v>
      </c>
      <c r="F59" s="533"/>
      <c r="G59" s="344">
        <f t="shared" si="0"/>
        <v>-1656.3600000000156</v>
      </c>
      <c r="H59" s="345"/>
      <c r="I59" s="346"/>
      <c r="J59" s="347"/>
      <c r="K59" s="312"/>
      <c r="L59" s="347"/>
      <c r="M59" s="312"/>
      <c r="N59" s="347"/>
      <c r="O59" s="312"/>
      <c r="P59" s="347"/>
      <c r="Q59" s="312"/>
      <c r="R59" s="347"/>
      <c r="S59" s="312"/>
      <c r="T59" s="347"/>
    </row>
    <row r="60" spans="1:20" ht="12" customHeight="1" x14ac:dyDescent="0.3">
      <c r="A60" s="340" t="s">
        <v>289</v>
      </c>
      <c r="B60" s="341">
        <v>1</v>
      </c>
      <c r="C60" s="309">
        <v>46152</v>
      </c>
      <c r="D60" s="310" t="s">
        <v>311</v>
      </c>
      <c r="E60" s="533">
        <v>131.9</v>
      </c>
      <c r="F60" s="533"/>
      <c r="G60" s="344">
        <f t="shared" si="0"/>
        <v>-1510.4100000000155</v>
      </c>
      <c r="H60" s="345"/>
      <c r="I60" s="346"/>
      <c r="J60" s="347"/>
      <c r="K60" s="312"/>
      <c r="L60" s="347"/>
      <c r="M60" s="312"/>
      <c r="N60" s="347"/>
      <c r="O60" s="312"/>
      <c r="P60" s="347"/>
      <c r="Q60" s="312"/>
      <c r="R60" s="347"/>
      <c r="S60" s="312"/>
      <c r="T60" s="347"/>
    </row>
    <row r="61" spans="1:20" ht="12" customHeight="1" x14ac:dyDescent="0.3">
      <c r="A61" s="340" t="s">
        <v>289</v>
      </c>
      <c r="B61" s="341">
        <v>2</v>
      </c>
      <c r="C61" s="309">
        <v>46152</v>
      </c>
      <c r="D61" s="310" t="s">
        <v>851</v>
      </c>
      <c r="E61" s="533">
        <v>96.46</v>
      </c>
      <c r="F61" s="533"/>
      <c r="G61" s="344">
        <f t="shared" si="0"/>
        <v>-1378.5100000000155</v>
      </c>
      <c r="H61" s="345"/>
      <c r="I61" s="346"/>
      <c r="J61" s="347"/>
      <c r="K61" s="312"/>
      <c r="L61" s="347"/>
      <c r="M61" s="312"/>
      <c r="N61" s="347"/>
      <c r="O61" s="312"/>
      <c r="P61" s="347"/>
      <c r="Q61" s="312"/>
      <c r="R61" s="347"/>
      <c r="S61" s="312"/>
      <c r="T61" s="347"/>
    </row>
    <row r="62" spans="1:20" ht="12" customHeight="1" x14ac:dyDescent="0.3">
      <c r="A62" s="340" t="s">
        <v>289</v>
      </c>
      <c r="B62" s="341">
        <v>7</v>
      </c>
      <c r="C62" s="309">
        <v>46152</v>
      </c>
      <c r="D62" s="310" t="s">
        <v>852</v>
      </c>
      <c r="E62" s="533">
        <v>162</v>
      </c>
      <c r="F62" s="533"/>
      <c r="G62" s="344">
        <f t="shared" si="0"/>
        <v>-1282.0500000000154</v>
      </c>
      <c r="H62" s="345"/>
      <c r="I62" s="346"/>
      <c r="J62" s="347"/>
      <c r="K62" s="312"/>
      <c r="L62" s="347"/>
      <c r="M62" s="312"/>
      <c r="N62" s="347"/>
      <c r="O62" s="312"/>
      <c r="P62" s="347"/>
      <c r="Q62" s="312"/>
      <c r="R62" s="347"/>
      <c r="S62" s="312"/>
      <c r="T62" s="347"/>
    </row>
    <row r="63" spans="1:20" ht="12" customHeight="1" x14ac:dyDescent="0.3">
      <c r="A63" s="340" t="s">
        <v>289</v>
      </c>
      <c r="B63" s="341">
        <v>3</v>
      </c>
      <c r="C63" s="309">
        <v>46152</v>
      </c>
      <c r="D63" s="310" t="s">
        <v>348</v>
      </c>
      <c r="E63" s="533">
        <v>25</v>
      </c>
      <c r="F63" s="533"/>
      <c r="G63" s="344">
        <f t="shared" si="0"/>
        <v>-1120.0500000000154</v>
      </c>
      <c r="H63" s="345"/>
      <c r="I63" s="346"/>
      <c r="J63" s="347"/>
      <c r="K63" s="312"/>
      <c r="L63" s="347"/>
      <c r="M63" s="312"/>
      <c r="N63" s="347"/>
      <c r="O63" s="312"/>
      <c r="P63" s="347"/>
      <c r="Q63" s="312"/>
      <c r="R63" s="347"/>
      <c r="S63" s="312"/>
      <c r="T63" s="347"/>
    </row>
    <row r="64" spans="1:20" ht="12" customHeight="1" x14ac:dyDescent="0.3">
      <c r="A64" s="340" t="s">
        <v>289</v>
      </c>
      <c r="B64" s="341">
        <v>2</v>
      </c>
      <c r="C64" s="309">
        <v>46151</v>
      </c>
      <c r="D64" s="310" t="s">
        <v>853</v>
      </c>
      <c r="E64" s="533">
        <v>35.83</v>
      </c>
      <c r="F64" s="533"/>
      <c r="G64" s="344">
        <f t="shared" si="0"/>
        <v>-1095.0500000000154</v>
      </c>
      <c r="H64" s="345"/>
      <c r="I64" s="346"/>
      <c r="J64" s="347"/>
      <c r="K64" s="312"/>
      <c r="L64" s="347"/>
      <c r="M64" s="312"/>
      <c r="N64" s="347"/>
      <c r="O64" s="312"/>
      <c r="P64" s="347"/>
      <c r="Q64" s="312"/>
      <c r="R64" s="347"/>
      <c r="S64" s="312"/>
      <c r="T64" s="347"/>
    </row>
    <row r="65" spans="1:20" ht="12" customHeight="1" x14ac:dyDescent="0.3">
      <c r="A65" s="340" t="s">
        <v>289</v>
      </c>
      <c r="B65" s="341">
        <v>4</v>
      </c>
      <c r="C65" s="309">
        <v>46151</v>
      </c>
      <c r="D65" s="310" t="s">
        <v>310</v>
      </c>
      <c r="E65" s="533">
        <v>50.58</v>
      </c>
      <c r="F65" s="533"/>
      <c r="G65" s="344">
        <f t="shared" si="0"/>
        <v>-1059.2200000000155</v>
      </c>
      <c r="H65" s="345"/>
      <c r="I65" s="346"/>
      <c r="J65" s="347"/>
      <c r="K65" s="312"/>
      <c r="L65" s="347"/>
      <c r="M65" s="312"/>
      <c r="N65" s="347"/>
      <c r="O65" s="312"/>
      <c r="P65" s="347"/>
      <c r="Q65" s="312"/>
      <c r="R65" s="347"/>
      <c r="S65" s="312"/>
      <c r="T65" s="347"/>
    </row>
    <row r="66" spans="1:20" ht="12" customHeight="1" x14ac:dyDescent="0.3">
      <c r="A66" s="340" t="s">
        <v>289</v>
      </c>
      <c r="B66" s="341">
        <v>2</v>
      </c>
      <c r="C66" s="309">
        <v>46151</v>
      </c>
      <c r="D66" s="310" t="s">
        <v>854</v>
      </c>
      <c r="E66" s="533">
        <v>20.65</v>
      </c>
      <c r="F66" s="533"/>
      <c r="G66" s="344">
        <f t="shared" si="0"/>
        <v>-1008.6400000000156</v>
      </c>
      <c r="H66" s="345"/>
      <c r="I66" s="346"/>
      <c r="J66" s="347"/>
      <c r="K66" s="312"/>
      <c r="L66" s="347"/>
      <c r="M66" s="312"/>
      <c r="N66" s="347"/>
      <c r="O66" s="312"/>
      <c r="P66" s="347"/>
      <c r="Q66" s="312"/>
      <c r="R66" s="347"/>
      <c r="S66" s="312"/>
      <c r="T66" s="347"/>
    </row>
    <row r="67" spans="1:20" ht="12" customHeight="1" x14ac:dyDescent="0.3">
      <c r="A67" s="340" t="s">
        <v>289</v>
      </c>
      <c r="B67" s="341">
        <v>8</v>
      </c>
      <c r="C67" s="309">
        <v>46151</v>
      </c>
      <c r="D67" s="310" t="s">
        <v>319</v>
      </c>
      <c r="E67" s="533">
        <v>38.770000000000003</v>
      </c>
      <c r="F67" s="533"/>
      <c r="G67" s="344">
        <f t="shared" si="0"/>
        <v>-987.99000000001558</v>
      </c>
      <c r="H67" s="345"/>
      <c r="I67" s="346"/>
      <c r="J67" s="347"/>
      <c r="K67" s="312"/>
      <c r="L67" s="347"/>
      <c r="M67" s="312"/>
      <c r="N67" s="347"/>
      <c r="O67" s="312"/>
      <c r="P67" s="347"/>
      <c r="Q67" s="312"/>
      <c r="R67" s="347"/>
      <c r="S67" s="312"/>
      <c r="T67" s="347"/>
    </row>
    <row r="68" spans="1:20" ht="12" customHeight="1" x14ac:dyDescent="0.3">
      <c r="A68" s="340" t="s">
        <v>287</v>
      </c>
      <c r="B68" s="341" t="s">
        <v>287</v>
      </c>
      <c r="C68" s="309">
        <v>46151</v>
      </c>
      <c r="D68" s="310" t="s">
        <v>844</v>
      </c>
      <c r="E68" s="533">
        <v>383.63</v>
      </c>
      <c r="F68" s="533">
        <v>383.63</v>
      </c>
      <c r="G68" s="344">
        <f t="shared" si="0"/>
        <v>-949.2200000000156</v>
      </c>
      <c r="H68" s="345"/>
      <c r="I68" s="346"/>
      <c r="J68" s="347"/>
      <c r="K68" s="312"/>
      <c r="L68" s="347"/>
      <c r="M68" s="312"/>
      <c r="N68" s="347"/>
      <c r="O68" s="312"/>
      <c r="P68" s="347"/>
      <c r="Q68" s="312"/>
      <c r="R68" s="347"/>
      <c r="S68" s="312"/>
      <c r="T68" s="347"/>
    </row>
    <row r="69" spans="1:20" ht="12" customHeight="1" x14ac:dyDescent="0.3">
      <c r="A69" s="340" t="s">
        <v>289</v>
      </c>
      <c r="B69" s="341">
        <v>5</v>
      </c>
      <c r="C69" s="309">
        <v>46151</v>
      </c>
      <c r="D69" s="310" t="s">
        <v>855</v>
      </c>
      <c r="E69" s="533">
        <v>10.68</v>
      </c>
      <c r="F69" s="533"/>
      <c r="G69" s="344">
        <f t="shared" si="0"/>
        <v>-949.2200000000156</v>
      </c>
      <c r="H69" s="345"/>
      <c r="I69" s="346"/>
      <c r="J69" s="347"/>
      <c r="K69" s="312"/>
      <c r="L69" s="347"/>
      <c r="M69" s="312"/>
      <c r="N69" s="347"/>
      <c r="O69" s="312"/>
      <c r="P69" s="347"/>
      <c r="Q69" s="312"/>
      <c r="R69" s="347"/>
      <c r="S69" s="312"/>
      <c r="T69" s="347"/>
    </row>
    <row r="70" spans="1:20" ht="12" customHeight="1" x14ac:dyDescent="0.3">
      <c r="A70" s="340" t="s">
        <v>289</v>
      </c>
      <c r="B70" s="341">
        <v>3</v>
      </c>
      <c r="C70" s="309">
        <v>46151</v>
      </c>
      <c r="D70" s="310" t="s">
        <v>348</v>
      </c>
      <c r="E70" s="533">
        <v>9.35</v>
      </c>
      <c r="F70" s="533"/>
      <c r="G70" s="344">
        <f t="shared" si="0"/>
        <v>-938.54000000001565</v>
      </c>
      <c r="H70" s="345"/>
      <c r="I70" s="346"/>
      <c r="J70" s="347"/>
      <c r="K70" s="312"/>
      <c r="L70" s="347"/>
      <c r="M70" s="312"/>
      <c r="N70" s="347"/>
      <c r="O70" s="312"/>
      <c r="P70" s="347"/>
      <c r="Q70" s="312"/>
      <c r="R70" s="347"/>
      <c r="S70" s="312"/>
      <c r="T70" s="347"/>
    </row>
    <row r="71" spans="1:20" ht="12" customHeight="1" x14ac:dyDescent="0.3">
      <c r="A71" s="340" t="s">
        <v>287</v>
      </c>
      <c r="B71" s="341" t="s">
        <v>287</v>
      </c>
      <c r="C71" s="309">
        <v>46151</v>
      </c>
      <c r="D71" s="310" t="s">
        <v>331</v>
      </c>
      <c r="E71" s="533">
        <v>-150.9</v>
      </c>
      <c r="F71" s="533">
        <v>-150.9</v>
      </c>
      <c r="G71" s="344">
        <f t="shared" si="0"/>
        <v>-929.19000000001563</v>
      </c>
      <c r="H71" s="345"/>
      <c r="I71" s="346"/>
      <c r="J71" s="347"/>
      <c r="K71" s="312"/>
      <c r="L71" s="347"/>
      <c r="M71" s="312"/>
      <c r="N71" s="347"/>
      <c r="O71" s="312"/>
      <c r="P71" s="347"/>
      <c r="Q71" s="312"/>
      <c r="R71" s="347"/>
      <c r="S71" s="312"/>
      <c r="T71" s="347"/>
    </row>
    <row r="72" spans="1:20" ht="12" customHeight="1" x14ac:dyDescent="0.3">
      <c r="A72" s="340" t="s">
        <v>287</v>
      </c>
      <c r="B72" s="341" t="s">
        <v>287</v>
      </c>
      <c r="C72" s="309">
        <v>46151</v>
      </c>
      <c r="D72" s="310" t="s">
        <v>848</v>
      </c>
      <c r="E72" s="533">
        <v>557.9</v>
      </c>
      <c r="F72" s="533">
        <v>557.9</v>
      </c>
      <c r="G72" s="344">
        <f t="shared" si="0"/>
        <v>-929.19000000001563</v>
      </c>
      <c r="H72" s="345"/>
      <c r="I72" s="346"/>
      <c r="J72" s="347"/>
      <c r="K72" s="312"/>
      <c r="L72" s="347"/>
      <c r="M72" s="312"/>
      <c r="N72" s="347"/>
      <c r="O72" s="312"/>
      <c r="P72" s="347"/>
      <c r="Q72" s="312"/>
      <c r="R72" s="347"/>
      <c r="S72" s="312"/>
      <c r="T72" s="347"/>
    </row>
    <row r="73" spans="1:20" ht="12" customHeight="1" x14ac:dyDescent="0.3">
      <c r="A73" s="340" t="s">
        <v>294</v>
      </c>
      <c r="B73" s="341">
        <v>18</v>
      </c>
      <c r="C73" s="309">
        <v>46150</v>
      </c>
      <c r="D73" s="310" t="s">
        <v>361</v>
      </c>
      <c r="E73" s="533">
        <v>400</v>
      </c>
      <c r="F73" s="533"/>
      <c r="G73" s="344">
        <f t="shared" si="0"/>
        <v>-929.19000000001574</v>
      </c>
      <c r="H73" s="345"/>
      <c r="I73" s="346"/>
      <c r="J73" s="347"/>
      <c r="K73" s="312"/>
      <c r="L73" s="347"/>
      <c r="M73" s="312"/>
      <c r="N73" s="347"/>
      <c r="O73" s="312"/>
      <c r="P73" s="347"/>
      <c r="Q73" s="312"/>
      <c r="R73" s="347"/>
      <c r="S73" s="312"/>
      <c r="T73" s="347"/>
    </row>
    <row r="74" spans="1:20" ht="12" customHeight="1" x14ac:dyDescent="0.3">
      <c r="A74" s="340" t="s">
        <v>287</v>
      </c>
      <c r="B74" s="341" t="s">
        <v>287</v>
      </c>
      <c r="C74" s="309">
        <v>46150</v>
      </c>
      <c r="D74" s="310" t="s">
        <v>843</v>
      </c>
      <c r="E74" s="533">
        <v>200</v>
      </c>
      <c r="F74" s="533">
        <v>200</v>
      </c>
      <c r="G74" s="344">
        <f t="shared" si="0"/>
        <v>-529.19000000001574</v>
      </c>
      <c r="H74" s="345"/>
      <c r="I74" s="346"/>
      <c r="J74" s="347"/>
      <c r="K74" s="312"/>
      <c r="L74" s="347"/>
      <c r="M74" s="312"/>
      <c r="N74" s="347"/>
      <c r="O74" s="312"/>
      <c r="P74" s="347"/>
      <c r="Q74" s="312"/>
      <c r="R74" s="347"/>
      <c r="S74" s="312"/>
      <c r="T74" s="347"/>
    </row>
    <row r="75" spans="1:20" ht="12" customHeight="1" x14ac:dyDescent="0.3">
      <c r="A75" s="340" t="s">
        <v>289</v>
      </c>
      <c r="B75" s="341">
        <v>2</v>
      </c>
      <c r="C75" s="309">
        <v>46150</v>
      </c>
      <c r="D75" s="310" t="s">
        <v>473</v>
      </c>
      <c r="E75" s="533">
        <v>52.78</v>
      </c>
      <c r="F75" s="533"/>
      <c r="G75" s="344">
        <f t="shared" si="0"/>
        <v>-529.19000000001574</v>
      </c>
      <c r="H75" s="345"/>
      <c r="I75" s="346"/>
      <c r="J75" s="347"/>
      <c r="K75" s="312"/>
      <c r="L75" s="347"/>
      <c r="M75" s="312"/>
      <c r="N75" s="347"/>
      <c r="O75" s="312"/>
      <c r="P75" s="347"/>
      <c r="Q75" s="312"/>
      <c r="R75" s="347"/>
      <c r="S75" s="312"/>
      <c r="T75" s="347"/>
    </row>
    <row r="76" spans="1:20" ht="12" customHeight="1" x14ac:dyDescent="0.3">
      <c r="A76" s="340" t="s">
        <v>287</v>
      </c>
      <c r="B76" s="341" t="s">
        <v>287</v>
      </c>
      <c r="C76" s="309">
        <v>46150</v>
      </c>
      <c r="D76" s="310" t="s">
        <v>849</v>
      </c>
      <c r="E76" s="533">
        <v>137.07</v>
      </c>
      <c r="F76" s="533">
        <v>137.07</v>
      </c>
      <c r="G76" s="344">
        <f t="shared" si="0"/>
        <v>-476.41000000001571</v>
      </c>
      <c r="H76" s="345"/>
      <c r="I76" s="346"/>
      <c r="J76" s="347"/>
      <c r="K76" s="312"/>
      <c r="L76" s="347"/>
      <c r="M76" s="312"/>
      <c r="N76" s="347"/>
      <c r="O76" s="312"/>
      <c r="P76" s="347"/>
      <c r="Q76" s="312"/>
      <c r="R76" s="347"/>
      <c r="S76" s="312"/>
      <c r="T76" s="347"/>
    </row>
    <row r="77" spans="1:20" ht="12" customHeight="1" x14ac:dyDescent="0.3">
      <c r="A77" s="340" t="s">
        <v>289</v>
      </c>
      <c r="B77" s="341">
        <v>2</v>
      </c>
      <c r="C77" s="309">
        <v>46150</v>
      </c>
      <c r="D77" s="310" t="s">
        <v>358</v>
      </c>
      <c r="E77" s="533">
        <v>17.440000000000001</v>
      </c>
      <c r="F77" s="533"/>
      <c r="G77" s="344">
        <f t="shared" si="0"/>
        <v>-476.41000000001566</v>
      </c>
      <c r="H77" s="345"/>
      <c r="I77" s="346"/>
      <c r="J77" s="347"/>
      <c r="K77" s="312"/>
      <c r="L77" s="347"/>
      <c r="M77" s="312"/>
      <c r="N77" s="347"/>
      <c r="O77" s="312"/>
      <c r="P77" s="347"/>
      <c r="Q77" s="312"/>
      <c r="R77" s="347"/>
      <c r="S77" s="312"/>
      <c r="T77" s="347"/>
    </row>
    <row r="78" spans="1:20" ht="12" customHeight="1" x14ac:dyDescent="0.3">
      <c r="A78" s="340" t="s">
        <v>287</v>
      </c>
      <c r="B78" s="341" t="s">
        <v>287</v>
      </c>
      <c r="C78" s="309">
        <v>46150</v>
      </c>
      <c r="D78" s="310" t="s">
        <v>850</v>
      </c>
      <c r="E78" s="533">
        <v>359.81</v>
      </c>
      <c r="F78" s="533">
        <v>359.81</v>
      </c>
      <c r="G78" s="344">
        <f t="shared" si="0"/>
        <v>-458.97000000001566</v>
      </c>
      <c r="H78" s="345"/>
      <c r="I78" s="346"/>
      <c r="J78" s="347"/>
      <c r="K78" s="312"/>
      <c r="L78" s="347"/>
      <c r="M78" s="312"/>
      <c r="N78" s="347"/>
      <c r="O78" s="312"/>
      <c r="P78" s="347"/>
      <c r="Q78" s="312"/>
      <c r="R78" s="347"/>
      <c r="S78" s="312"/>
      <c r="T78" s="347"/>
    </row>
    <row r="79" spans="1:20" ht="12" customHeight="1" x14ac:dyDescent="0.3">
      <c r="A79" s="340" t="s">
        <v>289</v>
      </c>
      <c r="B79" s="341">
        <v>6</v>
      </c>
      <c r="C79" s="309">
        <v>46149</v>
      </c>
      <c r="D79" s="310" t="s">
        <v>847</v>
      </c>
      <c r="E79" s="533">
        <v>23.7</v>
      </c>
      <c r="F79" s="533"/>
      <c r="G79" s="344">
        <f t="shared" si="0"/>
        <v>-458.97000000001566</v>
      </c>
      <c r="H79" s="345"/>
      <c r="I79" s="346"/>
      <c r="J79" s="347"/>
      <c r="K79" s="312"/>
      <c r="L79" s="347"/>
      <c r="M79" s="312"/>
      <c r="N79" s="347"/>
      <c r="O79" s="312"/>
      <c r="P79" s="347"/>
      <c r="Q79" s="312"/>
      <c r="R79" s="347"/>
      <c r="S79" s="312"/>
      <c r="T79" s="347"/>
    </row>
    <row r="80" spans="1:20" ht="12" customHeight="1" x14ac:dyDescent="0.3">
      <c r="A80" s="340" t="s">
        <v>289</v>
      </c>
      <c r="B80" s="341">
        <v>2</v>
      </c>
      <c r="C80" s="309">
        <v>46149</v>
      </c>
      <c r="D80" s="310" t="s">
        <v>371</v>
      </c>
      <c r="E80" s="533">
        <v>13.43</v>
      </c>
      <c r="F80" s="533"/>
      <c r="G80" s="344">
        <f t="shared" si="0"/>
        <v>-435.27000000001567</v>
      </c>
      <c r="H80" s="345"/>
      <c r="I80" s="346"/>
      <c r="J80" s="347"/>
      <c r="K80" s="312"/>
      <c r="L80" s="347"/>
      <c r="M80" s="312"/>
      <c r="N80" s="347"/>
      <c r="O80" s="312"/>
      <c r="P80" s="347"/>
      <c r="Q80" s="312"/>
      <c r="R80" s="347"/>
      <c r="S80" s="312"/>
      <c r="T80" s="347"/>
    </row>
    <row r="81" spans="1:20" ht="12" customHeight="1" x14ac:dyDescent="0.3">
      <c r="A81" s="340" t="s">
        <v>294</v>
      </c>
      <c r="B81" s="341">
        <v>13</v>
      </c>
      <c r="C81" s="309">
        <v>46149</v>
      </c>
      <c r="D81" s="310" t="s">
        <v>182</v>
      </c>
      <c r="E81" s="533">
        <v>122.18</v>
      </c>
      <c r="F81" s="533"/>
      <c r="G81" s="344">
        <f t="shared" si="0"/>
        <v>-421.84000000001566</v>
      </c>
      <c r="H81" s="345"/>
      <c r="I81" s="346"/>
      <c r="J81" s="347"/>
      <c r="K81" s="312"/>
      <c r="L81" s="347"/>
      <c r="M81" s="312"/>
      <c r="N81" s="347"/>
      <c r="O81" s="312"/>
      <c r="P81" s="347"/>
      <c r="Q81" s="312"/>
      <c r="R81" s="347"/>
      <c r="S81" s="312"/>
      <c r="T81" s="347"/>
    </row>
    <row r="82" spans="1:20" ht="12" customHeight="1" x14ac:dyDescent="0.3">
      <c r="A82" s="340" t="s">
        <v>335</v>
      </c>
      <c r="B82" s="341" t="s">
        <v>335</v>
      </c>
      <c r="C82" s="309">
        <v>46149</v>
      </c>
      <c r="D82" s="310" t="s">
        <v>447</v>
      </c>
      <c r="E82" s="533">
        <v>43.62</v>
      </c>
      <c r="F82" s="533"/>
      <c r="G82" s="344">
        <f t="shared" si="0"/>
        <v>-299.66000000001566</v>
      </c>
      <c r="H82" s="345"/>
      <c r="I82" s="346"/>
      <c r="J82" s="347"/>
      <c r="K82" s="312"/>
      <c r="L82" s="347"/>
      <c r="M82" s="312"/>
      <c r="N82" s="347"/>
      <c r="O82" s="312"/>
      <c r="P82" s="347"/>
      <c r="Q82" s="312"/>
      <c r="R82" s="347"/>
      <c r="S82" s="312"/>
      <c r="T82" s="347"/>
    </row>
    <row r="83" spans="1:20" ht="12" customHeight="1" x14ac:dyDescent="0.3">
      <c r="A83" s="340" t="s">
        <v>294</v>
      </c>
      <c r="B83" s="341">
        <v>9</v>
      </c>
      <c r="C83" s="309">
        <v>46149</v>
      </c>
      <c r="D83" s="310" t="s">
        <v>58</v>
      </c>
      <c r="E83" s="533">
        <v>1231.68</v>
      </c>
      <c r="F83" s="533"/>
      <c r="G83" s="344">
        <f t="shared" si="0"/>
        <v>-256.04000000001565</v>
      </c>
      <c r="H83" s="345"/>
      <c r="I83" s="346"/>
      <c r="J83" s="347"/>
      <c r="K83" s="312"/>
      <c r="L83" s="347"/>
      <c r="M83" s="312"/>
      <c r="N83" s="347"/>
      <c r="O83" s="312"/>
      <c r="P83" s="347"/>
      <c r="Q83" s="312"/>
      <c r="R83" s="347"/>
      <c r="S83" s="312"/>
      <c r="T83" s="347"/>
    </row>
    <row r="84" spans="1:20" ht="12" customHeight="1" x14ac:dyDescent="0.3">
      <c r="A84" s="340" t="s">
        <v>289</v>
      </c>
      <c r="B84" s="341">
        <v>3</v>
      </c>
      <c r="C84" s="309">
        <v>46149</v>
      </c>
      <c r="D84" s="310" t="s">
        <v>309</v>
      </c>
      <c r="E84" s="533">
        <v>4.49</v>
      </c>
      <c r="F84" s="533"/>
      <c r="G84" s="344">
        <f t="shared" si="0"/>
        <v>975.63999999998441</v>
      </c>
      <c r="H84" s="345"/>
      <c r="I84" s="346"/>
      <c r="J84" s="347"/>
      <c r="K84" s="312"/>
      <c r="L84" s="347"/>
      <c r="M84" s="312"/>
      <c r="N84" s="347"/>
      <c r="O84" s="312"/>
      <c r="P84" s="347"/>
      <c r="Q84" s="312"/>
      <c r="R84" s="347"/>
      <c r="S84" s="312"/>
      <c r="T84" s="347"/>
    </row>
    <row r="85" spans="1:20" ht="12" customHeight="1" x14ac:dyDescent="0.3">
      <c r="A85" s="340" t="s">
        <v>289</v>
      </c>
      <c r="B85" s="341">
        <v>8</v>
      </c>
      <c r="C85" s="309">
        <v>46149</v>
      </c>
      <c r="D85" s="310" t="s">
        <v>847</v>
      </c>
      <c r="E85" s="533">
        <v>19.2</v>
      </c>
      <c r="F85" s="533"/>
      <c r="G85" s="344">
        <f t="shared" si="0"/>
        <v>980.12999999998442</v>
      </c>
      <c r="H85" s="345"/>
      <c r="I85" s="346"/>
      <c r="J85" s="347"/>
      <c r="K85" s="312"/>
      <c r="L85" s="347"/>
      <c r="M85" s="312"/>
      <c r="N85" s="347"/>
      <c r="O85" s="312"/>
      <c r="P85" s="347"/>
      <c r="Q85" s="312"/>
      <c r="R85" s="347"/>
      <c r="S85" s="312"/>
      <c r="T85" s="347"/>
    </row>
    <row r="86" spans="1:20" ht="12" customHeight="1" x14ac:dyDescent="0.3">
      <c r="A86" s="340" t="s">
        <v>289</v>
      </c>
      <c r="B86" s="341">
        <v>5</v>
      </c>
      <c r="C86" s="309">
        <v>46149</v>
      </c>
      <c r="D86" s="310" t="s">
        <v>847</v>
      </c>
      <c r="E86" s="533">
        <v>35</v>
      </c>
      <c r="F86" s="533"/>
      <c r="G86" s="344">
        <f t="shared" si="0"/>
        <v>999.32999999998447</v>
      </c>
      <c r="H86" s="345"/>
      <c r="I86" s="346"/>
      <c r="J86" s="347"/>
      <c r="K86" s="312"/>
      <c r="L86" s="347"/>
      <c r="M86" s="312"/>
      <c r="N86" s="347"/>
      <c r="O86" s="312"/>
      <c r="P86" s="347"/>
      <c r="Q86" s="312"/>
      <c r="R86" s="347"/>
      <c r="S86" s="312"/>
      <c r="T86" s="347"/>
    </row>
    <row r="87" spans="1:20" ht="12" customHeight="1" x14ac:dyDescent="0.3">
      <c r="A87" s="340" t="s">
        <v>289</v>
      </c>
      <c r="B87" s="341">
        <v>8</v>
      </c>
      <c r="C87" s="309">
        <v>46149</v>
      </c>
      <c r="D87" s="310" t="s">
        <v>319</v>
      </c>
      <c r="E87" s="533">
        <v>15.93</v>
      </c>
      <c r="F87" s="533"/>
      <c r="G87" s="344">
        <f t="shared" si="0"/>
        <v>1034.3299999999845</v>
      </c>
      <c r="H87" s="345"/>
      <c r="I87" s="346"/>
      <c r="J87" s="347"/>
      <c r="K87" s="312"/>
      <c r="L87" s="347"/>
      <c r="M87" s="312"/>
      <c r="N87" s="347"/>
      <c r="O87" s="312"/>
      <c r="P87" s="347"/>
      <c r="Q87" s="312"/>
      <c r="R87" s="347"/>
      <c r="S87" s="312"/>
      <c r="T87" s="347"/>
    </row>
    <row r="88" spans="1:20" ht="12" customHeight="1" x14ac:dyDescent="0.3">
      <c r="A88" s="340" t="s">
        <v>289</v>
      </c>
      <c r="B88" s="341">
        <v>2</v>
      </c>
      <c r="C88" s="309">
        <v>46149</v>
      </c>
      <c r="D88" s="310" t="s">
        <v>296</v>
      </c>
      <c r="E88" s="533">
        <v>11.18</v>
      </c>
      <c r="F88" s="533"/>
      <c r="G88" s="344">
        <f t="shared" si="0"/>
        <v>1050.2599999999845</v>
      </c>
      <c r="H88" s="345"/>
      <c r="I88" s="346"/>
      <c r="J88" s="347"/>
      <c r="K88" s="312"/>
      <c r="L88" s="347"/>
      <c r="M88" s="312"/>
      <c r="N88" s="347"/>
      <c r="O88" s="312"/>
      <c r="P88" s="347"/>
      <c r="Q88" s="312"/>
      <c r="R88" s="347"/>
      <c r="S88" s="312"/>
      <c r="T88" s="347"/>
    </row>
    <row r="89" spans="1:20" ht="12" customHeight="1" x14ac:dyDescent="0.3">
      <c r="A89" s="340" t="s">
        <v>289</v>
      </c>
      <c r="B89" s="341">
        <v>2</v>
      </c>
      <c r="C89" s="309">
        <v>46149</v>
      </c>
      <c r="D89" s="310" t="s">
        <v>301</v>
      </c>
      <c r="E89" s="533">
        <v>16.05</v>
      </c>
      <c r="F89" s="533"/>
      <c r="G89" s="344">
        <f t="shared" ref="G89:G128" si="1">G90-E89+F89</f>
        <v>1061.4399999999846</v>
      </c>
      <c r="H89" s="345"/>
      <c r="I89" s="346"/>
      <c r="J89" s="347"/>
      <c r="K89" s="312"/>
      <c r="L89" s="347"/>
      <c r="M89" s="312"/>
      <c r="N89" s="347"/>
      <c r="O89" s="312"/>
      <c r="P89" s="347"/>
      <c r="Q89" s="312"/>
      <c r="R89" s="347"/>
      <c r="S89" s="312"/>
      <c r="T89" s="347"/>
    </row>
    <row r="90" spans="1:20" ht="12" customHeight="1" x14ac:dyDescent="0.3">
      <c r="A90" s="340" t="s">
        <v>289</v>
      </c>
      <c r="B90" s="341">
        <v>6</v>
      </c>
      <c r="C90" s="309">
        <v>46148</v>
      </c>
      <c r="D90" s="310" t="s">
        <v>340</v>
      </c>
      <c r="E90" s="533">
        <v>47.93</v>
      </c>
      <c r="F90" s="533"/>
      <c r="G90" s="344">
        <f t="shared" si="1"/>
        <v>1077.4899999999845</v>
      </c>
      <c r="H90" s="345"/>
      <c r="I90" s="346"/>
      <c r="J90" s="347"/>
      <c r="K90" s="312"/>
      <c r="L90" s="347"/>
      <c r="M90" s="312"/>
      <c r="N90" s="347"/>
      <c r="O90" s="312"/>
      <c r="P90" s="347"/>
      <c r="Q90" s="312"/>
      <c r="R90" s="347"/>
      <c r="S90" s="312"/>
      <c r="T90" s="347"/>
    </row>
    <row r="91" spans="1:20" ht="12" customHeight="1" x14ac:dyDescent="0.3">
      <c r="A91" s="340" t="s">
        <v>294</v>
      </c>
      <c r="B91" s="341">
        <v>14</v>
      </c>
      <c r="C91" s="309">
        <v>46148</v>
      </c>
      <c r="D91" s="310" t="s">
        <v>366</v>
      </c>
      <c r="E91" s="533">
        <v>66.67</v>
      </c>
      <c r="F91" s="533"/>
      <c r="G91" s="344">
        <f t="shared" si="1"/>
        <v>1125.4199999999846</v>
      </c>
      <c r="H91" s="345"/>
      <c r="I91" s="346"/>
      <c r="J91" s="347"/>
      <c r="K91" s="312"/>
      <c r="L91" s="347"/>
      <c r="M91" s="312"/>
      <c r="N91" s="347"/>
      <c r="O91" s="312"/>
      <c r="P91" s="347"/>
      <c r="Q91" s="312"/>
      <c r="R91" s="347"/>
      <c r="S91" s="312"/>
      <c r="T91" s="347"/>
    </row>
    <row r="92" spans="1:20" ht="12" customHeight="1" x14ac:dyDescent="0.3">
      <c r="A92" s="340" t="s">
        <v>289</v>
      </c>
      <c r="B92" s="341">
        <v>8</v>
      </c>
      <c r="C92" s="309">
        <v>46148</v>
      </c>
      <c r="D92" s="310" t="s">
        <v>319</v>
      </c>
      <c r="E92" s="533">
        <v>19.14</v>
      </c>
      <c r="F92" s="533"/>
      <c r="G92" s="344">
        <f t="shared" si="1"/>
        <v>1192.0899999999847</v>
      </c>
      <c r="H92" s="345"/>
      <c r="I92" s="346"/>
      <c r="J92" s="347"/>
      <c r="K92" s="312"/>
      <c r="L92" s="347"/>
      <c r="M92" s="312"/>
      <c r="N92" s="347"/>
      <c r="O92" s="312"/>
      <c r="P92" s="347"/>
      <c r="Q92" s="312"/>
      <c r="R92" s="347"/>
      <c r="S92" s="312"/>
      <c r="T92" s="347"/>
    </row>
    <row r="93" spans="1:20" ht="12" customHeight="1" x14ac:dyDescent="0.3">
      <c r="A93" s="340" t="s">
        <v>289</v>
      </c>
      <c r="B93" s="341">
        <v>4</v>
      </c>
      <c r="C93" s="309">
        <v>46148</v>
      </c>
      <c r="D93" s="310" t="s">
        <v>310</v>
      </c>
      <c r="E93" s="533">
        <v>103.69</v>
      </c>
      <c r="F93" s="533"/>
      <c r="G93" s="344">
        <f t="shared" si="1"/>
        <v>1211.2299999999848</v>
      </c>
      <c r="H93" s="345"/>
      <c r="I93" s="346"/>
      <c r="J93" s="347"/>
      <c r="K93" s="312"/>
      <c r="L93" s="347"/>
      <c r="M93" s="312"/>
      <c r="N93" s="347"/>
      <c r="O93" s="312"/>
      <c r="P93" s="347"/>
      <c r="Q93" s="312"/>
      <c r="R93" s="347"/>
      <c r="S93" s="312"/>
      <c r="T93" s="347"/>
    </row>
    <row r="94" spans="1:20" ht="12" customHeight="1" x14ac:dyDescent="0.3">
      <c r="A94" s="340" t="s">
        <v>287</v>
      </c>
      <c r="B94" s="341" t="s">
        <v>287</v>
      </c>
      <c r="C94" s="309">
        <v>46148</v>
      </c>
      <c r="D94" s="310" t="s">
        <v>844</v>
      </c>
      <c r="E94" s="533">
        <v>513.29999999999995</v>
      </c>
      <c r="F94" s="533">
        <v>513.29999999999995</v>
      </c>
      <c r="G94" s="344">
        <f t="shared" si="1"/>
        <v>1314.9199999999848</v>
      </c>
      <c r="H94" s="345"/>
      <c r="I94" s="346"/>
      <c r="J94" s="347"/>
      <c r="K94" s="312"/>
      <c r="L94" s="347"/>
      <c r="M94" s="312"/>
      <c r="N94" s="347"/>
      <c r="O94" s="312"/>
      <c r="P94" s="347"/>
      <c r="Q94" s="312"/>
      <c r="R94" s="347"/>
      <c r="S94" s="312"/>
      <c r="T94" s="347"/>
    </row>
    <row r="95" spans="1:20" ht="12" customHeight="1" x14ac:dyDescent="0.3">
      <c r="A95" s="340" t="s">
        <v>289</v>
      </c>
      <c r="B95" s="341">
        <v>6</v>
      </c>
      <c r="C95" s="309">
        <v>46148</v>
      </c>
      <c r="D95" s="310" t="s">
        <v>300</v>
      </c>
      <c r="E95" s="533">
        <v>41.52</v>
      </c>
      <c r="F95" s="533"/>
      <c r="G95" s="344">
        <f t="shared" si="1"/>
        <v>1314.9199999999848</v>
      </c>
      <c r="H95" s="345"/>
      <c r="I95" s="346"/>
      <c r="J95" s="347"/>
      <c r="K95" s="312"/>
      <c r="L95" s="347"/>
      <c r="M95" s="312"/>
      <c r="N95" s="347"/>
      <c r="O95" s="312"/>
      <c r="P95" s="347"/>
      <c r="Q95" s="312"/>
      <c r="R95" s="347"/>
      <c r="S95" s="312"/>
      <c r="T95" s="347"/>
    </row>
    <row r="96" spans="1:20" ht="12" customHeight="1" x14ac:dyDescent="0.3">
      <c r="A96" s="340" t="s">
        <v>287</v>
      </c>
      <c r="B96" s="341" t="s">
        <v>287</v>
      </c>
      <c r="C96" s="309">
        <v>46148</v>
      </c>
      <c r="D96" s="310" t="s">
        <v>845</v>
      </c>
      <c r="E96" s="533">
        <v>500.5</v>
      </c>
      <c r="F96" s="533">
        <v>500.5</v>
      </c>
      <c r="G96" s="344">
        <f t="shared" si="1"/>
        <v>1356.4399999999848</v>
      </c>
      <c r="H96" s="345"/>
      <c r="I96" s="346"/>
      <c r="J96" s="347"/>
      <c r="K96" s="312"/>
      <c r="L96" s="347"/>
      <c r="M96" s="312"/>
      <c r="N96" s="347"/>
      <c r="O96" s="312"/>
      <c r="P96" s="347"/>
      <c r="Q96" s="312"/>
      <c r="R96" s="347"/>
      <c r="S96" s="312"/>
      <c r="T96" s="347"/>
    </row>
    <row r="97" spans="1:20" ht="12" customHeight="1" x14ac:dyDescent="0.3">
      <c r="A97" s="340" t="s">
        <v>287</v>
      </c>
      <c r="B97" s="341" t="s">
        <v>287</v>
      </c>
      <c r="C97" s="309">
        <v>46148</v>
      </c>
      <c r="D97" s="310" t="s">
        <v>846</v>
      </c>
      <c r="E97" s="533">
        <v>457.94</v>
      </c>
      <c r="F97" s="533">
        <v>457.94</v>
      </c>
      <c r="G97" s="344">
        <f t="shared" si="1"/>
        <v>1356.4399999999848</v>
      </c>
      <c r="H97" s="345"/>
      <c r="I97" s="346"/>
      <c r="J97" s="347"/>
      <c r="K97" s="312"/>
      <c r="L97" s="347"/>
      <c r="M97" s="312"/>
      <c r="N97" s="347"/>
      <c r="O97" s="312"/>
      <c r="P97" s="347"/>
      <c r="Q97" s="312"/>
      <c r="R97" s="347"/>
      <c r="S97" s="312"/>
      <c r="T97" s="347"/>
    </row>
    <row r="98" spans="1:20" ht="12" customHeight="1" x14ac:dyDescent="0.3">
      <c r="A98" s="340" t="s">
        <v>289</v>
      </c>
      <c r="B98" s="341">
        <v>1</v>
      </c>
      <c r="C98" s="309">
        <v>46148</v>
      </c>
      <c r="D98" s="310" t="s">
        <v>306</v>
      </c>
      <c r="E98" s="533">
        <v>23.48</v>
      </c>
      <c r="F98" s="533"/>
      <c r="G98" s="344">
        <f t="shared" si="1"/>
        <v>1356.4399999999848</v>
      </c>
      <c r="H98" s="345"/>
      <c r="I98" s="346"/>
      <c r="J98" s="347"/>
      <c r="K98" s="312"/>
      <c r="L98" s="347"/>
      <c r="M98" s="312"/>
      <c r="N98" s="347"/>
      <c r="O98" s="312"/>
      <c r="P98" s="347"/>
      <c r="Q98" s="312"/>
      <c r="R98" s="347"/>
      <c r="S98" s="312"/>
      <c r="T98" s="347"/>
    </row>
    <row r="99" spans="1:20" ht="12" customHeight="1" x14ac:dyDescent="0.3">
      <c r="A99" s="340" t="s">
        <v>289</v>
      </c>
      <c r="B99" s="341">
        <v>2</v>
      </c>
      <c r="C99" s="309">
        <v>46147</v>
      </c>
      <c r="D99" s="310" t="s">
        <v>384</v>
      </c>
      <c r="E99" s="533">
        <v>59.03</v>
      </c>
      <c r="F99" s="533"/>
      <c r="G99" s="344">
        <f t="shared" si="1"/>
        <v>1379.9199999999848</v>
      </c>
      <c r="H99" s="345"/>
      <c r="I99" s="346"/>
      <c r="J99" s="347"/>
      <c r="K99" s="312"/>
      <c r="L99" s="347"/>
      <c r="M99" s="312"/>
      <c r="N99" s="347"/>
      <c r="O99" s="312"/>
      <c r="P99" s="347"/>
      <c r="Q99" s="312"/>
      <c r="R99" s="347"/>
      <c r="S99" s="312"/>
      <c r="T99" s="347"/>
    </row>
    <row r="100" spans="1:20" ht="12" customHeight="1" x14ac:dyDescent="0.3">
      <c r="A100" s="340" t="s">
        <v>289</v>
      </c>
      <c r="B100" s="341">
        <v>2</v>
      </c>
      <c r="C100" s="309">
        <v>46147</v>
      </c>
      <c r="D100" s="310" t="s">
        <v>334</v>
      </c>
      <c r="E100" s="533">
        <v>11.06</v>
      </c>
      <c r="F100" s="533"/>
      <c r="G100" s="344">
        <f t="shared" si="1"/>
        <v>1438.9499999999848</v>
      </c>
      <c r="H100" s="345"/>
      <c r="I100" s="346"/>
      <c r="J100" s="347"/>
      <c r="K100" s="312"/>
      <c r="L100" s="347"/>
      <c r="M100" s="312"/>
      <c r="N100" s="347"/>
      <c r="O100" s="312"/>
      <c r="P100" s="347"/>
      <c r="Q100" s="312"/>
      <c r="R100" s="347"/>
      <c r="S100" s="312"/>
      <c r="T100" s="347"/>
    </row>
    <row r="101" spans="1:20" ht="12" customHeight="1" x14ac:dyDescent="0.3">
      <c r="A101" s="340" t="s">
        <v>289</v>
      </c>
      <c r="B101" s="341">
        <v>2</v>
      </c>
      <c r="C101" s="309">
        <v>46147</v>
      </c>
      <c r="D101" s="310" t="s">
        <v>296</v>
      </c>
      <c r="E101" s="533">
        <v>8.7200000000000006</v>
      </c>
      <c r="F101" s="533"/>
      <c r="G101" s="344">
        <f t="shared" si="1"/>
        <v>1450.0099999999848</v>
      </c>
      <c r="H101" s="345"/>
      <c r="I101" s="346"/>
      <c r="J101" s="347"/>
      <c r="K101" s="312"/>
      <c r="L101" s="347"/>
      <c r="M101" s="312"/>
      <c r="N101" s="347"/>
      <c r="O101" s="312"/>
      <c r="P101" s="347"/>
      <c r="Q101" s="312"/>
      <c r="R101" s="347"/>
      <c r="S101" s="312"/>
      <c r="T101" s="347"/>
    </row>
    <row r="102" spans="1:20" ht="12" customHeight="1" x14ac:dyDescent="0.3">
      <c r="A102" s="340" t="s">
        <v>289</v>
      </c>
      <c r="B102" s="341">
        <v>4</v>
      </c>
      <c r="C102" s="309">
        <v>46147</v>
      </c>
      <c r="D102" s="310" t="s">
        <v>296</v>
      </c>
      <c r="E102" s="533">
        <v>42.88</v>
      </c>
      <c r="F102" s="533"/>
      <c r="G102" s="344">
        <f t="shared" si="1"/>
        <v>1458.7299999999848</v>
      </c>
      <c r="H102" s="345"/>
      <c r="I102" s="346"/>
      <c r="J102" s="347"/>
      <c r="K102" s="312"/>
      <c r="L102" s="347"/>
      <c r="M102" s="312"/>
      <c r="N102" s="347"/>
      <c r="O102" s="312"/>
      <c r="P102" s="347"/>
      <c r="Q102" s="312"/>
      <c r="R102" s="347"/>
      <c r="S102" s="312"/>
      <c r="T102" s="347"/>
    </row>
    <row r="103" spans="1:20" ht="12" customHeight="1" x14ac:dyDescent="0.3">
      <c r="A103" s="340" t="s">
        <v>289</v>
      </c>
      <c r="B103" s="341">
        <v>6</v>
      </c>
      <c r="C103" s="309">
        <v>46147</v>
      </c>
      <c r="D103" s="310" t="s">
        <v>300</v>
      </c>
      <c r="E103" s="533">
        <v>17.03</v>
      </c>
      <c r="F103" s="533"/>
      <c r="G103" s="344">
        <f t="shared" si="1"/>
        <v>1501.6099999999849</v>
      </c>
      <c r="H103" s="345"/>
      <c r="I103" s="346"/>
      <c r="J103" s="347"/>
      <c r="K103" s="312"/>
      <c r="L103" s="347"/>
      <c r="M103" s="312"/>
      <c r="N103" s="347"/>
      <c r="O103" s="312"/>
      <c r="P103" s="347"/>
      <c r="Q103" s="312"/>
      <c r="R103" s="347"/>
      <c r="S103" s="312"/>
      <c r="T103" s="347"/>
    </row>
    <row r="104" spans="1:20" ht="12" customHeight="1" x14ac:dyDescent="0.3">
      <c r="A104" s="340" t="s">
        <v>294</v>
      </c>
      <c r="B104" s="341">
        <v>22</v>
      </c>
      <c r="C104" s="309">
        <v>46146</v>
      </c>
      <c r="D104" s="310" t="s">
        <v>835</v>
      </c>
      <c r="E104" s="533">
        <v>13.83</v>
      </c>
      <c r="F104" s="533"/>
      <c r="G104" s="344">
        <f t="shared" si="1"/>
        <v>1518.6399999999849</v>
      </c>
      <c r="H104" s="345"/>
      <c r="I104" s="346"/>
      <c r="J104" s="347"/>
      <c r="K104" s="312"/>
      <c r="L104" s="347"/>
      <c r="M104" s="312"/>
      <c r="N104" s="347"/>
      <c r="O104" s="312"/>
      <c r="P104" s="347"/>
      <c r="Q104" s="312"/>
      <c r="R104" s="347"/>
      <c r="S104" s="312"/>
      <c r="T104" s="347"/>
    </row>
    <row r="105" spans="1:20" ht="12" customHeight="1" x14ac:dyDescent="0.3">
      <c r="A105" s="340" t="s">
        <v>289</v>
      </c>
      <c r="B105" s="341">
        <v>6</v>
      </c>
      <c r="C105" s="309">
        <v>46146</v>
      </c>
      <c r="D105" s="310" t="s">
        <v>340</v>
      </c>
      <c r="E105" s="533">
        <v>47.93</v>
      </c>
      <c r="F105" s="533"/>
      <c r="G105" s="344">
        <f t="shared" si="1"/>
        <v>1532.4699999999848</v>
      </c>
      <c r="H105" s="345"/>
      <c r="I105" s="346"/>
      <c r="J105" s="347"/>
      <c r="K105" s="312"/>
      <c r="L105" s="347"/>
      <c r="M105" s="312"/>
      <c r="N105" s="347"/>
      <c r="O105" s="312"/>
      <c r="P105" s="347"/>
      <c r="Q105" s="312"/>
      <c r="R105" s="347"/>
      <c r="S105" s="312"/>
      <c r="T105" s="347"/>
    </row>
    <row r="106" spans="1:20" ht="12" customHeight="1" x14ac:dyDescent="0.3">
      <c r="A106" s="340" t="s">
        <v>289</v>
      </c>
      <c r="B106" s="341">
        <v>2</v>
      </c>
      <c r="C106" s="309">
        <v>46146</v>
      </c>
      <c r="D106" s="310" t="s">
        <v>334</v>
      </c>
      <c r="E106" s="533">
        <v>11.06</v>
      </c>
      <c r="F106" s="533"/>
      <c r="G106" s="344">
        <f t="shared" si="1"/>
        <v>1580.3999999999849</v>
      </c>
      <c r="H106" s="345"/>
      <c r="I106" s="346"/>
      <c r="J106" s="347"/>
      <c r="K106" s="312"/>
      <c r="L106" s="347"/>
      <c r="M106" s="312"/>
      <c r="N106" s="347"/>
      <c r="O106" s="312"/>
      <c r="P106" s="347"/>
      <c r="Q106" s="312"/>
      <c r="R106" s="347"/>
      <c r="S106" s="312"/>
      <c r="T106" s="347"/>
    </row>
    <row r="107" spans="1:20" ht="12" customHeight="1" x14ac:dyDescent="0.3">
      <c r="A107" s="340" t="s">
        <v>294</v>
      </c>
      <c r="B107" s="341">
        <v>14</v>
      </c>
      <c r="C107" s="309">
        <v>46146</v>
      </c>
      <c r="D107" s="310" t="s">
        <v>367</v>
      </c>
      <c r="E107" s="533">
        <v>70.25</v>
      </c>
      <c r="F107" s="533"/>
      <c r="G107" s="344">
        <f t="shared" si="1"/>
        <v>1591.4599999999848</v>
      </c>
      <c r="H107" s="345"/>
      <c r="I107" s="346"/>
      <c r="J107" s="347"/>
      <c r="K107" s="312"/>
      <c r="L107" s="347"/>
      <c r="M107" s="312"/>
      <c r="N107" s="347"/>
      <c r="O107" s="312"/>
      <c r="P107" s="347"/>
      <c r="Q107" s="312"/>
      <c r="R107" s="347"/>
      <c r="S107" s="312"/>
      <c r="T107" s="347"/>
    </row>
    <row r="108" spans="1:20" ht="12" customHeight="1" x14ac:dyDescent="0.3">
      <c r="A108" s="340" t="s">
        <v>284</v>
      </c>
      <c r="B108" s="341">
        <v>36</v>
      </c>
      <c r="C108" s="309">
        <v>46146</v>
      </c>
      <c r="D108" s="310" t="s">
        <v>374</v>
      </c>
      <c r="E108" s="533">
        <v>50</v>
      </c>
      <c r="F108" s="533"/>
      <c r="G108" s="344">
        <f t="shared" si="1"/>
        <v>1661.7099999999848</v>
      </c>
      <c r="H108" s="345"/>
      <c r="I108" s="346"/>
      <c r="J108" s="347"/>
      <c r="K108" s="312"/>
      <c r="L108" s="347"/>
      <c r="M108" s="312"/>
      <c r="N108" s="347"/>
      <c r="O108" s="312"/>
      <c r="P108" s="347"/>
      <c r="Q108" s="312"/>
      <c r="R108" s="347"/>
      <c r="S108" s="312"/>
      <c r="T108" s="347"/>
    </row>
    <row r="109" spans="1:20" ht="12" customHeight="1" x14ac:dyDescent="0.3">
      <c r="A109" s="340" t="s">
        <v>294</v>
      </c>
      <c r="B109" s="341">
        <v>17</v>
      </c>
      <c r="C109" s="309">
        <v>46146</v>
      </c>
      <c r="D109" s="310" t="s">
        <v>370</v>
      </c>
      <c r="E109" s="533">
        <v>99</v>
      </c>
      <c r="F109" s="533"/>
      <c r="G109" s="344">
        <f t="shared" si="1"/>
        <v>1711.7099999999848</v>
      </c>
      <c r="H109" s="345"/>
      <c r="I109" s="346"/>
      <c r="J109" s="347"/>
      <c r="K109" s="312"/>
      <c r="L109" s="347"/>
      <c r="M109" s="312"/>
      <c r="N109" s="347"/>
      <c r="O109" s="312"/>
      <c r="P109" s="347"/>
      <c r="Q109" s="312"/>
      <c r="R109" s="347"/>
      <c r="S109" s="312"/>
      <c r="T109" s="347"/>
    </row>
    <row r="110" spans="1:20" ht="12" customHeight="1" x14ac:dyDescent="0.3">
      <c r="A110" s="340" t="s">
        <v>289</v>
      </c>
      <c r="B110" s="341">
        <v>5</v>
      </c>
      <c r="C110" s="309">
        <v>46145</v>
      </c>
      <c r="D110" s="310" t="s">
        <v>834</v>
      </c>
      <c r="E110" s="533">
        <v>49.13</v>
      </c>
      <c r="F110" s="533"/>
      <c r="G110" s="344">
        <f t="shared" si="1"/>
        <v>1810.7099999999848</v>
      </c>
      <c r="H110" s="345"/>
      <c r="I110" s="346"/>
      <c r="J110" s="347"/>
      <c r="K110" s="312"/>
      <c r="L110" s="347"/>
      <c r="M110" s="312"/>
      <c r="N110" s="347"/>
      <c r="O110" s="312"/>
      <c r="P110" s="347"/>
      <c r="Q110" s="312"/>
      <c r="R110" s="347"/>
      <c r="S110" s="312"/>
      <c r="T110" s="347"/>
    </row>
    <row r="111" spans="1:20" ht="12" customHeight="1" x14ac:dyDescent="0.3">
      <c r="A111" s="340" t="s">
        <v>289</v>
      </c>
      <c r="B111" s="341">
        <v>1</v>
      </c>
      <c r="C111" s="309">
        <v>46145</v>
      </c>
      <c r="D111" s="310" t="s">
        <v>831</v>
      </c>
      <c r="E111" s="533">
        <v>50</v>
      </c>
      <c r="F111" s="533"/>
      <c r="G111" s="344">
        <f t="shared" si="1"/>
        <v>1859.8399999999849</v>
      </c>
      <c r="H111" s="345"/>
      <c r="I111" s="346"/>
      <c r="J111" s="347"/>
      <c r="K111" s="312"/>
      <c r="L111" s="347"/>
      <c r="M111" s="312"/>
      <c r="N111" s="347"/>
      <c r="O111" s="312"/>
      <c r="P111" s="347"/>
      <c r="Q111" s="312"/>
      <c r="R111" s="347"/>
      <c r="S111" s="312"/>
      <c r="T111" s="347"/>
    </row>
    <row r="112" spans="1:20" ht="12" customHeight="1" x14ac:dyDescent="0.3">
      <c r="A112" s="340" t="s">
        <v>289</v>
      </c>
      <c r="B112" s="341">
        <v>1</v>
      </c>
      <c r="C112" s="309">
        <v>46145</v>
      </c>
      <c r="D112" s="310" t="s">
        <v>311</v>
      </c>
      <c r="E112" s="533">
        <v>91.98</v>
      </c>
      <c r="F112" s="533"/>
      <c r="G112" s="344">
        <f t="shared" si="1"/>
        <v>1909.8399999999849</v>
      </c>
      <c r="H112" s="345"/>
      <c r="I112" s="346"/>
      <c r="J112" s="347"/>
      <c r="K112" s="312"/>
      <c r="L112" s="347"/>
      <c r="M112" s="312"/>
      <c r="N112" s="347"/>
      <c r="O112" s="312"/>
      <c r="P112" s="347"/>
      <c r="Q112" s="312"/>
      <c r="R112" s="347"/>
      <c r="S112" s="312"/>
      <c r="T112" s="347"/>
    </row>
    <row r="113" spans="1:20" ht="12" customHeight="1" x14ac:dyDescent="0.3">
      <c r="A113" s="340" t="s">
        <v>289</v>
      </c>
      <c r="B113" s="341">
        <v>6</v>
      </c>
      <c r="C113" s="309">
        <v>46145</v>
      </c>
      <c r="D113" s="310" t="s">
        <v>832</v>
      </c>
      <c r="E113" s="533">
        <v>24.68</v>
      </c>
      <c r="F113" s="533"/>
      <c r="G113" s="344">
        <f t="shared" si="1"/>
        <v>2001.8199999999849</v>
      </c>
      <c r="H113" s="345"/>
      <c r="I113" s="346"/>
      <c r="J113" s="347"/>
      <c r="K113" s="312"/>
      <c r="L113" s="347"/>
      <c r="M113" s="312"/>
      <c r="N113" s="347"/>
      <c r="O113" s="312"/>
      <c r="P113" s="347"/>
      <c r="Q113" s="312"/>
      <c r="R113" s="347"/>
      <c r="S113" s="312"/>
      <c r="T113" s="347"/>
    </row>
    <row r="114" spans="1:20" ht="12" customHeight="1" x14ac:dyDescent="0.3">
      <c r="A114" s="340" t="s">
        <v>289</v>
      </c>
      <c r="B114" s="341">
        <v>2</v>
      </c>
      <c r="C114" s="309">
        <v>46145</v>
      </c>
      <c r="D114" s="310" t="s">
        <v>358</v>
      </c>
      <c r="E114" s="533">
        <v>2.4900000000000002</v>
      </c>
      <c r="F114" s="533"/>
      <c r="G114" s="344">
        <f t="shared" si="1"/>
        <v>2026.499999999985</v>
      </c>
      <c r="H114" s="345"/>
      <c r="I114" s="346"/>
      <c r="J114" s="347"/>
      <c r="K114" s="312"/>
      <c r="L114" s="347"/>
      <c r="M114" s="312"/>
      <c r="N114" s="347"/>
      <c r="O114" s="312"/>
      <c r="P114" s="347"/>
      <c r="Q114" s="312"/>
      <c r="R114" s="347"/>
      <c r="S114" s="312"/>
      <c r="T114" s="347"/>
    </row>
    <row r="115" spans="1:20" ht="12" customHeight="1" x14ac:dyDescent="0.3">
      <c r="A115" s="340" t="s">
        <v>294</v>
      </c>
      <c r="B115" s="341">
        <v>22</v>
      </c>
      <c r="C115" s="309">
        <v>46145</v>
      </c>
      <c r="D115" s="310" t="s">
        <v>862</v>
      </c>
      <c r="E115" s="533">
        <v>12.77</v>
      </c>
      <c r="F115" s="533"/>
      <c r="G115" s="344">
        <f t="shared" si="1"/>
        <v>2028.989999999985</v>
      </c>
      <c r="H115" s="345"/>
      <c r="I115" s="346"/>
      <c r="J115" s="347"/>
      <c r="K115" s="312"/>
      <c r="L115" s="347"/>
      <c r="M115" s="312"/>
      <c r="N115" s="347"/>
      <c r="O115" s="312"/>
      <c r="P115" s="347"/>
      <c r="Q115" s="312"/>
      <c r="R115" s="347"/>
      <c r="S115" s="312"/>
      <c r="T115" s="347"/>
    </row>
    <row r="116" spans="1:20" ht="12" customHeight="1" x14ac:dyDescent="0.3">
      <c r="A116" s="340" t="s">
        <v>289</v>
      </c>
      <c r="B116" s="341">
        <v>2</v>
      </c>
      <c r="C116" s="309">
        <v>46145</v>
      </c>
      <c r="D116" s="310" t="s">
        <v>458</v>
      </c>
      <c r="E116" s="533">
        <v>192.97</v>
      </c>
      <c r="F116" s="533"/>
      <c r="G116" s="344">
        <f t="shared" si="1"/>
        <v>2041.759999999985</v>
      </c>
      <c r="H116" s="345"/>
      <c r="I116" s="346"/>
      <c r="J116" s="347"/>
      <c r="K116" s="312"/>
      <c r="L116" s="347"/>
      <c r="M116" s="312"/>
      <c r="N116" s="347"/>
      <c r="O116" s="312"/>
      <c r="P116" s="347"/>
      <c r="Q116" s="312"/>
      <c r="R116" s="347"/>
      <c r="S116" s="312"/>
      <c r="T116" s="347"/>
    </row>
    <row r="117" spans="1:20" ht="12" customHeight="1" x14ac:dyDescent="0.3">
      <c r="A117" s="340" t="s">
        <v>289</v>
      </c>
      <c r="B117" s="341">
        <v>3</v>
      </c>
      <c r="C117" s="309">
        <v>46145</v>
      </c>
      <c r="D117" s="310" t="s">
        <v>348</v>
      </c>
      <c r="E117" s="533">
        <v>9.35</v>
      </c>
      <c r="F117" s="533"/>
      <c r="G117" s="344">
        <f t="shared" si="1"/>
        <v>2234.729999999985</v>
      </c>
      <c r="H117" s="345"/>
      <c r="I117" s="346"/>
      <c r="J117" s="347"/>
      <c r="K117" s="312"/>
      <c r="L117" s="347"/>
      <c r="M117" s="312"/>
      <c r="N117" s="347"/>
      <c r="O117" s="312"/>
      <c r="P117" s="347"/>
      <c r="Q117" s="312"/>
      <c r="R117" s="347"/>
      <c r="S117" s="312"/>
      <c r="T117" s="347"/>
    </row>
    <row r="118" spans="1:20" ht="12" customHeight="1" x14ac:dyDescent="0.3">
      <c r="A118" s="340" t="s">
        <v>289</v>
      </c>
      <c r="B118" s="341">
        <v>4</v>
      </c>
      <c r="C118" s="309">
        <v>46144</v>
      </c>
      <c r="D118" s="310" t="s">
        <v>310</v>
      </c>
      <c r="E118" s="533">
        <v>57.69</v>
      </c>
      <c r="F118" s="533"/>
      <c r="G118" s="344">
        <f t="shared" si="1"/>
        <v>2244.0799999999849</v>
      </c>
      <c r="H118" s="345"/>
      <c r="I118" s="346"/>
      <c r="J118" s="347"/>
      <c r="K118" s="312"/>
      <c r="L118" s="347"/>
      <c r="M118" s="312"/>
      <c r="N118" s="347"/>
      <c r="O118" s="312"/>
      <c r="P118" s="347"/>
      <c r="Q118" s="312"/>
      <c r="R118" s="347"/>
      <c r="S118" s="312"/>
      <c r="T118" s="347"/>
    </row>
    <row r="119" spans="1:20" ht="12" customHeight="1" x14ac:dyDescent="0.3">
      <c r="A119" s="340" t="s">
        <v>289</v>
      </c>
      <c r="B119" s="341">
        <v>8</v>
      </c>
      <c r="C119" s="309">
        <v>46144</v>
      </c>
      <c r="D119" s="310" t="s">
        <v>310</v>
      </c>
      <c r="E119" s="533">
        <v>6.37</v>
      </c>
      <c r="F119" s="533"/>
      <c r="G119" s="344">
        <f t="shared" si="1"/>
        <v>2301.769999999985</v>
      </c>
      <c r="H119" s="345"/>
      <c r="I119" s="346"/>
      <c r="J119" s="347"/>
      <c r="K119" s="312"/>
      <c r="L119" s="347"/>
      <c r="M119" s="312"/>
      <c r="N119" s="347"/>
      <c r="O119" s="312"/>
      <c r="P119" s="347"/>
      <c r="Q119" s="312"/>
      <c r="R119" s="347"/>
      <c r="S119" s="312"/>
      <c r="T119" s="347"/>
    </row>
    <row r="120" spans="1:20" ht="12" customHeight="1" x14ac:dyDescent="0.3">
      <c r="A120" s="340" t="s">
        <v>294</v>
      </c>
      <c r="B120" s="341">
        <v>22</v>
      </c>
      <c r="C120" s="309">
        <v>46144</v>
      </c>
      <c r="D120" s="310" t="s">
        <v>375</v>
      </c>
      <c r="E120" s="533">
        <v>6.37</v>
      </c>
      <c r="F120" s="533"/>
      <c r="G120" s="344">
        <f t="shared" si="1"/>
        <v>2308.1399999999849</v>
      </c>
      <c r="H120" s="345"/>
      <c r="I120" s="346"/>
      <c r="J120" s="347"/>
      <c r="K120" s="312"/>
      <c r="L120" s="347"/>
      <c r="M120" s="312"/>
      <c r="N120" s="347"/>
      <c r="O120" s="312"/>
      <c r="P120" s="347"/>
      <c r="Q120" s="312"/>
      <c r="R120" s="347"/>
      <c r="S120" s="312"/>
      <c r="T120" s="347"/>
    </row>
    <row r="121" spans="1:20" ht="12" customHeight="1" x14ac:dyDescent="0.3">
      <c r="A121" s="340" t="s">
        <v>289</v>
      </c>
      <c r="B121" s="341">
        <v>6</v>
      </c>
      <c r="C121" s="309">
        <v>46144</v>
      </c>
      <c r="D121" s="310" t="s">
        <v>300</v>
      </c>
      <c r="E121" s="533">
        <v>41.51</v>
      </c>
      <c r="F121" s="533"/>
      <c r="G121" s="344">
        <f t="shared" si="1"/>
        <v>2314.5099999999848</v>
      </c>
      <c r="H121" s="345"/>
      <c r="I121" s="346"/>
      <c r="J121" s="347"/>
      <c r="K121" s="312"/>
      <c r="L121" s="347"/>
      <c r="M121" s="312"/>
      <c r="N121" s="347"/>
      <c r="O121" s="312"/>
      <c r="P121" s="347"/>
      <c r="Q121" s="312"/>
      <c r="R121" s="347"/>
      <c r="S121" s="312"/>
      <c r="T121" s="347"/>
    </row>
    <row r="122" spans="1:20" ht="12" customHeight="1" x14ac:dyDescent="0.3">
      <c r="A122" s="340" t="s">
        <v>289</v>
      </c>
      <c r="B122" s="341">
        <v>7</v>
      </c>
      <c r="C122" s="309">
        <v>46144</v>
      </c>
      <c r="D122" s="310" t="s">
        <v>833</v>
      </c>
      <c r="E122" s="533">
        <v>74.53</v>
      </c>
      <c r="F122" s="533"/>
      <c r="G122" s="344">
        <f t="shared" si="1"/>
        <v>2356.019999999985</v>
      </c>
      <c r="H122" s="345"/>
      <c r="I122" s="346"/>
      <c r="J122" s="347"/>
      <c r="K122" s="312"/>
      <c r="L122" s="347"/>
      <c r="M122" s="312"/>
      <c r="N122" s="347"/>
      <c r="O122" s="312"/>
      <c r="P122" s="347"/>
      <c r="Q122" s="312"/>
      <c r="R122" s="347"/>
      <c r="S122" s="312"/>
      <c r="T122" s="347"/>
    </row>
    <row r="123" spans="1:20" ht="12" customHeight="1" x14ac:dyDescent="0.3">
      <c r="A123" s="340" t="s">
        <v>289</v>
      </c>
      <c r="B123" s="341">
        <v>1</v>
      </c>
      <c r="C123" s="309">
        <v>46144</v>
      </c>
      <c r="D123" s="310" t="s">
        <v>306</v>
      </c>
      <c r="E123" s="533">
        <v>72.73</v>
      </c>
      <c r="F123" s="533"/>
      <c r="G123" s="344">
        <f t="shared" si="1"/>
        <v>2430.5499999999852</v>
      </c>
      <c r="H123" s="345"/>
      <c r="I123" s="346"/>
      <c r="J123" s="347"/>
      <c r="K123" s="312"/>
      <c r="L123" s="347"/>
      <c r="M123" s="312"/>
      <c r="N123" s="347"/>
      <c r="O123" s="312"/>
      <c r="P123" s="347"/>
      <c r="Q123" s="312"/>
      <c r="R123" s="347"/>
      <c r="S123" s="312"/>
      <c r="T123" s="347"/>
    </row>
    <row r="124" spans="1:20" ht="12" customHeight="1" x14ac:dyDescent="0.3">
      <c r="A124" s="340" t="s">
        <v>289</v>
      </c>
      <c r="B124" s="341">
        <v>3</v>
      </c>
      <c r="C124" s="309">
        <v>46144</v>
      </c>
      <c r="D124" s="310" t="s">
        <v>348</v>
      </c>
      <c r="E124" s="533">
        <v>25</v>
      </c>
      <c r="F124" s="533"/>
      <c r="G124" s="344">
        <f t="shared" si="1"/>
        <v>2503.2799999999852</v>
      </c>
      <c r="H124" s="345"/>
      <c r="I124" s="346"/>
      <c r="J124" s="347"/>
      <c r="K124" s="312"/>
      <c r="L124" s="347"/>
      <c r="M124" s="312"/>
      <c r="N124" s="347"/>
      <c r="O124" s="312"/>
      <c r="P124" s="347"/>
      <c r="Q124" s="312"/>
      <c r="R124" s="347"/>
      <c r="S124" s="312"/>
      <c r="T124" s="347"/>
    </row>
    <row r="125" spans="1:20" ht="12" customHeight="1" x14ac:dyDescent="0.3">
      <c r="A125" s="340" t="s">
        <v>287</v>
      </c>
      <c r="B125" s="341" t="s">
        <v>287</v>
      </c>
      <c r="C125" s="309">
        <v>46144</v>
      </c>
      <c r="D125" s="310" t="s">
        <v>485</v>
      </c>
      <c r="E125" s="533">
        <v>121.4</v>
      </c>
      <c r="F125" s="533">
        <v>121.4</v>
      </c>
      <c r="G125" s="344">
        <f t="shared" si="1"/>
        <v>2528.2799999999852</v>
      </c>
      <c r="H125" s="345"/>
      <c r="I125" s="346"/>
      <c r="J125" s="347"/>
      <c r="K125" s="312"/>
      <c r="L125" s="347"/>
      <c r="M125" s="312"/>
      <c r="N125" s="347"/>
      <c r="O125" s="312"/>
      <c r="P125" s="347"/>
      <c r="Q125" s="312"/>
      <c r="R125" s="347"/>
      <c r="S125" s="312"/>
      <c r="T125" s="347"/>
    </row>
    <row r="126" spans="1:20" ht="12" customHeight="1" x14ac:dyDescent="0.3">
      <c r="A126" s="340" t="s">
        <v>289</v>
      </c>
      <c r="B126" s="341">
        <v>3</v>
      </c>
      <c r="C126" s="309">
        <v>46144</v>
      </c>
      <c r="D126" s="310" t="s">
        <v>348</v>
      </c>
      <c r="E126" s="533">
        <v>9.73</v>
      </c>
      <c r="F126" s="533"/>
      <c r="G126" s="344">
        <f t="shared" si="1"/>
        <v>2528.2799999999852</v>
      </c>
      <c r="H126" s="345"/>
      <c r="I126" s="346"/>
      <c r="J126" s="347"/>
      <c r="K126" s="312"/>
      <c r="L126" s="347"/>
      <c r="M126" s="312"/>
      <c r="N126" s="347"/>
      <c r="O126" s="312"/>
      <c r="P126" s="347"/>
      <c r="Q126" s="312"/>
      <c r="R126" s="347"/>
      <c r="S126" s="312"/>
      <c r="T126" s="347"/>
    </row>
    <row r="127" spans="1:20" ht="12" customHeight="1" x14ac:dyDescent="0.3">
      <c r="A127" s="340" t="s">
        <v>289</v>
      </c>
      <c r="B127" s="341">
        <v>2</v>
      </c>
      <c r="C127" s="309">
        <v>46143</v>
      </c>
      <c r="D127" s="310" t="s">
        <v>358</v>
      </c>
      <c r="E127" s="533">
        <v>8.9700000000000006</v>
      </c>
      <c r="F127" s="533"/>
      <c r="G127" s="344">
        <f t="shared" si="1"/>
        <v>2538.0099999999852</v>
      </c>
      <c r="H127" s="345"/>
      <c r="I127" s="346"/>
      <c r="J127" s="347"/>
      <c r="K127" s="312"/>
      <c r="L127" s="347"/>
      <c r="M127" s="312"/>
      <c r="N127" s="347"/>
      <c r="O127" s="312"/>
      <c r="P127" s="347"/>
      <c r="Q127" s="312"/>
      <c r="R127" s="347"/>
      <c r="S127" s="312"/>
      <c r="T127" s="347"/>
    </row>
    <row r="128" spans="1:20" s="551" customFormat="1" ht="12" customHeight="1" x14ac:dyDescent="0.3">
      <c r="A128" s="541" t="s">
        <v>284</v>
      </c>
      <c r="B128" s="542">
        <v>37</v>
      </c>
      <c r="C128" s="543">
        <v>46142</v>
      </c>
      <c r="D128" s="544" t="s">
        <v>285</v>
      </c>
      <c r="E128" s="545">
        <v>5616.82</v>
      </c>
      <c r="F128" s="545"/>
      <c r="G128" s="546">
        <f t="shared" si="1"/>
        <v>2546.979999999985</v>
      </c>
      <c r="H128" s="547"/>
      <c r="I128" s="548"/>
      <c r="J128" s="549"/>
      <c r="K128" s="550"/>
      <c r="L128" s="549"/>
      <c r="M128" s="550"/>
      <c r="N128" s="549"/>
      <c r="O128" s="550"/>
      <c r="P128" s="549"/>
      <c r="Q128" s="550"/>
      <c r="R128" s="549"/>
      <c r="S128" s="550"/>
      <c r="T128" s="549"/>
    </row>
    <row r="129" spans="1:20" ht="12" customHeight="1" x14ac:dyDescent="0.3">
      <c r="A129" s="340" t="s">
        <v>286</v>
      </c>
      <c r="B129" s="341">
        <v>25</v>
      </c>
      <c r="C129" s="309">
        <v>46142</v>
      </c>
      <c r="D129" s="309" t="s">
        <v>204</v>
      </c>
      <c r="E129" s="342">
        <v>350</v>
      </c>
      <c r="F129" s="342"/>
      <c r="G129" s="344">
        <f t="shared" ref="G129:G130" si="2">G130-E129+F129</f>
        <v>8163.7999999999847</v>
      </c>
      <c r="H129" s="345"/>
      <c r="I129" s="346"/>
      <c r="J129" s="347"/>
      <c r="K129" s="312"/>
      <c r="L129" s="347"/>
      <c r="M129" s="312"/>
      <c r="N129" s="347"/>
      <c r="O129" s="312"/>
      <c r="P129" s="347"/>
      <c r="Q129" s="312"/>
      <c r="R129" s="347"/>
      <c r="S129" s="312"/>
      <c r="T129" s="347"/>
    </row>
    <row r="130" spans="1:20" ht="12" customHeight="1" x14ac:dyDescent="0.3">
      <c r="A130" s="340" t="s">
        <v>286</v>
      </c>
      <c r="B130" s="341">
        <v>26</v>
      </c>
      <c r="C130" s="309">
        <v>46142</v>
      </c>
      <c r="D130" s="309" t="s">
        <v>205</v>
      </c>
      <c r="E130" s="342">
        <v>320</v>
      </c>
      <c r="F130" s="342"/>
      <c r="G130" s="344">
        <f t="shared" si="2"/>
        <v>8513.7999999999847</v>
      </c>
      <c r="H130" s="345"/>
      <c r="I130" s="346"/>
      <c r="J130" s="347"/>
      <c r="K130" s="312"/>
      <c r="L130" s="347"/>
      <c r="M130" s="312"/>
      <c r="N130" s="347"/>
      <c r="O130" s="312"/>
      <c r="P130" s="347"/>
      <c r="Q130" s="312"/>
      <c r="R130" s="347"/>
      <c r="S130" s="312"/>
      <c r="T130" s="347"/>
    </row>
    <row r="131" spans="1:20" ht="12" customHeight="1" x14ac:dyDescent="0.3">
      <c r="A131" s="340" t="s">
        <v>286</v>
      </c>
      <c r="B131" s="341">
        <v>27</v>
      </c>
      <c r="C131" s="309">
        <v>46142</v>
      </c>
      <c r="D131" s="309" t="s">
        <v>206</v>
      </c>
      <c r="E131" s="342">
        <v>25</v>
      </c>
      <c r="F131" s="342"/>
      <c r="G131" s="344">
        <f t="shared" ref="G131:G382" si="3">G132-E131+F131</f>
        <v>8833.7999999999847</v>
      </c>
      <c r="H131" s="345"/>
      <c r="I131" s="346"/>
      <c r="J131" s="347"/>
      <c r="K131" s="312"/>
      <c r="L131" s="347"/>
      <c r="M131" s="312"/>
      <c r="N131" s="347"/>
      <c r="O131" s="312"/>
      <c r="P131" s="347"/>
      <c r="Q131" s="312"/>
      <c r="R131" s="347"/>
      <c r="S131" s="312"/>
      <c r="T131" s="347"/>
    </row>
    <row r="132" spans="1:20" ht="12" customHeight="1" x14ac:dyDescent="0.3">
      <c r="A132" s="340" t="s">
        <v>286</v>
      </c>
      <c r="B132" s="341">
        <v>28</v>
      </c>
      <c r="C132" s="309">
        <v>46142</v>
      </c>
      <c r="D132" s="309" t="s">
        <v>207</v>
      </c>
      <c r="E132" s="342">
        <v>25</v>
      </c>
      <c r="F132" s="342"/>
      <c r="G132" s="344">
        <f t="shared" si="3"/>
        <v>8858.7999999999847</v>
      </c>
      <c r="H132" s="345"/>
      <c r="I132" s="346"/>
      <c r="J132" s="347"/>
      <c r="K132" s="312"/>
      <c r="L132" s="347"/>
      <c r="M132" s="312"/>
      <c r="N132" s="347"/>
      <c r="O132" s="312"/>
      <c r="P132" s="347"/>
      <c r="Q132" s="312"/>
      <c r="R132" s="347"/>
      <c r="S132" s="312"/>
      <c r="T132" s="347"/>
    </row>
    <row r="133" spans="1:20" ht="12" customHeight="1" x14ac:dyDescent="0.3">
      <c r="A133" s="340" t="s">
        <v>286</v>
      </c>
      <c r="B133" s="341">
        <v>29</v>
      </c>
      <c r="C133" s="309">
        <v>46142</v>
      </c>
      <c r="D133" s="309" t="s">
        <v>208</v>
      </c>
      <c r="E133" s="342">
        <v>45</v>
      </c>
      <c r="F133" s="342"/>
      <c r="G133" s="344">
        <f t="shared" si="3"/>
        <v>8883.7999999999847</v>
      </c>
      <c r="H133" s="345"/>
      <c r="I133" s="346"/>
      <c r="J133" s="347"/>
      <c r="K133" s="312"/>
      <c r="L133" s="347"/>
      <c r="M133" s="312"/>
      <c r="N133" s="347"/>
      <c r="O133" s="312"/>
      <c r="P133" s="347"/>
      <c r="Q133" s="312"/>
      <c r="R133" s="347"/>
      <c r="S133" s="312"/>
      <c r="T133" s="347"/>
    </row>
    <row r="134" spans="1:20" ht="12" customHeight="1" x14ac:dyDescent="0.3">
      <c r="A134" s="340" t="s">
        <v>286</v>
      </c>
      <c r="B134" s="341">
        <v>30</v>
      </c>
      <c r="C134" s="309">
        <v>46142</v>
      </c>
      <c r="D134" s="309" t="s">
        <v>209</v>
      </c>
      <c r="E134" s="342">
        <v>400</v>
      </c>
      <c r="F134" s="342"/>
      <c r="G134" s="344">
        <f t="shared" si="3"/>
        <v>8928.7999999999847</v>
      </c>
      <c r="H134" s="345"/>
      <c r="I134" s="346"/>
      <c r="J134" s="347"/>
      <c r="K134" s="312"/>
      <c r="L134" s="347"/>
      <c r="M134" s="312"/>
      <c r="N134" s="347"/>
      <c r="O134" s="312"/>
      <c r="P134" s="347"/>
      <c r="Q134" s="312"/>
      <c r="R134" s="347"/>
      <c r="S134" s="312"/>
      <c r="T134" s="347"/>
    </row>
    <row r="135" spans="1:20" ht="12" customHeight="1" x14ac:dyDescent="0.3">
      <c r="A135" s="340" t="s">
        <v>286</v>
      </c>
      <c r="B135" s="341">
        <v>31</v>
      </c>
      <c r="C135" s="309">
        <v>46142</v>
      </c>
      <c r="D135" s="309" t="s">
        <v>210</v>
      </c>
      <c r="E135" s="342">
        <v>375</v>
      </c>
      <c r="F135" s="342"/>
      <c r="G135" s="344">
        <f t="shared" si="3"/>
        <v>9328.7999999999847</v>
      </c>
      <c r="H135" s="345"/>
      <c r="I135" s="346"/>
      <c r="J135" s="347"/>
      <c r="K135" s="312"/>
      <c r="L135" s="347"/>
      <c r="M135" s="312"/>
      <c r="N135" s="347"/>
      <c r="O135" s="312"/>
      <c r="P135" s="347"/>
      <c r="Q135" s="312"/>
      <c r="R135" s="347"/>
      <c r="S135" s="312"/>
      <c r="T135" s="347"/>
    </row>
    <row r="136" spans="1:20" ht="12" customHeight="1" x14ac:dyDescent="0.3">
      <c r="A136" s="340" t="s">
        <v>286</v>
      </c>
      <c r="B136" s="341">
        <v>32</v>
      </c>
      <c r="C136" s="309">
        <v>46142</v>
      </c>
      <c r="D136" s="309" t="s">
        <v>211</v>
      </c>
      <c r="E136" s="342">
        <v>100</v>
      </c>
      <c r="F136" s="342"/>
      <c r="G136" s="344">
        <f t="shared" si="3"/>
        <v>9703.7999999999847</v>
      </c>
      <c r="H136" s="345"/>
      <c r="I136" s="346"/>
      <c r="J136" s="347"/>
      <c r="K136" s="312"/>
      <c r="L136" s="347"/>
      <c r="M136" s="312"/>
      <c r="N136" s="347"/>
      <c r="O136" s="312"/>
      <c r="P136" s="347"/>
      <c r="Q136" s="312"/>
      <c r="R136" s="347"/>
      <c r="S136" s="312"/>
      <c r="T136" s="347"/>
    </row>
    <row r="137" spans="1:20" ht="12" customHeight="1" x14ac:dyDescent="0.3">
      <c r="A137" s="340" t="s">
        <v>286</v>
      </c>
      <c r="B137" s="341">
        <v>33</v>
      </c>
      <c r="C137" s="309">
        <v>46142</v>
      </c>
      <c r="D137" s="309" t="s">
        <v>212</v>
      </c>
      <c r="E137" s="342">
        <v>85</v>
      </c>
      <c r="F137" s="342"/>
      <c r="G137" s="344">
        <f t="shared" si="3"/>
        <v>9803.7999999999847</v>
      </c>
      <c r="H137" s="345"/>
      <c r="I137" s="346"/>
      <c r="J137" s="347"/>
      <c r="K137" s="312"/>
      <c r="L137" s="347"/>
      <c r="M137" s="312"/>
      <c r="N137" s="347"/>
      <c r="O137" s="312"/>
      <c r="P137" s="347"/>
      <c r="Q137" s="312"/>
      <c r="R137" s="347"/>
      <c r="S137" s="312"/>
      <c r="T137" s="347"/>
    </row>
    <row r="138" spans="1:20" ht="12" customHeight="1" x14ac:dyDescent="0.3">
      <c r="A138" s="340" t="s">
        <v>286</v>
      </c>
      <c r="B138" s="341">
        <v>34</v>
      </c>
      <c r="C138" s="309">
        <v>46142</v>
      </c>
      <c r="D138" s="309" t="s">
        <v>213</v>
      </c>
      <c r="E138" s="342">
        <v>230</v>
      </c>
      <c r="F138" s="342"/>
      <c r="G138" s="344">
        <f t="shared" si="3"/>
        <v>9888.7999999999847</v>
      </c>
      <c r="H138" s="345"/>
      <c r="I138" s="346"/>
      <c r="J138" s="347"/>
      <c r="K138" s="312"/>
      <c r="L138" s="347"/>
      <c r="M138" s="312"/>
      <c r="N138" s="347"/>
      <c r="O138" s="312"/>
      <c r="P138" s="347"/>
      <c r="Q138" s="312"/>
      <c r="R138" s="347"/>
      <c r="S138" s="312"/>
      <c r="T138" s="347"/>
    </row>
    <row r="139" spans="1:20" ht="12" customHeight="1" x14ac:dyDescent="0.3">
      <c r="A139" s="340" t="s">
        <v>286</v>
      </c>
      <c r="B139" s="341">
        <v>35</v>
      </c>
      <c r="C139" s="309">
        <v>46142</v>
      </c>
      <c r="D139" s="309" t="s">
        <v>214</v>
      </c>
      <c r="E139" s="342">
        <v>45</v>
      </c>
      <c r="F139" s="342"/>
      <c r="G139" s="344">
        <f t="shared" si="3"/>
        <v>10118.799999999985</v>
      </c>
      <c r="H139" s="345"/>
      <c r="I139" s="346"/>
      <c r="J139" s="347"/>
      <c r="K139" s="312"/>
      <c r="L139" s="347"/>
      <c r="M139" s="312"/>
      <c r="N139" s="347"/>
      <c r="O139" s="312"/>
      <c r="P139" s="347"/>
      <c r="Q139" s="312"/>
      <c r="R139" s="347"/>
      <c r="S139" s="312"/>
      <c r="T139" s="347"/>
    </row>
    <row r="140" spans="1:20" ht="12" customHeight="1" x14ac:dyDescent="0.3">
      <c r="A140" s="340" t="s">
        <v>287</v>
      </c>
      <c r="B140" s="341" t="s">
        <v>287</v>
      </c>
      <c r="C140" s="309">
        <v>46142</v>
      </c>
      <c r="D140" s="310" t="s">
        <v>288</v>
      </c>
      <c r="E140" s="342">
        <v>185.64</v>
      </c>
      <c r="F140" s="342">
        <v>185.64</v>
      </c>
      <c r="G140" s="344">
        <f t="shared" si="3"/>
        <v>10163.799999999985</v>
      </c>
      <c r="H140" s="345"/>
      <c r="I140" s="346"/>
      <c r="J140" s="347"/>
      <c r="K140" s="312"/>
      <c r="L140" s="347"/>
      <c r="M140" s="312"/>
      <c r="N140" s="347"/>
      <c r="O140" s="312"/>
      <c r="P140" s="347"/>
      <c r="Q140" s="312"/>
      <c r="R140" s="347"/>
      <c r="S140" s="312"/>
      <c r="T140" s="347"/>
    </row>
    <row r="141" spans="1:20" ht="12" customHeight="1" x14ac:dyDescent="0.3">
      <c r="A141" s="340" t="s">
        <v>289</v>
      </c>
      <c r="B141" s="341">
        <v>6</v>
      </c>
      <c r="C141" s="309">
        <v>46142</v>
      </c>
      <c r="D141" s="310" t="s">
        <v>290</v>
      </c>
      <c r="E141" s="342">
        <v>30</v>
      </c>
      <c r="F141" s="342"/>
      <c r="G141" s="344">
        <f t="shared" si="3"/>
        <v>10163.799999999985</v>
      </c>
      <c r="H141" s="345"/>
      <c r="I141" s="346"/>
      <c r="J141" s="347"/>
      <c r="K141" s="312"/>
      <c r="L141" s="347"/>
      <c r="M141" s="312"/>
      <c r="N141" s="347"/>
      <c r="O141" s="312"/>
      <c r="P141" s="347"/>
      <c r="Q141" s="312"/>
      <c r="R141" s="347"/>
      <c r="S141" s="312"/>
      <c r="T141" s="347"/>
    </row>
    <row r="142" spans="1:20" ht="12" customHeight="1" x14ac:dyDescent="0.3">
      <c r="A142" s="340" t="s">
        <v>291</v>
      </c>
      <c r="B142" s="341">
        <v>39</v>
      </c>
      <c r="C142" s="309">
        <v>46142</v>
      </c>
      <c r="D142" s="310" t="s">
        <v>292</v>
      </c>
      <c r="E142" s="342"/>
      <c r="F142" s="342">
        <v>2763.78</v>
      </c>
      <c r="G142" s="344">
        <f t="shared" si="3"/>
        <v>10193.799999999985</v>
      </c>
      <c r="H142" s="345"/>
      <c r="I142" s="346"/>
      <c r="J142" s="347"/>
      <c r="K142" s="312"/>
      <c r="L142" s="347"/>
      <c r="M142" s="312"/>
      <c r="N142" s="347"/>
      <c r="O142" s="312"/>
      <c r="P142" s="347"/>
      <c r="Q142" s="312"/>
      <c r="R142" s="347"/>
      <c r="S142" s="312"/>
      <c r="T142" s="347"/>
    </row>
    <row r="143" spans="1:20" ht="12" customHeight="1" x14ac:dyDescent="0.3">
      <c r="A143" s="340" t="s">
        <v>291</v>
      </c>
      <c r="B143" s="341">
        <v>38</v>
      </c>
      <c r="C143" s="309">
        <v>46142</v>
      </c>
      <c r="D143" s="310" t="s">
        <v>293</v>
      </c>
      <c r="E143" s="342"/>
      <c r="F143" s="342">
        <v>4597.82</v>
      </c>
      <c r="G143" s="344">
        <f t="shared" si="3"/>
        <v>7430.019999999985</v>
      </c>
      <c r="H143" s="345"/>
      <c r="I143" s="346"/>
      <c r="J143" s="347"/>
      <c r="K143" s="312"/>
      <c r="L143" s="347"/>
      <c r="M143" s="312"/>
      <c r="N143" s="347"/>
      <c r="O143" s="312"/>
      <c r="P143" s="347"/>
      <c r="Q143" s="312"/>
      <c r="R143" s="347"/>
      <c r="S143" s="312"/>
      <c r="T143" s="347"/>
    </row>
    <row r="144" spans="1:20" ht="12" customHeight="1" x14ac:dyDescent="0.3">
      <c r="A144" s="340" t="s">
        <v>294</v>
      </c>
      <c r="B144" s="341">
        <v>42</v>
      </c>
      <c r="C144" s="309">
        <v>46142</v>
      </c>
      <c r="D144" s="310" t="s">
        <v>200</v>
      </c>
      <c r="E144" s="342">
        <v>50.92</v>
      </c>
      <c r="F144" s="342"/>
      <c r="G144" s="344">
        <f t="shared" si="3"/>
        <v>2832.1999999999853</v>
      </c>
      <c r="H144" s="345"/>
      <c r="I144" s="346"/>
      <c r="J144" s="347"/>
      <c r="K144" s="312"/>
      <c r="L144" s="347"/>
      <c r="M144" s="312"/>
      <c r="N144" s="347"/>
      <c r="O144" s="312"/>
      <c r="P144" s="347"/>
      <c r="Q144" s="312"/>
      <c r="R144" s="347"/>
      <c r="S144" s="312"/>
      <c r="T144" s="347"/>
    </row>
    <row r="145" spans="1:20" ht="12" customHeight="1" x14ac:dyDescent="0.3">
      <c r="A145" s="340" t="s">
        <v>294</v>
      </c>
      <c r="B145" s="341">
        <v>43</v>
      </c>
      <c r="C145" s="309">
        <v>46142</v>
      </c>
      <c r="D145" s="310" t="s">
        <v>201</v>
      </c>
      <c r="E145" s="342">
        <v>50.92</v>
      </c>
      <c r="F145" s="342"/>
      <c r="G145" s="344">
        <f t="shared" si="3"/>
        <v>2883.1199999999853</v>
      </c>
      <c r="H145" s="345"/>
      <c r="I145" s="346"/>
      <c r="J145" s="347"/>
      <c r="K145" s="312"/>
      <c r="L145" s="347"/>
      <c r="M145" s="312"/>
      <c r="N145" s="347"/>
      <c r="O145" s="312"/>
      <c r="P145" s="347"/>
      <c r="Q145" s="312"/>
      <c r="R145" s="347"/>
      <c r="S145" s="312"/>
      <c r="T145" s="347"/>
    </row>
    <row r="146" spans="1:20" ht="12" customHeight="1" x14ac:dyDescent="0.3">
      <c r="A146" s="340" t="s">
        <v>289</v>
      </c>
      <c r="B146" s="341">
        <v>4</v>
      </c>
      <c r="C146" s="309">
        <v>46142</v>
      </c>
      <c r="D146" s="310" t="s">
        <v>295</v>
      </c>
      <c r="E146" s="342">
        <v>35.799999999999997</v>
      </c>
      <c r="F146" s="342"/>
      <c r="G146" s="344">
        <f t="shared" si="3"/>
        <v>2934.0399999999854</v>
      </c>
      <c r="H146" s="345"/>
      <c r="I146" s="346"/>
      <c r="J146" s="347"/>
      <c r="K146" s="312"/>
      <c r="L146" s="347"/>
      <c r="M146" s="312"/>
      <c r="N146" s="347"/>
      <c r="O146" s="312"/>
      <c r="P146" s="347"/>
      <c r="Q146" s="312"/>
      <c r="R146" s="347"/>
      <c r="S146" s="312"/>
      <c r="T146" s="347"/>
    </row>
    <row r="147" spans="1:20" ht="12" customHeight="1" x14ac:dyDescent="0.3">
      <c r="A147" s="340" t="s">
        <v>294</v>
      </c>
      <c r="B147" s="341">
        <v>10</v>
      </c>
      <c r="C147" s="309">
        <v>46142</v>
      </c>
      <c r="D147" s="310" t="s">
        <v>176</v>
      </c>
      <c r="E147" s="342">
        <v>17.899999999999999</v>
      </c>
      <c r="F147" s="342"/>
      <c r="G147" s="344">
        <f t="shared" si="3"/>
        <v>2969.8399999999856</v>
      </c>
      <c r="H147" s="345"/>
      <c r="I147" s="346"/>
      <c r="J147" s="347"/>
      <c r="K147" s="312"/>
      <c r="L147" s="347"/>
      <c r="M147" s="312"/>
      <c r="N147" s="347"/>
      <c r="O147" s="312"/>
      <c r="P147" s="347"/>
      <c r="Q147" s="312"/>
      <c r="R147" s="347"/>
      <c r="S147" s="312"/>
      <c r="T147" s="347"/>
    </row>
    <row r="148" spans="1:20" ht="12" customHeight="1" x14ac:dyDescent="0.3">
      <c r="A148" s="340" t="s">
        <v>289</v>
      </c>
      <c r="B148" s="341">
        <v>2</v>
      </c>
      <c r="C148" s="309">
        <v>46142</v>
      </c>
      <c r="D148" s="310" t="s">
        <v>296</v>
      </c>
      <c r="E148" s="342">
        <v>8.7200000000000006</v>
      </c>
      <c r="F148" s="342"/>
      <c r="G148" s="344">
        <f t="shared" si="3"/>
        <v>2987.7399999999857</v>
      </c>
      <c r="H148" s="345"/>
      <c r="I148" s="346"/>
      <c r="J148" s="347"/>
      <c r="K148" s="312"/>
      <c r="L148" s="347"/>
      <c r="M148" s="312"/>
      <c r="N148" s="347"/>
      <c r="O148" s="312"/>
      <c r="P148" s="347"/>
      <c r="Q148" s="312"/>
      <c r="R148" s="347"/>
      <c r="S148" s="312"/>
      <c r="T148" s="347"/>
    </row>
    <row r="149" spans="1:20" ht="12" customHeight="1" x14ac:dyDescent="0.3">
      <c r="A149" s="340" t="s">
        <v>289</v>
      </c>
      <c r="B149" s="341">
        <v>2</v>
      </c>
      <c r="C149" s="309">
        <v>46142</v>
      </c>
      <c r="D149" s="310" t="s">
        <v>297</v>
      </c>
      <c r="E149" s="342">
        <v>100</v>
      </c>
      <c r="F149" s="342"/>
      <c r="G149" s="344">
        <f t="shared" si="3"/>
        <v>2996.4599999999855</v>
      </c>
      <c r="H149" s="345" t="s">
        <v>298</v>
      </c>
      <c r="I149" s="346"/>
      <c r="J149" s="347"/>
      <c r="K149" s="312"/>
      <c r="L149" s="347"/>
      <c r="M149" s="312"/>
      <c r="N149" s="347"/>
      <c r="O149" s="312"/>
      <c r="P149" s="347"/>
      <c r="Q149" s="312"/>
      <c r="R149" s="347"/>
      <c r="S149" s="312"/>
      <c r="T149" s="347"/>
    </row>
    <row r="150" spans="1:20" ht="12" customHeight="1" x14ac:dyDescent="0.3">
      <c r="A150" s="340" t="s">
        <v>289</v>
      </c>
      <c r="B150" s="341">
        <v>5</v>
      </c>
      <c r="C150" s="309">
        <v>46142</v>
      </c>
      <c r="D150" s="310" t="s">
        <v>297</v>
      </c>
      <c r="E150" s="342">
        <v>100</v>
      </c>
      <c r="F150" s="342"/>
      <c r="G150" s="344">
        <f t="shared" si="3"/>
        <v>3096.4599999999855</v>
      </c>
      <c r="H150" s="345" t="s">
        <v>298</v>
      </c>
      <c r="I150" s="346"/>
      <c r="J150" s="347"/>
      <c r="K150" s="312"/>
      <c r="L150" s="347"/>
      <c r="M150" s="312"/>
      <c r="N150" s="347"/>
      <c r="O150" s="312"/>
      <c r="P150" s="347"/>
      <c r="Q150" s="312"/>
      <c r="R150" s="347"/>
      <c r="S150" s="312"/>
      <c r="T150" s="347"/>
    </row>
    <row r="151" spans="1:20" ht="12" customHeight="1" x14ac:dyDescent="0.3">
      <c r="A151" s="340" t="s">
        <v>289</v>
      </c>
      <c r="B151" s="341">
        <v>6</v>
      </c>
      <c r="C151" s="309">
        <v>46142</v>
      </c>
      <c r="D151" s="310" t="s">
        <v>297</v>
      </c>
      <c r="E151" s="342">
        <v>100</v>
      </c>
      <c r="F151" s="342"/>
      <c r="G151" s="344">
        <f t="shared" si="3"/>
        <v>3196.4599999999855</v>
      </c>
      <c r="H151" s="345" t="s">
        <v>298</v>
      </c>
      <c r="I151" s="346"/>
      <c r="J151" s="347"/>
      <c r="K151" s="312"/>
      <c r="L151" s="347"/>
      <c r="M151" s="312"/>
      <c r="N151" s="347"/>
      <c r="O151" s="312"/>
      <c r="P151" s="347"/>
      <c r="Q151" s="312"/>
      <c r="R151" s="347"/>
      <c r="S151" s="312"/>
      <c r="T151" s="347"/>
    </row>
    <row r="152" spans="1:20" ht="12" customHeight="1" x14ac:dyDescent="0.3">
      <c r="A152" s="340" t="s">
        <v>289</v>
      </c>
      <c r="B152" s="341">
        <v>8</v>
      </c>
      <c r="C152" s="309">
        <v>46142</v>
      </c>
      <c r="D152" s="310" t="s">
        <v>297</v>
      </c>
      <c r="E152" s="342">
        <v>100</v>
      </c>
      <c r="F152" s="342"/>
      <c r="G152" s="344">
        <f t="shared" si="3"/>
        <v>3296.4599999999855</v>
      </c>
      <c r="H152" s="345" t="s">
        <v>298</v>
      </c>
      <c r="I152" s="346"/>
      <c r="J152" s="347"/>
      <c r="K152" s="312"/>
      <c r="L152" s="347"/>
      <c r="M152" s="312"/>
      <c r="N152" s="347"/>
      <c r="O152" s="312"/>
      <c r="P152" s="347"/>
      <c r="Q152" s="312"/>
      <c r="R152" s="347"/>
      <c r="S152" s="312"/>
      <c r="T152" s="347"/>
    </row>
    <row r="153" spans="1:20" ht="12" customHeight="1" x14ac:dyDescent="0.3">
      <c r="A153" s="340" t="s">
        <v>291</v>
      </c>
      <c r="B153" s="341">
        <v>41</v>
      </c>
      <c r="C153" s="309">
        <v>46142</v>
      </c>
      <c r="D153" s="310" t="s">
        <v>299</v>
      </c>
      <c r="E153" s="342"/>
      <c r="F153" s="342">
        <v>250</v>
      </c>
      <c r="G153" s="344">
        <f t="shared" si="3"/>
        <v>3396.4599999999855</v>
      </c>
      <c r="H153" s="345"/>
      <c r="I153" s="346"/>
      <c r="J153" s="347"/>
      <c r="K153" s="312"/>
      <c r="L153" s="347"/>
      <c r="M153" s="312"/>
      <c r="N153" s="347"/>
      <c r="O153" s="312"/>
      <c r="P153" s="347"/>
      <c r="Q153" s="312"/>
      <c r="R153" s="347"/>
      <c r="S153" s="312"/>
      <c r="T153" s="347"/>
    </row>
    <row r="154" spans="1:20" ht="12" customHeight="1" x14ac:dyDescent="0.3">
      <c r="A154" s="340" t="s">
        <v>289</v>
      </c>
      <c r="B154" s="341">
        <v>6</v>
      </c>
      <c r="C154" s="309">
        <v>46142</v>
      </c>
      <c r="D154" s="310" t="s">
        <v>300</v>
      </c>
      <c r="E154" s="342">
        <v>42.44</v>
      </c>
      <c r="F154" s="342"/>
      <c r="G154" s="344">
        <f t="shared" si="3"/>
        <v>3146.4599999999855</v>
      </c>
      <c r="H154" s="345"/>
      <c r="I154" s="346"/>
      <c r="J154" s="347"/>
      <c r="K154" s="312"/>
      <c r="L154" s="347"/>
      <c r="M154" s="312"/>
      <c r="N154" s="347"/>
      <c r="O154" s="312"/>
      <c r="P154" s="347"/>
      <c r="Q154" s="312"/>
      <c r="R154" s="347"/>
      <c r="S154" s="312"/>
      <c r="T154" s="347"/>
    </row>
    <row r="155" spans="1:20" ht="12" customHeight="1" x14ac:dyDescent="0.3">
      <c r="A155" s="340" t="s">
        <v>289</v>
      </c>
      <c r="B155" s="341">
        <v>6</v>
      </c>
      <c r="C155" s="309">
        <v>46142</v>
      </c>
      <c r="D155" s="310" t="s">
        <v>300</v>
      </c>
      <c r="E155" s="342">
        <v>24.05</v>
      </c>
      <c r="F155" s="342"/>
      <c r="G155" s="344">
        <f t="shared" si="3"/>
        <v>3188.8999999999855</v>
      </c>
      <c r="H155" s="345"/>
      <c r="I155" s="346"/>
      <c r="J155" s="347"/>
      <c r="K155" s="312"/>
      <c r="L155" s="347"/>
      <c r="M155" s="312"/>
      <c r="N155" s="347"/>
      <c r="O155" s="312"/>
      <c r="P155" s="347"/>
      <c r="Q155" s="312"/>
      <c r="R155" s="347"/>
      <c r="S155" s="312"/>
      <c r="T155" s="347"/>
    </row>
    <row r="156" spans="1:20" ht="12" customHeight="1" x14ac:dyDescent="0.3">
      <c r="A156" s="340" t="s">
        <v>289</v>
      </c>
      <c r="B156" s="341">
        <v>2</v>
      </c>
      <c r="C156" s="309">
        <v>46141</v>
      </c>
      <c r="D156" s="310" t="s">
        <v>301</v>
      </c>
      <c r="E156" s="342">
        <v>31.8</v>
      </c>
      <c r="F156" s="342"/>
      <c r="G156" s="344">
        <f t="shared" si="3"/>
        <v>3212.9499999999857</v>
      </c>
      <c r="H156" s="345"/>
      <c r="I156" s="346"/>
      <c r="J156" s="347"/>
      <c r="K156" s="312"/>
      <c r="L156" s="347"/>
      <c r="M156" s="312"/>
      <c r="N156" s="347"/>
      <c r="O156" s="312"/>
      <c r="P156" s="347"/>
      <c r="Q156" s="312"/>
      <c r="R156" s="347"/>
      <c r="S156" s="312"/>
      <c r="T156" s="347"/>
    </row>
    <row r="157" spans="1:20" ht="12" customHeight="1" x14ac:dyDescent="0.3">
      <c r="A157" s="340" t="s">
        <v>289</v>
      </c>
      <c r="B157" s="341">
        <v>6</v>
      </c>
      <c r="C157" s="309">
        <v>46141</v>
      </c>
      <c r="D157" s="310" t="s">
        <v>302</v>
      </c>
      <c r="E157" s="342">
        <v>100</v>
      </c>
      <c r="F157" s="342"/>
      <c r="G157" s="344">
        <f t="shared" si="3"/>
        <v>3244.7499999999859</v>
      </c>
      <c r="H157" s="345"/>
      <c r="I157" s="346"/>
      <c r="J157" s="347"/>
      <c r="K157" s="312"/>
      <c r="L157" s="347"/>
      <c r="M157" s="312"/>
      <c r="N157" s="347"/>
      <c r="O157" s="312"/>
      <c r="P157" s="347"/>
      <c r="Q157" s="312"/>
      <c r="R157" s="347"/>
      <c r="S157" s="312"/>
      <c r="T157" s="347"/>
    </row>
    <row r="158" spans="1:20" ht="12" customHeight="1" x14ac:dyDescent="0.3">
      <c r="A158" s="340" t="s">
        <v>289</v>
      </c>
      <c r="B158" s="341">
        <v>6</v>
      </c>
      <c r="C158" s="309">
        <v>46141</v>
      </c>
      <c r="D158" s="310" t="s">
        <v>303</v>
      </c>
      <c r="E158" s="342">
        <v>75</v>
      </c>
      <c r="F158" s="342"/>
      <c r="G158" s="344">
        <f t="shared" si="3"/>
        <v>3344.7499999999859</v>
      </c>
      <c r="H158" s="345"/>
      <c r="I158" s="346"/>
      <c r="J158" s="347"/>
      <c r="K158" s="312"/>
      <c r="L158" s="347"/>
      <c r="M158" s="312"/>
      <c r="N158" s="347"/>
      <c r="O158" s="312"/>
      <c r="P158" s="347"/>
      <c r="Q158" s="312"/>
      <c r="R158" s="347"/>
      <c r="S158" s="312"/>
      <c r="T158" s="347"/>
    </row>
    <row r="159" spans="1:20" ht="12" customHeight="1" x14ac:dyDescent="0.3">
      <c r="A159" s="340" t="s">
        <v>289</v>
      </c>
      <c r="B159" s="341">
        <v>1</v>
      </c>
      <c r="C159" s="309">
        <v>46141</v>
      </c>
      <c r="D159" s="310" t="s">
        <v>304</v>
      </c>
      <c r="E159" s="342">
        <v>52.5</v>
      </c>
      <c r="F159" s="342"/>
      <c r="G159" s="344">
        <f t="shared" si="3"/>
        <v>3419.7499999999859</v>
      </c>
      <c r="H159" s="345"/>
      <c r="I159" s="346"/>
      <c r="J159" s="347"/>
      <c r="K159" s="312"/>
      <c r="L159" s="347"/>
      <c r="M159" s="312"/>
      <c r="N159" s="347"/>
      <c r="O159" s="312"/>
      <c r="P159" s="347"/>
      <c r="Q159" s="312"/>
      <c r="R159" s="347"/>
      <c r="S159" s="312"/>
      <c r="T159" s="347"/>
    </row>
    <row r="160" spans="1:20" ht="12" customHeight="1" x14ac:dyDescent="0.3">
      <c r="A160" s="340" t="s">
        <v>289</v>
      </c>
      <c r="B160" s="341">
        <v>6</v>
      </c>
      <c r="C160" s="309">
        <v>46141</v>
      </c>
      <c r="D160" s="310" t="s">
        <v>305</v>
      </c>
      <c r="E160" s="342">
        <v>-256</v>
      </c>
      <c r="F160" s="342"/>
      <c r="G160" s="344">
        <f t="shared" si="3"/>
        <v>3472.2499999999859</v>
      </c>
      <c r="H160" s="345"/>
      <c r="I160" s="346"/>
      <c r="J160" s="347"/>
      <c r="K160" s="312"/>
      <c r="L160" s="347"/>
      <c r="M160" s="312"/>
      <c r="N160" s="347"/>
      <c r="O160" s="312"/>
      <c r="P160" s="347"/>
      <c r="Q160" s="312"/>
      <c r="R160" s="347"/>
      <c r="S160" s="312"/>
      <c r="T160" s="347"/>
    </row>
    <row r="161" spans="1:20" ht="12" customHeight="1" x14ac:dyDescent="0.3">
      <c r="A161" s="340" t="s">
        <v>289</v>
      </c>
      <c r="B161" s="341">
        <v>6</v>
      </c>
      <c r="C161" s="309">
        <v>46140</v>
      </c>
      <c r="D161" s="310" t="s">
        <v>300</v>
      </c>
      <c r="E161" s="342">
        <v>20.38</v>
      </c>
      <c r="F161" s="342"/>
      <c r="G161" s="344">
        <f t="shared" si="3"/>
        <v>3216.2499999999859</v>
      </c>
      <c r="H161" s="345"/>
      <c r="I161" s="346"/>
      <c r="J161" s="347"/>
      <c r="K161" s="312"/>
      <c r="L161" s="347"/>
      <c r="M161" s="312"/>
      <c r="N161" s="347"/>
      <c r="O161" s="312"/>
      <c r="P161" s="347"/>
      <c r="Q161" s="312"/>
      <c r="R161" s="347"/>
      <c r="S161" s="312"/>
      <c r="T161" s="347"/>
    </row>
    <row r="162" spans="1:20" ht="12" customHeight="1" x14ac:dyDescent="0.3">
      <c r="A162" s="340" t="s">
        <v>289</v>
      </c>
      <c r="B162" s="341">
        <v>2</v>
      </c>
      <c r="C162" s="309">
        <v>46140</v>
      </c>
      <c r="D162" s="310" t="s">
        <v>296</v>
      </c>
      <c r="E162" s="342">
        <v>15.41</v>
      </c>
      <c r="F162" s="342"/>
      <c r="G162" s="344">
        <f t="shared" si="3"/>
        <v>3236.629999999986</v>
      </c>
      <c r="H162" s="345"/>
      <c r="I162" s="346"/>
      <c r="J162" s="347"/>
      <c r="K162" s="312"/>
      <c r="L162" s="347"/>
      <c r="M162" s="312"/>
      <c r="N162" s="347"/>
      <c r="O162" s="312"/>
      <c r="P162" s="347"/>
      <c r="Q162" s="312"/>
      <c r="R162" s="347"/>
      <c r="S162" s="312"/>
      <c r="T162" s="347"/>
    </row>
    <row r="163" spans="1:20" ht="12" customHeight="1" x14ac:dyDescent="0.3">
      <c r="A163" s="340" t="s">
        <v>289</v>
      </c>
      <c r="B163" s="341">
        <v>4</v>
      </c>
      <c r="C163" s="309">
        <v>46140</v>
      </c>
      <c r="D163" s="310" t="s">
        <v>296</v>
      </c>
      <c r="E163" s="342">
        <v>33.840000000000003</v>
      </c>
      <c r="F163" s="342"/>
      <c r="G163" s="344">
        <f t="shared" si="3"/>
        <v>3252.0399999999859</v>
      </c>
      <c r="H163" s="345"/>
      <c r="I163" s="346"/>
      <c r="J163" s="347"/>
      <c r="K163" s="312"/>
      <c r="L163" s="347"/>
      <c r="M163" s="312"/>
      <c r="N163" s="347"/>
      <c r="O163" s="312"/>
      <c r="P163" s="347"/>
      <c r="Q163" s="312"/>
      <c r="R163" s="347"/>
      <c r="S163" s="312"/>
      <c r="T163" s="347"/>
    </row>
    <row r="164" spans="1:20" ht="12" customHeight="1" x14ac:dyDescent="0.3">
      <c r="A164" s="340" t="s">
        <v>289</v>
      </c>
      <c r="B164" s="341">
        <v>1</v>
      </c>
      <c r="C164" s="309">
        <v>46140</v>
      </c>
      <c r="D164" s="310" t="s">
        <v>306</v>
      </c>
      <c r="E164" s="342">
        <v>5.3</v>
      </c>
      <c r="F164" s="342"/>
      <c r="G164" s="344">
        <f t="shared" si="3"/>
        <v>3285.879999999986</v>
      </c>
      <c r="H164" s="345"/>
      <c r="I164" s="346"/>
      <c r="J164" s="347"/>
      <c r="K164" s="312"/>
      <c r="L164" s="347"/>
      <c r="M164" s="312"/>
      <c r="N164" s="347"/>
      <c r="O164" s="312"/>
      <c r="P164" s="347"/>
      <c r="Q164" s="312"/>
      <c r="R164" s="347"/>
      <c r="S164" s="312"/>
      <c r="T164" s="347"/>
    </row>
    <row r="165" spans="1:20" ht="12" customHeight="1" x14ac:dyDescent="0.3">
      <c r="A165" s="340" t="s">
        <v>289</v>
      </c>
      <c r="B165" s="341">
        <v>5</v>
      </c>
      <c r="C165" s="309">
        <v>46140</v>
      </c>
      <c r="D165" s="310" t="s">
        <v>307</v>
      </c>
      <c r="E165" s="342">
        <v>500</v>
      </c>
      <c r="F165" s="342"/>
      <c r="G165" s="344">
        <f t="shared" si="3"/>
        <v>3291.1799999999862</v>
      </c>
      <c r="H165" s="345"/>
      <c r="I165" s="346"/>
      <c r="J165" s="347"/>
      <c r="K165" s="312"/>
      <c r="L165" s="347"/>
      <c r="M165" s="312"/>
      <c r="N165" s="347"/>
      <c r="O165" s="312"/>
      <c r="P165" s="347"/>
      <c r="Q165" s="312"/>
      <c r="R165" s="347"/>
      <c r="S165" s="312"/>
      <c r="T165" s="347"/>
    </row>
    <row r="166" spans="1:20" ht="12" customHeight="1" x14ac:dyDescent="0.3">
      <c r="A166" s="340" t="s">
        <v>289</v>
      </c>
      <c r="B166" s="341">
        <v>8</v>
      </c>
      <c r="C166" s="309">
        <v>46140</v>
      </c>
      <c r="D166" s="310" t="s">
        <v>308</v>
      </c>
      <c r="E166" s="342">
        <v>47.99</v>
      </c>
      <c r="F166" s="342"/>
      <c r="G166" s="344">
        <f t="shared" si="3"/>
        <v>3791.1799999999862</v>
      </c>
      <c r="H166" s="345"/>
      <c r="I166" s="346"/>
      <c r="J166" s="347"/>
      <c r="K166" s="312"/>
      <c r="L166" s="347"/>
      <c r="M166" s="312"/>
      <c r="N166" s="347"/>
      <c r="O166" s="312"/>
      <c r="P166" s="347"/>
      <c r="Q166" s="312"/>
      <c r="R166" s="347"/>
      <c r="S166" s="312"/>
      <c r="T166" s="347"/>
    </row>
    <row r="167" spans="1:20" ht="12" customHeight="1" x14ac:dyDescent="0.3">
      <c r="A167" s="340" t="s">
        <v>289</v>
      </c>
      <c r="B167" s="341">
        <v>3</v>
      </c>
      <c r="C167" s="309">
        <v>46139</v>
      </c>
      <c r="D167" s="310" t="s">
        <v>309</v>
      </c>
      <c r="E167" s="342">
        <v>13.11</v>
      </c>
      <c r="F167" s="342"/>
      <c r="G167" s="344">
        <f t="shared" si="3"/>
        <v>3839.169999999986</v>
      </c>
      <c r="H167" s="345"/>
      <c r="I167" s="346"/>
      <c r="J167" s="347"/>
      <c r="K167" s="312"/>
      <c r="L167" s="347"/>
      <c r="M167" s="312"/>
      <c r="N167" s="347"/>
      <c r="O167" s="312"/>
      <c r="P167" s="347"/>
      <c r="Q167" s="312"/>
      <c r="R167" s="347"/>
      <c r="S167" s="312"/>
      <c r="T167" s="347"/>
    </row>
    <row r="168" spans="1:20" ht="12" customHeight="1" x14ac:dyDescent="0.3">
      <c r="A168" s="340" t="s">
        <v>289</v>
      </c>
      <c r="B168" s="341">
        <v>4</v>
      </c>
      <c r="C168" s="309">
        <v>46139</v>
      </c>
      <c r="D168" s="310" t="s">
        <v>310</v>
      </c>
      <c r="E168" s="342">
        <v>30.54</v>
      </c>
      <c r="F168" s="342"/>
      <c r="G168" s="344">
        <f t="shared" si="3"/>
        <v>3852.2799999999861</v>
      </c>
      <c r="H168" s="345"/>
      <c r="I168" s="346"/>
      <c r="J168" s="347"/>
      <c r="K168" s="312"/>
      <c r="L168" s="347"/>
      <c r="M168" s="312"/>
      <c r="N168" s="347"/>
      <c r="O168" s="312"/>
      <c r="P168" s="347"/>
      <c r="Q168" s="312"/>
      <c r="R168" s="347"/>
      <c r="S168" s="312"/>
      <c r="T168" s="347"/>
    </row>
    <row r="169" spans="1:20" ht="12" customHeight="1" x14ac:dyDescent="0.3">
      <c r="A169" s="340" t="s">
        <v>289</v>
      </c>
      <c r="B169" s="341">
        <v>1</v>
      </c>
      <c r="C169" s="309">
        <v>46139</v>
      </c>
      <c r="D169" s="310" t="s">
        <v>311</v>
      </c>
      <c r="E169" s="342">
        <v>163.01</v>
      </c>
      <c r="F169" s="342"/>
      <c r="G169" s="344">
        <f t="shared" si="3"/>
        <v>3882.8199999999861</v>
      </c>
      <c r="H169" s="345"/>
      <c r="I169" s="346"/>
      <c r="J169" s="347"/>
      <c r="K169" s="312"/>
      <c r="L169" s="347"/>
      <c r="M169" s="312"/>
      <c r="N169" s="347"/>
      <c r="O169" s="312"/>
      <c r="P169" s="347"/>
      <c r="Q169" s="312"/>
      <c r="R169" s="347"/>
      <c r="S169" s="312"/>
      <c r="T169" s="347"/>
    </row>
    <row r="170" spans="1:20" ht="12" customHeight="1" x14ac:dyDescent="0.3">
      <c r="A170" s="340" t="s">
        <v>289</v>
      </c>
      <c r="B170" s="341">
        <v>6</v>
      </c>
      <c r="C170" s="309">
        <v>46139</v>
      </c>
      <c r="D170" s="310" t="s">
        <v>312</v>
      </c>
      <c r="E170" s="342">
        <v>54.97</v>
      </c>
      <c r="F170" s="342"/>
      <c r="G170" s="344">
        <f t="shared" si="3"/>
        <v>4045.8299999999858</v>
      </c>
      <c r="H170" s="345"/>
      <c r="I170" s="346"/>
      <c r="J170" s="347"/>
      <c r="K170" s="312"/>
      <c r="L170" s="347"/>
      <c r="M170" s="312"/>
      <c r="N170" s="347"/>
      <c r="O170" s="312"/>
      <c r="P170" s="347"/>
      <c r="Q170" s="312"/>
      <c r="R170" s="347"/>
      <c r="S170" s="312"/>
      <c r="T170" s="347"/>
    </row>
    <row r="171" spans="1:20" ht="12" customHeight="1" x14ac:dyDescent="0.3">
      <c r="A171" s="340" t="s">
        <v>289</v>
      </c>
      <c r="B171" s="341">
        <v>1</v>
      </c>
      <c r="C171" s="309">
        <v>46139</v>
      </c>
      <c r="D171" s="310" t="s">
        <v>306</v>
      </c>
      <c r="E171" s="342">
        <v>51.28</v>
      </c>
      <c r="F171" s="342"/>
      <c r="G171" s="344">
        <f t="shared" si="3"/>
        <v>4100.7999999999856</v>
      </c>
      <c r="H171" s="345"/>
      <c r="I171" s="346"/>
      <c r="J171" s="347"/>
      <c r="K171" s="312"/>
      <c r="L171" s="347"/>
      <c r="M171" s="312"/>
      <c r="N171" s="347"/>
      <c r="O171" s="312"/>
      <c r="P171" s="347"/>
      <c r="Q171" s="312"/>
      <c r="R171" s="347"/>
      <c r="S171" s="312"/>
      <c r="T171" s="347"/>
    </row>
    <row r="172" spans="1:20" ht="12" customHeight="1" x14ac:dyDescent="0.3">
      <c r="A172" s="340" t="s">
        <v>289</v>
      </c>
      <c r="B172" s="341">
        <v>6</v>
      </c>
      <c r="C172" s="309">
        <v>46138</v>
      </c>
      <c r="D172" s="310" t="s">
        <v>312</v>
      </c>
      <c r="E172" s="342">
        <v>38.979999999999997</v>
      </c>
      <c r="F172" s="342"/>
      <c r="G172" s="344">
        <f t="shared" si="3"/>
        <v>4152.0799999999854</v>
      </c>
      <c r="H172" s="345"/>
      <c r="I172" s="346"/>
      <c r="J172" s="347"/>
      <c r="K172" s="312"/>
      <c r="L172" s="347"/>
      <c r="M172" s="312"/>
      <c r="N172" s="347"/>
      <c r="O172" s="312"/>
      <c r="P172" s="347"/>
      <c r="Q172" s="312"/>
      <c r="R172" s="347"/>
      <c r="S172" s="312"/>
      <c r="T172" s="347"/>
    </row>
    <row r="173" spans="1:20" ht="12" customHeight="1" x14ac:dyDescent="0.3">
      <c r="A173" s="340" t="s">
        <v>289</v>
      </c>
      <c r="B173" s="341">
        <v>2</v>
      </c>
      <c r="C173" s="309">
        <v>46138</v>
      </c>
      <c r="D173" s="310" t="s">
        <v>313</v>
      </c>
      <c r="E173" s="342">
        <v>39.83</v>
      </c>
      <c r="F173" s="342"/>
      <c r="G173" s="344">
        <f t="shared" si="3"/>
        <v>4191.0599999999849</v>
      </c>
      <c r="H173" s="345"/>
      <c r="I173" s="346"/>
      <c r="J173" s="347"/>
      <c r="K173" s="312"/>
      <c r="L173" s="347"/>
      <c r="M173" s="312"/>
      <c r="N173" s="347"/>
      <c r="O173" s="312"/>
      <c r="P173" s="347"/>
      <c r="Q173" s="312"/>
      <c r="R173" s="347"/>
      <c r="S173" s="312"/>
      <c r="T173" s="347"/>
    </row>
    <row r="174" spans="1:20" ht="12" customHeight="1" x14ac:dyDescent="0.3">
      <c r="A174" s="340" t="s">
        <v>289</v>
      </c>
      <c r="B174" s="341">
        <v>8</v>
      </c>
      <c r="C174" s="309">
        <v>46138</v>
      </c>
      <c r="D174" s="310" t="s">
        <v>313</v>
      </c>
      <c r="E174" s="342">
        <v>51.24</v>
      </c>
      <c r="F174" s="342"/>
      <c r="G174" s="344">
        <f t="shared" si="3"/>
        <v>4230.8899999999849</v>
      </c>
      <c r="H174" s="345"/>
      <c r="I174" s="346"/>
      <c r="J174" s="347"/>
      <c r="K174" s="312"/>
      <c r="L174" s="347"/>
      <c r="M174" s="312"/>
      <c r="N174" s="347"/>
      <c r="O174" s="312"/>
      <c r="P174" s="347"/>
      <c r="Q174" s="312"/>
      <c r="R174" s="347"/>
      <c r="S174" s="312"/>
      <c r="T174" s="347"/>
    </row>
    <row r="175" spans="1:20" ht="12" customHeight="1" x14ac:dyDescent="0.3">
      <c r="A175" s="340" t="s">
        <v>294</v>
      </c>
      <c r="B175" s="341">
        <v>12</v>
      </c>
      <c r="C175" s="309">
        <v>46137</v>
      </c>
      <c r="D175" s="310" t="s">
        <v>314</v>
      </c>
      <c r="E175" s="342">
        <v>214.74</v>
      </c>
      <c r="F175" s="342"/>
      <c r="G175" s="344">
        <f t="shared" si="3"/>
        <v>4282.1299999999846</v>
      </c>
      <c r="H175" s="345"/>
      <c r="I175" s="346"/>
      <c r="J175" s="347"/>
      <c r="K175" s="312"/>
      <c r="L175" s="347"/>
      <c r="M175" s="312"/>
      <c r="N175" s="347"/>
      <c r="O175" s="312"/>
      <c r="P175" s="347"/>
      <c r="Q175" s="312"/>
      <c r="R175" s="347"/>
      <c r="S175" s="312"/>
      <c r="T175" s="347"/>
    </row>
    <row r="176" spans="1:20" ht="12" customHeight="1" x14ac:dyDescent="0.3">
      <c r="A176" s="340" t="s">
        <v>287</v>
      </c>
      <c r="B176" s="341" t="s">
        <v>287</v>
      </c>
      <c r="C176" s="309">
        <v>46136</v>
      </c>
      <c r="D176" s="310" t="s">
        <v>315</v>
      </c>
      <c r="E176" s="342">
        <v>127.68</v>
      </c>
      <c r="F176" s="342">
        <v>127.68</v>
      </c>
      <c r="G176" s="344">
        <f t="shared" si="3"/>
        <v>4496.8699999999844</v>
      </c>
      <c r="H176" s="345"/>
      <c r="I176" s="346"/>
      <c r="J176" s="347"/>
      <c r="K176" s="312"/>
      <c r="L176" s="347"/>
      <c r="M176" s="312"/>
      <c r="N176" s="347"/>
      <c r="O176" s="312"/>
      <c r="P176" s="347"/>
      <c r="Q176" s="312"/>
      <c r="R176" s="347"/>
      <c r="S176" s="312"/>
      <c r="T176" s="347"/>
    </row>
    <row r="177" spans="1:20" ht="12" customHeight="1" x14ac:dyDescent="0.3">
      <c r="A177" s="340" t="s">
        <v>289</v>
      </c>
      <c r="B177" s="341">
        <v>8</v>
      </c>
      <c r="C177" s="309">
        <v>46135</v>
      </c>
      <c r="D177" s="310" t="s">
        <v>864</v>
      </c>
      <c r="E177" s="342">
        <v>65</v>
      </c>
      <c r="F177" s="342"/>
      <c r="G177" s="344">
        <f t="shared" si="3"/>
        <v>4496.8699999999844</v>
      </c>
      <c r="H177" s="345"/>
      <c r="I177" s="346"/>
      <c r="J177" s="347"/>
      <c r="K177" s="312"/>
      <c r="L177" s="347"/>
      <c r="M177" s="312"/>
      <c r="N177" s="347"/>
      <c r="O177" s="312"/>
      <c r="P177" s="347"/>
      <c r="Q177" s="312"/>
      <c r="R177" s="347"/>
      <c r="S177" s="312"/>
      <c r="T177" s="347"/>
    </row>
    <row r="178" spans="1:20" ht="12" customHeight="1" x14ac:dyDescent="0.3">
      <c r="A178" s="340" t="s">
        <v>291</v>
      </c>
      <c r="B178" s="341">
        <v>40</v>
      </c>
      <c r="C178" s="309">
        <v>46134</v>
      </c>
      <c r="D178" s="310" t="s">
        <v>316</v>
      </c>
      <c r="E178" s="342"/>
      <c r="F178" s="342">
        <v>838.69</v>
      </c>
      <c r="G178" s="344">
        <f t="shared" si="3"/>
        <v>4561.8699999999844</v>
      </c>
      <c r="H178" s="345"/>
      <c r="I178" s="346"/>
      <c r="J178" s="347"/>
      <c r="K178" s="312"/>
      <c r="L178" s="347"/>
      <c r="M178" s="312"/>
      <c r="N178" s="347"/>
      <c r="O178" s="312"/>
      <c r="P178" s="347"/>
      <c r="Q178" s="312"/>
      <c r="R178" s="347"/>
      <c r="S178" s="312"/>
      <c r="T178" s="347"/>
    </row>
    <row r="179" spans="1:20" ht="12" customHeight="1" x14ac:dyDescent="0.3">
      <c r="A179" s="340" t="s">
        <v>289</v>
      </c>
      <c r="B179" s="341">
        <v>2</v>
      </c>
      <c r="C179" s="309">
        <v>46134</v>
      </c>
      <c r="D179" s="310" t="s">
        <v>317</v>
      </c>
      <c r="E179" s="342">
        <v>17.03</v>
      </c>
      <c r="F179" s="342"/>
      <c r="G179" s="344">
        <f t="shared" si="3"/>
        <v>3723.1799999999848</v>
      </c>
      <c r="H179" s="345"/>
      <c r="I179" s="346"/>
      <c r="J179" s="347"/>
      <c r="K179" s="312"/>
      <c r="L179" s="347"/>
      <c r="M179" s="312"/>
      <c r="N179" s="347"/>
      <c r="O179" s="312"/>
      <c r="P179" s="347"/>
      <c r="Q179" s="312"/>
      <c r="R179" s="347"/>
      <c r="S179" s="312"/>
      <c r="T179" s="347"/>
    </row>
    <row r="180" spans="1:20" ht="12" customHeight="1" x14ac:dyDescent="0.3">
      <c r="A180" s="340" t="s">
        <v>289</v>
      </c>
      <c r="B180" s="341">
        <v>6</v>
      </c>
      <c r="C180" s="309">
        <v>46134</v>
      </c>
      <c r="D180" s="310" t="s">
        <v>312</v>
      </c>
      <c r="E180" s="342">
        <v>51.94</v>
      </c>
      <c r="F180" s="342"/>
      <c r="G180" s="344">
        <f t="shared" si="3"/>
        <v>3740.209999999985</v>
      </c>
      <c r="H180" s="345"/>
      <c r="I180" s="346"/>
      <c r="J180" s="347"/>
      <c r="K180" s="312"/>
      <c r="L180" s="347"/>
      <c r="M180" s="312"/>
      <c r="N180" s="347"/>
      <c r="O180" s="312"/>
      <c r="P180" s="347"/>
      <c r="Q180" s="312"/>
      <c r="R180" s="347"/>
      <c r="S180" s="312"/>
      <c r="T180" s="347"/>
    </row>
    <row r="181" spans="1:20" ht="12" customHeight="1" x14ac:dyDescent="0.3">
      <c r="A181" s="340" t="s">
        <v>289</v>
      </c>
      <c r="B181" s="341">
        <v>1</v>
      </c>
      <c r="C181" s="309">
        <v>46134</v>
      </c>
      <c r="D181" s="310" t="s">
        <v>306</v>
      </c>
      <c r="E181" s="342">
        <v>226.7</v>
      </c>
      <c r="F181" s="342"/>
      <c r="G181" s="344">
        <f t="shared" si="3"/>
        <v>3792.1499999999851</v>
      </c>
      <c r="H181" s="345"/>
      <c r="I181" s="346"/>
      <c r="J181" s="347"/>
      <c r="K181" s="312"/>
      <c r="L181" s="347"/>
      <c r="M181" s="312"/>
      <c r="N181" s="347"/>
      <c r="O181" s="312"/>
      <c r="P181" s="347"/>
      <c r="Q181" s="312"/>
      <c r="R181" s="347"/>
      <c r="S181" s="312"/>
      <c r="T181" s="347"/>
    </row>
    <row r="182" spans="1:20" ht="12" customHeight="1" x14ac:dyDescent="0.3">
      <c r="A182" s="340" t="s">
        <v>289</v>
      </c>
      <c r="B182" s="341">
        <v>2</v>
      </c>
      <c r="C182" s="309">
        <v>46133</v>
      </c>
      <c r="D182" s="310" t="s">
        <v>318</v>
      </c>
      <c r="E182" s="342">
        <v>70</v>
      </c>
      <c r="F182" s="342"/>
      <c r="G182" s="344">
        <f t="shared" si="3"/>
        <v>4018.8499999999849</v>
      </c>
      <c r="H182" s="345"/>
      <c r="I182" s="346"/>
      <c r="J182" s="347"/>
      <c r="K182" s="312"/>
      <c r="L182" s="347"/>
      <c r="M182" s="312"/>
      <c r="N182" s="347"/>
      <c r="O182" s="312"/>
      <c r="P182" s="347"/>
      <c r="Q182" s="312"/>
      <c r="R182" s="347"/>
      <c r="S182" s="312"/>
      <c r="T182" s="347"/>
    </row>
    <row r="183" spans="1:20" ht="12" customHeight="1" x14ac:dyDescent="0.3">
      <c r="A183" s="340" t="s">
        <v>289</v>
      </c>
      <c r="B183" s="341">
        <v>8</v>
      </c>
      <c r="C183" s="309">
        <v>46133</v>
      </c>
      <c r="D183" s="310" t="s">
        <v>319</v>
      </c>
      <c r="E183" s="342">
        <v>14.26</v>
      </c>
      <c r="F183" s="342"/>
      <c r="G183" s="344">
        <f t="shared" si="3"/>
        <v>4088.8499999999849</v>
      </c>
      <c r="H183" s="345"/>
      <c r="I183" s="346"/>
      <c r="J183" s="347"/>
      <c r="K183" s="312"/>
      <c r="L183" s="347"/>
      <c r="M183" s="312"/>
      <c r="N183" s="347"/>
      <c r="O183" s="312"/>
      <c r="P183" s="347"/>
      <c r="Q183" s="312"/>
      <c r="R183" s="347"/>
      <c r="S183" s="312"/>
      <c r="T183" s="347"/>
    </row>
    <row r="184" spans="1:20" ht="12" customHeight="1" x14ac:dyDescent="0.3">
      <c r="A184" s="340" t="s">
        <v>289</v>
      </c>
      <c r="B184" s="341">
        <v>1</v>
      </c>
      <c r="C184" s="309">
        <v>46133</v>
      </c>
      <c r="D184" s="310" t="s">
        <v>320</v>
      </c>
      <c r="E184" s="342">
        <v>8.51</v>
      </c>
      <c r="F184" s="342"/>
      <c r="G184" s="344">
        <f t="shared" si="3"/>
        <v>4103.1099999999851</v>
      </c>
      <c r="H184" s="345"/>
      <c r="I184" s="346"/>
      <c r="J184" s="347"/>
      <c r="K184" s="312"/>
      <c r="L184" s="347"/>
      <c r="M184" s="312"/>
      <c r="N184" s="347"/>
      <c r="O184" s="312"/>
      <c r="P184" s="347"/>
      <c r="Q184" s="312"/>
      <c r="R184" s="347"/>
      <c r="S184" s="312"/>
      <c r="T184" s="347"/>
    </row>
    <row r="185" spans="1:20" ht="12" customHeight="1" x14ac:dyDescent="0.3">
      <c r="A185" s="340" t="s">
        <v>289</v>
      </c>
      <c r="B185" s="341">
        <v>5</v>
      </c>
      <c r="C185" s="309">
        <v>46133</v>
      </c>
      <c r="D185" s="310" t="s">
        <v>321</v>
      </c>
      <c r="E185" s="342">
        <v>20</v>
      </c>
      <c r="F185" s="342"/>
      <c r="G185" s="344">
        <f t="shared" si="3"/>
        <v>4111.6199999999853</v>
      </c>
      <c r="H185" s="345"/>
      <c r="I185" s="346"/>
      <c r="J185" s="347"/>
      <c r="K185" s="312"/>
      <c r="L185" s="347"/>
      <c r="M185" s="312"/>
      <c r="N185" s="347"/>
      <c r="O185" s="312"/>
      <c r="P185" s="347"/>
      <c r="Q185" s="312"/>
      <c r="R185" s="347"/>
      <c r="S185" s="312"/>
      <c r="T185" s="347"/>
    </row>
    <row r="186" spans="1:20" ht="12" customHeight="1" x14ac:dyDescent="0.3">
      <c r="A186" s="340" t="s">
        <v>294</v>
      </c>
      <c r="B186" s="341">
        <v>23</v>
      </c>
      <c r="C186" s="309">
        <v>46133</v>
      </c>
      <c r="D186" s="310" t="s">
        <v>67</v>
      </c>
      <c r="E186" s="342">
        <v>650.88</v>
      </c>
      <c r="F186" s="342"/>
      <c r="G186" s="344">
        <f t="shared" si="3"/>
        <v>4131.6199999999853</v>
      </c>
      <c r="H186" s="345"/>
      <c r="I186" s="346"/>
      <c r="J186" s="347"/>
      <c r="K186" s="312"/>
      <c r="L186" s="347"/>
      <c r="M186" s="312"/>
      <c r="N186" s="347"/>
      <c r="O186" s="312"/>
      <c r="P186" s="347"/>
      <c r="Q186" s="312"/>
      <c r="R186" s="347"/>
      <c r="S186" s="312"/>
      <c r="T186" s="347"/>
    </row>
    <row r="187" spans="1:20" ht="12" customHeight="1" x14ac:dyDescent="0.3">
      <c r="A187" s="340" t="s">
        <v>289</v>
      </c>
      <c r="B187" s="341">
        <v>6</v>
      </c>
      <c r="C187" s="309">
        <v>46133</v>
      </c>
      <c r="D187" s="310" t="s">
        <v>322</v>
      </c>
      <c r="E187" s="342">
        <v>15</v>
      </c>
      <c r="F187" s="342"/>
      <c r="G187" s="344">
        <f t="shared" si="3"/>
        <v>4782.4999999999854</v>
      </c>
      <c r="H187" s="345"/>
      <c r="I187" s="346"/>
      <c r="J187" s="347"/>
      <c r="K187" s="312"/>
      <c r="L187" s="347"/>
      <c r="M187" s="312"/>
      <c r="N187" s="347"/>
      <c r="O187" s="312"/>
      <c r="P187" s="347"/>
      <c r="Q187" s="312"/>
      <c r="R187" s="347"/>
      <c r="S187" s="312"/>
      <c r="T187" s="347"/>
    </row>
    <row r="188" spans="1:20" ht="12" customHeight="1" x14ac:dyDescent="0.3">
      <c r="A188" s="340" t="s">
        <v>289</v>
      </c>
      <c r="B188" s="341">
        <v>5</v>
      </c>
      <c r="C188" s="309">
        <v>46133</v>
      </c>
      <c r="D188" s="310" t="s">
        <v>322</v>
      </c>
      <c r="E188" s="342">
        <v>250</v>
      </c>
      <c r="F188" s="342"/>
      <c r="G188" s="344">
        <f t="shared" si="3"/>
        <v>4797.4999999999854</v>
      </c>
      <c r="H188" s="345"/>
      <c r="I188" s="346"/>
      <c r="J188" s="347"/>
      <c r="K188" s="312"/>
      <c r="L188" s="347"/>
      <c r="M188" s="312"/>
      <c r="N188" s="347"/>
      <c r="O188" s="312"/>
      <c r="P188" s="347"/>
      <c r="Q188" s="312"/>
      <c r="R188" s="347"/>
      <c r="S188" s="312"/>
      <c r="T188" s="347"/>
    </row>
    <row r="189" spans="1:20" ht="12" customHeight="1" x14ac:dyDescent="0.3">
      <c r="A189" s="340" t="s">
        <v>294</v>
      </c>
      <c r="B189" s="341">
        <v>22</v>
      </c>
      <c r="C189" s="309">
        <v>46132</v>
      </c>
      <c r="D189" s="310" t="s">
        <v>323</v>
      </c>
      <c r="E189" s="342">
        <v>20.22</v>
      </c>
      <c r="F189" s="342"/>
      <c r="G189" s="344">
        <f t="shared" si="3"/>
        <v>5047.4999999999854</v>
      </c>
      <c r="H189" s="345"/>
      <c r="I189" s="346"/>
      <c r="J189" s="347"/>
      <c r="K189" s="312"/>
      <c r="L189" s="347"/>
      <c r="M189" s="312"/>
      <c r="N189" s="347"/>
      <c r="O189" s="312"/>
      <c r="P189" s="347"/>
      <c r="Q189" s="312"/>
      <c r="R189" s="347"/>
      <c r="S189" s="312"/>
      <c r="T189" s="347"/>
    </row>
    <row r="190" spans="1:20" ht="12" customHeight="1" x14ac:dyDescent="0.3">
      <c r="A190" s="340" t="s">
        <v>289</v>
      </c>
      <c r="B190" s="341">
        <v>6</v>
      </c>
      <c r="C190" s="309">
        <v>46132</v>
      </c>
      <c r="D190" s="310" t="s">
        <v>403</v>
      </c>
      <c r="E190" s="342">
        <v>44</v>
      </c>
      <c r="F190" s="342"/>
      <c r="G190" s="344">
        <f t="shared" si="3"/>
        <v>5067.7199999999857</v>
      </c>
      <c r="H190" s="345"/>
      <c r="I190" s="346"/>
      <c r="J190" s="347"/>
      <c r="K190" s="312"/>
      <c r="L190" s="347"/>
      <c r="M190" s="312"/>
      <c r="N190" s="347"/>
      <c r="O190" s="312"/>
      <c r="P190" s="347"/>
      <c r="Q190" s="312"/>
      <c r="R190" s="347"/>
      <c r="S190" s="312"/>
      <c r="T190" s="347"/>
    </row>
    <row r="191" spans="1:20" ht="12" customHeight="1" x14ac:dyDescent="0.3">
      <c r="A191" s="340" t="s">
        <v>289</v>
      </c>
      <c r="B191" s="341">
        <v>2</v>
      </c>
      <c r="C191" s="309">
        <v>46132</v>
      </c>
      <c r="D191" s="310" t="s">
        <v>324</v>
      </c>
      <c r="E191" s="342">
        <v>12.01</v>
      </c>
      <c r="F191" s="342"/>
      <c r="G191" s="344">
        <f t="shared" si="3"/>
        <v>5111.7199999999857</v>
      </c>
      <c r="H191" s="345"/>
      <c r="I191" s="346"/>
      <c r="J191" s="347"/>
      <c r="K191" s="312"/>
      <c r="L191" s="347"/>
      <c r="M191" s="312"/>
      <c r="N191" s="347"/>
      <c r="O191" s="312"/>
      <c r="P191" s="347"/>
      <c r="Q191" s="312"/>
      <c r="R191" s="347"/>
      <c r="S191" s="312"/>
      <c r="T191" s="347"/>
    </row>
    <row r="192" spans="1:20" ht="12" customHeight="1" x14ac:dyDescent="0.3">
      <c r="A192" s="340" t="s">
        <v>289</v>
      </c>
      <c r="B192" s="341">
        <v>2</v>
      </c>
      <c r="C192" s="309">
        <v>46132</v>
      </c>
      <c r="D192" s="310" t="s">
        <v>296</v>
      </c>
      <c r="E192" s="342">
        <v>12.21</v>
      </c>
      <c r="F192" s="342"/>
      <c r="G192" s="344">
        <f t="shared" si="3"/>
        <v>5123.7299999999859</v>
      </c>
      <c r="H192" s="345"/>
      <c r="I192" s="346"/>
      <c r="J192" s="347"/>
      <c r="K192" s="312"/>
      <c r="L192" s="347"/>
      <c r="M192" s="312"/>
      <c r="N192" s="347"/>
      <c r="O192" s="312"/>
      <c r="P192" s="347"/>
      <c r="Q192" s="312"/>
      <c r="R192" s="347"/>
      <c r="S192" s="312"/>
      <c r="T192" s="347"/>
    </row>
    <row r="193" spans="1:20" ht="12" customHeight="1" x14ac:dyDescent="0.3">
      <c r="A193" s="340" t="s">
        <v>289</v>
      </c>
      <c r="B193" s="341">
        <v>2</v>
      </c>
      <c r="C193" s="309">
        <v>46132</v>
      </c>
      <c r="D193" s="310" t="s">
        <v>325</v>
      </c>
      <c r="E193" s="342">
        <v>46.4</v>
      </c>
      <c r="F193" s="342"/>
      <c r="G193" s="344">
        <f t="shared" si="3"/>
        <v>5135.939999999986</v>
      </c>
      <c r="H193" s="345"/>
      <c r="I193" s="346"/>
      <c r="J193" s="347"/>
      <c r="K193" s="312"/>
      <c r="L193" s="347"/>
      <c r="M193" s="312"/>
      <c r="N193" s="347"/>
      <c r="O193" s="312"/>
      <c r="P193" s="347"/>
      <c r="Q193" s="312"/>
      <c r="R193" s="347"/>
      <c r="S193" s="312"/>
      <c r="T193" s="347"/>
    </row>
    <row r="194" spans="1:20" ht="12" customHeight="1" x14ac:dyDescent="0.3">
      <c r="A194" s="340" t="s">
        <v>289</v>
      </c>
      <c r="B194" s="341">
        <v>2</v>
      </c>
      <c r="C194" s="309">
        <v>46131</v>
      </c>
      <c r="D194" s="310" t="s">
        <v>326</v>
      </c>
      <c r="E194" s="342">
        <v>31.7</v>
      </c>
      <c r="F194" s="342"/>
      <c r="G194" s="344">
        <f t="shared" si="3"/>
        <v>5182.3399999999856</v>
      </c>
      <c r="H194" s="345"/>
      <c r="I194" s="346"/>
      <c r="J194" s="347"/>
      <c r="K194" s="312"/>
      <c r="L194" s="347"/>
      <c r="M194" s="312"/>
      <c r="N194" s="347"/>
      <c r="O194" s="312"/>
      <c r="P194" s="347"/>
      <c r="Q194" s="312"/>
      <c r="R194" s="347"/>
      <c r="S194" s="312"/>
      <c r="T194" s="347"/>
    </row>
    <row r="195" spans="1:20" ht="12" customHeight="1" x14ac:dyDescent="0.3">
      <c r="A195" s="340" t="s">
        <v>289</v>
      </c>
      <c r="B195" s="341">
        <v>8</v>
      </c>
      <c r="C195" s="309">
        <v>46131</v>
      </c>
      <c r="D195" s="310" t="s">
        <v>327</v>
      </c>
      <c r="E195" s="342">
        <v>11.11</v>
      </c>
      <c r="F195" s="342"/>
      <c r="G195" s="344">
        <f t="shared" si="3"/>
        <v>5214.0399999999854</v>
      </c>
      <c r="H195" s="345"/>
      <c r="I195" s="346"/>
      <c r="J195" s="347"/>
      <c r="K195" s="312"/>
      <c r="L195" s="347"/>
      <c r="M195" s="312"/>
      <c r="N195" s="347"/>
      <c r="O195" s="312"/>
      <c r="P195" s="347"/>
      <c r="Q195" s="312"/>
      <c r="R195" s="347"/>
      <c r="S195" s="312"/>
      <c r="T195" s="347"/>
    </row>
    <row r="196" spans="1:20" ht="12" customHeight="1" x14ac:dyDescent="0.3">
      <c r="A196" s="340" t="s">
        <v>289</v>
      </c>
      <c r="B196" s="341">
        <v>1</v>
      </c>
      <c r="C196" s="309">
        <v>46131</v>
      </c>
      <c r="D196" s="310" t="s">
        <v>306</v>
      </c>
      <c r="E196" s="342">
        <v>79.16</v>
      </c>
      <c r="F196" s="342"/>
      <c r="G196" s="344">
        <f t="shared" si="3"/>
        <v>5225.1499999999851</v>
      </c>
      <c r="H196" s="345"/>
      <c r="I196" s="346"/>
      <c r="J196" s="347"/>
      <c r="K196" s="312"/>
      <c r="L196" s="347"/>
      <c r="M196" s="312"/>
      <c r="N196" s="347"/>
      <c r="O196" s="312"/>
      <c r="P196" s="347"/>
      <c r="Q196" s="312"/>
      <c r="R196" s="347"/>
      <c r="S196" s="312"/>
      <c r="T196" s="347"/>
    </row>
    <row r="197" spans="1:20" ht="12" customHeight="1" x14ac:dyDescent="0.3">
      <c r="A197" s="340" t="s">
        <v>294</v>
      </c>
      <c r="B197" s="341">
        <v>22</v>
      </c>
      <c r="C197" s="309">
        <v>46131</v>
      </c>
      <c r="D197" s="310" t="s">
        <v>328</v>
      </c>
      <c r="E197" s="342">
        <v>7.46</v>
      </c>
      <c r="F197" s="342"/>
      <c r="G197" s="344">
        <f t="shared" si="3"/>
        <v>5304.3099999999849</v>
      </c>
      <c r="H197" s="345"/>
      <c r="I197" s="346"/>
      <c r="J197" s="347"/>
      <c r="K197" s="312"/>
      <c r="L197" s="347"/>
      <c r="M197" s="312"/>
      <c r="N197" s="347"/>
      <c r="O197" s="312"/>
      <c r="P197" s="347"/>
      <c r="Q197" s="312"/>
      <c r="R197" s="347"/>
      <c r="S197" s="312"/>
      <c r="T197" s="347"/>
    </row>
    <row r="198" spans="1:20" ht="12" customHeight="1" x14ac:dyDescent="0.3">
      <c r="A198" s="340" t="s">
        <v>289</v>
      </c>
      <c r="B198" s="341">
        <v>6</v>
      </c>
      <c r="C198" s="309">
        <v>46131</v>
      </c>
      <c r="D198" s="310" t="s">
        <v>300</v>
      </c>
      <c r="E198" s="342">
        <v>13.83</v>
      </c>
      <c r="F198" s="342"/>
      <c r="G198" s="344">
        <f t="shared" si="3"/>
        <v>5311.769999999985</v>
      </c>
      <c r="H198" s="345"/>
      <c r="I198" s="346"/>
      <c r="J198" s="347"/>
      <c r="K198" s="312"/>
      <c r="L198" s="347"/>
      <c r="M198" s="312"/>
      <c r="N198" s="347"/>
      <c r="O198" s="312"/>
      <c r="P198" s="347"/>
      <c r="Q198" s="312"/>
      <c r="R198" s="347"/>
      <c r="S198" s="312"/>
      <c r="T198" s="347"/>
    </row>
    <row r="199" spans="1:20" ht="12" customHeight="1" x14ac:dyDescent="0.3">
      <c r="A199" s="340" t="s">
        <v>289</v>
      </c>
      <c r="B199" s="341">
        <v>6</v>
      </c>
      <c r="C199" s="309">
        <v>46131</v>
      </c>
      <c r="D199" s="310" t="s">
        <v>300</v>
      </c>
      <c r="E199" s="342">
        <v>30</v>
      </c>
      <c r="F199" s="342"/>
      <c r="G199" s="344">
        <f t="shared" si="3"/>
        <v>5325.5999999999849</v>
      </c>
      <c r="H199" s="345"/>
      <c r="I199" s="346"/>
      <c r="J199" s="347"/>
      <c r="K199" s="312"/>
      <c r="L199" s="347"/>
      <c r="M199" s="312"/>
      <c r="N199" s="347"/>
      <c r="O199" s="312"/>
      <c r="P199" s="347"/>
      <c r="Q199" s="312"/>
      <c r="R199" s="347"/>
      <c r="S199" s="312"/>
      <c r="T199" s="347"/>
    </row>
    <row r="200" spans="1:20" ht="12" customHeight="1" x14ac:dyDescent="0.3">
      <c r="A200" s="340" t="s">
        <v>289</v>
      </c>
      <c r="B200" s="341">
        <v>6</v>
      </c>
      <c r="C200" s="309">
        <v>46131</v>
      </c>
      <c r="D200" s="310" t="s">
        <v>300</v>
      </c>
      <c r="E200" s="342">
        <v>15.17</v>
      </c>
      <c r="F200" s="342"/>
      <c r="G200" s="344">
        <f t="shared" si="3"/>
        <v>5355.5999999999849</v>
      </c>
      <c r="H200" s="345"/>
      <c r="I200" s="346"/>
      <c r="J200" s="347"/>
      <c r="K200" s="312"/>
      <c r="L200" s="347"/>
      <c r="M200" s="312"/>
      <c r="N200" s="347"/>
      <c r="O200" s="312"/>
      <c r="P200" s="347"/>
      <c r="Q200" s="312"/>
      <c r="R200" s="347"/>
      <c r="S200" s="312"/>
      <c r="T200" s="347"/>
    </row>
    <row r="201" spans="1:20" ht="12" customHeight="1" x14ac:dyDescent="0.3">
      <c r="A201" s="340" t="s">
        <v>289</v>
      </c>
      <c r="B201" s="341">
        <v>1</v>
      </c>
      <c r="C201" s="309">
        <v>46130</v>
      </c>
      <c r="D201" s="310" t="s">
        <v>329</v>
      </c>
      <c r="E201" s="342">
        <v>75.55</v>
      </c>
      <c r="F201" s="342"/>
      <c r="G201" s="344">
        <f t="shared" si="3"/>
        <v>5370.769999999985</v>
      </c>
      <c r="H201" s="345"/>
      <c r="I201" s="346"/>
      <c r="J201" s="347"/>
      <c r="K201" s="312"/>
      <c r="L201" s="347"/>
      <c r="M201" s="312"/>
      <c r="N201" s="347"/>
      <c r="O201" s="312"/>
      <c r="P201" s="347"/>
      <c r="Q201" s="312"/>
      <c r="R201" s="347"/>
      <c r="S201" s="312"/>
      <c r="T201" s="347"/>
    </row>
    <row r="202" spans="1:20" ht="12" customHeight="1" x14ac:dyDescent="0.3">
      <c r="A202" s="340" t="s">
        <v>289</v>
      </c>
      <c r="B202" s="341">
        <v>2</v>
      </c>
      <c r="C202" s="309">
        <v>46130</v>
      </c>
      <c r="D202" s="310" t="s">
        <v>330</v>
      </c>
      <c r="E202" s="342">
        <v>26</v>
      </c>
      <c r="F202" s="342"/>
      <c r="G202" s="344">
        <f t="shared" si="3"/>
        <v>5446.3199999999852</v>
      </c>
      <c r="H202" s="345"/>
      <c r="I202" s="346"/>
      <c r="J202" s="347"/>
      <c r="K202" s="312"/>
      <c r="L202" s="347"/>
      <c r="M202" s="312"/>
      <c r="N202" s="347"/>
      <c r="O202" s="312"/>
      <c r="P202" s="347"/>
      <c r="Q202" s="312"/>
      <c r="R202" s="347"/>
      <c r="S202" s="312"/>
      <c r="T202" s="347"/>
    </row>
    <row r="203" spans="1:20" ht="12" customHeight="1" x14ac:dyDescent="0.3">
      <c r="A203" s="340" t="s">
        <v>289</v>
      </c>
      <c r="B203" s="341">
        <v>1</v>
      </c>
      <c r="C203" s="309">
        <v>46130</v>
      </c>
      <c r="D203" s="310" t="s">
        <v>311</v>
      </c>
      <c r="E203" s="342">
        <v>25.28</v>
      </c>
      <c r="F203" s="342"/>
      <c r="G203" s="344">
        <f t="shared" si="3"/>
        <v>5472.3199999999852</v>
      </c>
      <c r="H203" s="345"/>
      <c r="I203" s="346"/>
      <c r="J203" s="347"/>
      <c r="K203" s="312"/>
      <c r="L203" s="347"/>
      <c r="M203" s="312"/>
      <c r="N203" s="347"/>
      <c r="O203" s="312"/>
      <c r="P203" s="347"/>
      <c r="Q203" s="312"/>
      <c r="R203" s="347"/>
      <c r="S203" s="312"/>
      <c r="T203" s="347"/>
    </row>
    <row r="204" spans="1:20" ht="12" customHeight="1" x14ac:dyDescent="0.3">
      <c r="A204" s="340" t="s">
        <v>289</v>
      </c>
      <c r="B204" s="341">
        <v>3</v>
      </c>
      <c r="C204" s="309">
        <v>46130</v>
      </c>
      <c r="D204" s="310" t="s">
        <v>296</v>
      </c>
      <c r="E204" s="342">
        <v>7.76</v>
      </c>
      <c r="F204" s="342"/>
      <c r="G204" s="344">
        <f t="shared" si="3"/>
        <v>5497.5999999999849</v>
      </c>
      <c r="H204" s="345"/>
      <c r="I204" s="346"/>
      <c r="J204" s="347"/>
      <c r="K204" s="312"/>
      <c r="L204" s="347"/>
      <c r="M204" s="312"/>
      <c r="N204" s="347"/>
      <c r="O204" s="312"/>
      <c r="P204" s="347"/>
      <c r="Q204" s="312"/>
      <c r="R204" s="347"/>
      <c r="S204" s="312"/>
      <c r="T204" s="347"/>
    </row>
    <row r="205" spans="1:20" ht="12" customHeight="1" x14ac:dyDescent="0.3">
      <c r="A205" s="340" t="s">
        <v>294</v>
      </c>
      <c r="B205" s="341">
        <v>22</v>
      </c>
      <c r="C205" s="309">
        <v>46130</v>
      </c>
      <c r="D205" s="310" t="s">
        <v>401</v>
      </c>
      <c r="E205" s="342">
        <v>13.84</v>
      </c>
      <c r="F205" s="342"/>
      <c r="G205" s="344">
        <f t="shared" si="3"/>
        <v>5505.3599999999851</v>
      </c>
      <c r="H205" s="345"/>
      <c r="I205" s="346"/>
      <c r="J205" s="347"/>
      <c r="K205" s="312"/>
      <c r="L205" s="347"/>
      <c r="M205" s="312"/>
      <c r="N205" s="347"/>
      <c r="O205" s="312"/>
      <c r="P205" s="347"/>
      <c r="Q205" s="312"/>
      <c r="R205" s="347"/>
      <c r="S205" s="312"/>
      <c r="T205" s="347"/>
    </row>
    <row r="206" spans="1:20" ht="12" customHeight="1" x14ac:dyDescent="0.3">
      <c r="A206" s="340" t="s">
        <v>287</v>
      </c>
      <c r="B206" s="341" t="s">
        <v>287</v>
      </c>
      <c r="C206" s="309">
        <v>46130</v>
      </c>
      <c r="D206" s="310" t="s">
        <v>331</v>
      </c>
      <c r="E206" s="342">
        <v>578.57000000000005</v>
      </c>
      <c r="F206" s="342">
        <v>578.57000000000005</v>
      </c>
      <c r="G206" s="344">
        <f t="shared" si="3"/>
        <v>5519.1999999999853</v>
      </c>
      <c r="H206" s="345"/>
      <c r="I206" s="346"/>
      <c r="J206" s="347"/>
      <c r="K206" s="312"/>
      <c r="L206" s="347"/>
      <c r="M206" s="312"/>
      <c r="N206" s="347"/>
      <c r="O206" s="312"/>
      <c r="P206" s="347"/>
      <c r="Q206" s="312"/>
      <c r="R206" s="347"/>
      <c r="S206" s="312"/>
      <c r="T206" s="347"/>
    </row>
    <row r="207" spans="1:20" ht="12" customHeight="1" x14ac:dyDescent="0.3">
      <c r="A207" s="340" t="s">
        <v>289</v>
      </c>
      <c r="B207" s="341">
        <v>2</v>
      </c>
      <c r="C207" s="309">
        <v>46129</v>
      </c>
      <c r="D207" s="310" t="s">
        <v>324</v>
      </c>
      <c r="E207" s="342">
        <v>12.84</v>
      </c>
      <c r="F207" s="342"/>
      <c r="G207" s="344">
        <f t="shared" si="3"/>
        <v>5519.1999999999853</v>
      </c>
      <c r="H207" s="345"/>
      <c r="I207" s="346"/>
      <c r="J207" s="347"/>
      <c r="K207" s="312"/>
      <c r="L207" s="347"/>
      <c r="M207" s="312"/>
      <c r="N207" s="347"/>
      <c r="O207" s="312"/>
      <c r="P207" s="347"/>
      <c r="Q207" s="312"/>
      <c r="R207" s="347"/>
      <c r="S207" s="312"/>
      <c r="T207" s="347"/>
    </row>
    <row r="208" spans="1:20" ht="12" customHeight="1" x14ac:dyDescent="0.3">
      <c r="A208" s="340" t="s">
        <v>289</v>
      </c>
      <c r="B208" s="341">
        <v>2</v>
      </c>
      <c r="C208" s="309">
        <v>46129</v>
      </c>
      <c r="D208" s="310" t="s">
        <v>332</v>
      </c>
      <c r="E208" s="342">
        <v>59.71</v>
      </c>
      <c r="F208" s="342"/>
      <c r="G208" s="344">
        <f t="shared" si="3"/>
        <v>5532.0399999999854</v>
      </c>
      <c r="H208" s="345"/>
      <c r="I208" s="346"/>
      <c r="J208" s="347"/>
      <c r="K208" s="312"/>
      <c r="L208" s="347"/>
      <c r="M208" s="312"/>
      <c r="N208" s="347"/>
      <c r="O208" s="312"/>
      <c r="P208" s="347"/>
      <c r="Q208" s="312"/>
      <c r="R208" s="347"/>
      <c r="S208" s="312"/>
      <c r="T208" s="347"/>
    </row>
    <row r="209" spans="1:20" ht="12" customHeight="1" x14ac:dyDescent="0.3">
      <c r="A209" s="340" t="s">
        <v>294</v>
      </c>
      <c r="B209" s="341">
        <v>21</v>
      </c>
      <c r="C209" s="309">
        <v>46129</v>
      </c>
      <c r="D209" s="310" t="s">
        <v>194</v>
      </c>
      <c r="E209" s="342">
        <v>75.599999999999994</v>
      </c>
      <c r="F209" s="342"/>
      <c r="G209" s="344">
        <f t="shared" si="3"/>
        <v>5591.7499999999854</v>
      </c>
      <c r="H209" s="345"/>
      <c r="I209" s="346"/>
      <c r="J209" s="347"/>
      <c r="K209" s="312"/>
      <c r="L209" s="347"/>
      <c r="M209" s="312"/>
      <c r="N209" s="347"/>
      <c r="O209" s="312"/>
      <c r="P209" s="347"/>
      <c r="Q209" s="312"/>
      <c r="R209" s="347"/>
      <c r="S209" s="312"/>
      <c r="T209" s="347"/>
    </row>
    <row r="210" spans="1:20" ht="12" customHeight="1" x14ac:dyDescent="0.3">
      <c r="A210" s="340" t="s">
        <v>294</v>
      </c>
      <c r="B210" s="341">
        <v>43</v>
      </c>
      <c r="C210" s="309">
        <v>46129</v>
      </c>
      <c r="D210" s="310" t="s">
        <v>333</v>
      </c>
      <c r="E210" s="342">
        <v>22.35</v>
      </c>
      <c r="F210" s="342"/>
      <c r="G210" s="344">
        <f t="shared" si="3"/>
        <v>5667.3499999999858</v>
      </c>
      <c r="H210" s="345"/>
      <c r="I210" s="346"/>
      <c r="J210" s="347"/>
      <c r="K210" s="312"/>
      <c r="L210" s="347"/>
      <c r="M210" s="312"/>
      <c r="N210" s="347"/>
      <c r="O210" s="312"/>
      <c r="P210" s="347"/>
      <c r="Q210" s="312"/>
      <c r="R210" s="347"/>
      <c r="S210" s="312"/>
      <c r="T210" s="347"/>
    </row>
    <row r="211" spans="1:20" ht="12" customHeight="1" x14ac:dyDescent="0.3">
      <c r="A211" s="340" t="s">
        <v>294</v>
      </c>
      <c r="B211" s="341">
        <v>42</v>
      </c>
      <c r="C211" s="309">
        <v>46129</v>
      </c>
      <c r="D211" s="310" t="s">
        <v>333</v>
      </c>
      <c r="E211" s="342">
        <v>37.25</v>
      </c>
      <c r="F211" s="342"/>
      <c r="G211" s="344">
        <f t="shared" si="3"/>
        <v>5689.6999999999862</v>
      </c>
      <c r="H211" s="345"/>
      <c r="I211" s="346"/>
      <c r="J211" s="347"/>
      <c r="K211" s="312"/>
      <c r="L211" s="347"/>
      <c r="M211" s="312"/>
      <c r="N211" s="347"/>
      <c r="O211" s="312"/>
      <c r="P211" s="347"/>
      <c r="Q211" s="312"/>
      <c r="R211" s="347"/>
      <c r="S211" s="312"/>
      <c r="T211" s="347"/>
    </row>
    <row r="212" spans="1:20" ht="12" customHeight="1" x14ac:dyDescent="0.3">
      <c r="A212" s="340" t="s">
        <v>289</v>
      </c>
      <c r="B212" s="341">
        <v>8</v>
      </c>
      <c r="C212" s="309">
        <v>46129</v>
      </c>
      <c r="D212" s="310" t="s">
        <v>319</v>
      </c>
      <c r="E212" s="342">
        <v>35.119999999999997</v>
      </c>
      <c r="F212" s="342"/>
      <c r="G212" s="344">
        <f t="shared" si="3"/>
        <v>5726.9499999999862</v>
      </c>
      <c r="H212" s="345"/>
      <c r="I212" s="346"/>
      <c r="J212" s="347"/>
      <c r="K212" s="312"/>
      <c r="L212" s="347"/>
      <c r="M212" s="312"/>
      <c r="N212" s="347"/>
      <c r="O212" s="312"/>
      <c r="P212" s="347"/>
      <c r="Q212" s="312"/>
      <c r="R212" s="347"/>
      <c r="S212" s="312"/>
      <c r="T212" s="347"/>
    </row>
    <row r="213" spans="1:20" ht="12" customHeight="1" x14ac:dyDescent="0.3">
      <c r="A213" s="340" t="s">
        <v>289</v>
      </c>
      <c r="B213" s="341">
        <v>3</v>
      </c>
      <c r="C213" s="309">
        <v>46129</v>
      </c>
      <c r="D213" s="310" t="s">
        <v>296</v>
      </c>
      <c r="E213" s="342">
        <v>8.7200000000000006</v>
      </c>
      <c r="F213" s="342"/>
      <c r="G213" s="344">
        <f t="shared" si="3"/>
        <v>5762.0699999999861</v>
      </c>
      <c r="H213" s="345"/>
      <c r="I213" s="346"/>
      <c r="J213" s="347"/>
      <c r="K213" s="312"/>
      <c r="L213" s="347"/>
      <c r="M213" s="312"/>
      <c r="N213" s="347"/>
      <c r="O213" s="312"/>
      <c r="P213" s="347"/>
      <c r="Q213" s="312"/>
      <c r="R213" s="347"/>
      <c r="S213" s="312"/>
      <c r="T213" s="347"/>
    </row>
    <row r="214" spans="1:20" ht="12" customHeight="1" x14ac:dyDescent="0.3">
      <c r="A214" s="340" t="s">
        <v>289</v>
      </c>
      <c r="B214" s="341">
        <v>2</v>
      </c>
      <c r="C214" s="309">
        <v>46129</v>
      </c>
      <c r="D214" s="310" t="s">
        <v>334</v>
      </c>
      <c r="E214" s="342">
        <v>13.21</v>
      </c>
      <c r="F214" s="342"/>
      <c r="G214" s="344">
        <f t="shared" si="3"/>
        <v>5770.7899999999863</v>
      </c>
      <c r="H214" s="345"/>
      <c r="I214" s="346"/>
      <c r="J214" s="347"/>
      <c r="K214" s="312"/>
      <c r="L214" s="347"/>
      <c r="M214" s="312"/>
      <c r="N214" s="347"/>
      <c r="O214" s="312"/>
      <c r="P214" s="347"/>
      <c r="Q214" s="312"/>
      <c r="R214" s="347"/>
      <c r="S214" s="312"/>
      <c r="T214" s="347"/>
    </row>
    <row r="215" spans="1:20" ht="12" customHeight="1" x14ac:dyDescent="0.3">
      <c r="A215" s="340" t="s">
        <v>294</v>
      </c>
      <c r="B215" s="341">
        <v>17</v>
      </c>
      <c r="C215" s="309">
        <v>46129</v>
      </c>
      <c r="D215" s="310" t="s">
        <v>188</v>
      </c>
      <c r="E215" s="342">
        <v>42.65</v>
      </c>
      <c r="F215" s="342"/>
      <c r="G215" s="344">
        <f t="shared" si="3"/>
        <v>5783.9999999999864</v>
      </c>
      <c r="H215" s="345"/>
      <c r="I215" s="346"/>
      <c r="J215" s="347"/>
      <c r="K215" s="312"/>
      <c r="L215" s="347"/>
      <c r="M215" s="312"/>
      <c r="N215" s="347"/>
      <c r="O215" s="312"/>
      <c r="P215" s="347"/>
      <c r="Q215" s="312"/>
      <c r="R215" s="347"/>
      <c r="S215" s="312"/>
      <c r="T215" s="347"/>
    </row>
    <row r="216" spans="1:20" ht="12" customHeight="1" x14ac:dyDescent="0.3">
      <c r="A216" s="340" t="s">
        <v>335</v>
      </c>
      <c r="B216" s="341" t="s">
        <v>335</v>
      </c>
      <c r="C216" s="309">
        <v>46129</v>
      </c>
      <c r="D216" s="310" t="s">
        <v>336</v>
      </c>
      <c r="E216" s="342">
        <v>130.31</v>
      </c>
      <c r="F216" s="342"/>
      <c r="G216" s="344">
        <f t="shared" si="3"/>
        <v>5826.649999999986</v>
      </c>
      <c r="H216" s="345"/>
      <c r="I216" s="346"/>
      <c r="J216" s="347"/>
      <c r="K216" s="312"/>
      <c r="L216" s="347"/>
      <c r="M216" s="312"/>
      <c r="N216" s="347"/>
      <c r="O216" s="312"/>
      <c r="P216" s="347"/>
      <c r="Q216" s="312"/>
      <c r="R216" s="347"/>
      <c r="S216" s="312"/>
      <c r="T216" s="347"/>
    </row>
    <row r="217" spans="1:20" ht="12" customHeight="1" x14ac:dyDescent="0.3">
      <c r="A217" s="340" t="s">
        <v>294</v>
      </c>
      <c r="B217" s="341">
        <v>15</v>
      </c>
      <c r="C217" s="309">
        <v>46129</v>
      </c>
      <c r="D217" s="310" t="s">
        <v>185</v>
      </c>
      <c r="E217" s="342">
        <v>131.22999999999999</v>
      </c>
      <c r="F217" s="342"/>
      <c r="G217" s="344">
        <f t="shared" si="3"/>
        <v>5956.9599999999864</v>
      </c>
      <c r="H217" s="345"/>
      <c r="I217" s="346"/>
      <c r="J217" s="347"/>
      <c r="K217" s="312"/>
      <c r="L217" s="347"/>
      <c r="M217" s="312"/>
      <c r="N217" s="347"/>
      <c r="O217" s="312"/>
      <c r="P217" s="347"/>
      <c r="Q217" s="312"/>
      <c r="R217" s="347"/>
      <c r="S217" s="312"/>
      <c r="T217" s="347"/>
    </row>
    <row r="218" spans="1:20" ht="12" customHeight="1" x14ac:dyDescent="0.3">
      <c r="A218" s="340" t="s">
        <v>289</v>
      </c>
      <c r="B218" s="341">
        <v>6</v>
      </c>
      <c r="C218" s="309">
        <v>46129</v>
      </c>
      <c r="D218" s="310" t="s">
        <v>337</v>
      </c>
      <c r="E218" s="342">
        <v>210</v>
      </c>
      <c r="F218" s="342"/>
      <c r="G218" s="344">
        <f t="shared" si="3"/>
        <v>6088.189999999986</v>
      </c>
      <c r="H218" s="345"/>
      <c r="I218" s="346"/>
      <c r="J218" s="347"/>
      <c r="K218" s="312"/>
      <c r="L218" s="347"/>
      <c r="M218" s="312"/>
      <c r="N218" s="347"/>
      <c r="O218" s="312"/>
      <c r="P218" s="347"/>
      <c r="Q218" s="312"/>
      <c r="R218" s="347"/>
      <c r="S218" s="312"/>
      <c r="T218" s="347"/>
    </row>
    <row r="219" spans="1:20" ht="12" customHeight="1" x14ac:dyDescent="0.3">
      <c r="A219" s="340" t="s">
        <v>294</v>
      </c>
      <c r="B219" s="341">
        <v>23</v>
      </c>
      <c r="C219" s="309">
        <v>46129</v>
      </c>
      <c r="D219" s="310" t="s">
        <v>63</v>
      </c>
      <c r="E219" s="342">
        <v>529.46</v>
      </c>
      <c r="F219" s="342"/>
      <c r="G219" s="344">
        <f t="shared" si="3"/>
        <v>6298.189999999986</v>
      </c>
      <c r="H219" s="345"/>
      <c r="I219" s="346"/>
      <c r="J219" s="347"/>
      <c r="K219" s="312"/>
      <c r="L219" s="347"/>
      <c r="M219" s="312"/>
      <c r="N219" s="347"/>
      <c r="O219" s="312"/>
      <c r="P219" s="347"/>
      <c r="Q219" s="312"/>
      <c r="R219" s="347"/>
      <c r="S219" s="312"/>
      <c r="T219" s="347"/>
    </row>
    <row r="220" spans="1:20" ht="12" customHeight="1" x14ac:dyDescent="0.3">
      <c r="A220" s="340" t="s">
        <v>289</v>
      </c>
      <c r="B220" s="341">
        <v>7</v>
      </c>
      <c r="C220" s="309">
        <v>46129</v>
      </c>
      <c r="D220" s="310" t="s">
        <v>338</v>
      </c>
      <c r="E220" s="342">
        <v>32.78</v>
      </c>
      <c r="F220" s="342"/>
      <c r="G220" s="344">
        <f t="shared" si="3"/>
        <v>6827.649999999986</v>
      </c>
      <c r="H220" s="345"/>
      <c r="I220" s="346"/>
      <c r="J220" s="347"/>
      <c r="K220" s="312"/>
      <c r="L220" s="347"/>
      <c r="M220" s="312"/>
      <c r="N220" s="347"/>
      <c r="O220" s="312"/>
      <c r="P220" s="347"/>
      <c r="Q220" s="312"/>
      <c r="R220" s="347"/>
      <c r="S220" s="312"/>
      <c r="T220" s="347"/>
    </row>
    <row r="221" spans="1:20" ht="12" customHeight="1" x14ac:dyDescent="0.3">
      <c r="A221" s="340" t="s">
        <v>289</v>
      </c>
      <c r="B221" s="341">
        <v>4</v>
      </c>
      <c r="C221" s="309">
        <v>46128</v>
      </c>
      <c r="D221" s="310" t="s">
        <v>310</v>
      </c>
      <c r="E221" s="342">
        <v>44.41</v>
      </c>
      <c r="F221" s="342"/>
      <c r="G221" s="344">
        <f t="shared" si="3"/>
        <v>6860.4299999999857</v>
      </c>
      <c r="H221" s="345"/>
      <c r="I221" s="346"/>
      <c r="J221" s="347"/>
      <c r="K221" s="312"/>
      <c r="L221" s="347"/>
      <c r="M221" s="312"/>
      <c r="N221" s="347"/>
      <c r="O221" s="312"/>
      <c r="P221" s="347"/>
      <c r="Q221" s="312"/>
      <c r="R221" s="347"/>
      <c r="S221" s="312"/>
      <c r="T221" s="347"/>
    </row>
    <row r="222" spans="1:20" ht="12" customHeight="1" x14ac:dyDescent="0.3">
      <c r="A222" s="340" t="s">
        <v>294</v>
      </c>
      <c r="B222" s="341">
        <v>16</v>
      </c>
      <c r="C222" s="309">
        <v>46128</v>
      </c>
      <c r="D222" s="310" t="s">
        <v>339</v>
      </c>
      <c r="E222" s="342">
        <v>15</v>
      </c>
      <c r="F222" s="342"/>
      <c r="G222" s="344">
        <f t="shared" si="3"/>
        <v>6904.8399999999856</v>
      </c>
      <c r="H222" s="345"/>
      <c r="I222" s="346"/>
      <c r="J222" s="347"/>
      <c r="K222" s="312"/>
      <c r="L222" s="347"/>
      <c r="M222" s="312"/>
      <c r="N222" s="347"/>
      <c r="O222" s="312"/>
      <c r="P222" s="347"/>
      <c r="Q222" s="312"/>
      <c r="R222" s="347"/>
      <c r="S222" s="312"/>
      <c r="T222" s="347"/>
    </row>
    <row r="223" spans="1:20" ht="12" customHeight="1" x14ac:dyDescent="0.3">
      <c r="A223" s="340" t="s">
        <v>289</v>
      </c>
      <c r="B223" s="341">
        <v>2</v>
      </c>
      <c r="C223" s="309">
        <v>46128</v>
      </c>
      <c r="D223" s="310" t="s">
        <v>301</v>
      </c>
      <c r="E223" s="342">
        <v>41.95</v>
      </c>
      <c r="F223" s="342"/>
      <c r="G223" s="344">
        <f t="shared" si="3"/>
        <v>6919.8399999999856</v>
      </c>
      <c r="H223" s="345"/>
      <c r="I223" s="346"/>
      <c r="J223" s="347"/>
      <c r="K223" s="312"/>
      <c r="L223" s="347"/>
      <c r="M223" s="312"/>
      <c r="N223" s="347"/>
      <c r="O223" s="312"/>
      <c r="P223" s="347"/>
      <c r="Q223" s="312"/>
      <c r="R223" s="347"/>
      <c r="S223" s="312"/>
      <c r="T223" s="347"/>
    </row>
    <row r="224" spans="1:20" ht="12" customHeight="1" x14ac:dyDescent="0.3">
      <c r="A224" s="340" t="s">
        <v>289</v>
      </c>
      <c r="B224" s="341">
        <v>5</v>
      </c>
      <c r="C224" s="309">
        <v>46128</v>
      </c>
      <c r="D224" s="310" t="s">
        <v>340</v>
      </c>
      <c r="E224" s="342">
        <v>21.3</v>
      </c>
      <c r="F224" s="342"/>
      <c r="G224" s="344">
        <f t="shared" si="3"/>
        <v>6961.7899999999854</v>
      </c>
      <c r="H224" s="345"/>
      <c r="I224" s="346"/>
      <c r="J224" s="347"/>
      <c r="K224" s="312"/>
      <c r="L224" s="347"/>
      <c r="M224" s="312"/>
      <c r="N224" s="347"/>
      <c r="O224" s="312"/>
      <c r="P224" s="347"/>
      <c r="Q224" s="312"/>
      <c r="R224" s="347"/>
      <c r="S224" s="312"/>
      <c r="T224" s="347"/>
    </row>
    <row r="225" spans="1:20" ht="12" customHeight="1" x14ac:dyDescent="0.3">
      <c r="A225" s="340" t="s">
        <v>289</v>
      </c>
      <c r="B225" s="341">
        <v>4</v>
      </c>
      <c r="C225" s="309">
        <v>46128</v>
      </c>
      <c r="D225" s="310" t="s">
        <v>296</v>
      </c>
      <c r="E225" s="342">
        <v>70.03</v>
      </c>
      <c r="F225" s="342"/>
      <c r="G225" s="344">
        <f t="shared" si="3"/>
        <v>6983.0899999999856</v>
      </c>
      <c r="H225" s="345"/>
      <c r="I225" s="346"/>
      <c r="J225" s="347"/>
      <c r="K225" s="312"/>
      <c r="L225" s="347"/>
      <c r="M225" s="312"/>
      <c r="N225" s="347"/>
      <c r="O225" s="312"/>
      <c r="P225" s="347"/>
      <c r="Q225" s="312"/>
      <c r="R225" s="347"/>
      <c r="S225" s="312"/>
      <c r="T225" s="347"/>
    </row>
    <row r="226" spans="1:20" ht="12" customHeight="1" x14ac:dyDescent="0.3">
      <c r="A226" s="340" t="s">
        <v>289</v>
      </c>
      <c r="B226" s="341">
        <v>2</v>
      </c>
      <c r="C226" s="309">
        <v>46128</v>
      </c>
      <c r="D226" s="310" t="s">
        <v>296</v>
      </c>
      <c r="E226" s="342">
        <v>11.48</v>
      </c>
      <c r="F226" s="342"/>
      <c r="G226" s="344">
        <f t="shared" si="3"/>
        <v>7053.1199999999853</v>
      </c>
      <c r="H226" s="345"/>
      <c r="I226" s="346"/>
      <c r="J226" s="347"/>
      <c r="K226" s="312"/>
      <c r="L226" s="347"/>
      <c r="M226" s="312"/>
      <c r="N226" s="347"/>
      <c r="O226" s="312"/>
      <c r="P226" s="347"/>
      <c r="Q226" s="312"/>
      <c r="R226" s="347"/>
      <c r="S226" s="312"/>
      <c r="T226" s="347"/>
    </row>
    <row r="227" spans="1:20" ht="12" customHeight="1" x14ac:dyDescent="0.3">
      <c r="A227" s="340" t="s">
        <v>289</v>
      </c>
      <c r="B227" s="341">
        <v>6</v>
      </c>
      <c r="C227" s="309">
        <v>46128</v>
      </c>
      <c r="D227" s="310" t="s">
        <v>341</v>
      </c>
      <c r="E227" s="342">
        <v>26.61</v>
      </c>
      <c r="F227" s="342"/>
      <c r="G227" s="344">
        <f t="shared" si="3"/>
        <v>7064.5999999999849</v>
      </c>
      <c r="H227" s="345"/>
      <c r="I227" s="346"/>
      <c r="J227" s="347"/>
      <c r="K227" s="312"/>
      <c r="L227" s="347"/>
      <c r="M227" s="312"/>
      <c r="N227" s="347"/>
      <c r="O227" s="312"/>
      <c r="P227" s="347"/>
      <c r="Q227" s="312"/>
      <c r="R227" s="347"/>
      <c r="S227" s="312"/>
      <c r="T227" s="347"/>
    </row>
    <row r="228" spans="1:20" ht="12" customHeight="1" x14ac:dyDescent="0.3">
      <c r="A228" s="340" t="s">
        <v>289</v>
      </c>
      <c r="B228" s="341">
        <v>6</v>
      </c>
      <c r="C228" s="309">
        <v>46128</v>
      </c>
      <c r="D228" s="310" t="s">
        <v>342</v>
      </c>
      <c r="E228" s="342">
        <v>42.59</v>
      </c>
      <c r="F228" s="342"/>
      <c r="G228" s="344">
        <f t="shared" si="3"/>
        <v>7091.2099999999846</v>
      </c>
      <c r="H228" s="345"/>
      <c r="I228" s="346"/>
      <c r="J228" s="347"/>
      <c r="K228" s="312"/>
      <c r="L228" s="347"/>
      <c r="M228" s="312"/>
      <c r="N228" s="347"/>
      <c r="O228" s="312"/>
      <c r="P228" s="347"/>
      <c r="Q228" s="312"/>
      <c r="R228" s="347"/>
      <c r="S228" s="312"/>
      <c r="T228" s="347"/>
    </row>
    <row r="229" spans="1:20" ht="12" customHeight="1" x14ac:dyDescent="0.3">
      <c r="A229" s="340" t="s">
        <v>289</v>
      </c>
      <c r="B229" s="341">
        <v>6</v>
      </c>
      <c r="C229" s="309">
        <v>46128</v>
      </c>
      <c r="D229" s="310" t="s">
        <v>300</v>
      </c>
      <c r="E229" s="342">
        <v>20.58</v>
      </c>
      <c r="F229" s="342"/>
      <c r="G229" s="344">
        <f t="shared" si="3"/>
        <v>7133.7999999999847</v>
      </c>
      <c r="H229" s="345"/>
      <c r="I229" s="346"/>
      <c r="J229" s="347"/>
      <c r="K229" s="312"/>
      <c r="L229" s="347"/>
      <c r="M229" s="312"/>
      <c r="N229" s="347"/>
      <c r="O229" s="312"/>
      <c r="P229" s="347"/>
      <c r="Q229" s="312"/>
      <c r="R229" s="347"/>
      <c r="S229" s="312"/>
      <c r="T229" s="347"/>
    </row>
    <row r="230" spans="1:20" ht="12" customHeight="1" x14ac:dyDescent="0.3">
      <c r="A230" s="340" t="s">
        <v>294</v>
      </c>
      <c r="B230" s="341">
        <v>11</v>
      </c>
      <c r="C230" s="309">
        <v>46128</v>
      </c>
      <c r="D230" s="310" t="s">
        <v>178</v>
      </c>
      <c r="E230" s="342">
        <v>267.91000000000003</v>
      </c>
      <c r="F230" s="342"/>
      <c r="G230" s="344">
        <f t="shared" si="3"/>
        <v>7154.3799999999846</v>
      </c>
      <c r="H230" s="345"/>
      <c r="I230" s="346"/>
      <c r="J230" s="347"/>
      <c r="K230" s="312"/>
      <c r="L230" s="347"/>
      <c r="M230" s="312"/>
      <c r="N230" s="347"/>
      <c r="O230" s="312"/>
      <c r="P230" s="347"/>
      <c r="Q230" s="312"/>
      <c r="R230" s="347"/>
      <c r="S230" s="312"/>
      <c r="T230" s="347"/>
    </row>
    <row r="231" spans="1:20" ht="12" customHeight="1" x14ac:dyDescent="0.3">
      <c r="A231" s="340" t="s">
        <v>291</v>
      </c>
      <c r="B231" s="341">
        <v>41</v>
      </c>
      <c r="C231" s="309">
        <v>46128</v>
      </c>
      <c r="D231" s="310" t="s">
        <v>299</v>
      </c>
      <c r="E231" s="342"/>
      <c r="F231" s="342">
        <v>300</v>
      </c>
      <c r="G231" s="344">
        <f t="shared" si="3"/>
        <v>7422.2899999999845</v>
      </c>
      <c r="H231" s="345"/>
      <c r="I231" s="346"/>
      <c r="J231" s="347"/>
      <c r="K231" s="312"/>
      <c r="L231" s="347"/>
      <c r="M231" s="312"/>
      <c r="N231" s="347"/>
      <c r="O231" s="312"/>
      <c r="P231" s="347"/>
      <c r="Q231" s="312"/>
      <c r="R231" s="347"/>
      <c r="S231" s="312"/>
      <c r="T231" s="347"/>
    </row>
    <row r="232" spans="1:20" ht="12" customHeight="1" x14ac:dyDescent="0.3">
      <c r="A232" s="340" t="s">
        <v>291</v>
      </c>
      <c r="B232" s="341">
        <v>39</v>
      </c>
      <c r="C232" s="309">
        <v>46128</v>
      </c>
      <c r="D232" s="310" t="s">
        <v>292</v>
      </c>
      <c r="E232" s="342"/>
      <c r="F232" s="342">
        <v>2763.78</v>
      </c>
      <c r="G232" s="344">
        <f t="shared" si="3"/>
        <v>7122.2899999999845</v>
      </c>
      <c r="H232" s="345"/>
      <c r="I232" s="346"/>
      <c r="J232" s="347"/>
      <c r="K232" s="312"/>
      <c r="L232" s="347"/>
      <c r="M232" s="312"/>
      <c r="N232" s="347"/>
      <c r="O232" s="312"/>
      <c r="P232" s="347"/>
      <c r="Q232" s="312"/>
      <c r="R232" s="347"/>
      <c r="S232" s="312"/>
      <c r="T232" s="347"/>
    </row>
    <row r="233" spans="1:20" ht="12" customHeight="1" x14ac:dyDescent="0.3">
      <c r="A233" s="340" t="s">
        <v>287</v>
      </c>
      <c r="B233" s="341" t="s">
        <v>287</v>
      </c>
      <c r="C233" s="309">
        <v>46127</v>
      </c>
      <c r="D233" s="310" t="s">
        <v>343</v>
      </c>
      <c r="E233" s="342">
        <v>93.71</v>
      </c>
      <c r="F233" s="342">
        <v>93.71</v>
      </c>
      <c r="G233" s="344">
        <f t="shared" si="3"/>
        <v>4358.5099999999848</v>
      </c>
      <c r="H233" s="345"/>
      <c r="I233" s="346"/>
      <c r="J233" s="347"/>
      <c r="K233" s="312"/>
      <c r="L233" s="347"/>
      <c r="M233" s="312"/>
      <c r="N233" s="347"/>
      <c r="O233" s="312"/>
      <c r="P233" s="347"/>
      <c r="Q233" s="312"/>
      <c r="R233" s="347"/>
      <c r="S233" s="312"/>
      <c r="T233" s="347"/>
    </row>
    <row r="234" spans="1:20" ht="12" customHeight="1" x14ac:dyDescent="0.3">
      <c r="A234" s="340" t="s">
        <v>289</v>
      </c>
      <c r="B234" s="341">
        <v>6</v>
      </c>
      <c r="C234" s="309">
        <v>46127</v>
      </c>
      <c r="D234" s="310" t="s">
        <v>344</v>
      </c>
      <c r="E234" s="342">
        <v>27</v>
      </c>
      <c r="F234" s="342"/>
      <c r="G234" s="344">
        <f t="shared" si="3"/>
        <v>4358.5099999999848</v>
      </c>
      <c r="H234" s="345"/>
      <c r="I234" s="346"/>
      <c r="J234" s="347"/>
      <c r="K234" s="312"/>
      <c r="L234" s="347"/>
      <c r="M234" s="312"/>
      <c r="N234" s="347"/>
      <c r="O234" s="312"/>
      <c r="P234" s="347"/>
      <c r="Q234" s="312"/>
      <c r="R234" s="347"/>
      <c r="S234" s="312"/>
      <c r="T234" s="347"/>
    </row>
    <row r="235" spans="1:20" ht="12" customHeight="1" x14ac:dyDescent="0.3">
      <c r="A235" s="340" t="s">
        <v>291</v>
      </c>
      <c r="B235" s="341">
        <v>38</v>
      </c>
      <c r="C235" s="309">
        <v>46127</v>
      </c>
      <c r="D235" s="310" t="s">
        <v>293</v>
      </c>
      <c r="E235" s="342"/>
      <c r="F235" s="342">
        <v>4597.82</v>
      </c>
      <c r="G235" s="344">
        <f t="shared" si="3"/>
        <v>4385.5099999999848</v>
      </c>
      <c r="H235" s="345"/>
      <c r="I235" s="346"/>
      <c r="J235" s="347"/>
      <c r="K235" s="312"/>
      <c r="L235" s="347"/>
      <c r="M235" s="312"/>
      <c r="N235" s="347"/>
      <c r="O235" s="312"/>
      <c r="P235" s="347"/>
      <c r="Q235" s="312"/>
      <c r="R235" s="347"/>
      <c r="S235" s="312"/>
      <c r="T235" s="347"/>
    </row>
    <row r="236" spans="1:20" ht="12" customHeight="1" x14ac:dyDescent="0.3">
      <c r="A236" s="340" t="s">
        <v>289</v>
      </c>
      <c r="B236" s="341">
        <v>2</v>
      </c>
      <c r="C236" s="309">
        <v>46127</v>
      </c>
      <c r="D236" s="310" t="s">
        <v>296</v>
      </c>
      <c r="E236" s="342">
        <v>14.67</v>
      </c>
      <c r="F236" s="342"/>
      <c r="G236" s="344">
        <f t="shared" si="3"/>
        <v>-212.31000000001481</v>
      </c>
      <c r="H236" s="345"/>
      <c r="I236" s="346"/>
      <c r="J236" s="347"/>
      <c r="K236" s="312"/>
      <c r="L236" s="347"/>
      <c r="M236" s="312"/>
      <c r="N236" s="347"/>
      <c r="O236" s="312"/>
      <c r="P236" s="347"/>
      <c r="Q236" s="312"/>
      <c r="R236" s="347"/>
      <c r="S236" s="312"/>
      <c r="T236" s="347"/>
    </row>
    <row r="237" spans="1:20" ht="12" customHeight="1" x14ac:dyDescent="0.3">
      <c r="A237" s="340" t="s">
        <v>289</v>
      </c>
      <c r="B237" s="341">
        <v>2</v>
      </c>
      <c r="C237" s="309">
        <v>46127</v>
      </c>
      <c r="D237" s="310" t="s">
        <v>345</v>
      </c>
      <c r="E237" s="342">
        <v>102.2</v>
      </c>
      <c r="F237" s="342"/>
      <c r="G237" s="344">
        <f t="shared" si="3"/>
        <v>-197.64000000001482</v>
      </c>
      <c r="H237" s="345"/>
      <c r="I237" s="346"/>
      <c r="J237" s="347"/>
      <c r="K237" s="312"/>
      <c r="L237" s="347"/>
      <c r="M237" s="312"/>
      <c r="N237" s="347"/>
      <c r="O237" s="312"/>
      <c r="P237" s="347"/>
      <c r="Q237" s="312"/>
      <c r="R237" s="347"/>
      <c r="S237" s="312"/>
      <c r="T237" s="347"/>
    </row>
    <row r="238" spans="1:20" ht="12" customHeight="1" x14ac:dyDescent="0.3">
      <c r="A238" s="340" t="s">
        <v>289</v>
      </c>
      <c r="B238" s="341">
        <v>8</v>
      </c>
      <c r="C238" s="309">
        <v>46126</v>
      </c>
      <c r="D238" s="310" t="s">
        <v>319</v>
      </c>
      <c r="E238" s="342">
        <v>15.53</v>
      </c>
      <c r="F238" s="342"/>
      <c r="G238" s="344">
        <f t="shared" si="3"/>
        <v>-95.440000000014805</v>
      </c>
      <c r="H238" s="345"/>
      <c r="I238" s="346"/>
      <c r="J238" s="347"/>
      <c r="K238" s="312"/>
      <c r="L238" s="347"/>
      <c r="M238" s="312"/>
      <c r="N238" s="347"/>
      <c r="O238" s="312"/>
      <c r="P238" s="347"/>
      <c r="Q238" s="312"/>
      <c r="R238" s="347"/>
      <c r="S238" s="312"/>
      <c r="T238" s="347"/>
    </row>
    <row r="239" spans="1:20" ht="12" customHeight="1" x14ac:dyDescent="0.3">
      <c r="A239" s="340" t="s">
        <v>294</v>
      </c>
      <c r="B239" s="341">
        <v>24</v>
      </c>
      <c r="C239" s="309">
        <v>46126</v>
      </c>
      <c r="D239" s="310" t="s">
        <v>861</v>
      </c>
      <c r="E239" s="342">
        <v>105.33</v>
      </c>
      <c r="F239" s="342"/>
      <c r="G239" s="344">
        <f t="shared" si="3"/>
        <v>-79.910000000014804</v>
      </c>
      <c r="H239" s="345"/>
      <c r="I239" s="346"/>
      <c r="J239" s="347"/>
      <c r="K239" s="312"/>
      <c r="L239" s="347"/>
      <c r="M239" s="312"/>
      <c r="N239" s="347"/>
      <c r="O239" s="312"/>
      <c r="P239" s="347"/>
      <c r="Q239" s="312"/>
      <c r="R239" s="347"/>
      <c r="S239" s="312"/>
      <c r="T239" s="347"/>
    </row>
    <row r="240" spans="1:20" ht="12" customHeight="1" x14ac:dyDescent="0.3">
      <c r="A240" s="340" t="s">
        <v>289</v>
      </c>
      <c r="B240" s="341">
        <v>2</v>
      </c>
      <c r="C240" s="309">
        <v>46125</v>
      </c>
      <c r="D240" s="310" t="s">
        <v>346</v>
      </c>
      <c r="E240" s="342">
        <v>11.64</v>
      </c>
      <c r="F240" s="342"/>
      <c r="G240" s="344">
        <f t="shared" si="3"/>
        <v>25.419999999985201</v>
      </c>
      <c r="H240" s="345"/>
      <c r="I240" s="346"/>
      <c r="J240" s="347"/>
      <c r="K240" s="312"/>
      <c r="L240" s="347"/>
      <c r="M240" s="312"/>
      <c r="N240" s="347"/>
      <c r="O240" s="312"/>
      <c r="P240" s="347"/>
      <c r="Q240" s="312"/>
      <c r="R240" s="347"/>
      <c r="S240" s="312"/>
      <c r="T240" s="347"/>
    </row>
    <row r="241" spans="1:20" ht="12" customHeight="1" x14ac:dyDescent="0.3">
      <c r="A241" s="340" t="s">
        <v>289</v>
      </c>
      <c r="B241" s="341">
        <v>1</v>
      </c>
      <c r="C241" s="309">
        <v>46125</v>
      </c>
      <c r="D241" s="310" t="s">
        <v>306</v>
      </c>
      <c r="E241" s="342">
        <v>50.71</v>
      </c>
      <c r="F241" s="342"/>
      <c r="G241" s="344">
        <f t="shared" si="3"/>
        <v>37.059999999985202</v>
      </c>
      <c r="H241" s="345"/>
      <c r="I241" s="346"/>
      <c r="J241" s="347"/>
      <c r="K241" s="312"/>
      <c r="L241" s="347"/>
      <c r="M241" s="312"/>
      <c r="N241" s="347"/>
      <c r="O241" s="312"/>
      <c r="P241" s="347"/>
      <c r="Q241" s="312"/>
      <c r="R241" s="347"/>
      <c r="S241" s="312"/>
      <c r="T241" s="347"/>
    </row>
    <row r="242" spans="1:20" ht="12" customHeight="1" x14ac:dyDescent="0.3">
      <c r="A242" s="340" t="s">
        <v>289</v>
      </c>
      <c r="B242" s="341">
        <v>2</v>
      </c>
      <c r="C242" s="309">
        <v>46125</v>
      </c>
      <c r="D242" s="310" t="s">
        <v>334</v>
      </c>
      <c r="E242" s="342">
        <v>11.06</v>
      </c>
      <c r="F242" s="342"/>
      <c r="G242" s="344">
        <f t="shared" si="3"/>
        <v>87.769999999985203</v>
      </c>
      <c r="H242" s="345"/>
      <c r="I242" s="346"/>
      <c r="J242" s="347"/>
      <c r="K242" s="312"/>
      <c r="L242" s="347"/>
      <c r="M242" s="312"/>
      <c r="N242" s="347"/>
      <c r="O242" s="312"/>
      <c r="P242" s="347"/>
      <c r="Q242" s="312"/>
      <c r="R242" s="347"/>
      <c r="S242" s="312"/>
      <c r="T242" s="347"/>
    </row>
    <row r="243" spans="1:20" ht="12" customHeight="1" x14ac:dyDescent="0.3">
      <c r="A243" s="340" t="s">
        <v>289</v>
      </c>
      <c r="B243" s="341">
        <v>4</v>
      </c>
      <c r="C243" s="309">
        <v>46125</v>
      </c>
      <c r="D243" s="310" t="s">
        <v>295</v>
      </c>
      <c r="E243" s="342">
        <v>35.979999999999997</v>
      </c>
      <c r="F243" s="342"/>
      <c r="G243" s="344">
        <f t="shared" si="3"/>
        <v>98.829999999985205</v>
      </c>
      <c r="H243" s="345"/>
      <c r="I243" s="346"/>
      <c r="J243" s="347"/>
      <c r="K243" s="312"/>
      <c r="L243" s="347"/>
      <c r="M243" s="312"/>
      <c r="N243" s="347"/>
      <c r="O243" s="312"/>
      <c r="P243" s="347"/>
      <c r="Q243" s="312"/>
      <c r="R243" s="347"/>
      <c r="S243" s="312"/>
      <c r="T243" s="347"/>
    </row>
    <row r="244" spans="1:20" ht="12" customHeight="1" x14ac:dyDescent="0.3">
      <c r="A244" s="340" t="s">
        <v>289</v>
      </c>
      <c r="B244" s="341">
        <v>8</v>
      </c>
      <c r="C244" s="309">
        <v>46125</v>
      </c>
      <c r="D244" s="310" t="s">
        <v>347</v>
      </c>
      <c r="E244" s="342">
        <v>7.83</v>
      </c>
      <c r="F244" s="342"/>
      <c r="G244" s="344">
        <f t="shared" si="3"/>
        <v>134.80999999998519</v>
      </c>
      <c r="H244" s="345"/>
      <c r="I244" s="346"/>
      <c r="J244" s="347"/>
      <c r="K244" s="312"/>
      <c r="L244" s="347"/>
      <c r="M244" s="312"/>
      <c r="N244" s="347"/>
      <c r="O244" s="312"/>
      <c r="P244" s="347"/>
      <c r="Q244" s="312"/>
      <c r="R244" s="347"/>
      <c r="S244" s="312"/>
      <c r="T244" s="347"/>
    </row>
    <row r="245" spans="1:20" ht="12" customHeight="1" x14ac:dyDescent="0.3">
      <c r="A245" s="340" t="s">
        <v>289</v>
      </c>
      <c r="B245" s="341">
        <v>3</v>
      </c>
      <c r="C245" s="309">
        <v>46125</v>
      </c>
      <c r="D245" s="310" t="s">
        <v>348</v>
      </c>
      <c r="E245" s="342">
        <v>4.1900000000000004</v>
      </c>
      <c r="F245" s="342"/>
      <c r="G245" s="344">
        <f t="shared" si="3"/>
        <v>142.63999999998521</v>
      </c>
      <c r="H245" s="345"/>
      <c r="I245" s="346"/>
      <c r="J245" s="347"/>
      <c r="K245" s="312"/>
      <c r="L245" s="347"/>
      <c r="M245" s="312"/>
      <c r="N245" s="347"/>
      <c r="O245" s="312"/>
      <c r="P245" s="347"/>
      <c r="Q245" s="312"/>
      <c r="R245" s="347"/>
      <c r="S245" s="312"/>
      <c r="T245" s="347"/>
    </row>
    <row r="246" spans="1:20" ht="12" customHeight="1" x14ac:dyDescent="0.3">
      <c r="A246" s="340" t="s">
        <v>289</v>
      </c>
      <c r="B246" s="341">
        <v>8</v>
      </c>
      <c r="C246" s="309">
        <v>46125</v>
      </c>
      <c r="D246" s="310" t="s">
        <v>349</v>
      </c>
      <c r="E246" s="342">
        <v>39.25</v>
      </c>
      <c r="F246" s="342"/>
      <c r="G246" s="344">
        <f t="shared" si="3"/>
        <v>146.8299999999852</v>
      </c>
      <c r="H246" s="345"/>
      <c r="I246" s="346"/>
      <c r="J246" s="347"/>
      <c r="K246" s="312"/>
      <c r="L246" s="347"/>
      <c r="M246" s="312"/>
      <c r="N246" s="347"/>
      <c r="O246" s="312"/>
      <c r="P246" s="347"/>
      <c r="Q246" s="312"/>
      <c r="R246" s="347"/>
      <c r="S246" s="312"/>
      <c r="T246" s="347"/>
    </row>
    <row r="247" spans="1:20" ht="12" customHeight="1" x14ac:dyDescent="0.3">
      <c r="A247" s="340" t="s">
        <v>287</v>
      </c>
      <c r="B247" s="341" t="s">
        <v>287</v>
      </c>
      <c r="C247" s="309">
        <v>46125</v>
      </c>
      <c r="D247" s="310" t="s">
        <v>350</v>
      </c>
      <c r="E247" s="342">
        <v>318.36</v>
      </c>
      <c r="F247" s="342">
        <v>318.36</v>
      </c>
      <c r="G247" s="344">
        <f t="shared" si="3"/>
        <v>186.0799999999852</v>
      </c>
      <c r="H247" s="345"/>
      <c r="I247" s="346"/>
      <c r="J247" s="347"/>
      <c r="K247" s="312"/>
      <c r="L247" s="347"/>
      <c r="M247" s="312"/>
      <c r="N247" s="347"/>
      <c r="O247" s="312"/>
      <c r="P247" s="347"/>
      <c r="Q247" s="312"/>
      <c r="R247" s="347"/>
      <c r="S247" s="312"/>
      <c r="T247" s="347"/>
    </row>
    <row r="248" spans="1:20" ht="12" customHeight="1" x14ac:dyDescent="0.3">
      <c r="A248" s="340" t="s">
        <v>294</v>
      </c>
      <c r="B248" s="341">
        <v>19</v>
      </c>
      <c r="C248" s="309">
        <v>46125</v>
      </c>
      <c r="D248" s="310" t="s">
        <v>191</v>
      </c>
      <c r="E248" s="342">
        <v>200</v>
      </c>
      <c r="F248" s="342"/>
      <c r="G248" s="344">
        <f t="shared" si="3"/>
        <v>186.0799999999852</v>
      </c>
      <c r="H248" s="345"/>
      <c r="I248" s="346"/>
      <c r="J248" s="347"/>
      <c r="K248" s="312"/>
      <c r="L248" s="347"/>
      <c r="M248" s="312"/>
      <c r="N248" s="347"/>
      <c r="O248" s="312"/>
      <c r="P248" s="347"/>
      <c r="Q248" s="312"/>
      <c r="R248" s="347"/>
      <c r="S248" s="312"/>
      <c r="T248" s="347"/>
    </row>
    <row r="249" spans="1:20" ht="12" customHeight="1" x14ac:dyDescent="0.3">
      <c r="A249" s="340" t="s">
        <v>289</v>
      </c>
      <c r="B249" s="341">
        <v>1</v>
      </c>
      <c r="C249" s="309">
        <v>46124</v>
      </c>
      <c r="D249" s="310" t="s">
        <v>304</v>
      </c>
      <c r="E249" s="342">
        <v>136.05000000000001</v>
      </c>
      <c r="F249" s="342"/>
      <c r="G249" s="344">
        <f t="shared" si="3"/>
        <v>386.0799999999852</v>
      </c>
      <c r="H249" s="345"/>
      <c r="I249" s="346"/>
      <c r="J249" s="347"/>
      <c r="K249" s="312"/>
      <c r="L249" s="347"/>
      <c r="M249" s="312"/>
      <c r="N249" s="347"/>
      <c r="O249" s="312"/>
      <c r="P249" s="347"/>
      <c r="Q249" s="312"/>
      <c r="R249" s="347"/>
      <c r="S249" s="312"/>
      <c r="T249" s="347"/>
    </row>
    <row r="250" spans="1:20" ht="12" customHeight="1" x14ac:dyDescent="0.3">
      <c r="A250" s="340" t="s">
        <v>289</v>
      </c>
      <c r="B250" s="341">
        <v>3</v>
      </c>
      <c r="C250" s="309">
        <v>46124</v>
      </c>
      <c r="D250" s="310" t="s">
        <v>348</v>
      </c>
      <c r="E250" s="342">
        <v>13.09</v>
      </c>
      <c r="F250" s="342"/>
      <c r="G250" s="344">
        <f t="shared" si="3"/>
        <v>522.12999999998522</v>
      </c>
      <c r="H250" s="345"/>
      <c r="I250" s="346"/>
      <c r="J250" s="347"/>
      <c r="K250" s="312"/>
      <c r="L250" s="347"/>
      <c r="M250" s="312"/>
      <c r="N250" s="347"/>
      <c r="O250" s="312"/>
      <c r="P250" s="347"/>
      <c r="Q250" s="312"/>
      <c r="R250" s="347"/>
      <c r="S250" s="312"/>
      <c r="T250" s="347"/>
    </row>
    <row r="251" spans="1:20" ht="12" customHeight="1" x14ac:dyDescent="0.3">
      <c r="A251" s="340" t="s">
        <v>289</v>
      </c>
      <c r="B251" s="341">
        <v>8</v>
      </c>
      <c r="C251" s="309">
        <v>46124</v>
      </c>
      <c r="D251" s="310" t="s">
        <v>319</v>
      </c>
      <c r="E251" s="342">
        <v>24.47</v>
      </c>
      <c r="F251" s="342"/>
      <c r="G251" s="344">
        <f t="shared" si="3"/>
        <v>535.21999999998525</v>
      </c>
      <c r="H251" s="345"/>
      <c r="I251" s="346"/>
      <c r="J251" s="347"/>
      <c r="K251" s="312"/>
      <c r="L251" s="347"/>
      <c r="M251" s="312"/>
      <c r="N251" s="347"/>
      <c r="O251" s="312"/>
      <c r="P251" s="347"/>
      <c r="Q251" s="312"/>
      <c r="R251" s="347"/>
      <c r="S251" s="312"/>
      <c r="T251" s="347"/>
    </row>
    <row r="252" spans="1:20" ht="12" customHeight="1" x14ac:dyDescent="0.3">
      <c r="A252" s="340" t="s">
        <v>289</v>
      </c>
      <c r="B252" s="341">
        <v>8</v>
      </c>
      <c r="C252" s="309">
        <v>46124</v>
      </c>
      <c r="D252" s="310" t="s">
        <v>319</v>
      </c>
      <c r="E252" s="342">
        <v>14.29</v>
      </c>
      <c r="F252" s="342"/>
      <c r="G252" s="344">
        <f t="shared" si="3"/>
        <v>559.68999999998528</v>
      </c>
      <c r="H252" s="345"/>
      <c r="I252" s="346"/>
      <c r="J252" s="347"/>
      <c r="K252" s="312"/>
      <c r="L252" s="347"/>
      <c r="M252" s="312"/>
      <c r="N252" s="347"/>
      <c r="O252" s="312"/>
      <c r="P252" s="347"/>
      <c r="Q252" s="312"/>
      <c r="R252" s="347"/>
      <c r="S252" s="312"/>
      <c r="T252" s="347"/>
    </row>
    <row r="253" spans="1:20" ht="12" customHeight="1" x14ac:dyDescent="0.3">
      <c r="A253" s="340" t="s">
        <v>294</v>
      </c>
      <c r="B253" s="341">
        <v>22</v>
      </c>
      <c r="C253" s="309">
        <v>46124</v>
      </c>
      <c r="D253" s="310" t="s">
        <v>835</v>
      </c>
      <c r="E253" s="342">
        <v>9.57</v>
      </c>
      <c r="F253" s="342"/>
      <c r="G253" s="344">
        <f t="shared" si="3"/>
        <v>573.97999999998524</v>
      </c>
      <c r="H253" s="345"/>
      <c r="I253" s="346"/>
      <c r="J253" s="347"/>
      <c r="K253" s="312"/>
      <c r="L253" s="347"/>
      <c r="M253" s="312"/>
      <c r="N253" s="347"/>
      <c r="O253" s="312"/>
      <c r="P253" s="347"/>
      <c r="Q253" s="312"/>
      <c r="R253" s="347"/>
      <c r="S253" s="312"/>
      <c r="T253" s="347"/>
    </row>
    <row r="254" spans="1:20" ht="12" customHeight="1" x14ac:dyDescent="0.3">
      <c r="A254" s="340" t="s">
        <v>289</v>
      </c>
      <c r="B254" s="341">
        <v>3</v>
      </c>
      <c r="C254" s="309">
        <v>46124</v>
      </c>
      <c r="D254" s="310" t="s">
        <v>351</v>
      </c>
      <c r="E254" s="342">
        <v>25</v>
      </c>
      <c r="F254" s="342"/>
      <c r="G254" s="344">
        <f t="shared" si="3"/>
        <v>583.54999999998529</v>
      </c>
      <c r="H254" s="345"/>
      <c r="I254" s="346"/>
      <c r="J254" s="347"/>
      <c r="K254" s="312"/>
      <c r="L254" s="347"/>
      <c r="M254" s="312"/>
      <c r="N254" s="347"/>
      <c r="O254" s="312"/>
      <c r="P254" s="347"/>
      <c r="Q254" s="312"/>
      <c r="R254" s="347"/>
      <c r="S254" s="312"/>
      <c r="T254" s="347"/>
    </row>
    <row r="255" spans="1:20" ht="12" customHeight="1" x14ac:dyDescent="0.3">
      <c r="A255" s="340" t="s">
        <v>294</v>
      </c>
      <c r="B255" s="341">
        <v>22</v>
      </c>
      <c r="C255" s="309">
        <v>46123</v>
      </c>
      <c r="D255" s="310" t="s">
        <v>352</v>
      </c>
      <c r="E255" s="342">
        <v>19.16</v>
      </c>
      <c r="F255" s="342"/>
      <c r="G255" s="344">
        <f t="shared" si="3"/>
        <v>608.54999999998529</v>
      </c>
      <c r="H255" s="345"/>
      <c r="I255" s="346"/>
      <c r="J255" s="347"/>
      <c r="K255" s="312"/>
      <c r="L255" s="347"/>
      <c r="M255" s="312"/>
      <c r="N255" s="347"/>
      <c r="O255" s="312"/>
      <c r="P255" s="347"/>
      <c r="Q255" s="312"/>
      <c r="R255" s="347"/>
      <c r="S255" s="312"/>
      <c r="T255" s="347"/>
    </row>
    <row r="256" spans="1:20" ht="12" customHeight="1" x14ac:dyDescent="0.3">
      <c r="A256" s="340" t="s">
        <v>289</v>
      </c>
      <c r="B256" s="341">
        <v>2</v>
      </c>
      <c r="C256" s="309">
        <v>46123</v>
      </c>
      <c r="D256" s="310" t="s">
        <v>301</v>
      </c>
      <c r="E256" s="342">
        <v>20.91</v>
      </c>
      <c r="F256" s="342"/>
      <c r="G256" s="344">
        <f t="shared" si="3"/>
        <v>627.70999999998526</v>
      </c>
      <c r="H256" s="345"/>
      <c r="I256" s="346"/>
      <c r="J256" s="347"/>
      <c r="K256" s="312"/>
      <c r="L256" s="347"/>
      <c r="M256" s="312"/>
      <c r="N256" s="347"/>
      <c r="O256" s="312"/>
      <c r="P256" s="347"/>
      <c r="Q256" s="312"/>
      <c r="R256" s="347"/>
      <c r="S256" s="312"/>
      <c r="T256" s="347"/>
    </row>
    <row r="257" spans="1:20" ht="12" customHeight="1" x14ac:dyDescent="0.3">
      <c r="A257" s="340" t="s">
        <v>289</v>
      </c>
      <c r="B257" s="341">
        <v>2</v>
      </c>
      <c r="C257" s="309">
        <v>46123</v>
      </c>
      <c r="D257" s="310" t="s">
        <v>296</v>
      </c>
      <c r="E257" s="342">
        <v>12.44</v>
      </c>
      <c r="F257" s="342"/>
      <c r="G257" s="344">
        <f t="shared" si="3"/>
        <v>648.61999999998523</v>
      </c>
      <c r="H257" s="345"/>
      <c r="I257" s="346"/>
      <c r="J257" s="347"/>
      <c r="K257" s="312"/>
      <c r="L257" s="347"/>
      <c r="M257" s="312"/>
      <c r="N257" s="347"/>
      <c r="O257" s="312"/>
      <c r="P257" s="347"/>
      <c r="Q257" s="312"/>
      <c r="R257" s="347"/>
      <c r="S257" s="312"/>
      <c r="T257" s="347"/>
    </row>
    <row r="258" spans="1:20" ht="12" customHeight="1" x14ac:dyDescent="0.3">
      <c r="A258" s="340" t="s">
        <v>289</v>
      </c>
      <c r="B258" s="341">
        <v>2</v>
      </c>
      <c r="C258" s="309">
        <v>46123</v>
      </c>
      <c r="D258" s="310" t="s">
        <v>353</v>
      </c>
      <c r="E258" s="342">
        <v>41.34</v>
      </c>
      <c r="F258" s="342"/>
      <c r="G258" s="344">
        <f t="shared" si="3"/>
        <v>661.05999999998528</v>
      </c>
      <c r="H258" s="345"/>
      <c r="I258" s="346"/>
      <c r="J258" s="347"/>
      <c r="K258" s="312"/>
      <c r="L258" s="347"/>
      <c r="M258" s="312"/>
      <c r="N258" s="347"/>
      <c r="O258" s="312"/>
      <c r="P258" s="347"/>
      <c r="Q258" s="312"/>
      <c r="R258" s="347"/>
      <c r="S258" s="312"/>
      <c r="T258" s="347"/>
    </row>
    <row r="259" spans="1:20" ht="12" customHeight="1" x14ac:dyDescent="0.3">
      <c r="A259" s="340" t="s">
        <v>289</v>
      </c>
      <c r="B259" s="341">
        <v>6</v>
      </c>
      <c r="C259" s="309">
        <v>46122</v>
      </c>
      <c r="D259" s="310" t="s">
        <v>446</v>
      </c>
      <c r="E259" s="342">
        <v>-0.04</v>
      </c>
      <c r="F259" s="342"/>
      <c r="G259" s="344">
        <f t="shared" si="3"/>
        <v>702.39999999998531</v>
      </c>
      <c r="H259" s="345"/>
      <c r="I259" s="346"/>
      <c r="J259" s="347"/>
      <c r="K259" s="312"/>
      <c r="L259" s="347"/>
      <c r="M259" s="312"/>
      <c r="N259" s="347"/>
      <c r="O259" s="312"/>
      <c r="P259" s="347"/>
      <c r="Q259" s="312"/>
      <c r="R259" s="347"/>
      <c r="S259" s="312"/>
      <c r="T259" s="347"/>
    </row>
    <row r="260" spans="1:20" ht="12" customHeight="1" x14ac:dyDescent="0.3">
      <c r="A260" s="340" t="s">
        <v>289</v>
      </c>
      <c r="B260" s="341">
        <v>5</v>
      </c>
      <c r="C260" s="309">
        <v>46122</v>
      </c>
      <c r="D260" s="310" t="s">
        <v>354</v>
      </c>
      <c r="E260" s="342">
        <v>372</v>
      </c>
      <c r="F260" s="342"/>
      <c r="G260" s="344">
        <f t="shared" si="3"/>
        <v>702.35999999998535</v>
      </c>
      <c r="H260" s="345" t="s">
        <v>298</v>
      </c>
      <c r="I260" s="346"/>
      <c r="J260" s="347"/>
      <c r="K260" s="312"/>
      <c r="L260" s="347"/>
      <c r="M260" s="312"/>
      <c r="N260" s="347"/>
      <c r="O260" s="312"/>
      <c r="P260" s="347"/>
      <c r="Q260" s="312"/>
      <c r="R260" s="347"/>
      <c r="S260" s="312"/>
      <c r="T260" s="347"/>
    </row>
    <row r="261" spans="1:20" ht="12" customHeight="1" x14ac:dyDescent="0.3">
      <c r="A261" s="340" t="s">
        <v>289</v>
      </c>
      <c r="B261" s="341">
        <v>2</v>
      </c>
      <c r="C261" s="309">
        <v>46122</v>
      </c>
      <c r="D261" s="310" t="s">
        <v>355</v>
      </c>
      <c r="E261" s="342">
        <v>15.22</v>
      </c>
      <c r="F261" s="342"/>
      <c r="G261" s="344">
        <f t="shared" si="3"/>
        <v>1074.3599999999853</v>
      </c>
      <c r="H261" s="345"/>
      <c r="I261" s="346"/>
      <c r="J261" s="347"/>
      <c r="K261" s="312"/>
      <c r="L261" s="347"/>
      <c r="M261" s="312"/>
      <c r="N261" s="347"/>
      <c r="O261" s="312"/>
      <c r="P261" s="347"/>
      <c r="Q261" s="312"/>
      <c r="R261" s="347"/>
      <c r="S261" s="312"/>
      <c r="T261" s="347"/>
    </row>
    <row r="262" spans="1:20" ht="12" customHeight="1" x14ac:dyDescent="0.3">
      <c r="A262" s="340" t="s">
        <v>289</v>
      </c>
      <c r="B262" s="341">
        <v>3</v>
      </c>
      <c r="C262" s="309">
        <v>46122</v>
      </c>
      <c r="D262" s="310" t="s">
        <v>296</v>
      </c>
      <c r="E262" s="342">
        <v>9.5500000000000007</v>
      </c>
      <c r="F262" s="342"/>
      <c r="G262" s="344">
        <f t="shared" si="3"/>
        <v>1089.5799999999854</v>
      </c>
      <c r="H262" s="345"/>
      <c r="I262" s="346"/>
      <c r="J262" s="347"/>
      <c r="K262" s="312"/>
      <c r="L262" s="347"/>
      <c r="M262" s="312"/>
      <c r="N262" s="347"/>
      <c r="O262" s="312"/>
      <c r="P262" s="347"/>
      <c r="Q262" s="312"/>
      <c r="R262" s="347"/>
      <c r="S262" s="312"/>
      <c r="T262" s="347"/>
    </row>
    <row r="263" spans="1:20" ht="12" customHeight="1" x14ac:dyDescent="0.3">
      <c r="A263" s="340" t="s">
        <v>289</v>
      </c>
      <c r="B263" s="341">
        <v>8</v>
      </c>
      <c r="C263" s="309">
        <v>46122</v>
      </c>
      <c r="D263" s="310" t="s">
        <v>356</v>
      </c>
      <c r="E263" s="342">
        <v>52.65</v>
      </c>
      <c r="F263" s="342"/>
      <c r="G263" s="344">
        <f t="shared" si="3"/>
        <v>1099.1299999999853</v>
      </c>
      <c r="H263" s="345"/>
      <c r="I263" s="346"/>
      <c r="J263" s="347"/>
      <c r="K263" s="312"/>
      <c r="L263" s="347"/>
      <c r="M263" s="312"/>
      <c r="N263" s="347"/>
      <c r="O263" s="312"/>
      <c r="P263" s="347"/>
      <c r="Q263" s="312"/>
      <c r="R263" s="347"/>
      <c r="S263" s="312"/>
      <c r="T263" s="347"/>
    </row>
    <row r="264" spans="1:20" ht="12" customHeight="1" x14ac:dyDescent="0.3">
      <c r="A264" s="340" t="s">
        <v>289</v>
      </c>
      <c r="B264" s="341">
        <v>1</v>
      </c>
      <c r="C264" s="309">
        <v>46122</v>
      </c>
      <c r="D264" s="310" t="s">
        <v>311</v>
      </c>
      <c r="E264" s="342">
        <v>68.989999999999995</v>
      </c>
      <c r="F264" s="342"/>
      <c r="G264" s="344">
        <f t="shared" si="3"/>
        <v>1151.7799999999854</v>
      </c>
      <c r="H264" s="345"/>
      <c r="I264" s="346"/>
      <c r="J264" s="347"/>
      <c r="K264" s="312"/>
      <c r="L264" s="347"/>
      <c r="M264" s="312"/>
      <c r="N264" s="347"/>
      <c r="O264" s="312"/>
      <c r="P264" s="347"/>
      <c r="Q264" s="312"/>
      <c r="R264" s="347"/>
      <c r="S264" s="312"/>
      <c r="T264" s="347"/>
    </row>
    <row r="265" spans="1:20" ht="12" customHeight="1" x14ac:dyDescent="0.3">
      <c r="A265" s="340" t="s">
        <v>289</v>
      </c>
      <c r="B265" s="341">
        <v>2</v>
      </c>
      <c r="C265" s="309">
        <v>46122</v>
      </c>
      <c r="D265" s="310" t="s">
        <v>324</v>
      </c>
      <c r="E265" s="342">
        <v>17.37</v>
      </c>
      <c r="F265" s="342"/>
      <c r="G265" s="344">
        <f t="shared" si="3"/>
        <v>1220.7699999999854</v>
      </c>
      <c r="H265" s="345"/>
      <c r="I265" s="346"/>
      <c r="J265" s="347"/>
      <c r="K265" s="312"/>
      <c r="L265" s="347"/>
      <c r="M265" s="312"/>
      <c r="N265" s="347"/>
      <c r="O265" s="312"/>
      <c r="P265" s="347"/>
      <c r="Q265" s="312"/>
      <c r="R265" s="347"/>
      <c r="S265" s="312"/>
      <c r="T265" s="347"/>
    </row>
    <row r="266" spans="1:20" ht="12" customHeight="1" x14ac:dyDescent="0.3">
      <c r="A266" s="340" t="s">
        <v>289</v>
      </c>
      <c r="B266" s="341">
        <v>8</v>
      </c>
      <c r="C266" s="309">
        <v>46121</v>
      </c>
      <c r="D266" s="310" t="s">
        <v>357</v>
      </c>
      <c r="E266" s="342">
        <v>64.42</v>
      </c>
      <c r="F266" s="342"/>
      <c r="G266" s="344">
        <f t="shared" si="3"/>
        <v>1238.1399999999853</v>
      </c>
      <c r="H266" s="345"/>
      <c r="I266" s="346"/>
      <c r="J266" s="347"/>
      <c r="K266" s="312"/>
      <c r="L266" s="347"/>
      <c r="M266" s="312"/>
      <c r="N266" s="347"/>
      <c r="O266" s="312"/>
      <c r="P266" s="347"/>
      <c r="Q266" s="312"/>
      <c r="R266" s="347"/>
      <c r="S266" s="312"/>
      <c r="T266" s="347"/>
    </row>
    <row r="267" spans="1:20" ht="12" customHeight="1" x14ac:dyDescent="0.3">
      <c r="A267" s="340" t="s">
        <v>289</v>
      </c>
      <c r="B267" s="341">
        <v>2</v>
      </c>
      <c r="C267" s="309">
        <v>46121</v>
      </c>
      <c r="D267" s="310" t="s">
        <v>358</v>
      </c>
      <c r="E267" s="342">
        <v>9.4700000000000006</v>
      </c>
      <c r="F267" s="342"/>
      <c r="G267" s="344">
        <f t="shared" si="3"/>
        <v>1302.5599999999854</v>
      </c>
      <c r="H267" s="345"/>
      <c r="I267" s="346"/>
      <c r="J267" s="347"/>
      <c r="K267" s="312"/>
      <c r="L267" s="347"/>
      <c r="M267" s="312"/>
      <c r="N267" s="347"/>
      <c r="O267" s="312"/>
      <c r="P267" s="347"/>
      <c r="Q267" s="312"/>
      <c r="R267" s="347"/>
      <c r="S267" s="312"/>
      <c r="T267" s="347"/>
    </row>
    <row r="268" spans="1:20" ht="12" customHeight="1" x14ac:dyDescent="0.3">
      <c r="A268" s="340" t="s">
        <v>289</v>
      </c>
      <c r="B268" s="341">
        <v>5</v>
      </c>
      <c r="C268" s="309">
        <v>46121</v>
      </c>
      <c r="D268" s="310" t="s">
        <v>855</v>
      </c>
      <c r="E268" s="342">
        <v>10.68</v>
      </c>
      <c r="F268" s="342"/>
      <c r="G268" s="344">
        <f t="shared" si="3"/>
        <v>1312.0299999999854</v>
      </c>
      <c r="H268" s="345"/>
      <c r="I268" s="346"/>
      <c r="J268" s="347"/>
      <c r="K268" s="312"/>
      <c r="L268" s="347"/>
      <c r="M268" s="312"/>
      <c r="N268" s="347"/>
      <c r="O268" s="312"/>
      <c r="P268" s="347"/>
      <c r="Q268" s="312"/>
      <c r="R268" s="347"/>
      <c r="S268" s="312"/>
      <c r="T268" s="347"/>
    </row>
    <row r="269" spans="1:20" ht="12" customHeight="1" x14ac:dyDescent="0.3">
      <c r="A269" s="340" t="s">
        <v>289</v>
      </c>
      <c r="B269" s="341">
        <v>7</v>
      </c>
      <c r="C269" s="309">
        <v>46121</v>
      </c>
      <c r="D269" s="310" t="s">
        <v>359</v>
      </c>
      <c r="E269" s="342">
        <v>68.010000000000005</v>
      </c>
      <c r="F269" s="342"/>
      <c r="G269" s="344">
        <f t="shared" si="3"/>
        <v>1322.7099999999855</v>
      </c>
      <c r="H269" s="345"/>
      <c r="I269" s="346"/>
      <c r="J269" s="347"/>
      <c r="K269" s="312"/>
      <c r="L269" s="347"/>
      <c r="M269" s="312"/>
      <c r="N269" s="347"/>
      <c r="O269" s="312"/>
      <c r="P269" s="347"/>
      <c r="Q269" s="312"/>
      <c r="R269" s="347"/>
      <c r="S269" s="312"/>
      <c r="T269" s="347"/>
    </row>
    <row r="270" spans="1:20" ht="12" customHeight="1" x14ac:dyDescent="0.3">
      <c r="A270" s="340" t="s">
        <v>289</v>
      </c>
      <c r="B270" s="341">
        <v>4</v>
      </c>
      <c r="C270" s="309">
        <v>46121</v>
      </c>
      <c r="D270" s="310" t="s">
        <v>310</v>
      </c>
      <c r="E270" s="342">
        <v>40.85</v>
      </c>
      <c r="F270" s="342"/>
      <c r="G270" s="344">
        <f t="shared" si="3"/>
        <v>1390.7199999999855</v>
      </c>
      <c r="H270" s="345"/>
      <c r="I270" s="346"/>
      <c r="J270" s="347"/>
      <c r="K270" s="312"/>
      <c r="L270" s="347"/>
      <c r="M270" s="312"/>
      <c r="N270" s="347"/>
      <c r="O270" s="312"/>
      <c r="P270" s="347"/>
      <c r="Q270" s="312"/>
      <c r="R270" s="347"/>
      <c r="S270" s="312"/>
      <c r="T270" s="347"/>
    </row>
    <row r="271" spans="1:20" ht="12" customHeight="1" x14ac:dyDescent="0.3">
      <c r="A271" s="340" t="s">
        <v>289</v>
      </c>
      <c r="B271" s="341">
        <v>6</v>
      </c>
      <c r="C271" s="309">
        <v>46121</v>
      </c>
      <c r="D271" s="310" t="s">
        <v>360</v>
      </c>
      <c r="E271" s="342">
        <v>25</v>
      </c>
      <c r="F271" s="342"/>
      <c r="G271" s="344">
        <f t="shared" si="3"/>
        <v>1431.5699999999854</v>
      </c>
      <c r="H271" s="345"/>
      <c r="I271" s="346"/>
      <c r="J271" s="347"/>
      <c r="K271" s="312"/>
      <c r="L271" s="347"/>
      <c r="M271" s="312"/>
      <c r="N271" s="347"/>
      <c r="O271" s="312"/>
      <c r="P271" s="347"/>
      <c r="Q271" s="312"/>
      <c r="R271" s="347"/>
      <c r="S271" s="312"/>
      <c r="T271" s="347"/>
    </row>
    <row r="272" spans="1:20" ht="12" customHeight="1" x14ac:dyDescent="0.3">
      <c r="A272" s="340" t="s">
        <v>294</v>
      </c>
      <c r="B272" s="341">
        <v>18</v>
      </c>
      <c r="C272" s="309">
        <v>46120</v>
      </c>
      <c r="D272" s="310" t="s">
        <v>361</v>
      </c>
      <c r="E272" s="342">
        <v>400</v>
      </c>
      <c r="F272" s="342"/>
      <c r="G272" s="344">
        <f t="shared" si="3"/>
        <v>1456.5699999999854</v>
      </c>
      <c r="H272" s="345"/>
      <c r="I272" s="346"/>
      <c r="J272" s="347"/>
      <c r="K272" s="312"/>
      <c r="L272" s="347"/>
      <c r="M272" s="312"/>
      <c r="N272" s="347"/>
      <c r="O272" s="312"/>
      <c r="P272" s="347"/>
      <c r="Q272" s="312"/>
      <c r="R272" s="347"/>
      <c r="S272" s="312"/>
      <c r="T272" s="347"/>
    </row>
    <row r="273" spans="1:20" ht="12" customHeight="1" x14ac:dyDescent="0.3">
      <c r="A273" s="340" t="s">
        <v>335</v>
      </c>
      <c r="B273" s="341" t="s">
        <v>335</v>
      </c>
      <c r="C273" s="309">
        <v>46120</v>
      </c>
      <c r="D273" s="310" t="s">
        <v>447</v>
      </c>
      <c r="E273" s="342">
        <v>44.96</v>
      </c>
      <c r="F273" s="342"/>
      <c r="G273" s="344">
        <f t="shared" si="3"/>
        <v>1856.5699999999854</v>
      </c>
      <c r="H273" s="345"/>
      <c r="I273" s="346"/>
      <c r="J273" s="347"/>
      <c r="K273" s="312"/>
      <c r="L273" s="347"/>
      <c r="M273" s="312"/>
      <c r="N273" s="347"/>
      <c r="O273" s="312"/>
      <c r="P273" s="347"/>
      <c r="Q273" s="312"/>
      <c r="R273" s="347"/>
      <c r="S273" s="312"/>
      <c r="T273" s="347"/>
    </row>
    <row r="274" spans="1:20" ht="12" customHeight="1" x14ac:dyDescent="0.3">
      <c r="A274" s="340" t="s">
        <v>294</v>
      </c>
      <c r="B274" s="341">
        <v>13</v>
      </c>
      <c r="C274" s="309">
        <v>46120</v>
      </c>
      <c r="D274" s="310" t="s">
        <v>182</v>
      </c>
      <c r="E274" s="342">
        <v>104.98</v>
      </c>
      <c r="F274" s="342"/>
      <c r="G274" s="344">
        <f t="shared" si="3"/>
        <v>1901.5299999999854</v>
      </c>
      <c r="H274" s="345"/>
      <c r="I274" s="346"/>
      <c r="J274" s="347"/>
      <c r="K274" s="312"/>
      <c r="L274" s="347"/>
      <c r="M274" s="312"/>
      <c r="N274" s="347"/>
      <c r="O274" s="312"/>
      <c r="P274" s="347"/>
      <c r="Q274" s="312"/>
      <c r="R274" s="347"/>
      <c r="S274" s="312"/>
      <c r="T274" s="347"/>
    </row>
    <row r="275" spans="1:20" ht="12" customHeight="1" x14ac:dyDescent="0.3">
      <c r="A275" s="340" t="s">
        <v>289</v>
      </c>
      <c r="B275" s="341">
        <v>2</v>
      </c>
      <c r="C275" s="309">
        <v>46120</v>
      </c>
      <c r="D275" s="310" t="s">
        <v>296</v>
      </c>
      <c r="E275" s="342">
        <v>13.8</v>
      </c>
      <c r="F275" s="342"/>
      <c r="G275" s="344">
        <f t="shared" si="3"/>
        <v>2006.5099999999854</v>
      </c>
      <c r="H275" s="345"/>
      <c r="I275" s="346"/>
      <c r="J275" s="347"/>
      <c r="K275" s="312"/>
      <c r="L275" s="347"/>
      <c r="M275" s="312"/>
      <c r="N275" s="347"/>
      <c r="O275" s="312"/>
      <c r="P275" s="347"/>
      <c r="Q275" s="312"/>
      <c r="R275" s="347"/>
      <c r="S275" s="312"/>
      <c r="T275" s="347"/>
    </row>
    <row r="276" spans="1:20" ht="12" customHeight="1" x14ac:dyDescent="0.3">
      <c r="A276" s="340" t="s">
        <v>289</v>
      </c>
      <c r="B276" s="341">
        <v>4</v>
      </c>
      <c r="C276" s="309">
        <v>46120</v>
      </c>
      <c r="D276" s="310" t="s">
        <v>295</v>
      </c>
      <c r="E276" s="342">
        <v>37.92</v>
      </c>
      <c r="F276" s="342"/>
      <c r="G276" s="344">
        <f t="shared" si="3"/>
        <v>2020.3099999999854</v>
      </c>
      <c r="H276" s="345"/>
      <c r="I276" s="346"/>
      <c r="J276" s="347"/>
      <c r="K276" s="312"/>
      <c r="L276" s="347"/>
      <c r="M276" s="312"/>
      <c r="N276" s="347"/>
      <c r="O276" s="312"/>
      <c r="P276" s="347"/>
      <c r="Q276" s="312"/>
      <c r="R276" s="347"/>
      <c r="S276" s="312"/>
      <c r="T276" s="347"/>
    </row>
    <row r="277" spans="1:20" ht="12" customHeight="1" x14ac:dyDescent="0.3">
      <c r="A277" s="340" t="s">
        <v>289</v>
      </c>
      <c r="B277" s="341">
        <v>6</v>
      </c>
      <c r="C277" s="309">
        <v>46120</v>
      </c>
      <c r="D277" s="310" t="s">
        <v>300</v>
      </c>
      <c r="E277" s="342">
        <v>56.68</v>
      </c>
      <c r="F277" s="342"/>
      <c r="G277" s="344">
        <f t="shared" si="3"/>
        <v>2058.2299999999855</v>
      </c>
      <c r="H277" s="345"/>
      <c r="I277" s="346"/>
      <c r="J277" s="347"/>
      <c r="K277" s="312"/>
      <c r="L277" s="347"/>
      <c r="M277" s="312"/>
      <c r="N277" s="347"/>
      <c r="O277" s="312"/>
      <c r="P277" s="347"/>
      <c r="Q277" s="312"/>
      <c r="R277" s="347"/>
      <c r="S277" s="312"/>
      <c r="T277" s="347"/>
    </row>
    <row r="278" spans="1:20" ht="12" customHeight="1" x14ac:dyDescent="0.3">
      <c r="A278" s="340" t="s">
        <v>289</v>
      </c>
      <c r="B278" s="341">
        <v>6</v>
      </c>
      <c r="C278" s="309">
        <v>46120</v>
      </c>
      <c r="D278" s="310" t="s">
        <v>362</v>
      </c>
      <c r="E278" s="342">
        <v>29.26</v>
      </c>
      <c r="F278" s="342"/>
      <c r="G278" s="344">
        <f t="shared" si="3"/>
        <v>2114.9099999999853</v>
      </c>
      <c r="H278" s="345"/>
      <c r="I278" s="346"/>
      <c r="J278" s="347"/>
      <c r="K278" s="312"/>
      <c r="L278" s="347"/>
      <c r="M278" s="312"/>
      <c r="N278" s="347"/>
      <c r="O278" s="312"/>
      <c r="P278" s="347"/>
      <c r="Q278" s="312"/>
      <c r="R278" s="347"/>
      <c r="S278" s="312"/>
      <c r="T278" s="347"/>
    </row>
    <row r="279" spans="1:20" ht="12" customHeight="1" x14ac:dyDescent="0.3">
      <c r="A279" s="340" t="s">
        <v>294</v>
      </c>
      <c r="B279" s="341">
        <v>9</v>
      </c>
      <c r="C279" s="309">
        <v>46119</v>
      </c>
      <c r="D279" s="310" t="s">
        <v>58</v>
      </c>
      <c r="E279" s="342">
        <v>1281.53</v>
      </c>
      <c r="F279" s="342"/>
      <c r="G279" s="344">
        <f t="shared" si="3"/>
        <v>2144.1699999999855</v>
      </c>
      <c r="H279" s="345"/>
      <c r="I279" s="346"/>
      <c r="J279" s="347"/>
      <c r="K279" s="312"/>
      <c r="L279" s="347"/>
      <c r="M279" s="312"/>
      <c r="N279" s="347"/>
      <c r="O279" s="312"/>
      <c r="P279" s="347"/>
      <c r="Q279" s="312"/>
      <c r="R279" s="347"/>
      <c r="S279" s="312"/>
      <c r="T279" s="347"/>
    </row>
    <row r="280" spans="1:20" ht="12" customHeight="1" x14ac:dyDescent="0.3">
      <c r="A280" s="340" t="s">
        <v>289</v>
      </c>
      <c r="B280" s="341">
        <v>4</v>
      </c>
      <c r="C280" s="309">
        <v>46119</v>
      </c>
      <c r="D280" s="310" t="s">
        <v>363</v>
      </c>
      <c r="E280" s="342">
        <v>25.84</v>
      </c>
      <c r="F280" s="342"/>
      <c r="G280" s="344">
        <f t="shared" si="3"/>
        <v>3425.6999999999853</v>
      </c>
      <c r="H280" s="345"/>
      <c r="I280" s="346"/>
      <c r="J280" s="347"/>
      <c r="K280" s="312"/>
      <c r="L280" s="347"/>
      <c r="M280" s="312"/>
      <c r="N280" s="347"/>
      <c r="O280" s="312"/>
      <c r="P280" s="347"/>
      <c r="Q280" s="312"/>
      <c r="R280" s="347"/>
      <c r="S280" s="312"/>
      <c r="T280" s="347"/>
    </row>
    <row r="281" spans="1:20" ht="12" customHeight="1" x14ac:dyDescent="0.3">
      <c r="A281" s="340" t="s">
        <v>289</v>
      </c>
      <c r="B281" s="341">
        <v>8</v>
      </c>
      <c r="C281" s="309">
        <v>46119</v>
      </c>
      <c r="D281" s="310" t="s">
        <v>319</v>
      </c>
      <c r="E281" s="342">
        <v>12.05</v>
      </c>
      <c r="F281" s="342"/>
      <c r="G281" s="344">
        <f t="shared" si="3"/>
        <v>3451.5399999999854</v>
      </c>
      <c r="H281" s="345"/>
      <c r="I281" s="346"/>
      <c r="J281" s="347"/>
      <c r="K281" s="312"/>
      <c r="L281" s="347"/>
      <c r="M281" s="312"/>
      <c r="N281" s="347"/>
      <c r="O281" s="312"/>
      <c r="P281" s="347"/>
      <c r="Q281" s="312"/>
      <c r="R281" s="347"/>
      <c r="S281" s="312"/>
      <c r="T281" s="347"/>
    </row>
    <row r="282" spans="1:20" ht="12" customHeight="1" x14ac:dyDescent="0.3">
      <c r="A282" s="340" t="s">
        <v>289</v>
      </c>
      <c r="B282" s="341">
        <v>4</v>
      </c>
      <c r="C282" s="309">
        <v>46119</v>
      </c>
      <c r="D282" s="310" t="s">
        <v>334</v>
      </c>
      <c r="E282" s="342">
        <v>82.04</v>
      </c>
      <c r="F282" s="342"/>
      <c r="G282" s="344">
        <f t="shared" si="3"/>
        <v>3463.5899999999856</v>
      </c>
      <c r="H282" s="345"/>
      <c r="I282" s="346"/>
      <c r="J282" s="347"/>
      <c r="K282" s="312"/>
      <c r="L282" s="347"/>
      <c r="M282" s="312"/>
      <c r="N282" s="347"/>
      <c r="O282" s="312"/>
      <c r="P282" s="347"/>
      <c r="Q282" s="312"/>
      <c r="R282" s="347"/>
      <c r="S282" s="312"/>
      <c r="T282" s="347"/>
    </row>
    <row r="283" spans="1:20" ht="12" customHeight="1" x14ac:dyDescent="0.3">
      <c r="A283" s="340" t="s">
        <v>289</v>
      </c>
      <c r="B283" s="341">
        <v>2</v>
      </c>
      <c r="C283" s="309">
        <v>46119</v>
      </c>
      <c r="D283" s="310" t="s">
        <v>364</v>
      </c>
      <c r="E283" s="342">
        <v>22.92</v>
      </c>
      <c r="F283" s="342"/>
      <c r="G283" s="344">
        <f t="shared" si="3"/>
        <v>3545.6299999999856</v>
      </c>
      <c r="H283" s="345"/>
      <c r="I283" s="346"/>
      <c r="J283" s="347"/>
      <c r="K283" s="312"/>
      <c r="L283" s="347"/>
      <c r="M283" s="312"/>
      <c r="N283" s="347"/>
      <c r="O283" s="312"/>
      <c r="P283" s="347"/>
      <c r="Q283" s="312"/>
      <c r="R283" s="347"/>
      <c r="S283" s="312"/>
      <c r="T283" s="347"/>
    </row>
    <row r="284" spans="1:20" ht="12" customHeight="1" x14ac:dyDescent="0.3">
      <c r="A284" s="340" t="s">
        <v>289</v>
      </c>
      <c r="B284" s="341">
        <v>5</v>
      </c>
      <c r="C284" s="309">
        <v>46118</v>
      </c>
      <c r="D284" s="310" t="s">
        <v>365</v>
      </c>
      <c r="E284" s="342">
        <v>400</v>
      </c>
      <c r="F284" s="342"/>
      <c r="G284" s="344">
        <f t="shared" si="3"/>
        <v>3568.5499999999856</v>
      </c>
      <c r="H284" s="345"/>
      <c r="I284" s="346"/>
      <c r="J284" s="347"/>
      <c r="K284" s="312"/>
      <c r="L284" s="347"/>
      <c r="M284" s="312"/>
      <c r="N284" s="347"/>
      <c r="O284" s="312"/>
      <c r="P284" s="347"/>
      <c r="Q284" s="312"/>
      <c r="R284" s="347"/>
      <c r="S284" s="312"/>
      <c r="T284" s="347"/>
    </row>
    <row r="285" spans="1:20" ht="12" customHeight="1" x14ac:dyDescent="0.3">
      <c r="A285" s="340" t="s">
        <v>294</v>
      </c>
      <c r="B285" s="341">
        <v>14</v>
      </c>
      <c r="C285" s="309">
        <v>46118</v>
      </c>
      <c r="D285" s="310" t="s">
        <v>366</v>
      </c>
      <c r="E285" s="342">
        <v>66.67</v>
      </c>
      <c r="F285" s="342"/>
      <c r="G285" s="344">
        <f t="shared" si="3"/>
        <v>3968.5499999999856</v>
      </c>
      <c r="H285" s="345"/>
      <c r="I285" s="346"/>
      <c r="J285" s="347"/>
      <c r="K285" s="312"/>
      <c r="L285" s="347"/>
      <c r="M285" s="312"/>
      <c r="N285" s="347"/>
      <c r="O285" s="312"/>
      <c r="P285" s="347"/>
      <c r="Q285" s="312"/>
      <c r="R285" s="347"/>
      <c r="S285" s="312"/>
      <c r="T285" s="347"/>
    </row>
    <row r="286" spans="1:20" ht="12" customHeight="1" x14ac:dyDescent="0.3">
      <c r="A286" s="340" t="s">
        <v>294</v>
      </c>
      <c r="B286" s="341">
        <v>14</v>
      </c>
      <c r="C286" s="309">
        <v>46118</v>
      </c>
      <c r="D286" s="310" t="s">
        <v>367</v>
      </c>
      <c r="E286" s="342">
        <v>70.25</v>
      </c>
      <c r="F286" s="342"/>
      <c r="G286" s="344">
        <f t="shared" si="3"/>
        <v>4035.2199999999857</v>
      </c>
      <c r="H286" s="345"/>
      <c r="I286" s="346"/>
      <c r="J286" s="347"/>
      <c r="K286" s="312"/>
      <c r="L286" s="347"/>
      <c r="M286" s="312"/>
      <c r="N286" s="347"/>
      <c r="O286" s="312"/>
      <c r="P286" s="347"/>
      <c r="Q286" s="312"/>
      <c r="R286" s="347"/>
      <c r="S286" s="312"/>
      <c r="T286" s="347"/>
    </row>
    <row r="287" spans="1:20" ht="12" customHeight="1" x14ac:dyDescent="0.3">
      <c r="A287" s="340" t="s">
        <v>289</v>
      </c>
      <c r="B287" s="341">
        <v>1</v>
      </c>
      <c r="C287" s="309">
        <v>46117</v>
      </c>
      <c r="D287" s="310" t="s">
        <v>368</v>
      </c>
      <c r="E287" s="342">
        <v>25.6</v>
      </c>
      <c r="F287" s="342"/>
      <c r="G287" s="344">
        <f t="shared" si="3"/>
        <v>4105.4699999999857</v>
      </c>
      <c r="H287" s="345"/>
      <c r="I287" s="346"/>
      <c r="J287" s="347"/>
      <c r="K287" s="312"/>
      <c r="L287" s="347"/>
      <c r="M287" s="312"/>
      <c r="N287" s="347"/>
      <c r="O287" s="312"/>
      <c r="P287" s="347"/>
      <c r="Q287" s="312"/>
      <c r="R287" s="347"/>
      <c r="S287" s="312"/>
      <c r="T287" s="347"/>
    </row>
    <row r="288" spans="1:20" ht="12" customHeight="1" x14ac:dyDescent="0.3">
      <c r="A288" s="340" t="s">
        <v>289</v>
      </c>
      <c r="B288" s="341">
        <v>8</v>
      </c>
      <c r="C288" s="309">
        <v>46117</v>
      </c>
      <c r="D288" s="310" t="s">
        <v>319</v>
      </c>
      <c r="E288" s="342">
        <v>8.56</v>
      </c>
      <c r="F288" s="342"/>
      <c r="G288" s="344">
        <f t="shared" si="3"/>
        <v>4131.0699999999861</v>
      </c>
      <c r="H288" s="345"/>
      <c r="I288" s="346"/>
      <c r="J288" s="347"/>
      <c r="K288" s="312"/>
      <c r="L288" s="347"/>
      <c r="M288" s="312"/>
      <c r="N288" s="347"/>
      <c r="O288" s="312"/>
      <c r="P288" s="347"/>
      <c r="Q288" s="312"/>
      <c r="R288" s="347"/>
      <c r="S288" s="312"/>
      <c r="T288" s="347"/>
    </row>
    <row r="289" spans="1:20" ht="12" customHeight="1" x14ac:dyDescent="0.3">
      <c r="A289" s="340" t="s">
        <v>289</v>
      </c>
      <c r="B289" s="341">
        <v>6</v>
      </c>
      <c r="C289" s="309">
        <v>46117</v>
      </c>
      <c r="D289" s="310" t="s">
        <v>369</v>
      </c>
      <c r="E289" s="342">
        <v>301.67</v>
      </c>
      <c r="F289" s="342"/>
      <c r="G289" s="344">
        <f t="shared" si="3"/>
        <v>4139.6299999999865</v>
      </c>
      <c r="H289" s="345"/>
      <c r="I289" s="346"/>
      <c r="J289" s="347"/>
      <c r="K289" s="312"/>
      <c r="L289" s="347"/>
      <c r="M289" s="312"/>
      <c r="N289" s="347"/>
      <c r="O289" s="312"/>
      <c r="P289" s="347"/>
      <c r="Q289" s="312"/>
      <c r="R289" s="347"/>
      <c r="S289" s="312"/>
      <c r="T289" s="347"/>
    </row>
    <row r="290" spans="1:20" ht="12" customHeight="1" x14ac:dyDescent="0.3">
      <c r="A290" s="340" t="s">
        <v>289</v>
      </c>
      <c r="B290" s="341">
        <v>1</v>
      </c>
      <c r="C290" s="309">
        <v>46116</v>
      </c>
      <c r="D290" s="310" t="s">
        <v>306</v>
      </c>
      <c r="E290" s="342">
        <v>176.85</v>
      </c>
      <c r="F290" s="342"/>
      <c r="G290" s="344">
        <f t="shared" si="3"/>
        <v>4441.2999999999865</v>
      </c>
      <c r="H290" s="345"/>
      <c r="I290" s="346"/>
      <c r="J290" s="347"/>
      <c r="K290" s="312"/>
      <c r="L290" s="347"/>
      <c r="M290" s="312"/>
      <c r="N290" s="347"/>
      <c r="O290" s="312"/>
      <c r="P290" s="347"/>
      <c r="Q290" s="312"/>
      <c r="R290" s="347"/>
      <c r="S290" s="312"/>
      <c r="T290" s="347"/>
    </row>
    <row r="291" spans="1:20" ht="12" customHeight="1" x14ac:dyDescent="0.3">
      <c r="A291" s="340" t="s">
        <v>289</v>
      </c>
      <c r="B291" s="341">
        <v>1</v>
      </c>
      <c r="C291" s="309">
        <v>46116</v>
      </c>
      <c r="D291" s="310" t="s">
        <v>311</v>
      </c>
      <c r="E291" s="342">
        <v>139.34</v>
      </c>
      <c r="F291" s="342"/>
      <c r="G291" s="344">
        <f t="shared" si="3"/>
        <v>4618.1499999999869</v>
      </c>
      <c r="H291" s="345"/>
      <c r="I291" s="346"/>
      <c r="J291" s="347"/>
      <c r="K291" s="312"/>
      <c r="L291" s="347"/>
      <c r="M291" s="312"/>
      <c r="N291" s="347"/>
      <c r="O291" s="312"/>
      <c r="P291" s="347"/>
      <c r="Q291" s="312"/>
      <c r="R291" s="347"/>
      <c r="S291" s="312"/>
      <c r="T291" s="347"/>
    </row>
    <row r="292" spans="1:20" ht="12" customHeight="1" x14ac:dyDescent="0.3">
      <c r="A292" s="340" t="s">
        <v>294</v>
      </c>
      <c r="B292" s="341">
        <v>17</v>
      </c>
      <c r="C292" s="309">
        <v>46116</v>
      </c>
      <c r="D292" s="310" t="s">
        <v>370</v>
      </c>
      <c r="E292" s="342">
        <v>99</v>
      </c>
      <c r="F292" s="342"/>
      <c r="G292" s="344">
        <f t="shared" si="3"/>
        <v>4757.489999999987</v>
      </c>
      <c r="H292" s="345"/>
      <c r="I292" s="346"/>
      <c r="J292" s="347"/>
      <c r="K292" s="312"/>
      <c r="L292" s="347"/>
      <c r="M292" s="312"/>
      <c r="N292" s="347"/>
      <c r="O292" s="312"/>
      <c r="P292" s="347"/>
      <c r="Q292" s="312"/>
      <c r="R292" s="347"/>
      <c r="S292" s="312"/>
      <c r="T292" s="347"/>
    </row>
    <row r="293" spans="1:20" ht="12" customHeight="1" x14ac:dyDescent="0.3">
      <c r="A293" s="340" t="s">
        <v>289</v>
      </c>
      <c r="B293" s="341">
        <v>2</v>
      </c>
      <c r="C293" s="309">
        <v>46116</v>
      </c>
      <c r="D293" s="310" t="s">
        <v>371</v>
      </c>
      <c r="E293" s="342">
        <v>34</v>
      </c>
      <c r="F293" s="342"/>
      <c r="G293" s="344">
        <f t="shared" si="3"/>
        <v>4856.489999999987</v>
      </c>
      <c r="H293" s="345"/>
      <c r="I293" s="346"/>
      <c r="J293" s="347"/>
      <c r="K293" s="312"/>
      <c r="L293" s="347"/>
      <c r="M293" s="312"/>
      <c r="N293" s="347"/>
      <c r="O293" s="312"/>
      <c r="P293" s="347"/>
      <c r="Q293" s="312"/>
      <c r="R293" s="347"/>
      <c r="S293" s="312"/>
      <c r="T293" s="347"/>
    </row>
    <row r="294" spans="1:20" ht="12" customHeight="1" x14ac:dyDescent="0.3">
      <c r="A294" s="340" t="s">
        <v>289</v>
      </c>
      <c r="B294" s="341">
        <v>3</v>
      </c>
      <c r="C294" s="309">
        <v>46116</v>
      </c>
      <c r="D294" s="310" t="s">
        <v>348</v>
      </c>
      <c r="E294" s="342">
        <v>10.24</v>
      </c>
      <c r="F294" s="342"/>
      <c r="G294" s="344">
        <f t="shared" si="3"/>
        <v>4890.489999999987</v>
      </c>
      <c r="H294" s="345"/>
      <c r="I294" s="346"/>
      <c r="J294" s="347"/>
      <c r="K294" s="312"/>
      <c r="L294" s="347"/>
      <c r="M294" s="312"/>
      <c r="N294" s="347"/>
      <c r="O294" s="312"/>
      <c r="P294" s="347"/>
      <c r="Q294" s="312"/>
      <c r="R294" s="347"/>
      <c r="S294" s="312"/>
      <c r="T294" s="347"/>
    </row>
    <row r="295" spans="1:20" ht="12" customHeight="1" x14ac:dyDescent="0.3">
      <c r="A295" s="340" t="s">
        <v>289</v>
      </c>
      <c r="B295" s="341">
        <v>7</v>
      </c>
      <c r="C295" s="309">
        <v>46115</v>
      </c>
      <c r="D295" s="310" t="s">
        <v>372</v>
      </c>
      <c r="E295" s="342">
        <v>100</v>
      </c>
      <c r="F295" s="342"/>
      <c r="G295" s="344">
        <f t="shared" si="3"/>
        <v>4900.7299999999868</v>
      </c>
      <c r="H295" s="345"/>
      <c r="I295" s="346"/>
      <c r="J295" s="347"/>
      <c r="K295" s="312"/>
      <c r="L295" s="347"/>
      <c r="M295" s="312"/>
      <c r="N295" s="347"/>
      <c r="O295" s="312"/>
      <c r="P295" s="347"/>
      <c r="Q295" s="312"/>
      <c r="R295" s="347"/>
      <c r="S295" s="312"/>
      <c r="T295" s="347"/>
    </row>
    <row r="296" spans="1:20" ht="12" customHeight="1" x14ac:dyDescent="0.3">
      <c r="A296" s="340" t="s">
        <v>289</v>
      </c>
      <c r="B296" s="341">
        <v>6</v>
      </c>
      <c r="C296" s="309">
        <v>46115</v>
      </c>
      <c r="D296" s="310" t="s">
        <v>300</v>
      </c>
      <c r="E296" s="342">
        <v>7.68</v>
      </c>
      <c r="F296" s="342"/>
      <c r="G296" s="344">
        <f t="shared" si="3"/>
        <v>5000.7299999999868</v>
      </c>
      <c r="H296" s="345"/>
      <c r="I296" s="346"/>
      <c r="J296" s="347"/>
      <c r="K296" s="312"/>
      <c r="L296" s="347"/>
      <c r="M296" s="312"/>
      <c r="N296" s="347"/>
      <c r="O296" s="312"/>
      <c r="P296" s="347"/>
      <c r="Q296" s="312"/>
      <c r="R296" s="347"/>
      <c r="S296" s="312"/>
      <c r="T296" s="347"/>
    </row>
    <row r="297" spans="1:20" ht="12" customHeight="1" x14ac:dyDescent="0.3">
      <c r="A297" s="340" t="s">
        <v>289</v>
      </c>
      <c r="B297" s="341">
        <v>2</v>
      </c>
      <c r="C297" s="309">
        <v>46115</v>
      </c>
      <c r="D297" s="310" t="s">
        <v>296</v>
      </c>
      <c r="E297" s="342">
        <v>8.7200000000000006</v>
      </c>
      <c r="F297" s="342"/>
      <c r="G297" s="344">
        <f t="shared" si="3"/>
        <v>5008.4099999999871</v>
      </c>
      <c r="H297" s="345"/>
      <c r="I297" s="346"/>
      <c r="J297" s="347"/>
      <c r="K297" s="312"/>
      <c r="L297" s="347"/>
      <c r="M297" s="312"/>
      <c r="N297" s="347"/>
      <c r="O297" s="312"/>
      <c r="P297" s="347"/>
      <c r="Q297" s="312"/>
      <c r="R297" s="347"/>
      <c r="S297" s="312"/>
      <c r="T297" s="347"/>
    </row>
    <row r="298" spans="1:20" ht="12" customHeight="1" x14ac:dyDescent="0.3">
      <c r="A298" s="340" t="s">
        <v>289</v>
      </c>
      <c r="B298" s="341">
        <v>8</v>
      </c>
      <c r="C298" s="309">
        <v>46114</v>
      </c>
      <c r="D298" s="310" t="s">
        <v>373</v>
      </c>
      <c r="E298" s="342">
        <v>81.739999999999995</v>
      </c>
      <c r="F298" s="342"/>
      <c r="G298" s="344">
        <f t="shared" si="3"/>
        <v>5017.1299999999874</v>
      </c>
      <c r="H298" s="345"/>
      <c r="I298" s="346"/>
      <c r="J298" s="347"/>
      <c r="K298" s="312"/>
      <c r="L298" s="347"/>
      <c r="M298" s="312"/>
      <c r="N298" s="347"/>
      <c r="O298" s="312"/>
      <c r="P298" s="347"/>
      <c r="Q298" s="312"/>
      <c r="R298" s="347"/>
      <c r="S298" s="312"/>
      <c r="T298" s="347"/>
    </row>
    <row r="299" spans="1:20" ht="12" customHeight="1" x14ac:dyDescent="0.3">
      <c r="A299" s="340" t="s">
        <v>284</v>
      </c>
      <c r="B299" s="341">
        <v>36</v>
      </c>
      <c r="C299" s="309">
        <v>46114</v>
      </c>
      <c r="D299" s="310" t="s">
        <v>374</v>
      </c>
      <c r="E299" s="342">
        <v>50</v>
      </c>
      <c r="F299" s="342"/>
      <c r="G299" s="344">
        <f t="shared" si="3"/>
        <v>5098.8699999999872</v>
      </c>
      <c r="H299" s="345"/>
      <c r="I299" s="346"/>
      <c r="J299" s="347"/>
      <c r="K299" s="312"/>
      <c r="L299" s="347"/>
      <c r="M299" s="312"/>
      <c r="N299" s="347"/>
      <c r="O299" s="312"/>
      <c r="P299" s="347"/>
      <c r="Q299" s="312"/>
      <c r="R299" s="347"/>
      <c r="S299" s="312"/>
      <c r="T299" s="347"/>
    </row>
    <row r="300" spans="1:20" ht="12" customHeight="1" x14ac:dyDescent="0.3">
      <c r="A300" s="340" t="s">
        <v>294</v>
      </c>
      <c r="B300" s="341">
        <v>22</v>
      </c>
      <c r="C300" s="309">
        <v>46114</v>
      </c>
      <c r="D300" s="310" t="s">
        <v>375</v>
      </c>
      <c r="E300" s="342">
        <v>6.37</v>
      </c>
      <c r="F300" s="342"/>
      <c r="G300" s="344">
        <f t="shared" si="3"/>
        <v>5148.8699999999872</v>
      </c>
      <c r="H300" s="345"/>
      <c r="I300" s="346"/>
      <c r="J300" s="347"/>
      <c r="K300" s="312"/>
      <c r="L300" s="347"/>
      <c r="M300" s="312"/>
      <c r="N300" s="347"/>
      <c r="O300" s="312"/>
      <c r="P300" s="347"/>
      <c r="Q300" s="312"/>
      <c r="R300" s="347"/>
      <c r="S300" s="312"/>
      <c r="T300" s="347"/>
    </row>
    <row r="301" spans="1:20" ht="12" customHeight="1" x14ac:dyDescent="0.3">
      <c r="A301" s="340" t="s">
        <v>289</v>
      </c>
      <c r="B301" s="341">
        <v>2</v>
      </c>
      <c r="C301" s="309">
        <v>46114</v>
      </c>
      <c r="D301" s="310" t="s">
        <v>326</v>
      </c>
      <c r="E301" s="342">
        <v>55.22</v>
      </c>
      <c r="F301" s="342"/>
      <c r="G301" s="344">
        <f t="shared" si="3"/>
        <v>5155.239999999987</v>
      </c>
      <c r="H301" s="345"/>
      <c r="I301" s="346"/>
      <c r="J301" s="347"/>
      <c r="K301" s="312"/>
      <c r="L301" s="347"/>
      <c r="M301" s="312"/>
      <c r="N301" s="347"/>
      <c r="O301" s="312"/>
      <c r="P301" s="347"/>
      <c r="Q301" s="312"/>
      <c r="R301" s="347"/>
      <c r="S301" s="312"/>
      <c r="T301" s="347"/>
    </row>
    <row r="302" spans="1:20" ht="12" customHeight="1" x14ac:dyDescent="0.3">
      <c r="A302" s="340" t="s">
        <v>289</v>
      </c>
      <c r="B302" s="341">
        <v>8</v>
      </c>
      <c r="C302" s="309">
        <v>46114</v>
      </c>
      <c r="D302" s="310" t="s">
        <v>319</v>
      </c>
      <c r="E302" s="342">
        <v>8.5</v>
      </c>
      <c r="F302" s="342"/>
      <c r="G302" s="344">
        <f t="shared" si="3"/>
        <v>5210.4599999999873</v>
      </c>
      <c r="H302" s="345"/>
      <c r="I302" s="346"/>
      <c r="J302" s="347"/>
      <c r="K302" s="312"/>
      <c r="L302" s="347"/>
      <c r="M302" s="312"/>
      <c r="N302" s="347"/>
      <c r="O302" s="312"/>
      <c r="P302" s="347"/>
      <c r="Q302" s="312"/>
      <c r="R302" s="347"/>
      <c r="S302" s="312"/>
      <c r="T302" s="347"/>
    </row>
    <row r="303" spans="1:20" ht="12" customHeight="1" x14ac:dyDescent="0.3">
      <c r="A303" s="340" t="s">
        <v>289</v>
      </c>
      <c r="B303" s="341">
        <v>4</v>
      </c>
      <c r="C303" s="309">
        <v>46114</v>
      </c>
      <c r="D303" s="310" t="s">
        <v>334</v>
      </c>
      <c r="E303" s="342">
        <v>38.99</v>
      </c>
      <c r="F303" s="342"/>
      <c r="G303" s="344">
        <f t="shared" si="3"/>
        <v>5218.9599999999873</v>
      </c>
      <c r="H303" s="345"/>
      <c r="I303" s="346"/>
      <c r="J303" s="347"/>
      <c r="K303" s="312"/>
      <c r="L303" s="347"/>
      <c r="M303" s="312"/>
      <c r="N303" s="347"/>
      <c r="O303" s="312"/>
      <c r="P303" s="347"/>
      <c r="Q303" s="312"/>
      <c r="R303" s="347"/>
      <c r="S303" s="312"/>
      <c r="T303" s="347"/>
    </row>
    <row r="304" spans="1:20" ht="12" customHeight="1" x14ac:dyDescent="0.3">
      <c r="A304" s="340" t="s">
        <v>291</v>
      </c>
      <c r="B304" s="341">
        <v>39</v>
      </c>
      <c r="C304" s="309">
        <v>46113</v>
      </c>
      <c r="D304" s="310" t="s">
        <v>292</v>
      </c>
      <c r="E304" s="342"/>
      <c r="F304" s="342">
        <v>2763.78</v>
      </c>
      <c r="G304" s="344">
        <f t="shared" si="3"/>
        <v>5257.9499999999871</v>
      </c>
      <c r="H304" s="345"/>
      <c r="I304" s="346"/>
      <c r="J304" s="347"/>
      <c r="K304" s="312"/>
      <c r="L304" s="347"/>
      <c r="M304" s="312"/>
      <c r="N304" s="347"/>
      <c r="O304" s="312"/>
      <c r="P304" s="347"/>
      <c r="Q304" s="312"/>
      <c r="R304" s="347"/>
      <c r="S304" s="312"/>
      <c r="T304" s="347"/>
    </row>
    <row r="305" spans="1:20" ht="12" customHeight="1" x14ac:dyDescent="0.3">
      <c r="A305" s="340" t="s">
        <v>289</v>
      </c>
      <c r="B305" s="341">
        <v>4</v>
      </c>
      <c r="C305" s="309">
        <v>46113</v>
      </c>
      <c r="D305" s="310" t="s">
        <v>296</v>
      </c>
      <c r="E305" s="342">
        <v>36.090000000000003</v>
      </c>
      <c r="F305" s="342"/>
      <c r="G305" s="344">
        <f t="shared" si="3"/>
        <v>2494.1699999999869</v>
      </c>
      <c r="H305" s="345"/>
      <c r="I305" s="346"/>
      <c r="J305" s="347"/>
      <c r="K305" s="312"/>
      <c r="L305" s="347"/>
      <c r="M305" s="312"/>
      <c r="N305" s="347"/>
      <c r="O305" s="312"/>
      <c r="P305" s="347"/>
      <c r="Q305" s="312"/>
      <c r="R305" s="347"/>
      <c r="S305" s="312"/>
      <c r="T305" s="347"/>
    </row>
    <row r="306" spans="1:20" ht="12" customHeight="1" x14ac:dyDescent="0.3">
      <c r="A306" s="340" t="s">
        <v>289</v>
      </c>
      <c r="B306" s="341">
        <v>4</v>
      </c>
      <c r="C306" s="309">
        <v>46113</v>
      </c>
      <c r="D306" s="310" t="s">
        <v>310</v>
      </c>
      <c r="E306" s="342">
        <v>80</v>
      </c>
      <c r="F306" s="342"/>
      <c r="G306" s="344">
        <f t="shared" si="3"/>
        <v>2530.259999999987</v>
      </c>
      <c r="H306" s="345"/>
      <c r="I306" s="346"/>
      <c r="J306" s="347"/>
      <c r="K306" s="312"/>
      <c r="L306" s="347"/>
      <c r="M306" s="312"/>
      <c r="N306" s="347"/>
      <c r="O306" s="312"/>
      <c r="P306" s="347"/>
      <c r="Q306" s="312"/>
      <c r="R306" s="347"/>
      <c r="S306" s="312"/>
      <c r="T306" s="347"/>
    </row>
    <row r="307" spans="1:20" ht="12" customHeight="1" x14ac:dyDescent="0.3">
      <c r="A307" s="340" t="s">
        <v>289</v>
      </c>
      <c r="B307" s="341">
        <v>7</v>
      </c>
      <c r="C307" s="309">
        <v>46113</v>
      </c>
      <c r="D307" s="310" t="s">
        <v>320</v>
      </c>
      <c r="E307" s="342">
        <v>47.84</v>
      </c>
      <c r="F307" s="342"/>
      <c r="G307" s="344">
        <f t="shared" si="3"/>
        <v>2610.259999999987</v>
      </c>
      <c r="H307" s="345"/>
      <c r="I307" s="346"/>
      <c r="J307" s="347"/>
      <c r="K307" s="312"/>
      <c r="L307" s="347"/>
      <c r="M307" s="312"/>
      <c r="N307" s="347"/>
      <c r="O307" s="312"/>
      <c r="P307" s="347"/>
      <c r="Q307" s="312"/>
      <c r="R307" s="347"/>
      <c r="S307" s="312"/>
      <c r="T307" s="347"/>
    </row>
    <row r="308" spans="1:20" ht="12" customHeight="1" x14ac:dyDescent="0.3">
      <c r="A308" s="340" t="s">
        <v>289</v>
      </c>
      <c r="B308" s="341">
        <v>7</v>
      </c>
      <c r="C308" s="309">
        <v>46113</v>
      </c>
      <c r="D308" s="310" t="s">
        <v>320</v>
      </c>
      <c r="E308" s="342">
        <v>21.25</v>
      </c>
      <c r="F308" s="342"/>
      <c r="G308" s="344">
        <f t="shared" si="3"/>
        <v>2658.0999999999872</v>
      </c>
      <c r="H308" s="345"/>
      <c r="I308" s="346"/>
      <c r="J308" s="347"/>
      <c r="K308" s="312"/>
      <c r="L308" s="347"/>
      <c r="M308" s="312"/>
      <c r="N308" s="347"/>
      <c r="O308" s="312"/>
      <c r="P308" s="347"/>
      <c r="Q308" s="312"/>
      <c r="R308" s="347"/>
      <c r="S308" s="312"/>
      <c r="T308" s="347"/>
    </row>
    <row r="309" spans="1:20" ht="12" customHeight="1" x14ac:dyDescent="0.3">
      <c r="A309" s="340" t="s">
        <v>289</v>
      </c>
      <c r="B309" s="341">
        <v>2</v>
      </c>
      <c r="C309" s="309">
        <v>46113</v>
      </c>
      <c r="D309" s="310" t="s">
        <v>376</v>
      </c>
      <c r="E309" s="342">
        <v>42.9</v>
      </c>
      <c r="F309" s="342"/>
      <c r="G309" s="344">
        <f t="shared" si="3"/>
        <v>2679.3499999999872</v>
      </c>
      <c r="H309" s="345"/>
      <c r="I309" s="346"/>
      <c r="J309" s="347"/>
      <c r="K309" s="312"/>
      <c r="L309" s="347"/>
      <c r="M309" s="312"/>
      <c r="N309" s="347"/>
      <c r="O309" s="312"/>
      <c r="P309" s="347"/>
      <c r="Q309" s="312"/>
      <c r="R309" s="347"/>
      <c r="S309" s="312"/>
      <c r="T309" s="347"/>
    </row>
    <row r="310" spans="1:20" ht="12" customHeight="1" x14ac:dyDescent="0.3">
      <c r="A310" s="340" t="s">
        <v>284</v>
      </c>
      <c r="B310" s="341">
        <v>37</v>
      </c>
      <c r="C310" s="309">
        <v>46112</v>
      </c>
      <c r="D310" s="310" t="s">
        <v>377</v>
      </c>
      <c r="E310" s="342">
        <v>4309.58</v>
      </c>
      <c r="F310" s="342"/>
      <c r="G310" s="344">
        <f t="shared" si="3"/>
        <v>2722.2499999999873</v>
      </c>
      <c r="H310" s="345"/>
      <c r="I310" s="346"/>
      <c r="J310" s="347"/>
      <c r="K310" s="312"/>
      <c r="L310" s="347"/>
      <c r="M310" s="312"/>
      <c r="N310" s="347"/>
      <c r="O310" s="312"/>
      <c r="P310" s="347"/>
      <c r="Q310" s="312"/>
      <c r="R310" s="347"/>
      <c r="S310" s="312"/>
      <c r="T310" s="347"/>
    </row>
    <row r="311" spans="1:20" ht="12" customHeight="1" x14ac:dyDescent="0.3">
      <c r="A311" s="340" t="s">
        <v>286</v>
      </c>
      <c r="B311" s="341">
        <v>25</v>
      </c>
      <c r="C311" s="309">
        <v>46112</v>
      </c>
      <c r="D311" s="309" t="s">
        <v>204</v>
      </c>
      <c r="E311" s="342">
        <v>350</v>
      </c>
      <c r="F311" s="342"/>
      <c r="G311" s="344">
        <f t="shared" si="3"/>
        <v>7031.8299999999872</v>
      </c>
      <c r="H311" s="345"/>
      <c r="I311" s="346"/>
      <c r="J311" s="347"/>
      <c r="K311" s="312"/>
      <c r="L311" s="347"/>
      <c r="M311" s="312"/>
      <c r="N311" s="347"/>
      <c r="O311" s="312"/>
      <c r="P311" s="347"/>
      <c r="Q311" s="312"/>
      <c r="R311" s="347"/>
      <c r="S311" s="312"/>
      <c r="T311" s="347"/>
    </row>
    <row r="312" spans="1:20" ht="12" customHeight="1" x14ac:dyDescent="0.3">
      <c r="A312" s="340" t="s">
        <v>286</v>
      </c>
      <c r="B312" s="341">
        <v>26</v>
      </c>
      <c r="C312" s="309">
        <v>46112</v>
      </c>
      <c r="D312" s="309" t="s">
        <v>205</v>
      </c>
      <c r="E312" s="342">
        <v>320</v>
      </c>
      <c r="F312" s="342"/>
      <c r="G312" s="344">
        <f t="shared" si="3"/>
        <v>7381.8299999999872</v>
      </c>
      <c r="H312" s="345"/>
      <c r="I312" s="346"/>
      <c r="J312" s="347"/>
      <c r="K312" s="312"/>
      <c r="L312" s="347"/>
      <c r="M312" s="312"/>
      <c r="N312" s="347"/>
      <c r="O312" s="312"/>
      <c r="P312" s="347"/>
      <c r="Q312" s="312"/>
      <c r="R312" s="347"/>
      <c r="S312" s="312"/>
      <c r="T312" s="347"/>
    </row>
    <row r="313" spans="1:20" ht="12" customHeight="1" x14ac:dyDescent="0.3">
      <c r="A313" s="340" t="s">
        <v>286</v>
      </c>
      <c r="B313" s="341">
        <v>27</v>
      </c>
      <c r="C313" s="309">
        <v>46112</v>
      </c>
      <c r="D313" s="309" t="s">
        <v>206</v>
      </c>
      <c r="E313" s="342">
        <v>25</v>
      </c>
      <c r="F313" s="342"/>
      <c r="G313" s="344">
        <f t="shared" si="3"/>
        <v>7701.8299999999872</v>
      </c>
      <c r="H313" s="345"/>
      <c r="I313" s="346"/>
      <c r="J313" s="347"/>
      <c r="K313" s="312"/>
      <c r="L313" s="347"/>
      <c r="M313" s="312"/>
      <c r="N313" s="347"/>
      <c r="O313" s="312"/>
      <c r="P313" s="347"/>
      <c r="Q313" s="312"/>
      <c r="R313" s="347"/>
      <c r="S313" s="312"/>
      <c r="T313" s="347"/>
    </row>
    <row r="314" spans="1:20" ht="12" customHeight="1" x14ac:dyDescent="0.3">
      <c r="A314" s="340" t="s">
        <v>286</v>
      </c>
      <c r="B314" s="341">
        <v>28</v>
      </c>
      <c r="C314" s="309">
        <v>46112</v>
      </c>
      <c r="D314" s="309" t="s">
        <v>207</v>
      </c>
      <c r="E314" s="342">
        <v>25</v>
      </c>
      <c r="F314" s="342"/>
      <c r="G314" s="344">
        <f t="shared" si="3"/>
        <v>7726.8299999999872</v>
      </c>
      <c r="H314" s="345"/>
      <c r="I314" s="346"/>
      <c r="J314" s="347"/>
      <c r="K314" s="312"/>
      <c r="L314" s="347"/>
      <c r="M314" s="312"/>
      <c r="N314" s="347"/>
      <c r="O314" s="312"/>
      <c r="P314" s="347"/>
      <c r="Q314" s="312"/>
      <c r="R314" s="347"/>
      <c r="S314" s="312"/>
      <c r="T314" s="347"/>
    </row>
    <row r="315" spans="1:20" ht="12" customHeight="1" x14ac:dyDescent="0.3">
      <c r="A315" s="340" t="s">
        <v>286</v>
      </c>
      <c r="B315" s="341">
        <v>29</v>
      </c>
      <c r="C315" s="309">
        <v>46112</v>
      </c>
      <c r="D315" s="309" t="s">
        <v>208</v>
      </c>
      <c r="E315" s="342">
        <v>45</v>
      </c>
      <c r="F315" s="342"/>
      <c r="G315" s="344">
        <f t="shared" si="3"/>
        <v>7751.8299999999872</v>
      </c>
      <c r="H315" s="345"/>
      <c r="I315" s="346"/>
      <c r="J315" s="347"/>
      <c r="K315" s="312"/>
      <c r="L315" s="347"/>
      <c r="M315" s="312"/>
      <c r="N315" s="347"/>
      <c r="O315" s="312"/>
      <c r="P315" s="347"/>
      <c r="Q315" s="312"/>
      <c r="R315" s="347"/>
      <c r="S315" s="312"/>
      <c r="T315" s="347"/>
    </row>
    <row r="316" spans="1:20" ht="12" customHeight="1" x14ac:dyDescent="0.3">
      <c r="A316" s="340" t="s">
        <v>286</v>
      </c>
      <c r="B316" s="341">
        <v>30</v>
      </c>
      <c r="C316" s="309">
        <v>46112</v>
      </c>
      <c r="D316" s="309" t="s">
        <v>209</v>
      </c>
      <c r="E316" s="342">
        <v>400</v>
      </c>
      <c r="F316" s="342"/>
      <c r="G316" s="344">
        <f t="shared" si="3"/>
        <v>7796.8299999999872</v>
      </c>
      <c r="H316" s="345"/>
      <c r="I316" s="346"/>
      <c r="J316" s="347"/>
      <c r="K316" s="312"/>
      <c r="L316" s="347"/>
      <c r="M316" s="312"/>
      <c r="N316" s="347"/>
      <c r="O316" s="312"/>
      <c r="P316" s="347"/>
      <c r="Q316" s="312"/>
      <c r="R316" s="347"/>
      <c r="S316" s="312"/>
      <c r="T316" s="347"/>
    </row>
    <row r="317" spans="1:20" ht="12" customHeight="1" x14ac:dyDescent="0.3">
      <c r="A317" s="340" t="s">
        <v>286</v>
      </c>
      <c r="B317" s="341">
        <v>31</v>
      </c>
      <c r="C317" s="309">
        <v>46112</v>
      </c>
      <c r="D317" s="309" t="s">
        <v>210</v>
      </c>
      <c r="E317" s="342">
        <v>375</v>
      </c>
      <c r="F317" s="342"/>
      <c r="G317" s="344">
        <f t="shared" si="3"/>
        <v>8196.8299999999872</v>
      </c>
      <c r="H317" s="345"/>
      <c r="I317" s="346"/>
      <c r="J317" s="347"/>
      <c r="K317" s="312"/>
      <c r="L317" s="347"/>
      <c r="M317" s="312"/>
      <c r="N317" s="347"/>
      <c r="O317" s="312"/>
      <c r="P317" s="347"/>
      <c r="Q317" s="312"/>
      <c r="R317" s="347"/>
      <c r="S317" s="312"/>
      <c r="T317" s="347"/>
    </row>
    <row r="318" spans="1:20" ht="12" customHeight="1" x14ac:dyDescent="0.3">
      <c r="A318" s="340" t="s">
        <v>286</v>
      </c>
      <c r="B318" s="341">
        <v>32</v>
      </c>
      <c r="C318" s="309">
        <v>46112</v>
      </c>
      <c r="D318" s="309" t="s">
        <v>211</v>
      </c>
      <c r="E318" s="342">
        <v>100</v>
      </c>
      <c r="F318" s="342"/>
      <c r="G318" s="344">
        <f t="shared" si="3"/>
        <v>8571.8299999999872</v>
      </c>
      <c r="H318" s="345"/>
      <c r="I318" s="346"/>
      <c r="J318" s="347"/>
      <c r="K318" s="312"/>
      <c r="L318" s="347"/>
      <c r="M318" s="312"/>
      <c r="N318" s="347"/>
      <c r="O318" s="312"/>
      <c r="P318" s="347"/>
      <c r="Q318" s="312"/>
      <c r="R318" s="347"/>
      <c r="S318" s="312"/>
      <c r="T318" s="347"/>
    </row>
    <row r="319" spans="1:20" ht="12" customHeight="1" x14ac:dyDescent="0.3">
      <c r="A319" s="340" t="s">
        <v>286</v>
      </c>
      <c r="B319" s="341">
        <v>33</v>
      </c>
      <c r="C319" s="309">
        <v>46112</v>
      </c>
      <c r="D319" s="309" t="s">
        <v>212</v>
      </c>
      <c r="E319" s="342">
        <v>85</v>
      </c>
      <c r="F319" s="342"/>
      <c r="G319" s="344">
        <f t="shared" si="3"/>
        <v>8671.8299999999872</v>
      </c>
      <c r="H319" s="345"/>
      <c r="I319" s="346"/>
      <c r="J319" s="347"/>
      <c r="K319" s="312"/>
      <c r="L319" s="347"/>
      <c r="M319" s="312"/>
      <c r="N319" s="347"/>
      <c r="O319" s="312"/>
      <c r="P319" s="347"/>
      <c r="Q319" s="312"/>
      <c r="R319" s="347"/>
      <c r="S319" s="312"/>
      <c r="T319" s="347"/>
    </row>
    <row r="320" spans="1:20" ht="12" customHeight="1" x14ac:dyDescent="0.3">
      <c r="A320" s="340" t="s">
        <v>286</v>
      </c>
      <c r="B320" s="341">
        <v>34</v>
      </c>
      <c r="C320" s="309">
        <v>46112</v>
      </c>
      <c r="D320" s="309" t="s">
        <v>213</v>
      </c>
      <c r="E320" s="342">
        <v>230</v>
      </c>
      <c r="F320" s="342"/>
      <c r="G320" s="344">
        <f t="shared" si="3"/>
        <v>8756.8299999999872</v>
      </c>
      <c r="H320" s="345"/>
      <c r="I320" s="346"/>
      <c r="J320" s="347"/>
      <c r="K320" s="312"/>
      <c r="L320" s="347"/>
      <c r="M320" s="312"/>
      <c r="N320" s="347"/>
      <c r="O320" s="312"/>
      <c r="P320" s="347"/>
      <c r="Q320" s="312"/>
      <c r="R320" s="347"/>
      <c r="S320" s="312"/>
      <c r="T320" s="347"/>
    </row>
    <row r="321" spans="1:20" ht="12" customHeight="1" x14ac:dyDescent="0.3">
      <c r="A321" s="340" t="s">
        <v>286</v>
      </c>
      <c r="B321" s="341">
        <v>35</v>
      </c>
      <c r="C321" s="309">
        <v>46112</v>
      </c>
      <c r="D321" s="309" t="s">
        <v>214</v>
      </c>
      <c r="E321" s="342">
        <v>45</v>
      </c>
      <c r="F321" s="342"/>
      <c r="G321" s="344">
        <f t="shared" si="3"/>
        <v>8986.8299999999872</v>
      </c>
      <c r="H321" s="345"/>
      <c r="I321" s="346"/>
      <c r="J321" s="347"/>
      <c r="K321" s="312"/>
      <c r="L321" s="347"/>
      <c r="M321" s="312"/>
      <c r="N321" s="347"/>
      <c r="O321" s="312"/>
      <c r="P321" s="347"/>
      <c r="Q321" s="312"/>
      <c r="R321" s="347"/>
      <c r="S321" s="312"/>
      <c r="T321" s="347"/>
    </row>
    <row r="322" spans="1:20" ht="12" customHeight="1" x14ac:dyDescent="0.3">
      <c r="A322" s="340" t="s">
        <v>289</v>
      </c>
      <c r="B322" s="341">
        <v>6</v>
      </c>
      <c r="C322" s="309">
        <v>46112</v>
      </c>
      <c r="D322" s="309" t="s">
        <v>378</v>
      </c>
      <c r="E322" s="342">
        <v>40</v>
      </c>
      <c r="F322" s="342"/>
      <c r="G322" s="344">
        <f t="shared" si="3"/>
        <v>9031.8299999999872</v>
      </c>
      <c r="H322" s="345"/>
      <c r="I322" s="346"/>
      <c r="J322" s="347"/>
      <c r="K322" s="312"/>
      <c r="L322" s="347"/>
      <c r="M322" s="312"/>
      <c r="N322" s="347"/>
      <c r="O322" s="312"/>
      <c r="P322" s="347"/>
      <c r="Q322" s="312"/>
      <c r="R322" s="347"/>
      <c r="S322" s="312"/>
      <c r="T322" s="347"/>
    </row>
    <row r="323" spans="1:20" ht="12" customHeight="1" x14ac:dyDescent="0.3">
      <c r="A323" s="340" t="s">
        <v>294</v>
      </c>
      <c r="B323" s="341">
        <v>42</v>
      </c>
      <c r="C323" s="309">
        <v>46112</v>
      </c>
      <c r="D323" s="309" t="s">
        <v>200</v>
      </c>
      <c r="E323" s="342">
        <v>59</v>
      </c>
      <c r="F323" s="342"/>
      <c r="G323" s="344">
        <f t="shared" si="3"/>
        <v>9071.8299999999872</v>
      </c>
      <c r="H323" s="345"/>
      <c r="I323" s="346"/>
      <c r="J323" s="347"/>
      <c r="K323" s="312"/>
      <c r="L323" s="347"/>
      <c r="M323" s="312"/>
      <c r="N323" s="347"/>
      <c r="O323" s="312"/>
      <c r="P323" s="347"/>
      <c r="Q323" s="312"/>
      <c r="R323" s="347"/>
      <c r="S323" s="312"/>
      <c r="T323" s="347"/>
    </row>
    <row r="324" spans="1:20" ht="12" customHeight="1" x14ac:dyDescent="0.3">
      <c r="A324" s="340" t="s">
        <v>294</v>
      </c>
      <c r="B324" s="341">
        <v>43</v>
      </c>
      <c r="C324" s="309">
        <v>46112</v>
      </c>
      <c r="D324" s="309" t="s">
        <v>201</v>
      </c>
      <c r="E324" s="342">
        <v>42.84</v>
      </c>
      <c r="F324" s="342"/>
      <c r="G324" s="344">
        <f t="shared" si="3"/>
        <v>9130.8299999999872</v>
      </c>
      <c r="H324" s="345"/>
      <c r="I324" s="346"/>
      <c r="J324" s="347"/>
      <c r="K324" s="312"/>
      <c r="L324" s="347"/>
      <c r="M324" s="312"/>
      <c r="N324" s="347"/>
      <c r="O324" s="312"/>
      <c r="P324" s="347"/>
      <c r="Q324" s="312"/>
      <c r="R324" s="347"/>
      <c r="S324" s="312"/>
      <c r="T324" s="347"/>
    </row>
    <row r="325" spans="1:20" ht="12" customHeight="1" x14ac:dyDescent="0.3">
      <c r="A325" s="340" t="s">
        <v>289</v>
      </c>
      <c r="B325" s="341">
        <v>6</v>
      </c>
      <c r="C325" s="309">
        <v>46112</v>
      </c>
      <c r="D325" s="309" t="s">
        <v>300</v>
      </c>
      <c r="E325" s="342">
        <v>57.21</v>
      </c>
      <c r="F325" s="342"/>
      <c r="G325" s="344">
        <f t="shared" si="3"/>
        <v>9173.6699999999873</v>
      </c>
      <c r="H325" s="345"/>
      <c r="I325" s="346"/>
      <c r="J325" s="347"/>
      <c r="K325" s="312"/>
      <c r="L325" s="347"/>
      <c r="M325" s="312"/>
      <c r="N325" s="347"/>
      <c r="O325" s="312"/>
      <c r="P325" s="347"/>
      <c r="Q325" s="312"/>
      <c r="R325" s="347"/>
      <c r="S325" s="312"/>
      <c r="T325" s="347"/>
    </row>
    <row r="326" spans="1:20" ht="12" customHeight="1" x14ac:dyDescent="0.3">
      <c r="A326" s="340" t="s">
        <v>289</v>
      </c>
      <c r="B326" s="341">
        <v>8</v>
      </c>
      <c r="C326" s="309">
        <v>46112</v>
      </c>
      <c r="D326" s="309" t="s">
        <v>296</v>
      </c>
      <c r="E326" s="342">
        <v>11.18</v>
      </c>
      <c r="F326" s="342"/>
      <c r="G326" s="344">
        <f t="shared" si="3"/>
        <v>9230.8799999999865</v>
      </c>
      <c r="H326" s="345"/>
      <c r="I326" s="346"/>
      <c r="J326" s="347"/>
      <c r="K326" s="312"/>
      <c r="L326" s="347"/>
      <c r="M326" s="312"/>
      <c r="N326" s="347"/>
      <c r="O326" s="312"/>
      <c r="P326" s="347"/>
      <c r="Q326" s="312"/>
      <c r="R326" s="347"/>
      <c r="S326" s="312"/>
      <c r="T326" s="347"/>
    </row>
    <row r="327" spans="1:20" ht="12" customHeight="1" x14ac:dyDescent="0.3">
      <c r="A327" s="340" t="s">
        <v>294</v>
      </c>
      <c r="B327" s="341">
        <v>10</v>
      </c>
      <c r="C327" s="309">
        <v>46112</v>
      </c>
      <c r="D327" s="309" t="s">
        <v>176</v>
      </c>
      <c r="E327" s="342">
        <v>17.899999999999999</v>
      </c>
      <c r="F327" s="342"/>
      <c r="G327" s="344">
        <f t="shared" si="3"/>
        <v>9242.0599999999868</v>
      </c>
      <c r="H327" s="345"/>
      <c r="I327" s="346"/>
      <c r="J327" s="347"/>
      <c r="K327" s="312"/>
      <c r="L327" s="347"/>
      <c r="M327" s="312"/>
      <c r="N327" s="347"/>
      <c r="O327" s="312"/>
      <c r="P327" s="347"/>
      <c r="Q327" s="312"/>
      <c r="R327" s="347"/>
      <c r="S327" s="312"/>
      <c r="T327" s="347"/>
    </row>
    <row r="328" spans="1:20" ht="12" customHeight="1" x14ac:dyDescent="0.3">
      <c r="A328" s="340" t="s">
        <v>289</v>
      </c>
      <c r="B328" s="341">
        <v>2</v>
      </c>
      <c r="C328" s="309">
        <v>46111</v>
      </c>
      <c r="D328" s="309" t="s">
        <v>334</v>
      </c>
      <c r="E328" s="342">
        <v>23.83</v>
      </c>
      <c r="F328" s="342"/>
      <c r="G328" s="344">
        <f t="shared" si="3"/>
        <v>9259.9599999999864</v>
      </c>
      <c r="H328" s="345"/>
      <c r="I328" s="346"/>
      <c r="J328" s="347"/>
      <c r="K328" s="312"/>
      <c r="L328" s="347"/>
      <c r="M328" s="312"/>
      <c r="N328" s="347"/>
      <c r="O328" s="312"/>
      <c r="P328" s="347"/>
      <c r="Q328" s="312"/>
      <c r="R328" s="347"/>
      <c r="S328" s="312"/>
      <c r="T328" s="347"/>
    </row>
    <row r="329" spans="1:20" ht="12" customHeight="1" x14ac:dyDescent="0.3">
      <c r="A329" s="340" t="s">
        <v>291</v>
      </c>
      <c r="B329" s="341">
        <v>38</v>
      </c>
      <c r="C329" s="309">
        <v>46111</v>
      </c>
      <c r="D329" s="310" t="s">
        <v>293</v>
      </c>
      <c r="E329" s="342"/>
      <c r="F329" s="342">
        <v>4278.1400000000003</v>
      </c>
      <c r="G329" s="344">
        <f t="shared" si="3"/>
        <v>9283.7899999999863</v>
      </c>
      <c r="H329" s="345"/>
      <c r="I329" s="346"/>
      <c r="J329" s="347"/>
      <c r="K329" s="312"/>
      <c r="L329" s="347"/>
      <c r="M329" s="312"/>
      <c r="N329" s="347"/>
      <c r="O329" s="312"/>
      <c r="P329" s="347"/>
      <c r="Q329" s="312"/>
      <c r="R329" s="347"/>
      <c r="S329" s="312"/>
      <c r="T329" s="347"/>
    </row>
    <row r="330" spans="1:20" ht="12" customHeight="1" x14ac:dyDescent="0.3">
      <c r="A330" s="340" t="s">
        <v>289</v>
      </c>
      <c r="B330" s="341">
        <v>3</v>
      </c>
      <c r="C330" s="309">
        <v>46111</v>
      </c>
      <c r="D330" s="310" t="s">
        <v>351</v>
      </c>
      <c r="E330" s="342">
        <v>30</v>
      </c>
      <c r="F330" s="342"/>
      <c r="G330" s="344">
        <f t="shared" si="3"/>
        <v>5005.649999999986</v>
      </c>
      <c r="H330" s="345"/>
      <c r="I330" s="346"/>
      <c r="J330" s="347"/>
      <c r="K330" s="312"/>
      <c r="L330" s="347"/>
      <c r="M330" s="312"/>
      <c r="N330" s="347"/>
      <c r="O330" s="312"/>
      <c r="P330" s="347"/>
      <c r="Q330" s="312"/>
      <c r="R330" s="347"/>
      <c r="S330" s="312"/>
      <c r="T330" s="347"/>
    </row>
    <row r="331" spans="1:20" ht="12" customHeight="1" x14ac:dyDescent="0.3">
      <c r="A331" s="340" t="s">
        <v>289</v>
      </c>
      <c r="B331" s="341">
        <v>6</v>
      </c>
      <c r="C331" s="309">
        <v>46111</v>
      </c>
      <c r="D331" s="310" t="s">
        <v>300</v>
      </c>
      <c r="E331" s="342">
        <v>15.96</v>
      </c>
      <c r="F331" s="342"/>
      <c r="G331" s="344">
        <f t="shared" si="3"/>
        <v>5035.649999999986</v>
      </c>
      <c r="H331" s="345"/>
      <c r="I331" s="346"/>
      <c r="J331" s="347"/>
      <c r="K331" s="312"/>
      <c r="L331" s="347"/>
      <c r="M331" s="312"/>
      <c r="N331" s="347"/>
      <c r="O331" s="312"/>
      <c r="P331" s="347"/>
      <c r="Q331" s="312"/>
      <c r="R331" s="347"/>
      <c r="S331" s="312"/>
      <c r="T331" s="347"/>
    </row>
    <row r="332" spans="1:20" ht="12" customHeight="1" x14ac:dyDescent="0.3">
      <c r="A332" s="340" t="s">
        <v>289</v>
      </c>
      <c r="B332" s="341">
        <v>3</v>
      </c>
      <c r="C332" s="309">
        <v>46111</v>
      </c>
      <c r="D332" s="310" t="s">
        <v>379</v>
      </c>
      <c r="E332" s="342">
        <v>18.96</v>
      </c>
      <c r="F332" s="342"/>
      <c r="G332" s="344">
        <f t="shared" si="3"/>
        <v>5051.609999999986</v>
      </c>
      <c r="H332" s="345"/>
      <c r="I332" s="346"/>
      <c r="J332" s="347"/>
      <c r="K332" s="312"/>
      <c r="L332" s="347"/>
      <c r="M332" s="312"/>
      <c r="N332" s="347"/>
      <c r="O332" s="312"/>
      <c r="P332" s="347"/>
      <c r="Q332" s="312"/>
      <c r="R332" s="347"/>
      <c r="S332" s="312"/>
      <c r="T332" s="347"/>
    </row>
    <row r="333" spans="1:20" ht="12" customHeight="1" x14ac:dyDescent="0.3">
      <c r="A333" s="340" t="s">
        <v>289</v>
      </c>
      <c r="B333" s="341">
        <v>1</v>
      </c>
      <c r="C333" s="309">
        <v>46110</v>
      </c>
      <c r="D333" s="310" t="s">
        <v>311</v>
      </c>
      <c r="E333" s="342">
        <v>144.22</v>
      </c>
      <c r="F333" s="342"/>
      <c r="G333" s="344">
        <f t="shared" si="3"/>
        <v>5070.5699999999861</v>
      </c>
      <c r="H333" s="345"/>
      <c r="I333" s="346"/>
      <c r="J333" s="347"/>
      <c r="K333" s="312"/>
      <c r="L333" s="347"/>
      <c r="M333" s="312"/>
      <c r="N333" s="347"/>
      <c r="O333" s="312"/>
      <c r="P333" s="347"/>
      <c r="Q333" s="312"/>
      <c r="R333" s="347"/>
      <c r="S333" s="312"/>
      <c r="T333" s="347"/>
    </row>
    <row r="334" spans="1:20" ht="12" customHeight="1" x14ac:dyDescent="0.3">
      <c r="A334" s="340" t="s">
        <v>289</v>
      </c>
      <c r="B334" s="341">
        <v>7</v>
      </c>
      <c r="C334" s="309">
        <v>46110</v>
      </c>
      <c r="D334" s="310" t="s">
        <v>380</v>
      </c>
      <c r="E334" s="342">
        <v>181.04</v>
      </c>
      <c r="F334" s="342"/>
      <c r="G334" s="344">
        <f t="shared" si="3"/>
        <v>5214.7899999999863</v>
      </c>
      <c r="H334" s="345"/>
      <c r="I334" s="346"/>
      <c r="J334" s="347"/>
      <c r="K334" s="312"/>
      <c r="L334" s="347"/>
      <c r="M334" s="312"/>
      <c r="N334" s="347"/>
      <c r="O334" s="312"/>
      <c r="P334" s="347"/>
      <c r="Q334" s="312"/>
      <c r="R334" s="347"/>
      <c r="S334" s="312"/>
      <c r="T334" s="347"/>
    </row>
    <row r="335" spans="1:20" ht="12" customHeight="1" x14ac:dyDescent="0.3">
      <c r="A335" s="340" t="s">
        <v>289</v>
      </c>
      <c r="B335" s="341">
        <v>6</v>
      </c>
      <c r="C335" s="309">
        <v>46110</v>
      </c>
      <c r="D335" s="310" t="s">
        <v>381</v>
      </c>
      <c r="E335" s="342">
        <v>196.9</v>
      </c>
      <c r="F335" s="342"/>
      <c r="G335" s="344">
        <f t="shared" si="3"/>
        <v>5395.8299999999863</v>
      </c>
      <c r="H335" s="345"/>
      <c r="I335" s="346"/>
      <c r="J335" s="347"/>
      <c r="K335" s="312"/>
      <c r="L335" s="347"/>
      <c r="M335" s="312"/>
      <c r="N335" s="347"/>
      <c r="O335" s="312"/>
      <c r="P335" s="347"/>
      <c r="Q335" s="312"/>
      <c r="R335" s="347"/>
      <c r="S335" s="312"/>
      <c r="T335" s="347"/>
    </row>
    <row r="336" spans="1:20" ht="12" customHeight="1" x14ac:dyDescent="0.3">
      <c r="A336" s="340" t="s">
        <v>289</v>
      </c>
      <c r="B336" s="341">
        <v>3</v>
      </c>
      <c r="C336" s="309">
        <v>46110</v>
      </c>
      <c r="D336" s="310" t="s">
        <v>382</v>
      </c>
      <c r="E336" s="342">
        <v>7.5</v>
      </c>
      <c r="F336" s="342"/>
      <c r="G336" s="344">
        <f t="shared" si="3"/>
        <v>5592.7299999999859</v>
      </c>
      <c r="H336" s="345"/>
      <c r="I336" s="346"/>
      <c r="J336" s="347"/>
      <c r="K336" s="312"/>
      <c r="L336" s="347"/>
      <c r="M336" s="312"/>
      <c r="N336" s="347"/>
      <c r="O336" s="312"/>
      <c r="P336" s="347"/>
      <c r="Q336" s="312"/>
      <c r="R336" s="347"/>
      <c r="S336" s="312"/>
      <c r="T336" s="347"/>
    </row>
    <row r="337" spans="1:20" ht="12" customHeight="1" x14ac:dyDescent="0.3">
      <c r="A337" s="340" t="s">
        <v>289</v>
      </c>
      <c r="B337" s="341">
        <v>8</v>
      </c>
      <c r="C337" s="309">
        <v>46109</v>
      </c>
      <c r="D337" s="310" t="s">
        <v>319</v>
      </c>
      <c r="E337" s="342">
        <v>11.7</v>
      </c>
      <c r="F337" s="342"/>
      <c r="G337" s="344">
        <f t="shared" si="3"/>
        <v>5600.2299999999859</v>
      </c>
      <c r="H337" s="345"/>
      <c r="I337" s="346"/>
      <c r="J337" s="347"/>
      <c r="K337" s="312"/>
      <c r="L337" s="347"/>
      <c r="M337" s="312"/>
      <c r="N337" s="347"/>
      <c r="O337" s="312"/>
      <c r="P337" s="347"/>
      <c r="Q337" s="312"/>
      <c r="R337" s="347"/>
      <c r="S337" s="312"/>
      <c r="T337" s="347"/>
    </row>
    <row r="338" spans="1:20" ht="12" customHeight="1" x14ac:dyDescent="0.3">
      <c r="A338" s="340" t="s">
        <v>289</v>
      </c>
      <c r="B338" s="341">
        <v>2</v>
      </c>
      <c r="C338" s="309">
        <v>46109</v>
      </c>
      <c r="D338" s="310" t="s">
        <v>308</v>
      </c>
      <c r="E338" s="342">
        <v>210.76</v>
      </c>
      <c r="F338" s="342"/>
      <c r="G338" s="344">
        <f t="shared" si="3"/>
        <v>5611.9299999999857</v>
      </c>
      <c r="H338" s="345"/>
      <c r="I338" s="346"/>
      <c r="J338" s="347"/>
      <c r="K338" s="312"/>
      <c r="L338" s="347"/>
      <c r="M338" s="312"/>
      <c r="N338" s="347"/>
      <c r="O338" s="312"/>
      <c r="P338" s="347"/>
      <c r="Q338" s="312"/>
      <c r="R338" s="347"/>
      <c r="S338" s="312"/>
      <c r="T338" s="347"/>
    </row>
    <row r="339" spans="1:20" ht="12" customHeight="1" x14ac:dyDescent="0.3">
      <c r="A339" s="340" t="s">
        <v>289</v>
      </c>
      <c r="B339" s="341">
        <v>4</v>
      </c>
      <c r="C339" s="309">
        <v>46109</v>
      </c>
      <c r="D339" s="310" t="s">
        <v>310</v>
      </c>
      <c r="E339" s="342">
        <v>46.9</v>
      </c>
      <c r="F339" s="342"/>
      <c r="G339" s="344">
        <f t="shared" si="3"/>
        <v>5822.689999999986</v>
      </c>
      <c r="H339" s="345"/>
      <c r="I339" s="346"/>
      <c r="J339" s="347"/>
      <c r="K339" s="312"/>
      <c r="L339" s="347"/>
      <c r="M339" s="312"/>
      <c r="N339" s="347"/>
      <c r="O339" s="312"/>
      <c r="P339" s="347"/>
      <c r="Q339" s="312"/>
      <c r="R339" s="347"/>
      <c r="S339" s="312"/>
      <c r="T339" s="347"/>
    </row>
    <row r="340" spans="1:20" ht="12" customHeight="1" x14ac:dyDescent="0.3">
      <c r="A340" s="340" t="s">
        <v>289</v>
      </c>
      <c r="B340" s="341">
        <v>1</v>
      </c>
      <c r="C340" s="309">
        <v>46109</v>
      </c>
      <c r="D340" s="310" t="s">
        <v>329</v>
      </c>
      <c r="E340" s="342">
        <v>179.1</v>
      </c>
      <c r="F340" s="342"/>
      <c r="G340" s="344">
        <f t="shared" si="3"/>
        <v>5869.5899999999856</v>
      </c>
      <c r="H340" s="345"/>
      <c r="I340" s="346"/>
      <c r="J340" s="347"/>
      <c r="K340" s="312"/>
      <c r="L340" s="347"/>
      <c r="M340" s="312"/>
      <c r="N340" s="347"/>
      <c r="O340" s="312"/>
      <c r="P340" s="347"/>
      <c r="Q340" s="312"/>
      <c r="R340" s="347"/>
      <c r="S340" s="312"/>
      <c r="T340" s="347"/>
    </row>
    <row r="341" spans="1:20" ht="12" customHeight="1" x14ac:dyDescent="0.3">
      <c r="A341" s="340" t="s">
        <v>289</v>
      </c>
      <c r="B341" s="341">
        <v>8</v>
      </c>
      <c r="C341" s="309">
        <v>46109</v>
      </c>
      <c r="D341" s="310" t="s">
        <v>308</v>
      </c>
      <c r="E341" s="342">
        <v>31.97</v>
      </c>
      <c r="F341" s="342"/>
      <c r="G341" s="344">
        <f t="shared" si="3"/>
        <v>6048.689999999986</v>
      </c>
      <c r="H341" s="345"/>
      <c r="I341" s="346"/>
      <c r="J341" s="347"/>
      <c r="K341" s="312"/>
      <c r="L341" s="347"/>
      <c r="M341" s="312"/>
      <c r="N341" s="347"/>
      <c r="O341" s="312"/>
      <c r="P341" s="347"/>
      <c r="Q341" s="312"/>
      <c r="R341" s="347"/>
      <c r="S341" s="312"/>
      <c r="T341" s="347"/>
    </row>
    <row r="342" spans="1:20" ht="12" customHeight="1" x14ac:dyDescent="0.3">
      <c r="A342" s="340" t="s">
        <v>289</v>
      </c>
      <c r="B342" s="341">
        <v>8</v>
      </c>
      <c r="C342" s="309">
        <v>46109</v>
      </c>
      <c r="D342" s="310" t="s">
        <v>308</v>
      </c>
      <c r="E342" s="342">
        <v>12.19</v>
      </c>
      <c r="F342" s="342"/>
      <c r="G342" s="344">
        <f t="shared" si="3"/>
        <v>6080.6599999999862</v>
      </c>
      <c r="H342" s="345"/>
      <c r="I342" s="346"/>
      <c r="J342" s="347"/>
      <c r="K342" s="312"/>
      <c r="L342" s="347"/>
      <c r="M342" s="312"/>
      <c r="N342" s="347"/>
      <c r="O342" s="312"/>
      <c r="P342" s="347"/>
      <c r="Q342" s="312"/>
      <c r="R342" s="347"/>
      <c r="S342" s="312"/>
      <c r="T342" s="347"/>
    </row>
    <row r="343" spans="1:20" ht="12" customHeight="1" x14ac:dyDescent="0.3">
      <c r="A343" s="340" t="s">
        <v>291</v>
      </c>
      <c r="B343" s="341">
        <v>41</v>
      </c>
      <c r="C343" s="309">
        <v>46108</v>
      </c>
      <c r="D343" s="310" t="s">
        <v>383</v>
      </c>
      <c r="E343" s="342"/>
      <c r="F343" s="342">
        <v>400</v>
      </c>
      <c r="G343" s="344">
        <f t="shared" si="3"/>
        <v>6092.8499999999858</v>
      </c>
      <c r="H343" s="345"/>
      <c r="I343" s="346"/>
      <c r="J343" s="347"/>
      <c r="K343" s="312"/>
      <c r="L343" s="347"/>
      <c r="M343" s="312"/>
      <c r="N343" s="347"/>
      <c r="O343" s="312"/>
      <c r="P343" s="347"/>
      <c r="Q343" s="312"/>
      <c r="R343" s="347"/>
      <c r="S343" s="312"/>
      <c r="T343" s="347"/>
    </row>
    <row r="344" spans="1:20" ht="12" customHeight="1" x14ac:dyDescent="0.3">
      <c r="A344" s="340" t="s">
        <v>289</v>
      </c>
      <c r="B344" s="341">
        <v>2</v>
      </c>
      <c r="C344" s="309">
        <v>46108</v>
      </c>
      <c r="D344" s="310" t="s">
        <v>301</v>
      </c>
      <c r="E344" s="342">
        <v>19.5</v>
      </c>
      <c r="F344" s="342"/>
      <c r="G344" s="344">
        <f t="shared" si="3"/>
        <v>5692.8499999999858</v>
      </c>
      <c r="H344" s="345"/>
      <c r="I344" s="346"/>
      <c r="J344" s="347"/>
      <c r="K344" s="312"/>
      <c r="L344" s="347"/>
      <c r="M344" s="312"/>
      <c r="N344" s="347"/>
      <c r="O344" s="312"/>
      <c r="P344" s="347"/>
      <c r="Q344" s="312"/>
      <c r="R344" s="347"/>
      <c r="S344" s="312"/>
      <c r="T344" s="347"/>
    </row>
    <row r="345" spans="1:20" ht="12" customHeight="1" x14ac:dyDescent="0.3">
      <c r="A345" s="340" t="s">
        <v>289</v>
      </c>
      <c r="B345" s="341">
        <v>2</v>
      </c>
      <c r="C345" s="309">
        <v>46108</v>
      </c>
      <c r="D345" s="310" t="s">
        <v>296</v>
      </c>
      <c r="E345" s="342">
        <v>11.48</v>
      </c>
      <c r="F345" s="342"/>
      <c r="G345" s="344">
        <f t="shared" si="3"/>
        <v>5712.3499999999858</v>
      </c>
      <c r="H345" s="345"/>
      <c r="I345" s="346"/>
      <c r="J345" s="347"/>
      <c r="K345" s="312"/>
      <c r="L345" s="347"/>
      <c r="M345" s="312"/>
      <c r="N345" s="347"/>
      <c r="O345" s="312"/>
      <c r="P345" s="347"/>
      <c r="Q345" s="312"/>
      <c r="R345" s="347"/>
      <c r="S345" s="312"/>
      <c r="T345" s="347"/>
    </row>
    <row r="346" spans="1:20" ht="12" customHeight="1" x14ac:dyDescent="0.3">
      <c r="A346" s="340" t="s">
        <v>289</v>
      </c>
      <c r="B346" s="341">
        <v>8</v>
      </c>
      <c r="C346" s="309">
        <v>46108</v>
      </c>
      <c r="D346" s="310" t="s">
        <v>334</v>
      </c>
      <c r="E346" s="342">
        <v>11.46</v>
      </c>
      <c r="F346" s="342"/>
      <c r="G346" s="344">
        <f t="shared" si="3"/>
        <v>5723.8299999999854</v>
      </c>
      <c r="H346" s="345"/>
      <c r="I346" s="346"/>
      <c r="J346" s="347"/>
      <c r="K346" s="312"/>
      <c r="L346" s="347"/>
      <c r="M346" s="312"/>
      <c r="N346" s="347"/>
      <c r="O346" s="312"/>
      <c r="P346" s="347"/>
      <c r="Q346" s="312"/>
      <c r="R346" s="347"/>
      <c r="S346" s="312"/>
      <c r="T346" s="347"/>
    </row>
    <row r="347" spans="1:20" ht="12" customHeight="1" x14ac:dyDescent="0.3">
      <c r="A347" s="340" t="s">
        <v>289</v>
      </c>
      <c r="B347" s="341">
        <v>4</v>
      </c>
      <c r="C347" s="309">
        <v>46108</v>
      </c>
      <c r="D347" s="310" t="s">
        <v>334</v>
      </c>
      <c r="E347" s="342">
        <v>38.21</v>
      </c>
      <c r="F347" s="342"/>
      <c r="G347" s="344">
        <f t="shared" si="3"/>
        <v>5735.2899999999854</v>
      </c>
      <c r="H347" s="345"/>
      <c r="I347" s="346"/>
      <c r="J347" s="347"/>
      <c r="K347" s="312"/>
      <c r="L347" s="347"/>
      <c r="M347" s="312"/>
      <c r="N347" s="347"/>
      <c r="O347" s="312"/>
      <c r="P347" s="347"/>
      <c r="Q347" s="312"/>
      <c r="R347" s="347"/>
      <c r="S347" s="312"/>
      <c r="T347" s="347"/>
    </row>
    <row r="348" spans="1:20" ht="12" customHeight="1" x14ac:dyDescent="0.3">
      <c r="A348" s="340" t="s">
        <v>289</v>
      </c>
      <c r="B348" s="341">
        <v>2</v>
      </c>
      <c r="C348" s="309">
        <v>46108</v>
      </c>
      <c r="D348" s="310" t="s">
        <v>384</v>
      </c>
      <c r="E348" s="342">
        <v>69.95</v>
      </c>
      <c r="F348" s="342"/>
      <c r="G348" s="344">
        <f t="shared" si="3"/>
        <v>5773.4999999999854</v>
      </c>
      <c r="H348" s="345"/>
      <c r="I348" s="346"/>
      <c r="J348" s="347"/>
      <c r="K348" s="312"/>
      <c r="L348" s="347"/>
      <c r="M348" s="312"/>
      <c r="N348" s="347"/>
      <c r="O348" s="312"/>
      <c r="P348" s="347"/>
      <c r="Q348" s="312"/>
      <c r="R348" s="347"/>
      <c r="S348" s="312"/>
      <c r="T348" s="347"/>
    </row>
    <row r="349" spans="1:20" ht="12" customHeight="1" x14ac:dyDescent="0.3">
      <c r="A349" s="340" t="s">
        <v>289</v>
      </c>
      <c r="B349" s="341">
        <v>3</v>
      </c>
      <c r="C349" s="309">
        <v>46108</v>
      </c>
      <c r="D349" s="310" t="s">
        <v>348</v>
      </c>
      <c r="E349" s="342">
        <v>10.78</v>
      </c>
      <c r="F349" s="342"/>
      <c r="G349" s="344">
        <f t="shared" si="3"/>
        <v>5843.4499999999853</v>
      </c>
      <c r="H349" s="345"/>
      <c r="I349" s="346"/>
      <c r="J349" s="347"/>
      <c r="K349" s="312"/>
      <c r="L349" s="347"/>
      <c r="M349" s="312"/>
      <c r="N349" s="347"/>
      <c r="O349" s="312"/>
      <c r="P349" s="347"/>
      <c r="Q349" s="312"/>
      <c r="R349" s="347"/>
      <c r="S349" s="312"/>
      <c r="T349" s="347"/>
    </row>
    <row r="350" spans="1:20" ht="12" customHeight="1" x14ac:dyDescent="0.3">
      <c r="A350" s="340" t="s">
        <v>289</v>
      </c>
      <c r="B350" s="341">
        <v>6</v>
      </c>
      <c r="C350" s="309">
        <v>46108</v>
      </c>
      <c r="D350" s="310" t="s">
        <v>300</v>
      </c>
      <c r="E350" s="342">
        <v>15.84</v>
      </c>
      <c r="F350" s="342"/>
      <c r="G350" s="344">
        <f t="shared" si="3"/>
        <v>5854.229999999985</v>
      </c>
      <c r="H350" s="345"/>
      <c r="I350" s="346"/>
      <c r="J350" s="347"/>
      <c r="K350" s="312"/>
      <c r="L350" s="347"/>
      <c r="M350" s="312"/>
      <c r="N350" s="347"/>
      <c r="O350" s="312"/>
      <c r="P350" s="347"/>
      <c r="Q350" s="312"/>
      <c r="R350" s="347"/>
      <c r="S350" s="312"/>
      <c r="T350" s="347"/>
    </row>
    <row r="351" spans="1:20" ht="12" customHeight="1" x14ac:dyDescent="0.3">
      <c r="A351" s="340" t="s">
        <v>289</v>
      </c>
      <c r="B351" s="341">
        <v>8</v>
      </c>
      <c r="C351" s="309">
        <v>46108</v>
      </c>
      <c r="D351" s="310" t="s">
        <v>385</v>
      </c>
      <c r="E351" s="342">
        <v>22.48</v>
      </c>
      <c r="F351" s="342"/>
      <c r="G351" s="344">
        <f t="shared" si="3"/>
        <v>5870.0699999999852</v>
      </c>
      <c r="H351" s="345"/>
      <c r="I351" s="346"/>
      <c r="J351" s="347"/>
      <c r="K351" s="312"/>
      <c r="L351" s="347"/>
      <c r="M351" s="312"/>
      <c r="N351" s="347"/>
      <c r="O351" s="312"/>
      <c r="P351" s="347"/>
      <c r="Q351" s="312"/>
      <c r="R351" s="347"/>
      <c r="S351" s="312"/>
      <c r="T351" s="347"/>
    </row>
    <row r="352" spans="1:20" ht="12" customHeight="1" x14ac:dyDescent="0.3">
      <c r="A352" s="340" t="s">
        <v>289</v>
      </c>
      <c r="B352" s="341">
        <v>2</v>
      </c>
      <c r="C352" s="309">
        <v>46107</v>
      </c>
      <c r="D352" s="310" t="s">
        <v>358</v>
      </c>
      <c r="E352" s="342">
        <v>11.17</v>
      </c>
      <c r="F352" s="342"/>
      <c r="G352" s="344">
        <f t="shared" si="3"/>
        <v>5892.5499999999847</v>
      </c>
      <c r="H352" s="345"/>
      <c r="I352" s="346"/>
      <c r="J352" s="347"/>
      <c r="K352" s="312"/>
      <c r="L352" s="347"/>
      <c r="M352" s="312"/>
      <c r="N352" s="347"/>
      <c r="O352" s="312"/>
      <c r="P352" s="347"/>
      <c r="Q352" s="312"/>
      <c r="R352" s="347"/>
      <c r="S352" s="312"/>
      <c r="T352" s="347"/>
    </row>
    <row r="353" spans="1:20" ht="12" customHeight="1" x14ac:dyDescent="0.3">
      <c r="A353" s="340" t="s">
        <v>289</v>
      </c>
      <c r="B353" s="341">
        <v>2</v>
      </c>
      <c r="C353" s="309">
        <v>46107</v>
      </c>
      <c r="D353" s="310" t="s">
        <v>386</v>
      </c>
      <c r="E353" s="342">
        <v>14.38</v>
      </c>
      <c r="F353" s="342"/>
      <c r="G353" s="344">
        <f t="shared" si="3"/>
        <v>5903.7199999999848</v>
      </c>
      <c r="H353" s="345"/>
      <c r="I353" s="346"/>
      <c r="J353" s="347"/>
      <c r="K353" s="312"/>
      <c r="L353" s="347"/>
      <c r="M353" s="312"/>
      <c r="N353" s="347"/>
      <c r="O353" s="312"/>
      <c r="P353" s="347"/>
      <c r="Q353" s="312"/>
      <c r="R353" s="347"/>
      <c r="S353" s="312"/>
      <c r="T353" s="347"/>
    </row>
    <row r="354" spans="1:20" ht="12" customHeight="1" x14ac:dyDescent="0.3">
      <c r="A354" s="340" t="s">
        <v>289</v>
      </c>
      <c r="B354" s="341">
        <v>8</v>
      </c>
      <c r="C354" s="309">
        <v>46107</v>
      </c>
      <c r="D354" s="310" t="s">
        <v>387</v>
      </c>
      <c r="E354" s="342">
        <v>45</v>
      </c>
      <c r="F354" s="342"/>
      <c r="G354" s="344">
        <f t="shared" si="3"/>
        <v>5918.0999999999849</v>
      </c>
      <c r="H354" s="345"/>
      <c r="I354" s="346"/>
      <c r="J354" s="347"/>
      <c r="K354" s="312"/>
      <c r="L354" s="347"/>
      <c r="M354" s="312"/>
      <c r="N354" s="347"/>
      <c r="O354" s="312"/>
      <c r="P354" s="347"/>
      <c r="Q354" s="312"/>
      <c r="R354" s="347"/>
      <c r="S354" s="312"/>
      <c r="T354" s="347"/>
    </row>
    <row r="355" spans="1:20" ht="12" customHeight="1" x14ac:dyDescent="0.3">
      <c r="A355" s="340" t="s">
        <v>289</v>
      </c>
      <c r="B355" s="341">
        <v>2</v>
      </c>
      <c r="C355" s="309">
        <v>46107</v>
      </c>
      <c r="D355" s="310" t="s">
        <v>324</v>
      </c>
      <c r="E355" s="342">
        <v>9.0299999999999994</v>
      </c>
      <c r="F355" s="342"/>
      <c r="G355" s="344">
        <f t="shared" si="3"/>
        <v>5963.0999999999849</v>
      </c>
      <c r="H355" s="345"/>
      <c r="I355" s="346"/>
      <c r="J355" s="347"/>
      <c r="K355" s="312"/>
      <c r="L355" s="347"/>
      <c r="M355" s="312"/>
      <c r="N355" s="347"/>
      <c r="O355" s="312"/>
      <c r="P355" s="347"/>
      <c r="Q355" s="312"/>
      <c r="R355" s="347"/>
      <c r="S355" s="312"/>
      <c r="T355" s="347"/>
    </row>
    <row r="356" spans="1:20" ht="12" customHeight="1" x14ac:dyDescent="0.3">
      <c r="A356" s="340" t="s">
        <v>289</v>
      </c>
      <c r="B356" s="341">
        <v>2</v>
      </c>
      <c r="C356" s="309">
        <v>46107</v>
      </c>
      <c r="D356" s="310" t="s">
        <v>301</v>
      </c>
      <c r="E356" s="342">
        <v>30</v>
      </c>
      <c r="F356" s="342"/>
      <c r="G356" s="344">
        <f t="shared" si="3"/>
        <v>5972.1299999999846</v>
      </c>
      <c r="H356" s="345"/>
      <c r="I356" s="346"/>
      <c r="J356" s="347"/>
      <c r="K356" s="312"/>
      <c r="L356" s="347"/>
      <c r="M356" s="312"/>
      <c r="N356" s="347"/>
      <c r="O356" s="312"/>
      <c r="P356" s="347"/>
      <c r="Q356" s="312"/>
      <c r="R356" s="347"/>
      <c r="S356" s="312"/>
      <c r="T356" s="347"/>
    </row>
    <row r="357" spans="1:20" ht="12" customHeight="1" x14ac:dyDescent="0.3">
      <c r="A357" s="340" t="s">
        <v>289</v>
      </c>
      <c r="B357" s="341">
        <v>6</v>
      </c>
      <c r="C357" s="309">
        <v>46106</v>
      </c>
      <c r="D357" s="310" t="s">
        <v>388</v>
      </c>
      <c r="E357" s="342">
        <v>12</v>
      </c>
      <c r="F357" s="342"/>
      <c r="G357" s="344">
        <f t="shared" si="3"/>
        <v>6002.1299999999846</v>
      </c>
      <c r="H357" s="345"/>
      <c r="I357" s="346"/>
      <c r="J357" s="347"/>
      <c r="K357" s="312"/>
      <c r="L357" s="347"/>
      <c r="M357" s="312"/>
      <c r="N357" s="347"/>
      <c r="O357" s="312"/>
      <c r="P357" s="347"/>
      <c r="Q357" s="312"/>
      <c r="R357" s="347"/>
      <c r="S357" s="312"/>
      <c r="T357" s="347"/>
    </row>
    <row r="358" spans="1:20" ht="12" customHeight="1" x14ac:dyDescent="0.3">
      <c r="A358" s="340" t="s">
        <v>289</v>
      </c>
      <c r="B358" s="341">
        <v>6</v>
      </c>
      <c r="C358" s="309">
        <v>46106</v>
      </c>
      <c r="D358" s="310" t="s">
        <v>389</v>
      </c>
      <c r="E358" s="342">
        <v>20</v>
      </c>
      <c r="F358" s="342"/>
      <c r="G358" s="344">
        <f t="shared" si="3"/>
        <v>6014.1299999999846</v>
      </c>
      <c r="H358" s="345"/>
      <c r="I358" s="346"/>
      <c r="J358" s="347"/>
      <c r="K358" s="312"/>
      <c r="L358" s="347"/>
      <c r="M358" s="312"/>
      <c r="N358" s="347"/>
      <c r="O358" s="312"/>
      <c r="P358" s="347"/>
      <c r="Q358" s="312"/>
      <c r="R358" s="347"/>
      <c r="S358" s="312"/>
      <c r="T358" s="347"/>
    </row>
    <row r="359" spans="1:20" ht="12" customHeight="1" x14ac:dyDescent="0.3">
      <c r="A359" s="340" t="s">
        <v>289</v>
      </c>
      <c r="B359" s="341">
        <v>2</v>
      </c>
      <c r="C359" s="309">
        <v>46106</v>
      </c>
      <c r="D359" s="310" t="s">
        <v>296</v>
      </c>
      <c r="E359" s="342">
        <v>21.05</v>
      </c>
      <c r="F359" s="342"/>
      <c r="G359" s="344">
        <f t="shared" si="3"/>
        <v>6034.1299999999846</v>
      </c>
      <c r="H359" s="345"/>
      <c r="I359" s="346"/>
      <c r="J359" s="347"/>
      <c r="K359" s="312"/>
      <c r="L359" s="347"/>
      <c r="M359" s="312"/>
      <c r="N359" s="347"/>
      <c r="O359" s="312"/>
      <c r="P359" s="347"/>
      <c r="Q359" s="312"/>
      <c r="R359" s="347"/>
      <c r="S359" s="312"/>
      <c r="T359" s="347"/>
    </row>
    <row r="360" spans="1:20" ht="12" customHeight="1" x14ac:dyDescent="0.3">
      <c r="A360" s="340" t="s">
        <v>289</v>
      </c>
      <c r="B360" s="341">
        <v>4</v>
      </c>
      <c r="C360" s="309">
        <v>46106</v>
      </c>
      <c r="D360" s="310" t="s">
        <v>296</v>
      </c>
      <c r="E360" s="342">
        <v>38.58</v>
      </c>
      <c r="F360" s="342"/>
      <c r="G360" s="344">
        <f t="shared" si="3"/>
        <v>6055.1799999999848</v>
      </c>
      <c r="H360" s="345"/>
      <c r="I360" s="346"/>
      <c r="J360" s="347"/>
      <c r="K360" s="312"/>
      <c r="L360" s="347"/>
      <c r="M360" s="312"/>
      <c r="N360" s="347"/>
      <c r="O360" s="312"/>
      <c r="P360" s="347"/>
      <c r="Q360" s="312"/>
      <c r="R360" s="347"/>
      <c r="S360" s="312"/>
      <c r="T360" s="347"/>
    </row>
    <row r="361" spans="1:20" ht="12" customHeight="1" x14ac:dyDescent="0.3">
      <c r="A361" s="340" t="s">
        <v>294</v>
      </c>
      <c r="B361" s="341">
        <v>12</v>
      </c>
      <c r="C361" s="309">
        <v>46106</v>
      </c>
      <c r="D361" s="310" t="s">
        <v>314</v>
      </c>
      <c r="E361" s="342">
        <v>204.47</v>
      </c>
      <c r="F361" s="342"/>
      <c r="G361" s="344">
        <f t="shared" si="3"/>
        <v>6093.7599999999848</v>
      </c>
      <c r="H361" s="345"/>
      <c r="I361" s="346"/>
      <c r="J361" s="347"/>
      <c r="K361" s="312"/>
      <c r="L361" s="347"/>
      <c r="M361" s="312"/>
      <c r="N361" s="347"/>
      <c r="O361" s="312"/>
      <c r="P361" s="347"/>
      <c r="Q361" s="312"/>
      <c r="R361" s="347"/>
      <c r="S361" s="312"/>
      <c r="T361" s="347"/>
    </row>
    <row r="362" spans="1:20" ht="12" customHeight="1" x14ac:dyDescent="0.3">
      <c r="A362" s="340" t="s">
        <v>294</v>
      </c>
      <c r="B362" s="341">
        <v>24</v>
      </c>
      <c r="C362" s="309">
        <v>46105</v>
      </c>
      <c r="D362" s="310" t="s">
        <v>861</v>
      </c>
      <c r="E362" s="342">
        <v>86.58</v>
      </c>
      <c r="F362" s="342"/>
      <c r="G362" s="344">
        <f t="shared" si="3"/>
        <v>6298.229999999985</v>
      </c>
      <c r="H362" s="345"/>
      <c r="I362" s="346"/>
      <c r="J362" s="347"/>
      <c r="K362" s="312"/>
      <c r="L362" s="347"/>
      <c r="M362" s="312"/>
      <c r="N362" s="347"/>
      <c r="O362" s="312"/>
      <c r="P362" s="347"/>
      <c r="Q362" s="312"/>
      <c r="R362" s="347"/>
      <c r="S362" s="312"/>
      <c r="T362" s="347"/>
    </row>
    <row r="363" spans="1:20" ht="12" customHeight="1" x14ac:dyDescent="0.3">
      <c r="A363" s="340" t="s">
        <v>289</v>
      </c>
      <c r="B363" s="341">
        <v>6</v>
      </c>
      <c r="C363" s="309">
        <v>46105</v>
      </c>
      <c r="D363" s="310" t="s">
        <v>389</v>
      </c>
      <c r="E363" s="342">
        <v>20</v>
      </c>
      <c r="F363" s="342"/>
      <c r="G363" s="344">
        <f t="shared" si="3"/>
        <v>6384.8099999999849</v>
      </c>
      <c r="H363" s="345"/>
      <c r="I363" s="346"/>
      <c r="J363" s="347"/>
      <c r="K363" s="312"/>
      <c r="L363" s="347"/>
      <c r="M363" s="312"/>
      <c r="N363" s="347"/>
      <c r="O363" s="312"/>
      <c r="P363" s="347"/>
      <c r="Q363" s="312"/>
      <c r="R363" s="347"/>
      <c r="S363" s="312"/>
      <c r="T363" s="347"/>
    </row>
    <row r="364" spans="1:20" ht="12" customHeight="1" x14ac:dyDescent="0.3">
      <c r="A364" s="340" t="s">
        <v>289</v>
      </c>
      <c r="B364" s="341">
        <v>2</v>
      </c>
      <c r="C364" s="309">
        <v>46105</v>
      </c>
      <c r="D364" s="310" t="s">
        <v>390</v>
      </c>
      <c r="E364" s="342">
        <v>15.29</v>
      </c>
      <c r="F364" s="342"/>
      <c r="G364" s="344">
        <f t="shared" si="3"/>
        <v>6404.8099999999849</v>
      </c>
      <c r="H364" s="345"/>
      <c r="I364" s="346"/>
      <c r="J364" s="347"/>
      <c r="K364" s="312"/>
      <c r="L364" s="347"/>
      <c r="M364" s="312"/>
      <c r="N364" s="347"/>
      <c r="O364" s="312"/>
      <c r="P364" s="347"/>
      <c r="Q364" s="312"/>
      <c r="R364" s="347"/>
      <c r="S364" s="312"/>
      <c r="T364" s="347"/>
    </row>
    <row r="365" spans="1:20" ht="12" customHeight="1" x14ac:dyDescent="0.3">
      <c r="A365" s="340" t="s">
        <v>289</v>
      </c>
      <c r="B365" s="341">
        <v>8</v>
      </c>
      <c r="C365" s="309">
        <v>46105</v>
      </c>
      <c r="D365" s="310" t="s">
        <v>308</v>
      </c>
      <c r="E365" s="342">
        <v>47.99</v>
      </c>
      <c r="F365" s="342"/>
      <c r="G365" s="344">
        <f t="shared" si="3"/>
        <v>6420.0999999999849</v>
      </c>
      <c r="H365" s="345"/>
      <c r="I365" s="346"/>
      <c r="J365" s="347"/>
      <c r="K365" s="312"/>
      <c r="L365" s="347"/>
      <c r="M365" s="312"/>
      <c r="N365" s="347"/>
      <c r="O365" s="312"/>
      <c r="P365" s="347"/>
      <c r="Q365" s="312"/>
      <c r="R365" s="347"/>
      <c r="S365" s="312"/>
      <c r="T365" s="347"/>
    </row>
    <row r="366" spans="1:20" ht="12" customHeight="1" x14ac:dyDescent="0.3">
      <c r="A366" s="340" t="s">
        <v>294</v>
      </c>
      <c r="B366" s="341">
        <v>23</v>
      </c>
      <c r="C366" s="309">
        <v>46104</v>
      </c>
      <c r="D366" s="310" t="s">
        <v>67</v>
      </c>
      <c r="E366" s="342">
        <v>650.88</v>
      </c>
      <c r="F366" s="342"/>
      <c r="G366" s="344">
        <f t="shared" si="3"/>
        <v>6468.0899999999847</v>
      </c>
      <c r="H366" s="345"/>
      <c r="I366" s="346"/>
      <c r="J366" s="347"/>
      <c r="K366" s="312"/>
      <c r="L366" s="347"/>
      <c r="M366" s="312"/>
      <c r="N366" s="347"/>
      <c r="O366" s="312"/>
      <c r="P366" s="347"/>
      <c r="Q366" s="312"/>
      <c r="R366" s="347"/>
      <c r="S366" s="312"/>
      <c r="T366" s="347"/>
    </row>
    <row r="367" spans="1:20" ht="12" customHeight="1" x14ac:dyDescent="0.3">
      <c r="A367" s="340" t="s">
        <v>289</v>
      </c>
      <c r="B367" s="341">
        <v>2</v>
      </c>
      <c r="C367" s="309">
        <v>46104</v>
      </c>
      <c r="D367" s="310" t="s">
        <v>391</v>
      </c>
      <c r="E367" s="342">
        <v>46</v>
      </c>
      <c r="F367" s="342"/>
      <c r="G367" s="344">
        <f t="shared" si="3"/>
        <v>7118.9699999999848</v>
      </c>
      <c r="H367" s="345"/>
      <c r="I367" s="346"/>
      <c r="J367" s="347"/>
      <c r="K367" s="312"/>
      <c r="L367" s="347"/>
      <c r="M367" s="312"/>
      <c r="N367" s="347"/>
      <c r="O367" s="312"/>
      <c r="P367" s="347"/>
      <c r="Q367" s="312"/>
      <c r="R367" s="347"/>
      <c r="S367" s="312"/>
      <c r="T367" s="347"/>
    </row>
    <row r="368" spans="1:20" ht="12" customHeight="1" x14ac:dyDescent="0.3">
      <c r="A368" s="340" t="s">
        <v>289</v>
      </c>
      <c r="B368" s="341">
        <v>2</v>
      </c>
      <c r="C368" s="309">
        <v>46103</v>
      </c>
      <c r="D368" s="310" t="s">
        <v>392</v>
      </c>
      <c r="E368" s="342">
        <v>24.81</v>
      </c>
      <c r="F368" s="342"/>
      <c r="G368" s="344">
        <f t="shared" si="3"/>
        <v>7164.9699999999848</v>
      </c>
      <c r="H368" s="345"/>
      <c r="I368" s="346"/>
      <c r="J368" s="347"/>
      <c r="K368" s="312"/>
      <c r="L368" s="347"/>
      <c r="M368" s="312"/>
      <c r="N368" s="347"/>
      <c r="O368" s="312"/>
      <c r="P368" s="347"/>
      <c r="Q368" s="312"/>
      <c r="R368" s="347"/>
      <c r="S368" s="312"/>
      <c r="T368" s="347"/>
    </row>
    <row r="369" spans="1:20" ht="12" customHeight="1" x14ac:dyDescent="0.3">
      <c r="A369" s="340" t="s">
        <v>289</v>
      </c>
      <c r="B369" s="341">
        <v>4</v>
      </c>
      <c r="C369" s="309">
        <v>46103</v>
      </c>
      <c r="D369" s="310" t="s">
        <v>296</v>
      </c>
      <c r="E369" s="342">
        <v>28.77</v>
      </c>
      <c r="F369" s="342"/>
      <c r="G369" s="344">
        <f t="shared" si="3"/>
        <v>7189.7799999999852</v>
      </c>
      <c r="H369" s="345"/>
      <c r="I369" s="346"/>
      <c r="J369" s="347"/>
      <c r="K369" s="312"/>
      <c r="L369" s="347"/>
      <c r="M369" s="312"/>
      <c r="N369" s="347"/>
      <c r="O369" s="312"/>
      <c r="P369" s="347"/>
      <c r="Q369" s="312"/>
      <c r="R369" s="347"/>
      <c r="S369" s="312"/>
      <c r="T369" s="347"/>
    </row>
    <row r="370" spans="1:20" ht="12" customHeight="1" x14ac:dyDescent="0.3">
      <c r="A370" s="340" t="s">
        <v>289</v>
      </c>
      <c r="B370" s="341">
        <v>8</v>
      </c>
      <c r="C370" s="309">
        <v>46103</v>
      </c>
      <c r="D370" s="310" t="s">
        <v>296</v>
      </c>
      <c r="E370" s="342">
        <v>11.9</v>
      </c>
      <c r="F370" s="342"/>
      <c r="G370" s="344">
        <f t="shared" si="3"/>
        <v>7218.5499999999856</v>
      </c>
      <c r="H370" s="345"/>
      <c r="I370" s="346"/>
      <c r="J370" s="347"/>
      <c r="K370" s="312"/>
      <c r="L370" s="347"/>
      <c r="M370" s="312"/>
      <c r="N370" s="347"/>
      <c r="O370" s="312"/>
      <c r="P370" s="347"/>
      <c r="Q370" s="312"/>
      <c r="R370" s="347"/>
      <c r="S370" s="312"/>
      <c r="T370" s="347"/>
    </row>
    <row r="371" spans="1:20" ht="12" customHeight="1" x14ac:dyDescent="0.3">
      <c r="A371" s="340" t="s">
        <v>289</v>
      </c>
      <c r="B371" s="341">
        <v>1</v>
      </c>
      <c r="C371" s="309">
        <v>46103</v>
      </c>
      <c r="D371" s="310" t="s">
        <v>300</v>
      </c>
      <c r="E371" s="342">
        <v>42.59</v>
      </c>
      <c r="F371" s="342"/>
      <c r="G371" s="344">
        <f t="shared" si="3"/>
        <v>7230.4499999999853</v>
      </c>
      <c r="H371" s="345"/>
      <c r="I371" s="346"/>
      <c r="J371" s="347"/>
      <c r="K371" s="312"/>
      <c r="L371" s="347"/>
      <c r="M371" s="312"/>
      <c r="N371" s="347"/>
      <c r="O371" s="312"/>
      <c r="P371" s="347"/>
      <c r="Q371" s="312"/>
      <c r="R371" s="347"/>
      <c r="S371" s="312"/>
      <c r="T371" s="347"/>
    </row>
    <row r="372" spans="1:20" ht="12" customHeight="1" x14ac:dyDescent="0.3">
      <c r="A372" s="340" t="s">
        <v>289</v>
      </c>
      <c r="B372" s="341">
        <v>6</v>
      </c>
      <c r="C372" s="309">
        <v>46103</v>
      </c>
      <c r="D372" s="310" t="s">
        <v>300</v>
      </c>
      <c r="E372" s="342">
        <v>17.579999999999998</v>
      </c>
      <c r="F372" s="342"/>
      <c r="G372" s="344">
        <f t="shared" si="3"/>
        <v>7273.0399999999854</v>
      </c>
      <c r="H372" s="345"/>
      <c r="I372" s="346"/>
      <c r="J372" s="347"/>
      <c r="K372" s="312"/>
      <c r="L372" s="347"/>
      <c r="M372" s="312"/>
      <c r="N372" s="347"/>
      <c r="O372" s="312"/>
      <c r="P372" s="347"/>
      <c r="Q372" s="312"/>
      <c r="R372" s="347"/>
      <c r="S372" s="312"/>
      <c r="T372" s="347"/>
    </row>
    <row r="373" spans="1:20" ht="12" customHeight="1" x14ac:dyDescent="0.3">
      <c r="A373" s="340" t="s">
        <v>289</v>
      </c>
      <c r="B373" s="341">
        <v>1</v>
      </c>
      <c r="C373" s="309">
        <v>46103</v>
      </c>
      <c r="D373" s="310" t="s">
        <v>300</v>
      </c>
      <c r="E373" s="342">
        <v>11.99</v>
      </c>
      <c r="F373" s="342"/>
      <c r="G373" s="344">
        <f t="shared" si="3"/>
        <v>7290.6199999999853</v>
      </c>
      <c r="H373" s="345"/>
      <c r="I373" s="346"/>
      <c r="J373" s="347"/>
      <c r="K373" s="312"/>
      <c r="L373" s="347"/>
      <c r="M373" s="312"/>
      <c r="N373" s="347"/>
      <c r="O373" s="312"/>
      <c r="P373" s="347"/>
      <c r="Q373" s="312"/>
      <c r="R373" s="347"/>
      <c r="S373" s="312"/>
      <c r="T373" s="347"/>
    </row>
    <row r="374" spans="1:20" ht="12" customHeight="1" x14ac:dyDescent="0.3">
      <c r="A374" s="340" t="s">
        <v>289</v>
      </c>
      <c r="B374" s="341">
        <v>1</v>
      </c>
      <c r="C374" s="309">
        <v>46103</v>
      </c>
      <c r="D374" s="310" t="s">
        <v>311</v>
      </c>
      <c r="E374" s="342">
        <v>81.31</v>
      </c>
      <c r="F374" s="342"/>
      <c r="G374" s="344">
        <f t="shared" si="3"/>
        <v>7302.6099999999851</v>
      </c>
      <c r="H374" s="345"/>
      <c r="I374" s="346"/>
      <c r="J374" s="347"/>
      <c r="K374" s="312"/>
      <c r="L374" s="347"/>
      <c r="M374" s="312"/>
      <c r="N374" s="347"/>
      <c r="O374" s="312"/>
      <c r="P374" s="347"/>
      <c r="Q374" s="312"/>
      <c r="R374" s="347"/>
      <c r="S374" s="312"/>
      <c r="T374" s="347"/>
    </row>
    <row r="375" spans="1:20" ht="12" customHeight="1" x14ac:dyDescent="0.3">
      <c r="A375" s="340" t="s">
        <v>289</v>
      </c>
      <c r="B375" s="341">
        <v>1</v>
      </c>
      <c r="C375" s="309">
        <v>46103</v>
      </c>
      <c r="D375" s="310" t="s">
        <v>393</v>
      </c>
      <c r="E375" s="342">
        <v>38.44</v>
      </c>
      <c r="F375" s="342"/>
      <c r="G375" s="344">
        <f t="shared" si="3"/>
        <v>7383.9199999999855</v>
      </c>
      <c r="H375" s="345"/>
      <c r="I375" s="346"/>
      <c r="J375" s="347"/>
      <c r="K375" s="312"/>
      <c r="L375" s="347"/>
      <c r="M375" s="312"/>
      <c r="N375" s="347"/>
      <c r="O375" s="312"/>
      <c r="P375" s="347"/>
      <c r="Q375" s="312"/>
      <c r="R375" s="347"/>
      <c r="S375" s="312"/>
      <c r="T375" s="347"/>
    </row>
    <row r="376" spans="1:20" ht="12" customHeight="1" x14ac:dyDescent="0.3">
      <c r="A376" s="340" t="s">
        <v>289</v>
      </c>
      <c r="B376" s="341">
        <v>2</v>
      </c>
      <c r="C376" s="309">
        <v>46103</v>
      </c>
      <c r="D376" s="310" t="s">
        <v>394</v>
      </c>
      <c r="E376" s="342">
        <v>35.700000000000003</v>
      </c>
      <c r="F376" s="342"/>
      <c r="G376" s="344">
        <f t="shared" si="3"/>
        <v>7422.3599999999851</v>
      </c>
      <c r="H376" s="345"/>
      <c r="I376" s="346"/>
      <c r="J376" s="347"/>
      <c r="K376" s="312"/>
      <c r="L376" s="347"/>
      <c r="M376" s="312"/>
      <c r="N376" s="347"/>
      <c r="O376" s="312"/>
      <c r="P376" s="347"/>
      <c r="Q376" s="312"/>
      <c r="R376" s="347"/>
      <c r="S376" s="312"/>
      <c r="T376" s="347"/>
    </row>
    <row r="377" spans="1:20" ht="12" customHeight="1" x14ac:dyDescent="0.3">
      <c r="A377" s="340" t="s">
        <v>289</v>
      </c>
      <c r="B377" s="341">
        <v>6</v>
      </c>
      <c r="C377" s="309">
        <v>46102</v>
      </c>
      <c r="D377" s="310" t="s">
        <v>300</v>
      </c>
      <c r="E377" s="342">
        <v>10.64</v>
      </c>
      <c r="F377" s="342"/>
      <c r="G377" s="344">
        <f t="shared" si="3"/>
        <v>7458.0599999999849</v>
      </c>
      <c r="H377" s="345"/>
      <c r="I377" s="346"/>
      <c r="J377" s="347"/>
      <c r="K377" s="312"/>
      <c r="L377" s="347"/>
      <c r="M377" s="312"/>
      <c r="N377" s="347"/>
      <c r="O377" s="312"/>
      <c r="P377" s="347"/>
      <c r="Q377" s="312"/>
      <c r="R377" s="347"/>
      <c r="S377" s="312"/>
      <c r="T377" s="347"/>
    </row>
    <row r="378" spans="1:20" ht="12" customHeight="1" x14ac:dyDescent="0.3">
      <c r="A378" s="340" t="s">
        <v>289</v>
      </c>
      <c r="B378" s="341">
        <v>1</v>
      </c>
      <c r="C378" s="309">
        <v>46102</v>
      </c>
      <c r="D378" s="310" t="s">
        <v>300</v>
      </c>
      <c r="E378" s="342">
        <v>28.69</v>
      </c>
      <c r="F378" s="342"/>
      <c r="G378" s="344">
        <f t="shared" si="3"/>
        <v>7468.6999999999853</v>
      </c>
      <c r="H378" s="345"/>
      <c r="I378" s="346"/>
      <c r="J378" s="347"/>
      <c r="K378" s="312"/>
      <c r="L378" s="347"/>
      <c r="M378" s="312"/>
      <c r="N378" s="347"/>
      <c r="O378" s="312"/>
      <c r="P378" s="347"/>
      <c r="Q378" s="312"/>
      <c r="R378" s="347"/>
      <c r="S378" s="312"/>
      <c r="T378" s="347"/>
    </row>
    <row r="379" spans="1:20" ht="12" customHeight="1" x14ac:dyDescent="0.3">
      <c r="A379" s="340" t="s">
        <v>289</v>
      </c>
      <c r="B379" s="341">
        <v>3</v>
      </c>
      <c r="C379" s="309">
        <v>46102</v>
      </c>
      <c r="D379" s="310" t="s">
        <v>348</v>
      </c>
      <c r="E379" s="342">
        <v>11.59</v>
      </c>
      <c r="F379" s="342"/>
      <c r="G379" s="344">
        <f t="shared" si="3"/>
        <v>7497.3899999999849</v>
      </c>
      <c r="H379" s="345"/>
      <c r="I379" s="346"/>
      <c r="J379" s="347"/>
      <c r="K379" s="312"/>
      <c r="L379" s="347"/>
      <c r="M379" s="312"/>
      <c r="N379" s="347"/>
      <c r="O379" s="312"/>
      <c r="P379" s="347"/>
      <c r="Q379" s="312"/>
      <c r="R379" s="347"/>
      <c r="S379" s="312"/>
      <c r="T379" s="347"/>
    </row>
    <row r="380" spans="1:20" ht="12" customHeight="1" x14ac:dyDescent="0.3">
      <c r="A380" s="340" t="s">
        <v>291</v>
      </c>
      <c r="B380" s="341">
        <v>41</v>
      </c>
      <c r="C380" s="309">
        <v>46102</v>
      </c>
      <c r="D380" s="310" t="s">
        <v>383</v>
      </c>
      <c r="E380" s="342"/>
      <c r="F380" s="342">
        <v>400</v>
      </c>
      <c r="G380" s="344">
        <f t="shared" si="3"/>
        <v>7508.979999999985</v>
      </c>
      <c r="H380" s="345"/>
      <c r="I380" s="346"/>
      <c r="J380" s="347"/>
      <c r="K380" s="312"/>
      <c r="L380" s="347"/>
      <c r="M380" s="312"/>
      <c r="N380" s="347"/>
      <c r="O380" s="312"/>
      <c r="P380" s="347"/>
      <c r="Q380" s="312"/>
      <c r="R380" s="347"/>
      <c r="S380" s="312"/>
      <c r="T380" s="347"/>
    </row>
    <row r="381" spans="1:20" ht="12" customHeight="1" x14ac:dyDescent="0.3">
      <c r="A381" s="340" t="s">
        <v>289</v>
      </c>
      <c r="B381" s="341">
        <v>5</v>
      </c>
      <c r="C381" s="309">
        <v>46102</v>
      </c>
      <c r="D381" s="310" t="s">
        <v>395</v>
      </c>
      <c r="E381" s="342">
        <v>170</v>
      </c>
      <c r="F381" s="342"/>
      <c r="G381" s="344">
        <f t="shared" si="3"/>
        <v>7108.979999999985</v>
      </c>
      <c r="H381" s="345" t="s">
        <v>298</v>
      </c>
      <c r="I381" s="346"/>
      <c r="J381" s="347"/>
      <c r="K381" s="312"/>
      <c r="L381" s="347"/>
      <c r="M381" s="312"/>
      <c r="N381" s="347"/>
      <c r="O381" s="312"/>
      <c r="P381" s="347"/>
      <c r="Q381" s="312"/>
      <c r="R381" s="347"/>
      <c r="S381" s="312"/>
      <c r="T381" s="347"/>
    </row>
    <row r="382" spans="1:20" ht="12" customHeight="1" x14ac:dyDescent="0.3">
      <c r="A382" s="340" t="s">
        <v>289</v>
      </c>
      <c r="B382" s="341">
        <v>5</v>
      </c>
      <c r="C382" s="309">
        <v>46102</v>
      </c>
      <c r="D382" s="310" t="s">
        <v>354</v>
      </c>
      <c r="E382" s="342">
        <v>70</v>
      </c>
      <c r="F382" s="342"/>
      <c r="G382" s="344">
        <f t="shared" si="3"/>
        <v>7278.979999999985</v>
      </c>
      <c r="H382" s="345" t="s">
        <v>298</v>
      </c>
      <c r="I382" s="346"/>
      <c r="J382" s="347"/>
      <c r="K382" s="312"/>
      <c r="L382" s="347"/>
      <c r="M382" s="312"/>
      <c r="N382" s="347"/>
      <c r="O382" s="312"/>
      <c r="P382" s="347"/>
      <c r="Q382" s="312"/>
      <c r="R382" s="347"/>
      <c r="S382" s="312"/>
      <c r="T382" s="347"/>
    </row>
    <row r="383" spans="1:20" ht="12" customHeight="1" x14ac:dyDescent="0.3">
      <c r="A383" s="340" t="s">
        <v>289</v>
      </c>
      <c r="B383" s="341">
        <v>5</v>
      </c>
      <c r="C383" s="309">
        <v>46102</v>
      </c>
      <c r="D383" s="310" t="s">
        <v>396</v>
      </c>
      <c r="E383" s="342">
        <v>40</v>
      </c>
      <c r="F383" s="342"/>
      <c r="G383" s="344">
        <f t="shared" ref="G383:G637" si="4">G384-E383+F383</f>
        <v>7348.979999999985</v>
      </c>
      <c r="H383" s="345" t="s">
        <v>298</v>
      </c>
      <c r="I383" s="346"/>
      <c r="J383" s="347"/>
      <c r="K383" s="312"/>
      <c r="L383" s="347"/>
      <c r="M383" s="312"/>
      <c r="N383" s="347"/>
      <c r="O383" s="312"/>
      <c r="P383" s="347"/>
      <c r="Q383" s="312"/>
      <c r="R383" s="347"/>
      <c r="S383" s="312"/>
      <c r="T383" s="347"/>
    </row>
    <row r="384" spans="1:20" ht="12" customHeight="1" x14ac:dyDescent="0.3">
      <c r="A384" s="340" t="s">
        <v>289</v>
      </c>
      <c r="B384" s="341">
        <v>3</v>
      </c>
      <c r="C384" s="309">
        <v>46102</v>
      </c>
      <c r="D384" s="310" t="s">
        <v>348</v>
      </c>
      <c r="E384" s="342">
        <v>25</v>
      </c>
      <c r="F384" s="342"/>
      <c r="G384" s="344">
        <f t="shared" si="4"/>
        <v>7388.979999999985</v>
      </c>
      <c r="H384" s="345"/>
      <c r="I384" s="346"/>
      <c r="J384" s="347"/>
      <c r="K384" s="312"/>
      <c r="L384" s="347"/>
      <c r="M384" s="312"/>
      <c r="N384" s="347"/>
      <c r="O384" s="312"/>
      <c r="P384" s="347"/>
      <c r="Q384" s="312"/>
      <c r="R384" s="347"/>
      <c r="S384" s="312"/>
      <c r="T384" s="347"/>
    </row>
    <row r="385" spans="1:20" ht="12" customHeight="1" x14ac:dyDescent="0.3">
      <c r="A385" s="340" t="s">
        <v>289</v>
      </c>
      <c r="B385" s="341">
        <v>1</v>
      </c>
      <c r="C385" s="309">
        <v>46102</v>
      </c>
      <c r="D385" s="310" t="s">
        <v>304</v>
      </c>
      <c r="E385" s="342">
        <v>65.19</v>
      </c>
      <c r="F385" s="342"/>
      <c r="G385" s="344">
        <f t="shared" si="4"/>
        <v>7413.979999999985</v>
      </c>
      <c r="H385" s="345"/>
      <c r="I385" s="346"/>
      <c r="J385" s="347"/>
      <c r="K385" s="312"/>
      <c r="L385" s="347"/>
      <c r="M385" s="312"/>
      <c r="N385" s="347"/>
      <c r="O385" s="312"/>
      <c r="P385" s="347"/>
      <c r="Q385" s="312"/>
      <c r="R385" s="347"/>
      <c r="S385" s="312"/>
      <c r="T385" s="347"/>
    </row>
    <row r="386" spans="1:20" ht="12" customHeight="1" x14ac:dyDescent="0.3">
      <c r="A386" s="340" t="s">
        <v>289</v>
      </c>
      <c r="B386" s="341">
        <v>4</v>
      </c>
      <c r="C386" s="309">
        <v>46102</v>
      </c>
      <c r="D386" s="310" t="s">
        <v>310</v>
      </c>
      <c r="E386" s="342">
        <v>37.450000000000003</v>
      </c>
      <c r="F386" s="342"/>
      <c r="G386" s="344">
        <f t="shared" si="4"/>
        <v>7479.1699999999846</v>
      </c>
      <c r="H386" s="345"/>
      <c r="I386" s="346"/>
      <c r="J386" s="347"/>
      <c r="K386" s="312"/>
      <c r="L386" s="347"/>
      <c r="M386" s="312"/>
      <c r="N386" s="347"/>
      <c r="O386" s="312"/>
      <c r="P386" s="347"/>
      <c r="Q386" s="312"/>
      <c r="R386" s="347"/>
      <c r="S386" s="312"/>
      <c r="T386" s="347"/>
    </row>
    <row r="387" spans="1:20" ht="12" customHeight="1" x14ac:dyDescent="0.3">
      <c r="A387" s="340" t="s">
        <v>289</v>
      </c>
      <c r="B387" s="341">
        <v>8</v>
      </c>
      <c r="C387" s="309">
        <v>46101</v>
      </c>
      <c r="D387" s="310" t="s">
        <v>356</v>
      </c>
      <c r="E387" s="342">
        <v>65.099999999999994</v>
      </c>
      <c r="F387" s="342"/>
      <c r="G387" s="344">
        <f t="shared" si="4"/>
        <v>7516.6199999999844</v>
      </c>
      <c r="H387" s="345"/>
      <c r="I387" s="346"/>
      <c r="J387" s="347"/>
      <c r="K387" s="312"/>
      <c r="L387" s="347"/>
      <c r="M387" s="312"/>
      <c r="N387" s="347"/>
      <c r="O387" s="312"/>
      <c r="P387" s="347"/>
      <c r="Q387" s="312"/>
      <c r="R387" s="347"/>
      <c r="S387" s="312"/>
      <c r="T387" s="347"/>
    </row>
    <row r="388" spans="1:20" ht="12" customHeight="1" x14ac:dyDescent="0.3">
      <c r="A388" s="340" t="s">
        <v>294</v>
      </c>
      <c r="B388" s="341">
        <v>22</v>
      </c>
      <c r="C388" s="309">
        <v>46101</v>
      </c>
      <c r="D388" s="310" t="s">
        <v>323</v>
      </c>
      <c r="E388" s="342">
        <v>20.22</v>
      </c>
      <c r="F388" s="342"/>
      <c r="G388" s="344">
        <f t="shared" si="4"/>
        <v>7581.7199999999848</v>
      </c>
      <c r="H388" s="345"/>
      <c r="I388" s="346"/>
      <c r="J388" s="347"/>
      <c r="K388" s="312"/>
      <c r="L388" s="347"/>
      <c r="M388" s="312"/>
      <c r="N388" s="347"/>
      <c r="O388" s="312"/>
      <c r="P388" s="347"/>
      <c r="Q388" s="312"/>
      <c r="R388" s="347"/>
      <c r="S388" s="312"/>
      <c r="T388" s="347"/>
    </row>
    <row r="389" spans="1:20" ht="12" customHeight="1" x14ac:dyDescent="0.3">
      <c r="A389" s="340" t="s">
        <v>289</v>
      </c>
      <c r="B389" s="341">
        <v>6</v>
      </c>
      <c r="C389" s="309">
        <v>46101</v>
      </c>
      <c r="D389" s="310" t="s">
        <v>433</v>
      </c>
      <c r="E389" s="342">
        <v>-73</v>
      </c>
      <c r="F389" s="342"/>
      <c r="G389" s="344">
        <f t="shared" si="4"/>
        <v>7601.939999999985</v>
      </c>
      <c r="H389" s="345"/>
      <c r="I389" s="346"/>
      <c r="J389" s="347"/>
      <c r="K389" s="312"/>
      <c r="L389" s="347"/>
      <c r="M389" s="312"/>
      <c r="N389" s="347"/>
      <c r="O389" s="312"/>
      <c r="P389" s="347"/>
      <c r="Q389" s="312"/>
      <c r="R389" s="347"/>
      <c r="S389" s="312"/>
      <c r="T389" s="347"/>
    </row>
    <row r="390" spans="1:20" ht="12" customHeight="1" x14ac:dyDescent="0.3">
      <c r="A390" s="340" t="s">
        <v>289</v>
      </c>
      <c r="B390" s="341">
        <v>6</v>
      </c>
      <c r="C390" s="309">
        <v>46101</v>
      </c>
      <c r="D390" s="310" t="s">
        <v>300</v>
      </c>
      <c r="E390" s="342">
        <v>34.68</v>
      </c>
      <c r="F390" s="342"/>
      <c r="G390" s="344">
        <f t="shared" si="4"/>
        <v>7528.939999999985</v>
      </c>
      <c r="H390" s="345"/>
      <c r="I390" s="346"/>
      <c r="J390" s="347"/>
      <c r="K390" s="312"/>
      <c r="L390" s="347"/>
      <c r="M390" s="312"/>
      <c r="N390" s="347"/>
      <c r="O390" s="312"/>
      <c r="P390" s="347"/>
      <c r="Q390" s="312"/>
      <c r="R390" s="347"/>
      <c r="S390" s="312"/>
      <c r="T390" s="347"/>
    </row>
    <row r="391" spans="1:20" ht="12" customHeight="1" x14ac:dyDescent="0.3">
      <c r="A391" s="340" t="s">
        <v>289</v>
      </c>
      <c r="B391" s="341">
        <v>6</v>
      </c>
      <c r="C391" s="309">
        <v>46101</v>
      </c>
      <c r="D391" s="310" t="s">
        <v>397</v>
      </c>
      <c r="E391" s="342">
        <v>10.63</v>
      </c>
      <c r="F391" s="342"/>
      <c r="G391" s="344">
        <f t="shared" si="4"/>
        <v>7563.6199999999853</v>
      </c>
      <c r="H391" s="345"/>
      <c r="I391" s="346"/>
      <c r="J391" s="347"/>
      <c r="K391" s="312"/>
      <c r="L391" s="347"/>
      <c r="M391" s="312"/>
      <c r="N391" s="347"/>
      <c r="O391" s="312"/>
      <c r="P391" s="347"/>
      <c r="Q391" s="312"/>
      <c r="R391" s="347"/>
      <c r="S391" s="312"/>
      <c r="T391" s="347"/>
    </row>
    <row r="392" spans="1:20" ht="12" customHeight="1" x14ac:dyDescent="0.3">
      <c r="A392" s="340" t="s">
        <v>289</v>
      </c>
      <c r="B392" s="341">
        <v>5</v>
      </c>
      <c r="C392" s="309">
        <v>46101</v>
      </c>
      <c r="D392" s="310" t="s">
        <v>398</v>
      </c>
      <c r="E392" s="342">
        <v>106.49</v>
      </c>
      <c r="F392" s="342"/>
      <c r="G392" s="344">
        <f t="shared" si="4"/>
        <v>7574.2499999999854</v>
      </c>
      <c r="H392" s="345"/>
      <c r="I392" s="346"/>
      <c r="J392" s="347"/>
      <c r="K392" s="312"/>
      <c r="L392" s="347"/>
      <c r="M392" s="312"/>
      <c r="N392" s="347"/>
      <c r="O392" s="312"/>
      <c r="P392" s="347"/>
      <c r="Q392" s="312"/>
      <c r="R392" s="347"/>
      <c r="S392" s="312"/>
      <c r="T392" s="347"/>
    </row>
    <row r="393" spans="1:20" ht="12" customHeight="1" x14ac:dyDescent="0.3">
      <c r="A393" s="340" t="s">
        <v>289</v>
      </c>
      <c r="B393" s="341">
        <v>8</v>
      </c>
      <c r="C393" s="309">
        <v>46100</v>
      </c>
      <c r="D393" s="310" t="s">
        <v>357</v>
      </c>
      <c r="E393" s="342">
        <v>16.739999999999998</v>
      </c>
      <c r="F393" s="342"/>
      <c r="G393" s="344">
        <f t="shared" si="4"/>
        <v>7680.7399999999852</v>
      </c>
      <c r="H393" s="345"/>
      <c r="I393" s="346"/>
      <c r="J393" s="347"/>
      <c r="K393" s="312"/>
      <c r="L393" s="347"/>
      <c r="M393" s="312"/>
      <c r="N393" s="347"/>
      <c r="O393" s="312"/>
      <c r="P393" s="347"/>
      <c r="Q393" s="312"/>
      <c r="R393" s="347"/>
      <c r="S393" s="312"/>
      <c r="T393" s="347"/>
    </row>
    <row r="394" spans="1:20" ht="12" customHeight="1" x14ac:dyDescent="0.3">
      <c r="A394" s="340" t="s">
        <v>289</v>
      </c>
      <c r="B394" s="341">
        <v>8</v>
      </c>
      <c r="C394" s="309">
        <v>46100</v>
      </c>
      <c r="D394" s="310" t="s">
        <v>399</v>
      </c>
      <c r="E394" s="342">
        <v>108.54</v>
      </c>
      <c r="F394" s="342"/>
      <c r="G394" s="344">
        <f t="shared" si="4"/>
        <v>7697.479999999985</v>
      </c>
      <c r="H394" s="345"/>
      <c r="I394" s="346"/>
      <c r="J394" s="347"/>
      <c r="K394" s="312"/>
      <c r="L394" s="347"/>
      <c r="M394" s="312"/>
      <c r="N394" s="347"/>
      <c r="O394" s="312"/>
      <c r="P394" s="347"/>
      <c r="Q394" s="312"/>
      <c r="R394" s="347"/>
      <c r="S394" s="312"/>
      <c r="T394" s="347"/>
    </row>
    <row r="395" spans="1:20" ht="12" customHeight="1" x14ac:dyDescent="0.3">
      <c r="A395" s="340" t="s">
        <v>294</v>
      </c>
      <c r="B395" s="341">
        <v>22</v>
      </c>
      <c r="C395" s="309">
        <v>46100</v>
      </c>
      <c r="D395" s="310" t="s">
        <v>835</v>
      </c>
      <c r="E395" s="342">
        <v>12.77</v>
      </c>
      <c r="F395" s="342"/>
      <c r="G395" s="344">
        <f t="shared" si="4"/>
        <v>7806.019999999985</v>
      </c>
      <c r="H395" s="345"/>
      <c r="I395" s="346"/>
      <c r="J395" s="347"/>
      <c r="K395" s="312"/>
      <c r="L395" s="347"/>
      <c r="M395" s="312"/>
      <c r="N395" s="347"/>
      <c r="O395" s="312"/>
      <c r="P395" s="347"/>
      <c r="Q395" s="312"/>
      <c r="R395" s="347"/>
      <c r="S395" s="312"/>
      <c r="T395" s="347"/>
    </row>
    <row r="396" spans="1:20" ht="12" customHeight="1" x14ac:dyDescent="0.3">
      <c r="A396" s="340" t="s">
        <v>289</v>
      </c>
      <c r="B396" s="341">
        <v>8</v>
      </c>
      <c r="C396" s="309">
        <v>46100</v>
      </c>
      <c r="D396" s="310" t="s">
        <v>334</v>
      </c>
      <c r="E396" s="342">
        <v>28.33</v>
      </c>
      <c r="F396" s="342"/>
      <c r="G396" s="344">
        <f t="shared" si="4"/>
        <v>7818.7899999999854</v>
      </c>
      <c r="H396" s="345"/>
      <c r="I396" s="346"/>
      <c r="J396" s="347"/>
      <c r="K396" s="312"/>
      <c r="L396" s="347"/>
      <c r="M396" s="312"/>
      <c r="N396" s="347"/>
      <c r="O396" s="312"/>
      <c r="P396" s="347"/>
      <c r="Q396" s="312"/>
      <c r="R396" s="347"/>
      <c r="S396" s="312"/>
      <c r="T396" s="347"/>
    </row>
    <row r="397" spans="1:20" ht="12" customHeight="1" x14ac:dyDescent="0.3">
      <c r="A397" s="340" t="s">
        <v>289</v>
      </c>
      <c r="B397" s="341">
        <v>2</v>
      </c>
      <c r="C397" s="309">
        <v>46100</v>
      </c>
      <c r="D397" s="310" t="s">
        <v>358</v>
      </c>
      <c r="E397" s="342">
        <v>17.45</v>
      </c>
      <c r="F397" s="342"/>
      <c r="G397" s="344">
        <f t="shared" si="4"/>
        <v>7847.1199999999853</v>
      </c>
      <c r="H397" s="345"/>
      <c r="I397" s="346"/>
      <c r="J397" s="347"/>
      <c r="K397" s="312"/>
      <c r="L397" s="347"/>
      <c r="M397" s="312"/>
      <c r="N397" s="347"/>
      <c r="O397" s="312"/>
      <c r="P397" s="347"/>
      <c r="Q397" s="312"/>
      <c r="R397" s="347"/>
      <c r="S397" s="312"/>
      <c r="T397" s="347"/>
    </row>
    <row r="398" spans="1:20" ht="12" customHeight="1" x14ac:dyDescent="0.3">
      <c r="A398" s="340" t="s">
        <v>294</v>
      </c>
      <c r="B398" s="341">
        <v>22</v>
      </c>
      <c r="C398" s="309">
        <v>46100</v>
      </c>
      <c r="D398" s="310" t="s">
        <v>328</v>
      </c>
      <c r="E398" s="342">
        <v>7.46</v>
      </c>
      <c r="F398" s="342"/>
      <c r="G398" s="344">
        <f t="shared" si="4"/>
        <v>7864.5699999999852</v>
      </c>
      <c r="H398" s="345"/>
      <c r="I398" s="346"/>
      <c r="J398" s="347"/>
      <c r="K398" s="312"/>
      <c r="L398" s="347"/>
      <c r="M398" s="312"/>
      <c r="N398" s="347"/>
      <c r="O398" s="312"/>
      <c r="P398" s="347"/>
      <c r="Q398" s="312"/>
      <c r="R398" s="347"/>
      <c r="S398" s="312"/>
      <c r="T398" s="347"/>
    </row>
    <row r="399" spans="1:20" ht="12" customHeight="1" x14ac:dyDescent="0.3">
      <c r="A399" s="340" t="s">
        <v>335</v>
      </c>
      <c r="B399" s="341" t="s">
        <v>335</v>
      </c>
      <c r="C399" s="309">
        <v>46100</v>
      </c>
      <c r="D399" s="310" t="s">
        <v>336</v>
      </c>
      <c r="E399" s="342">
        <v>172.29</v>
      </c>
      <c r="F399" s="342"/>
      <c r="G399" s="344">
        <f t="shared" si="4"/>
        <v>7872.0299999999852</v>
      </c>
      <c r="H399" s="345"/>
      <c r="I399" s="346"/>
      <c r="J399" s="347"/>
      <c r="K399" s="312"/>
      <c r="L399" s="347"/>
      <c r="M399" s="312"/>
      <c r="N399" s="347"/>
      <c r="O399" s="312"/>
      <c r="P399" s="347"/>
      <c r="Q399" s="312"/>
      <c r="R399" s="347"/>
      <c r="S399" s="312"/>
      <c r="T399" s="347"/>
    </row>
    <row r="400" spans="1:20" ht="12" customHeight="1" x14ac:dyDescent="0.3">
      <c r="A400" s="340" t="s">
        <v>294</v>
      </c>
      <c r="B400" s="341">
        <v>15</v>
      </c>
      <c r="C400" s="309">
        <v>46100</v>
      </c>
      <c r="D400" s="310" t="s">
        <v>185</v>
      </c>
      <c r="E400" s="342">
        <v>175.09</v>
      </c>
      <c r="F400" s="342"/>
      <c r="G400" s="344">
        <f t="shared" si="4"/>
        <v>8044.3199999999852</v>
      </c>
      <c r="H400" s="345"/>
      <c r="I400" s="346"/>
      <c r="J400" s="347"/>
      <c r="K400" s="312"/>
      <c r="L400" s="347"/>
      <c r="M400" s="312"/>
      <c r="N400" s="347"/>
      <c r="O400" s="312"/>
      <c r="P400" s="347"/>
      <c r="Q400" s="312"/>
      <c r="R400" s="347"/>
      <c r="S400" s="312"/>
      <c r="T400" s="347"/>
    </row>
    <row r="401" spans="1:20" ht="12" customHeight="1" x14ac:dyDescent="0.3">
      <c r="A401" s="340" t="s">
        <v>291</v>
      </c>
      <c r="B401" s="341">
        <v>39</v>
      </c>
      <c r="C401" s="309">
        <v>46100</v>
      </c>
      <c r="D401" s="310" t="s">
        <v>292</v>
      </c>
      <c r="E401" s="342"/>
      <c r="F401" s="342">
        <v>2763.78</v>
      </c>
      <c r="G401" s="344">
        <f t="shared" si="4"/>
        <v>8219.4099999999853</v>
      </c>
      <c r="H401" s="345"/>
      <c r="I401" s="346"/>
      <c r="J401" s="347"/>
      <c r="K401" s="312"/>
      <c r="L401" s="347"/>
      <c r="M401" s="312"/>
      <c r="N401" s="347"/>
      <c r="O401" s="312"/>
      <c r="P401" s="347"/>
      <c r="Q401" s="312"/>
      <c r="R401" s="347"/>
      <c r="S401" s="312"/>
      <c r="T401" s="347"/>
    </row>
    <row r="402" spans="1:20" ht="12" customHeight="1" x14ac:dyDescent="0.3">
      <c r="A402" s="340" t="s">
        <v>289</v>
      </c>
      <c r="B402" s="341">
        <v>2</v>
      </c>
      <c r="C402" s="309">
        <v>46099</v>
      </c>
      <c r="D402" s="310" t="s">
        <v>400</v>
      </c>
      <c r="E402" s="342">
        <v>47.46</v>
      </c>
      <c r="F402" s="342"/>
      <c r="G402" s="344">
        <f t="shared" si="4"/>
        <v>5455.6299999999856</v>
      </c>
      <c r="H402" s="345"/>
      <c r="I402" s="346"/>
      <c r="J402" s="347"/>
      <c r="K402" s="312"/>
      <c r="L402" s="347"/>
      <c r="M402" s="312"/>
      <c r="N402" s="347"/>
      <c r="O402" s="312"/>
      <c r="P402" s="347"/>
      <c r="Q402" s="312"/>
      <c r="R402" s="347"/>
      <c r="S402" s="312"/>
      <c r="T402" s="347"/>
    </row>
    <row r="403" spans="1:20" ht="12" customHeight="1" x14ac:dyDescent="0.3">
      <c r="A403" s="340" t="s">
        <v>289</v>
      </c>
      <c r="B403" s="341">
        <v>8</v>
      </c>
      <c r="C403" s="309">
        <v>46099</v>
      </c>
      <c r="D403" s="310" t="s">
        <v>400</v>
      </c>
      <c r="E403" s="342">
        <v>15.01</v>
      </c>
      <c r="F403" s="342"/>
      <c r="G403" s="344">
        <f t="shared" si="4"/>
        <v>5503.0899999999856</v>
      </c>
      <c r="H403" s="345"/>
      <c r="I403" s="346"/>
      <c r="J403" s="347"/>
      <c r="K403" s="312"/>
      <c r="L403" s="347"/>
      <c r="M403" s="312"/>
      <c r="N403" s="347"/>
      <c r="O403" s="312"/>
      <c r="P403" s="347"/>
      <c r="Q403" s="312"/>
      <c r="R403" s="347"/>
      <c r="S403" s="312"/>
      <c r="T403" s="347"/>
    </row>
    <row r="404" spans="1:20" ht="12" customHeight="1" x14ac:dyDescent="0.3">
      <c r="A404" s="340" t="s">
        <v>291</v>
      </c>
      <c r="B404" s="341">
        <v>40</v>
      </c>
      <c r="C404" s="309">
        <v>46099</v>
      </c>
      <c r="D404" s="310" t="s">
        <v>316</v>
      </c>
      <c r="E404" s="342"/>
      <c r="F404" s="342">
        <v>838.67</v>
      </c>
      <c r="G404" s="344">
        <f t="shared" si="4"/>
        <v>5518.0999999999858</v>
      </c>
      <c r="H404" s="345"/>
      <c r="I404" s="346"/>
      <c r="J404" s="347"/>
      <c r="K404" s="312"/>
      <c r="L404" s="347"/>
      <c r="M404" s="312"/>
      <c r="N404" s="347"/>
      <c r="O404" s="312"/>
      <c r="P404" s="347"/>
      <c r="Q404" s="312"/>
      <c r="R404" s="347"/>
      <c r="S404" s="312"/>
      <c r="T404" s="347"/>
    </row>
    <row r="405" spans="1:20" ht="12" customHeight="1" x14ac:dyDescent="0.3">
      <c r="A405" s="340" t="s">
        <v>289</v>
      </c>
      <c r="B405" s="341">
        <v>2</v>
      </c>
      <c r="C405" s="309">
        <v>46099</v>
      </c>
      <c r="D405" s="310" t="s">
        <v>296</v>
      </c>
      <c r="E405" s="342">
        <v>14.67</v>
      </c>
      <c r="F405" s="342"/>
      <c r="G405" s="344">
        <f t="shared" si="4"/>
        <v>4679.4299999999857</v>
      </c>
      <c r="H405" s="345"/>
      <c r="I405" s="346"/>
      <c r="J405" s="347"/>
      <c r="K405" s="312"/>
      <c r="L405" s="347"/>
      <c r="M405" s="312"/>
      <c r="N405" s="347"/>
      <c r="O405" s="312"/>
      <c r="P405" s="347"/>
      <c r="Q405" s="312"/>
      <c r="R405" s="347"/>
      <c r="S405" s="312"/>
      <c r="T405" s="347"/>
    </row>
    <row r="406" spans="1:20" ht="12" customHeight="1" x14ac:dyDescent="0.3">
      <c r="A406" s="340" t="s">
        <v>289</v>
      </c>
      <c r="B406" s="341">
        <v>4</v>
      </c>
      <c r="C406" s="309">
        <v>46099</v>
      </c>
      <c r="D406" s="310" t="s">
        <v>296</v>
      </c>
      <c r="E406" s="342">
        <v>40.22</v>
      </c>
      <c r="F406" s="342"/>
      <c r="G406" s="344">
        <f t="shared" si="4"/>
        <v>4694.0999999999858</v>
      </c>
      <c r="H406" s="345"/>
      <c r="I406" s="346"/>
      <c r="J406" s="347"/>
      <c r="K406" s="312"/>
      <c r="L406" s="347"/>
      <c r="M406" s="312"/>
      <c r="N406" s="347"/>
      <c r="O406" s="312"/>
      <c r="P406" s="347"/>
      <c r="Q406" s="312"/>
      <c r="R406" s="347"/>
      <c r="S406" s="312"/>
      <c r="T406" s="347"/>
    </row>
    <row r="407" spans="1:20" ht="12" customHeight="1" x14ac:dyDescent="0.3">
      <c r="A407" s="340" t="s">
        <v>289</v>
      </c>
      <c r="B407" s="341">
        <v>8</v>
      </c>
      <c r="C407" s="309">
        <v>46099</v>
      </c>
      <c r="D407" s="310" t="s">
        <v>295</v>
      </c>
      <c r="E407" s="342">
        <v>3.49</v>
      </c>
      <c r="F407" s="342"/>
      <c r="G407" s="344">
        <f t="shared" si="4"/>
        <v>4734.3199999999861</v>
      </c>
      <c r="H407" s="345"/>
      <c r="I407" s="346"/>
      <c r="J407" s="347"/>
      <c r="K407" s="312"/>
      <c r="L407" s="347"/>
      <c r="M407" s="312"/>
      <c r="N407" s="347"/>
      <c r="O407" s="312"/>
      <c r="P407" s="347"/>
      <c r="Q407" s="312"/>
      <c r="R407" s="347"/>
      <c r="S407" s="312"/>
      <c r="T407" s="347"/>
    </row>
    <row r="408" spans="1:20" ht="12" customHeight="1" x14ac:dyDescent="0.3">
      <c r="A408" s="340" t="s">
        <v>294</v>
      </c>
      <c r="B408" s="341">
        <v>22</v>
      </c>
      <c r="C408" s="309">
        <v>46099</v>
      </c>
      <c r="D408" s="310" t="s">
        <v>401</v>
      </c>
      <c r="E408" s="342">
        <v>13.84</v>
      </c>
      <c r="F408" s="342"/>
      <c r="G408" s="344">
        <f t="shared" si="4"/>
        <v>4737.8099999999858</v>
      </c>
      <c r="H408" s="345"/>
      <c r="I408" s="346"/>
      <c r="J408" s="347"/>
      <c r="K408" s="312"/>
      <c r="L408" s="347"/>
      <c r="M408" s="312"/>
      <c r="N408" s="347"/>
      <c r="O408" s="312"/>
      <c r="P408" s="347"/>
      <c r="Q408" s="312"/>
      <c r="R408" s="347"/>
      <c r="S408" s="312"/>
      <c r="T408" s="347"/>
    </row>
    <row r="409" spans="1:20" ht="12" customHeight="1" x14ac:dyDescent="0.3">
      <c r="A409" s="340" t="s">
        <v>294</v>
      </c>
      <c r="B409" s="341">
        <v>17</v>
      </c>
      <c r="C409" s="309">
        <v>46098</v>
      </c>
      <c r="D409" s="310" t="s">
        <v>188</v>
      </c>
      <c r="E409" s="342">
        <v>42.65</v>
      </c>
      <c r="F409" s="342"/>
      <c r="G409" s="344">
        <f t="shared" si="4"/>
        <v>4751.649999999986</v>
      </c>
      <c r="H409" s="345"/>
      <c r="I409" s="346"/>
      <c r="J409" s="347"/>
      <c r="K409" s="312"/>
      <c r="L409" s="347"/>
      <c r="M409" s="312"/>
      <c r="N409" s="347"/>
      <c r="O409" s="312"/>
      <c r="P409" s="347"/>
      <c r="Q409" s="312"/>
      <c r="R409" s="347"/>
      <c r="S409" s="312"/>
      <c r="T409" s="347"/>
    </row>
    <row r="410" spans="1:20" ht="12" customHeight="1" x14ac:dyDescent="0.3">
      <c r="A410" s="340" t="s">
        <v>294</v>
      </c>
      <c r="B410" s="341">
        <v>23</v>
      </c>
      <c r="C410" s="309">
        <v>46098</v>
      </c>
      <c r="D410" s="310" t="s">
        <v>402</v>
      </c>
      <c r="E410" s="342">
        <v>529.46</v>
      </c>
      <c r="F410" s="342"/>
      <c r="G410" s="344">
        <f t="shared" si="4"/>
        <v>4794.2999999999856</v>
      </c>
      <c r="H410" s="345"/>
      <c r="I410" s="346"/>
      <c r="J410" s="347"/>
      <c r="K410" s="312"/>
      <c r="L410" s="347"/>
      <c r="M410" s="312"/>
      <c r="N410" s="347"/>
      <c r="O410" s="312"/>
      <c r="P410" s="347"/>
      <c r="Q410" s="312"/>
      <c r="R410" s="347"/>
      <c r="S410" s="312"/>
      <c r="T410" s="347"/>
    </row>
    <row r="411" spans="1:20" ht="12" customHeight="1" x14ac:dyDescent="0.3">
      <c r="A411" s="340" t="s">
        <v>294</v>
      </c>
      <c r="B411" s="341">
        <v>43</v>
      </c>
      <c r="C411" s="309">
        <v>46098</v>
      </c>
      <c r="D411" s="310" t="s">
        <v>333</v>
      </c>
      <c r="E411" s="342">
        <v>22.35</v>
      </c>
      <c r="F411" s="342"/>
      <c r="G411" s="344">
        <f t="shared" si="4"/>
        <v>5323.7599999999857</v>
      </c>
      <c r="H411" s="345"/>
      <c r="I411" s="346"/>
      <c r="J411" s="347"/>
      <c r="K411" s="312"/>
      <c r="L411" s="347"/>
      <c r="M411" s="312"/>
      <c r="N411" s="347"/>
      <c r="O411" s="312"/>
      <c r="P411" s="347"/>
      <c r="Q411" s="312"/>
      <c r="R411" s="347"/>
      <c r="S411" s="312"/>
      <c r="T411" s="347"/>
    </row>
    <row r="412" spans="1:20" ht="12" customHeight="1" x14ac:dyDescent="0.3">
      <c r="A412" s="340" t="s">
        <v>294</v>
      </c>
      <c r="B412" s="341">
        <v>42</v>
      </c>
      <c r="C412" s="309">
        <v>46098</v>
      </c>
      <c r="D412" s="310" t="s">
        <v>333</v>
      </c>
      <c r="E412" s="342">
        <v>37.25</v>
      </c>
      <c r="F412" s="342"/>
      <c r="G412" s="344">
        <f t="shared" si="4"/>
        <v>5346.109999999986</v>
      </c>
      <c r="H412" s="345"/>
      <c r="I412" s="346"/>
      <c r="J412" s="347"/>
      <c r="K412" s="312"/>
      <c r="L412" s="347"/>
      <c r="M412" s="312"/>
      <c r="N412" s="347"/>
      <c r="O412" s="312"/>
      <c r="P412" s="347"/>
      <c r="Q412" s="312"/>
      <c r="R412" s="347"/>
      <c r="S412" s="312"/>
      <c r="T412" s="347"/>
    </row>
    <row r="413" spans="1:20" ht="12" customHeight="1" x14ac:dyDescent="0.3">
      <c r="A413" s="340" t="s">
        <v>289</v>
      </c>
      <c r="B413" s="341">
        <v>8</v>
      </c>
      <c r="C413" s="309">
        <v>46098</v>
      </c>
      <c r="D413" s="310" t="s">
        <v>319</v>
      </c>
      <c r="E413" s="342">
        <v>3.99</v>
      </c>
      <c r="F413" s="342"/>
      <c r="G413" s="344">
        <f t="shared" si="4"/>
        <v>5383.359999999986</v>
      </c>
      <c r="H413" s="345"/>
      <c r="I413" s="346"/>
      <c r="J413" s="347"/>
      <c r="K413" s="312"/>
      <c r="L413" s="347"/>
      <c r="M413" s="312"/>
      <c r="N413" s="347"/>
      <c r="O413" s="312"/>
      <c r="P413" s="347"/>
      <c r="Q413" s="312"/>
      <c r="R413" s="347"/>
      <c r="S413" s="312"/>
      <c r="T413" s="347"/>
    </row>
    <row r="414" spans="1:20" ht="12" customHeight="1" x14ac:dyDescent="0.3">
      <c r="A414" s="340" t="s">
        <v>289</v>
      </c>
      <c r="B414" s="341">
        <v>8</v>
      </c>
      <c r="C414" s="309">
        <v>46098</v>
      </c>
      <c r="D414" s="310" t="s">
        <v>319</v>
      </c>
      <c r="E414" s="342">
        <v>24.47</v>
      </c>
      <c r="F414" s="342"/>
      <c r="G414" s="344">
        <f t="shared" si="4"/>
        <v>5387.3499999999858</v>
      </c>
      <c r="H414" s="345"/>
      <c r="I414" s="346"/>
      <c r="J414" s="347"/>
      <c r="K414" s="312"/>
      <c r="L414" s="347"/>
      <c r="M414" s="312"/>
      <c r="N414" s="347"/>
      <c r="O414" s="312"/>
      <c r="P414" s="347"/>
      <c r="Q414" s="312"/>
      <c r="R414" s="347"/>
      <c r="S414" s="312"/>
      <c r="T414" s="347"/>
    </row>
    <row r="415" spans="1:20" ht="12" customHeight="1" x14ac:dyDescent="0.3">
      <c r="A415" s="340" t="s">
        <v>294</v>
      </c>
      <c r="B415" s="341">
        <v>21</v>
      </c>
      <c r="C415" s="309">
        <v>46098</v>
      </c>
      <c r="D415" s="310" t="s">
        <v>194</v>
      </c>
      <c r="E415" s="342">
        <v>75.599999999999994</v>
      </c>
      <c r="F415" s="342"/>
      <c r="G415" s="344">
        <f t="shared" si="4"/>
        <v>5411.8199999999861</v>
      </c>
      <c r="H415" s="345"/>
      <c r="I415" s="346"/>
      <c r="J415" s="347"/>
      <c r="K415" s="312"/>
      <c r="L415" s="347"/>
      <c r="M415" s="312"/>
      <c r="N415" s="347"/>
      <c r="O415" s="312"/>
      <c r="P415" s="347"/>
      <c r="Q415" s="312"/>
      <c r="R415" s="347"/>
      <c r="S415" s="312"/>
      <c r="T415" s="347"/>
    </row>
    <row r="416" spans="1:20" ht="12" customHeight="1" x14ac:dyDescent="0.3">
      <c r="A416" s="340" t="s">
        <v>289</v>
      </c>
      <c r="B416" s="341">
        <v>5</v>
      </c>
      <c r="C416" s="309">
        <v>46097</v>
      </c>
      <c r="D416" s="310" t="s">
        <v>340</v>
      </c>
      <c r="E416" s="342">
        <v>21.3</v>
      </c>
      <c r="F416" s="342"/>
      <c r="G416" s="344">
        <f t="shared" si="4"/>
        <v>5487.4199999999864</v>
      </c>
      <c r="H416" s="345"/>
      <c r="I416" s="346"/>
      <c r="J416" s="347"/>
      <c r="K416" s="312"/>
      <c r="L416" s="347"/>
      <c r="M416" s="312"/>
      <c r="N416" s="347"/>
      <c r="O416" s="312"/>
      <c r="P416" s="347"/>
      <c r="Q416" s="312"/>
      <c r="R416" s="347"/>
      <c r="S416" s="312"/>
      <c r="T416" s="347"/>
    </row>
    <row r="417" spans="1:20" ht="12" customHeight="1" x14ac:dyDescent="0.3">
      <c r="A417" s="340" t="s">
        <v>294</v>
      </c>
      <c r="B417" s="341">
        <v>11</v>
      </c>
      <c r="C417" s="309">
        <v>46097</v>
      </c>
      <c r="D417" s="310" t="s">
        <v>178</v>
      </c>
      <c r="E417" s="342">
        <v>267.91000000000003</v>
      </c>
      <c r="F417" s="342"/>
      <c r="G417" s="344">
        <f t="shared" si="4"/>
        <v>5508.7199999999866</v>
      </c>
      <c r="H417" s="345"/>
      <c r="I417" s="346"/>
      <c r="J417" s="347"/>
      <c r="K417" s="312"/>
      <c r="L417" s="347"/>
      <c r="M417" s="312"/>
      <c r="N417" s="347"/>
      <c r="O417" s="312"/>
      <c r="P417" s="347"/>
      <c r="Q417" s="312"/>
      <c r="R417" s="347"/>
      <c r="S417" s="312"/>
      <c r="T417" s="347"/>
    </row>
    <row r="418" spans="1:20" ht="12" customHeight="1" x14ac:dyDescent="0.3">
      <c r="A418" s="340" t="s">
        <v>287</v>
      </c>
      <c r="B418" s="341" t="s">
        <v>287</v>
      </c>
      <c r="C418" s="309">
        <v>46097</v>
      </c>
      <c r="D418" s="310" t="s">
        <v>403</v>
      </c>
      <c r="E418" s="342"/>
      <c r="F418" s="342">
        <v>80</v>
      </c>
      <c r="G418" s="344">
        <f t="shared" si="4"/>
        <v>5776.6299999999865</v>
      </c>
      <c r="H418" s="345" t="s">
        <v>298</v>
      </c>
      <c r="I418" s="346"/>
      <c r="J418" s="347"/>
      <c r="K418" s="312"/>
      <c r="L418" s="347"/>
      <c r="M418" s="312"/>
      <c r="N418" s="347"/>
      <c r="O418" s="312"/>
      <c r="P418" s="347"/>
      <c r="Q418" s="312"/>
      <c r="R418" s="347"/>
      <c r="S418" s="312"/>
      <c r="T418" s="347"/>
    </row>
    <row r="419" spans="1:20" ht="12" customHeight="1" x14ac:dyDescent="0.3">
      <c r="A419" s="340" t="s">
        <v>287</v>
      </c>
      <c r="B419" s="341" t="s">
        <v>287</v>
      </c>
      <c r="C419" s="309">
        <v>46097</v>
      </c>
      <c r="D419" s="310" t="s">
        <v>302</v>
      </c>
      <c r="E419" s="342">
        <v>80</v>
      </c>
      <c r="F419" s="342"/>
      <c r="G419" s="344">
        <f t="shared" si="4"/>
        <v>5696.6299999999865</v>
      </c>
      <c r="H419" s="345"/>
      <c r="I419" s="346"/>
      <c r="J419" s="347"/>
      <c r="K419" s="312"/>
      <c r="L419" s="347"/>
      <c r="M419" s="312"/>
      <c r="N419" s="347"/>
      <c r="O419" s="312"/>
      <c r="P419" s="347"/>
      <c r="Q419" s="312"/>
      <c r="R419" s="347"/>
      <c r="S419" s="312"/>
      <c r="T419" s="347"/>
    </row>
    <row r="420" spans="1:20" ht="12" customHeight="1" x14ac:dyDescent="0.3">
      <c r="A420" s="340" t="s">
        <v>289</v>
      </c>
      <c r="B420" s="341">
        <v>4</v>
      </c>
      <c r="C420" s="309">
        <v>46097</v>
      </c>
      <c r="D420" s="310" t="s">
        <v>310</v>
      </c>
      <c r="E420" s="342">
        <v>42.47</v>
      </c>
      <c r="F420" s="342"/>
      <c r="G420" s="344">
        <f t="shared" si="4"/>
        <v>5776.6299999999865</v>
      </c>
      <c r="H420" s="345"/>
      <c r="I420" s="346"/>
      <c r="J420" s="347"/>
      <c r="K420" s="312"/>
      <c r="L420" s="347"/>
      <c r="M420" s="312"/>
      <c r="N420" s="347"/>
      <c r="O420" s="312"/>
      <c r="P420" s="347"/>
      <c r="Q420" s="312"/>
      <c r="R420" s="347"/>
      <c r="S420" s="312"/>
      <c r="T420" s="347"/>
    </row>
    <row r="421" spans="1:20" ht="12" customHeight="1" x14ac:dyDescent="0.3">
      <c r="A421" s="340" t="s">
        <v>289</v>
      </c>
      <c r="B421" s="341">
        <v>2</v>
      </c>
      <c r="C421" s="309">
        <v>46097</v>
      </c>
      <c r="D421" s="310" t="s">
        <v>296</v>
      </c>
      <c r="E421" s="342">
        <v>11.18</v>
      </c>
      <c r="F421" s="342"/>
      <c r="G421" s="344">
        <f t="shared" si="4"/>
        <v>5819.0999999999867</v>
      </c>
      <c r="H421" s="345"/>
      <c r="I421" s="346"/>
      <c r="J421" s="347"/>
      <c r="K421" s="312"/>
      <c r="L421" s="347"/>
      <c r="M421" s="312"/>
      <c r="N421" s="347"/>
      <c r="O421" s="312"/>
      <c r="P421" s="347"/>
      <c r="Q421" s="312"/>
      <c r="R421" s="347"/>
      <c r="S421" s="312"/>
      <c r="T421" s="347"/>
    </row>
    <row r="422" spans="1:20" ht="12" customHeight="1" x14ac:dyDescent="0.3">
      <c r="A422" s="340" t="s">
        <v>289</v>
      </c>
      <c r="B422" s="341">
        <v>2</v>
      </c>
      <c r="C422" s="309">
        <v>46096</v>
      </c>
      <c r="D422" s="310" t="s">
        <v>404</v>
      </c>
      <c r="E422" s="342">
        <v>38.67</v>
      </c>
      <c r="F422" s="342"/>
      <c r="G422" s="344">
        <f t="shared" si="4"/>
        <v>5830.279999999987</v>
      </c>
      <c r="H422" s="345"/>
      <c r="I422" s="346"/>
      <c r="J422" s="347"/>
      <c r="K422" s="312"/>
      <c r="L422" s="347"/>
      <c r="M422" s="312"/>
      <c r="N422" s="347"/>
      <c r="O422" s="312"/>
      <c r="P422" s="347"/>
      <c r="Q422" s="312"/>
      <c r="R422" s="347"/>
      <c r="S422" s="312"/>
      <c r="T422" s="347"/>
    </row>
    <row r="423" spans="1:20" ht="12" customHeight="1" x14ac:dyDescent="0.3">
      <c r="A423" s="340" t="s">
        <v>289</v>
      </c>
      <c r="B423" s="341">
        <v>3</v>
      </c>
      <c r="C423" s="309">
        <v>46096</v>
      </c>
      <c r="D423" s="310" t="s">
        <v>348</v>
      </c>
      <c r="E423" s="342">
        <v>7.11</v>
      </c>
      <c r="F423" s="342"/>
      <c r="G423" s="344">
        <f t="shared" si="4"/>
        <v>5868.9499999999871</v>
      </c>
      <c r="H423" s="345"/>
      <c r="I423" s="346"/>
      <c r="J423" s="347"/>
      <c r="K423" s="312"/>
      <c r="L423" s="347"/>
      <c r="M423" s="312"/>
      <c r="N423" s="347"/>
      <c r="O423" s="312"/>
      <c r="P423" s="347"/>
      <c r="Q423" s="312"/>
      <c r="R423" s="347"/>
      <c r="S423" s="312"/>
      <c r="T423" s="347"/>
    </row>
    <row r="424" spans="1:20" ht="12" customHeight="1" x14ac:dyDescent="0.3">
      <c r="A424" s="340" t="s">
        <v>289</v>
      </c>
      <c r="B424" s="341">
        <v>1</v>
      </c>
      <c r="C424" s="309">
        <v>46096</v>
      </c>
      <c r="D424" s="310" t="s">
        <v>304</v>
      </c>
      <c r="E424" s="342">
        <v>126.64</v>
      </c>
      <c r="F424" s="342"/>
      <c r="G424" s="344">
        <f t="shared" si="4"/>
        <v>5876.0599999999868</v>
      </c>
      <c r="H424" s="345"/>
      <c r="I424" s="346"/>
      <c r="J424" s="347"/>
      <c r="K424" s="312"/>
      <c r="L424" s="347"/>
      <c r="M424" s="312"/>
      <c r="N424" s="347"/>
      <c r="O424" s="312"/>
      <c r="P424" s="347"/>
      <c r="Q424" s="312"/>
      <c r="R424" s="347"/>
      <c r="S424" s="312"/>
      <c r="T424" s="347"/>
    </row>
    <row r="425" spans="1:20" ht="12" customHeight="1" x14ac:dyDescent="0.3">
      <c r="A425" s="340" t="s">
        <v>289</v>
      </c>
      <c r="B425" s="341">
        <v>1</v>
      </c>
      <c r="C425" s="309">
        <v>46096</v>
      </c>
      <c r="D425" s="310" t="s">
        <v>311</v>
      </c>
      <c r="E425" s="342">
        <v>125.2</v>
      </c>
      <c r="F425" s="342"/>
      <c r="G425" s="344">
        <f t="shared" si="4"/>
        <v>6002.6999999999871</v>
      </c>
      <c r="H425" s="345"/>
      <c r="I425" s="346"/>
      <c r="J425" s="347"/>
      <c r="K425" s="312"/>
      <c r="L425" s="347"/>
      <c r="M425" s="312"/>
      <c r="N425" s="347"/>
      <c r="O425" s="312"/>
      <c r="P425" s="347"/>
      <c r="Q425" s="312"/>
      <c r="R425" s="347"/>
      <c r="S425" s="312"/>
      <c r="T425" s="347"/>
    </row>
    <row r="426" spans="1:20" ht="12" customHeight="1" x14ac:dyDescent="0.3">
      <c r="A426" s="340" t="s">
        <v>289</v>
      </c>
      <c r="B426" s="341">
        <v>1</v>
      </c>
      <c r="C426" s="309">
        <v>46096</v>
      </c>
      <c r="D426" s="310" t="s">
        <v>306</v>
      </c>
      <c r="E426" s="342">
        <v>37.159999999999997</v>
      </c>
      <c r="F426" s="342"/>
      <c r="G426" s="344">
        <f t="shared" si="4"/>
        <v>6127.8999999999869</v>
      </c>
      <c r="H426" s="345"/>
      <c r="I426" s="346"/>
      <c r="J426" s="347"/>
      <c r="K426" s="312"/>
      <c r="L426" s="347"/>
      <c r="M426" s="312"/>
      <c r="N426" s="347"/>
      <c r="O426" s="312"/>
      <c r="P426" s="347"/>
      <c r="Q426" s="312"/>
      <c r="R426" s="347"/>
      <c r="S426" s="312"/>
      <c r="T426" s="347"/>
    </row>
    <row r="427" spans="1:20" ht="12" customHeight="1" x14ac:dyDescent="0.3">
      <c r="A427" s="340" t="s">
        <v>294</v>
      </c>
      <c r="B427" s="341">
        <v>16</v>
      </c>
      <c r="C427" s="309">
        <v>46096</v>
      </c>
      <c r="D427" s="310" t="s">
        <v>405</v>
      </c>
      <c r="E427" s="342">
        <v>713.06</v>
      </c>
      <c r="F427" s="342"/>
      <c r="G427" s="344">
        <f t="shared" si="4"/>
        <v>6165.0599999999868</v>
      </c>
      <c r="H427" s="345"/>
      <c r="I427" s="346"/>
      <c r="J427" s="347"/>
      <c r="K427" s="312"/>
      <c r="L427" s="347"/>
      <c r="M427" s="312"/>
      <c r="N427" s="347"/>
      <c r="O427" s="312"/>
      <c r="P427" s="347"/>
      <c r="Q427" s="312"/>
      <c r="R427" s="347"/>
      <c r="S427" s="312"/>
      <c r="T427" s="347"/>
    </row>
    <row r="428" spans="1:20" ht="12" customHeight="1" x14ac:dyDescent="0.3">
      <c r="A428" s="340" t="s">
        <v>289</v>
      </c>
      <c r="B428" s="341">
        <v>5</v>
      </c>
      <c r="C428" s="309">
        <v>46095</v>
      </c>
      <c r="D428" s="310" t="s">
        <v>406</v>
      </c>
      <c r="E428" s="342">
        <v>24</v>
      </c>
      <c r="F428" s="342"/>
      <c r="G428" s="344">
        <f t="shared" si="4"/>
        <v>6878.1199999999862</v>
      </c>
      <c r="H428" s="345"/>
      <c r="I428" s="346"/>
      <c r="J428" s="347"/>
      <c r="K428" s="312"/>
      <c r="L428" s="347"/>
      <c r="M428" s="312"/>
      <c r="N428" s="347"/>
      <c r="O428" s="312"/>
      <c r="P428" s="347"/>
      <c r="Q428" s="312"/>
      <c r="R428" s="347"/>
      <c r="S428" s="312"/>
      <c r="T428" s="347"/>
    </row>
    <row r="429" spans="1:20" ht="12" customHeight="1" x14ac:dyDescent="0.3">
      <c r="A429" s="340" t="s">
        <v>289</v>
      </c>
      <c r="B429" s="341">
        <v>3</v>
      </c>
      <c r="C429" s="309">
        <v>46095</v>
      </c>
      <c r="D429" s="310" t="s">
        <v>348</v>
      </c>
      <c r="E429" s="342">
        <v>14.58</v>
      </c>
      <c r="F429" s="342"/>
      <c r="G429" s="344">
        <f t="shared" si="4"/>
        <v>6902.1199999999862</v>
      </c>
      <c r="H429" s="345"/>
      <c r="I429" s="346"/>
      <c r="J429" s="347"/>
      <c r="K429" s="312"/>
      <c r="L429" s="347"/>
      <c r="M429" s="312"/>
      <c r="N429" s="347"/>
      <c r="O429" s="312"/>
      <c r="P429" s="347"/>
      <c r="Q429" s="312"/>
      <c r="R429" s="347"/>
      <c r="S429" s="312"/>
      <c r="T429" s="347"/>
    </row>
    <row r="430" spans="1:20" ht="12" customHeight="1" x14ac:dyDescent="0.3">
      <c r="A430" s="340" t="s">
        <v>291</v>
      </c>
      <c r="B430" s="341">
        <v>41</v>
      </c>
      <c r="C430" s="309">
        <v>46094</v>
      </c>
      <c r="D430" s="310" t="s">
        <v>407</v>
      </c>
      <c r="E430" s="342"/>
      <c r="F430" s="342">
        <v>300</v>
      </c>
      <c r="G430" s="344">
        <f t="shared" si="4"/>
        <v>6916.6999999999862</v>
      </c>
      <c r="H430" s="345"/>
      <c r="I430" s="346"/>
      <c r="J430" s="347"/>
      <c r="K430" s="312"/>
      <c r="L430" s="347"/>
      <c r="M430" s="312"/>
      <c r="N430" s="347"/>
      <c r="O430" s="312"/>
      <c r="P430" s="347"/>
      <c r="Q430" s="312"/>
      <c r="R430" s="347"/>
      <c r="S430" s="312"/>
      <c r="T430" s="347"/>
    </row>
    <row r="431" spans="1:20" ht="12" customHeight="1" x14ac:dyDescent="0.3">
      <c r="A431" s="340" t="s">
        <v>289</v>
      </c>
      <c r="B431" s="341">
        <v>1</v>
      </c>
      <c r="C431" s="309">
        <v>46094</v>
      </c>
      <c r="D431" s="310" t="s">
        <v>311</v>
      </c>
      <c r="E431" s="342">
        <v>17.71</v>
      </c>
      <c r="F431" s="342"/>
      <c r="G431" s="344">
        <f t="shared" si="4"/>
        <v>6616.6999999999862</v>
      </c>
      <c r="H431" s="345"/>
      <c r="I431" s="346"/>
      <c r="J431" s="347"/>
      <c r="K431" s="312"/>
      <c r="L431" s="347"/>
      <c r="M431" s="312"/>
      <c r="N431" s="347"/>
      <c r="O431" s="312"/>
      <c r="P431" s="347"/>
      <c r="Q431" s="312"/>
      <c r="R431" s="347"/>
      <c r="S431" s="312"/>
      <c r="T431" s="347"/>
    </row>
    <row r="432" spans="1:20" ht="12" customHeight="1" x14ac:dyDescent="0.3">
      <c r="A432" s="340" t="s">
        <v>289</v>
      </c>
      <c r="B432" s="341">
        <v>4</v>
      </c>
      <c r="C432" s="309">
        <v>46094</v>
      </c>
      <c r="D432" s="310" t="s">
        <v>296</v>
      </c>
      <c r="E432" s="342">
        <v>31.56</v>
      </c>
      <c r="F432" s="342"/>
      <c r="G432" s="344">
        <f t="shared" si="4"/>
        <v>6634.4099999999862</v>
      </c>
      <c r="H432" s="345"/>
      <c r="I432" s="346"/>
      <c r="J432" s="347"/>
      <c r="K432" s="312"/>
      <c r="L432" s="347"/>
      <c r="M432" s="312"/>
      <c r="N432" s="347"/>
      <c r="O432" s="312"/>
      <c r="P432" s="347"/>
      <c r="Q432" s="312"/>
      <c r="R432" s="347"/>
      <c r="S432" s="312"/>
      <c r="T432" s="347"/>
    </row>
    <row r="433" spans="1:20" ht="12" customHeight="1" x14ac:dyDescent="0.3">
      <c r="A433" s="340" t="s">
        <v>289</v>
      </c>
      <c r="B433" s="341">
        <v>2</v>
      </c>
      <c r="C433" s="309">
        <v>46094</v>
      </c>
      <c r="D433" s="310" t="s">
        <v>296</v>
      </c>
      <c r="E433" s="342">
        <v>34.79</v>
      </c>
      <c r="F433" s="342"/>
      <c r="G433" s="344">
        <f t="shared" si="4"/>
        <v>6665.9699999999866</v>
      </c>
      <c r="H433" s="345"/>
      <c r="I433" s="346"/>
      <c r="J433" s="347"/>
      <c r="K433" s="312"/>
      <c r="L433" s="347"/>
      <c r="M433" s="312"/>
      <c r="N433" s="347"/>
      <c r="O433" s="312"/>
      <c r="P433" s="347"/>
      <c r="Q433" s="312"/>
      <c r="R433" s="347"/>
      <c r="S433" s="312"/>
      <c r="T433" s="347"/>
    </row>
    <row r="434" spans="1:20" ht="12" customHeight="1" x14ac:dyDescent="0.3">
      <c r="A434" s="340" t="s">
        <v>289</v>
      </c>
      <c r="B434" s="341">
        <v>2</v>
      </c>
      <c r="C434" s="309">
        <v>46094</v>
      </c>
      <c r="D434" s="310" t="s">
        <v>408</v>
      </c>
      <c r="E434" s="342">
        <v>23.9</v>
      </c>
      <c r="F434" s="342"/>
      <c r="G434" s="344">
        <f t="shared" si="4"/>
        <v>6700.7599999999866</v>
      </c>
      <c r="H434" s="345"/>
      <c r="I434" s="346"/>
      <c r="J434" s="347"/>
      <c r="K434" s="312"/>
      <c r="L434" s="347"/>
      <c r="M434" s="312"/>
      <c r="N434" s="347"/>
      <c r="O434" s="312"/>
      <c r="P434" s="347"/>
      <c r="Q434" s="312"/>
      <c r="R434" s="347"/>
      <c r="S434" s="312"/>
      <c r="T434" s="347"/>
    </row>
    <row r="435" spans="1:20" ht="12" customHeight="1" x14ac:dyDescent="0.3">
      <c r="A435" s="340" t="s">
        <v>289</v>
      </c>
      <c r="B435" s="341">
        <v>3</v>
      </c>
      <c r="C435" s="309">
        <v>46094</v>
      </c>
      <c r="D435" s="310" t="s">
        <v>348</v>
      </c>
      <c r="E435" s="342">
        <v>7.26</v>
      </c>
      <c r="F435" s="342"/>
      <c r="G435" s="344">
        <f t="shared" si="4"/>
        <v>6724.6599999999862</v>
      </c>
      <c r="H435" s="345"/>
      <c r="I435" s="346"/>
      <c r="J435" s="347"/>
      <c r="K435" s="312"/>
      <c r="L435" s="347"/>
      <c r="M435" s="312"/>
      <c r="N435" s="347"/>
      <c r="O435" s="312"/>
      <c r="P435" s="347"/>
      <c r="Q435" s="312"/>
      <c r="R435" s="347"/>
      <c r="S435" s="312"/>
      <c r="T435" s="347"/>
    </row>
    <row r="436" spans="1:20" ht="12" customHeight="1" x14ac:dyDescent="0.3">
      <c r="A436" s="340" t="s">
        <v>289</v>
      </c>
      <c r="B436" s="341">
        <v>5</v>
      </c>
      <c r="C436" s="309">
        <v>46094</v>
      </c>
      <c r="D436" s="310" t="s">
        <v>354</v>
      </c>
      <c r="E436" s="342">
        <v>85</v>
      </c>
      <c r="F436" s="342"/>
      <c r="G436" s="344">
        <f t="shared" si="4"/>
        <v>6731.9199999999864</v>
      </c>
      <c r="H436" s="345" t="s">
        <v>298</v>
      </c>
      <c r="I436" s="346"/>
      <c r="J436" s="347"/>
      <c r="K436" s="312"/>
      <c r="L436" s="347"/>
      <c r="M436" s="312"/>
      <c r="N436" s="347"/>
      <c r="O436" s="312"/>
      <c r="P436" s="347"/>
      <c r="Q436" s="312"/>
      <c r="R436" s="347"/>
      <c r="S436" s="312"/>
      <c r="T436" s="347"/>
    </row>
    <row r="437" spans="1:20" ht="12" customHeight="1" x14ac:dyDescent="0.3">
      <c r="A437" s="340" t="s">
        <v>289</v>
      </c>
      <c r="B437" s="341">
        <v>8</v>
      </c>
      <c r="C437" s="309">
        <v>46093</v>
      </c>
      <c r="D437" s="310" t="s">
        <v>409</v>
      </c>
      <c r="E437" s="342">
        <v>51.22</v>
      </c>
      <c r="F437" s="342"/>
      <c r="G437" s="344">
        <f t="shared" si="4"/>
        <v>6816.9199999999864</v>
      </c>
      <c r="H437" s="345"/>
      <c r="I437" s="346"/>
      <c r="J437" s="347"/>
      <c r="K437" s="312"/>
      <c r="L437" s="347"/>
      <c r="M437" s="312"/>
      <c r="N437" s="347"/>
      <c r="O437" s="312"/>
      <c r="P437" s="347"/>
      <c r="Q437" s="312"/>
      <c r="R437" s="347"/>
      <c r="S437" s="312"/>
      <c r="T437" s="347"/>
    </row>
    <row r="438" spans="1:20" ht="12" customHeight="1" x14ac:dyDescent="0.3">
      <c r="A438" s="340" t="s">
        <v>289</v>
      </c>
      <c r="B438" s="341">
        <v>2</v>
      </c>
      <c r="C438" s="309">
        <v>46093</v>
      </c>
      <c r="D438" s="310" t="s">
        <v>410</v>
      </c>
      <c r="E438" s="342">
        <v>57.43</v>
      </c>
      <c r="F438" s="342"/>
      <c r="G438" s="344">
        <f t="shared" si="4"/>
        <v>6868.1399999999867</v>
      </c>
      <c r="H438" s="345"/>
      <c r="I438" s="346"/>
      <c r="J438" s="347"/>
      <c r="K438" s="312"/>
      <c r="L438" s="347"/>
      <c r="M438" s="312"/>
      <c r="N438" s="347"/>
      <c r="O438" s="312"/>
      <c r="P438" s="347"/>
      <c r="Q438" s="312"/>
      <c r="R438" s="347"/>
      <c r="S438" s="312"/>
      <c r="T438" s="347"/>
    </row>
    <row r="439" spans="1:20" ht="12" customHeight="1" x14ac:dyDescent="0.3">
      <c r="A439" s="340" t="s">
        <v>289</v>
      </c>
      <c r="B439" s="341">
        <v>2</v>
      </c>
      <c r="C439" s="309">
        <v>46093</v>
      </c>
      <c r="D439" s="310" t="s">
        <v>358</v>
      </c>
      <c r="E439" s="342">
        <v>17.45</v>
      </c>
      <c r="F439" s="342"/>
      <c r="G439" s="344">
        <f t="shared" si="4"/>
        <v>6925.569999999987</v>
      </c>
      <c r="H439" s="345"/>
      <c r="I439" s="346"/>
      <c r="J439" s="347"/>
      <c r="K439" s="312"/>
      <c r="L439" s="347"/>
      <c r="M439" s="312"/>
      <c r="N439" s="347"/>
      <c r="O439" s="312"/>
      <c r="P439" s="347"/>
      <c r="Q439" s="312"/>
      <c r="R439" s="347"/>
      <c r="S439" s="312"/>
      <c r="T439" s="347"/>
    </row>
    <row r="440" spans="1:20" ht="12" customHeight="1" x14ac:dyDescent="0.3">
      <c r="A440" s="340" t="s">
        <v>289</v>
      </c>
      <c r="B440" s="341">
        <v>8</v>
      </c>
      <c r="C440" s="309">
        <v>46093</v>
      </c>
      <c r="D440" s="310" t="s">
        <v>319</v>
      </c>
      <c r="E440" s="342">
        <v>7.92</v>
      </c>
      <c r="F440" s="342"/>
      <c r="G440" s="344">
        <f t="shared" si="4"/>
        <v>6943.0199999999868</v>
      </c>
      <c r="H440" s="345"/>
      <c r="I440" s="346"/>
      <c r="J440" s="347"/>
      <c r="K440" s="312"/>
      <c r="L440" s="347"/>
      <c r="M440" s="312"/>
      <c r="N440" s="347"/>
      <c r="O440" s="312"/>
      <c r="P440" s="347"/>
      <c r="Q440" s="312"/>
      <c r="R440" s="347"/>
      <c r="S440" s="312"/>
      <c r="T440" s="347"/>
    </row>
    <row r="441" spans="1:20" ht="12" customHeight="1" x14ac:dyDescent="0.3">
      <c r="A441" s="340" t="s">
        <v>291</v>
      </c>
      <c r="B441" s="341">
        <v>38</v>
      </c>
      <c r="C441" s="309">
        <v>46093</v>
      </c>
      <c r="D441" s="310" t="s">
        <v>293</v>
      </c>
      <c r="E441" s="342"/>
      <c r="F441" s="342">
        <v>4726.92</v>
      </c>
      <c r="G441" s="344">
        <f t="shared" si="4"/>
        <v>6950.9399999999869</v>
      </c>
      <c r="H441" s="345"/>
      <c r="I441" s="346"/>
      <c r="J441" s="347"/>
      <c r="K441" s="312"/>
      <c r="L441" s="347"/>
      <c r="M441" s="312"/>
      <c r="N441" s="347"/>
      <c r="O441" s="312"/>
      <c r="P441" s="347"/>
      <c r="Q441" s="312"/>
      <c r="R441" s="347"/>
      <c r="S441" s="312"/>
      <c r="T441" s="347"/>
    </row>
    <row r="442" spans="1:20" ht="12" customHeight="1" x14ac:dyDescent="0.3">
      <c r="A442" s="340" t="s">
        <v>289</v>
      </c>
      <c r="B442" s="341">
        <v>2</v>
      </c>
      <c r="C442" s="309">
        <v>46093</v>
      </c>
      <c r="D442" s="310" t="s">
        <v>386</v>
      </c>
      <c r="E442" s="342">
        <v>15</v>
      </c>
      <c r="F442" s="342"/>
      <c r="G442" s="344">
        <f t="shared" si="4"/>
        <v>2224.0199999999868</v>
      </c>
      <c r="H442" s="345"/>
      <c r="I442" s="346"/>
      <c r="J442" s="347"/>
      <c r="K442" s="312"/>
      <c r="L442" s="347"/>
      <c r="M442" s="312"/>
      <c r="N442" s="347"/>
      <c r="O442" s="312"/>
      <c r="P442" s="347"/>
      <c r="Q442" s="312"/>
      <c r="R442" s="347"/>
      <c r="S442" s="312"/>
      <c r="T442" s="347"/>
    </row>
    <row r="443" spans="1:20" ht="12" customHeight="1" x14ac:dyDescent="0.3">
      <c r="A443" s="340" t="s">
        <v>289</v>
      </c>
      <c r="B443" s="341">
        <v>6</v>
      </c>
      <c r="C443" s="309">
        <v>46093</v>
      </c>
      <c r="D443" s="310" t="s">
        <v>411</v>
      </c>
      <c r="E443" s="342">
        <v>12</v>
      </c>
      <c r="F443" s="342"/>
      <c r="G443" s="344">
        <f t="shared" si="4"/>
        <v>2239.0199999999868</v>
      </c>
      <c r="H443" s="345"/>
      <c r="I443" s="346"/>
      <c r="J443" s="347"/>
      <c r="K443" s="312"/>
      <c r="L443" s="347"/>
      <c r="M443" s="312"/>
      <c r="N443" s="347"/>
      <c r="O443" s="312"/>
      <c r="P443" s="347"/>
      <c r="Q443" s="312"/>
      <c r="R443" s="347"/>
      <c r="S443" s="312"/>
      <c r="T443" s="347"/>
    </row>
    <row r="444" spans="1:20" ht="12" customHeight="1" x14ac:dyDescent="0.3">
      <c r="A444" s="340" t="s">
        <v>294</v>
      </c>
      <c r="B444" s="341">
        <v>19</v>
      </c>
      <c r="C444" s="309">
        <v>46093</v>
      </c>
      <c r="D444" s="310" t="s">
        <v>191</v>
      </c>
      <c r="E444" s="342">
        <v>200</v>
      </c>
      <c r="F444" s="342"/>
      <c r="G444" s="344">
        <f t="shared" si="4"/>
        <v>2251.0199999999868</v>
      </c>
      <c r="H444" s="345"/>
      <c r="I444" s="346"/>
      <c r="J444" s="347"/>
      <c r="K444" s="312"/>
      <c r="L444" s="347"/>
      <c r="M444" s="312"/>
      <c r="N444" s="347"/>
      <c r="O444" s="312"/>
      <c r="P444" s="347"/>
      <c r="Q444" s="312"/>
      <c r="R444" s="347"/>
      <c r="S444" s="312"/>
      <c r="T444" s="347"/>
    </row>
    <row r="445" spans="1:20" ht="12" customHeight="1" x14ac:dyDescent="0.3">
      <c r="A445" s="340" t="s">
        <v>289</v>
      </c>
      <c r="B445" s="341">
        <v>6</v>
      </c>
      <c r="C445" s="309">
        <v>46092</v>
      </c>
      <c r="D445" s="310" t="s">
        <v>412</v>
      </c>
      <c r="E445" s="342">
        <v>-10.050000000000001</v>
      </c>
      <c r="F445" s="342"/>
      <c r="G445" s="344">
        <f t="shared" si="4"/>
        <v>2451.0199999999868</v>
      </c>
      <c r="H445" s="345"/>
      <c r="I445" s="346"/>
      <c r="J445" s="347"/>
      <c r="K445" s="312"/>
      <c r="L445" s="347"/>
      <c r="M445" s="312"/>
      <c r="N445" s="347"/>
      <c r="O445" s="312"/>
      <c r="P445" s="347"/>
      <c r="Q445" s="312"/>
      <c r="R445" s="347"/>
      <c r="S445" s="312"/>
      <c r="T445" s="347"/>
    </row>
    <row r="446" spans="1:20" ht="12" customHeight="1" x14ac:dyDescent="0.3">
      <c r="A446" s="340" t="s">
        <v>289</v>
      </c>
      <c r="B446" s="341">
        <v>6</v>
      </c>
      <c r="C446" s="309">
        <v>46092</v>
      </c>
      <c r="D446" s="310" t="s">
        <v>413</v>
      </c>
      <c r="E446" s="342">
        <v>25</v>
      </c>
      <c r="F446" s="342"/>
      <c r="G446" s="344">
        <f t="shared" si="4"/>
        <v>2440.9699999999866</v>
      </c>
      <c r="H446" s="345"/>
      <c r="I446" s="346"/>
      <c r="J446" s="347"/>
      <c r="K446" s="312"/>
      <c r="L446" s="347"/>
      <c r="M446" s="312"/>
      <c r="N446" s="347"/>
      <c r="O446" s="312"/>
      <c r="P446" s="347"/>
      <c r="Q446" s="312"/>
      <c r="R446" s="347"/>
      <c r="S446" s="312"/>
      <c r="T446" s="347"/>
    </row>
    <row r="447" spans="1:20" ht="12" customHeight="1" x14ac:dyDescent="0.3">
      <c r="A447" s="340" t="s">
        <v>289</v>
      </c>
      <c r="B447" s="341">
        <v>2</v>
      </c>
      <c r="C447" s="309">
        <v>46092</v>
      </c>
      <c r="D447" s="310" t="s">
        <v>301</v>
      </c>
      <c r="E447" s="342">
        <v>-9</v>
      </c>
      <c r="F447" s="342"/>
      <c r="G447" s="344">
        <f t="shared" si="4"/>
        <v>2465.9699999999866</v>
      </c>
      <c r="H447" s="345"/>
      <c r="I447" s="346"/>
      <c r="J447" s="347"/>
      <c r="K447" s="312"/>
      <c r="L447" s="347"/>
      <c r="M447" s="312"/>
      <c r="N447" s="347"/>
      <c r="O447" s="312"/>
      <c r="P447" s="347"/>
      <c r="Q447" s="312"/>
      <c r="R447" s="347"/>
      <c r="S447" s="312"/>
      <c r="T447" s="347"/>
    </row>
    <row r="448" spans="1:20" ht="12" customHeight="1" x14ac:dyDescent="0.3">
      <c r="A448" s="340" t="s">
        <v>291</v>
      </c>
      <c r="B448" s="341">
        <v>41</v>
      </c>
      <c r="C448" s="309">
        <v>46092</v>
      </c>
      <c r="D448" s="310" t="s">
        <v>407</v>
      </c>
      <c r="E448" s="342"/>
      <c r="F448" s="342">
        <v>500</v>
      </c>
      <c r="G448" s="344">
        <f t="shared" si="4"/>
        <v>2456.9699999999866</v>
      </c>
      <c r="H448" s="345"/>
      <c r="I448" s="346"/>
      <c r="J448" s="347"/>
      <c r="K448" s="312"/>
      <c r="L448" s="347"/>
      <c r="M448" s="312"/>
      <c r="N448" s="347"/>
      <c r="O448" s="312"/>
      <c r="P448" s="347"/>
      <c r="Q448" s="312"/>
      <c r="R448" s="347"/>
      <c r="S448" s="312"/>
      <c r="T448" s="347"/>
    </row>
    <row r="449" spans="1:20" ht="12" customHeight="1" x14ac:dyDescent="0.3">
      <c r="A449" s="340" t="s">
        <v>289</v>
      </c>
      <c r="B449" s="341">
        <v>2</v>
      </c>
      <c r="C449" s="309">
        <v>46092</v>
      </c>
      <c r="D449" s="310" t="s">
        <v>296</v>
      </c>
      <c r="E449" s="342">
        <v>16.170000000000002</v>
      </c>
      <c r="F449" s="342"/>
      <c r="G449" s="344">
        <f t="shared" si="4"/>
        <v>1956.9699999999864</v>
      </c>
      <c r="H449" s="345"/>
      <c r="I449" s="346"/>
      <c r="J449" s="347"/>
      <c r="K449" s="312"/>
      <c r="L449" s="347"/>
      <c r="M449" s="312"/>
      <c r="N449" s="347"/>
      <c r="O449" s="312"/>
      <c r="P449" s="347"/>
      <c r="Q449" s="312"/>
      <c r="R449" s="347"/>
      <c r="S449" s="312"/>
      <c r="T449" s="347"/>
    </row>
    <row r="450" spans="1:20" ht="12" customHeight="1" x14ac:dyDescent="0.3">
      <c r="A450" s="340" t="s">
        <v>294</v>
      </c>
      <c r="B450" s="341">
        <v>22</v>
      </c>
      <c r="C450" s="309">
        <v>46092</v>
      </c>
      <c r="D450" s="310" t="s">
        <v>352</v>
      </c>
      <c r="E450" s="342">
        <v>19.16</v>
      </c>
      <c r="F450" s="342"/>
      <c r="G450" s="344">
        <f t="shared" si="4"/>
        <v>1973.1399999999865</v>
      </c>
      <c r="H450" s="345"/>
      <c r="I450" s="346"/>
      <c r="J450" s="347"/>
      <c r="K450" s="312"/>
      <c r="L450" s="347"/>
      <c r="M450" s="312"/>
      <c r="N450" s="347"/>
      <c r="O450" s="312"/>
      <c r="P450" s="347"/>
      <c r="Q450" s="312"/>
      <c r="R450" s="347"/>
      <c r="S450" s="312"/>
      <c r="T450" s="347"/>
    </row>
    <row r="451" spans="1:20" ht="12" customHeight="1" x14ac:dyDescent="0.3">
      <c r="A451" s="340" t="s">
        <v>335</v>
      </c>
      <c r="B451" s="341" t="s">
        <v>335</v>
      </c>
      <c r="C451" s="309">
        <v>46091</v>
      </c>
      <c r="D451" s="310" t="s">
        <v>447</v>
      </c>
      <c r="E451" s="342">
        <v>47.28</v>
      </c>
      <c r="F451" s="342"/>
      <c r="G451" s="344">
        <f t="shared" si="4"/>
        <v>1992.2999999999865</v>
      </c>
      <c r="H451" s="345"/>
      <c r="I451" s="346"/>
      <c r="J451" s="347"/>
      <c r="K451" s="312"/>
      <c r="L451" s="347"/>
      <c r="M451" s="312"/>
      <c r="N451" s="347"/>
      <c r="O451" s="312"/>
      <c r="P451" s="347"/>
      <c r="Q451" s="312"/>
      <c r="R451" s="347"/>
      <c r="S451" s="312"/>
      <c r="T451" s="347"/>
    </row>
    <row r="452" spans="1:20" ht="12" customHeight="1" x14ac:dyDescent="0.3">
      <c r="A452" s="340" t="s">
        <v>294</v>
      </c>
      <c r="B452" s="341">
        <v>13</v>
      </c>
      <c r="C452" s="309">
        <v>46091</v>
      </c>
      <c r="D452" s="310" t="s">
        <v>182</v>
      </c>
      <c r="E452" s="342">
        <v>134.93</v>
      </c>
      <c r="F452" s="342"/>
      <c r="G452" s="344">
        <f t="shared" si="4"/>
        <v>2039.5799999999865</v>
      </c>
      <c r="H452" s="345"/>
      <c r="I452" s="346"/>
      <c r="J452" s="347"/>
      <c r="K452" s="312"/>
      <c r="L452" s="347"/>
      <c r="M452" s="312"/>
      <c r="N452" s="347"/>
      <c r="O452" s="312"/>
      <c r="P452" s="347"/>
      <c r="Q452" s="312"/>
      <c r="R452" s="347"/>
      <c r="S452" s="312"/>
      <c r="T452" s="347"/>
    </row>
    <row r="453" spans="1:20" ht="12" customHeight="1" x14ac:dyDescent="0.3">
      <c r="A453" s="340" t="s">
        <v>289</v>
      </c>
      <c r="B453" s="341">
        <v>8</v>
      </c>
      <c r="C453" s="309">
        <v>46091</v>
      </c>
      <c r="D453" s="310" t="s">
        <v>295</v>
      </c>
      <c r="E453" s="342">
        <v>7.44</v>
      </c>
      <c r="F453" s="342"/>
      <c r="G453" s="344">
        <f t="shared" si="4"/>
        <v>2174.5099999999866</v>
      </c>
      <c r="H453" s="345"/>
      <c r="I453" s="346"/>
      <c r="J453" s="347"/>
      <c r="K453" s="312"/>
      <c r="L453" s="347"/>
      <c r="M453" s="312"/>
      <c r="N453" s="347"/>
      <c r="O453" s="312"/>
      <c r="P453" s="347"/>
      <c r="Q453" s="312"/>
      <c r="R453" s="347"/>
      <c r="S453" s="312"/>
      <c r="T453" s="347"/>
    </row>
    <row r="454" spans="1:20" ht="12" customHeight="1" x14ac:dyDescent="0.3">
      <c r="A454" s="340" t="s">
        <v>289</v>
      </c>
      <c r="B454" s="341">
        <v>4</v>
      </c>
      <c r="C454" s="309">
        <v>46091</v>
      </c>
      <c r="D454" s="310" t="s">
        <v>295</v>
      </c>
      <c r="E454" s="342">
        <v>29.53</v>
      </c>
      <c r="F454" s="342"/>
      <c r="G454" s="344">
        <f t="shared" si="4"/>
        <v>2181.9499999999866</v>
      </c>
      <c r="H454" s="345"/>
      <c r="I454" s="346"/>
      <c r="J454" s="347"/>
      <c r="K454" s="312"/>
      <c r="L454" s="347"/>
      <c r="M454" s="312"/>
      <c r="N454" s="347"/>
      <c r="O454" s="312"/>
      <c r="P454" s="347"/>
      <c r="Q454" s="312"/>
      <c r="R454" s="347"/>
      <c r="S454" s="312"/>
      <c r="T454" s="347"/>
    </row>
    <row r="455" spans="1:20" ht="12" customHeight="1" x14ac:dyDescent="0.3">
      <c r="A455" s="340" t="s">
        <v>289</v>
      </c>
      <c r="B455" s="341">
        <v>4</v>
      </c>
      <c r="C455" s="309">
        <v>46091</v>
      </c>
      <c r="D455" s="310" t="s">
        <v>310</v>
      </c>
      <c r="E455" s="342">
        <v>34.119999999999997</v>
      </c>
      <c r="F455" s="342"/>
      <c r="G455" s="344">
        <f t="shared" si="4"/>
        <v>2211.4799999999868</v>
      </c>
      <c r="H455" s="345"/>
      <c r="I455" s="346"/>
      <c r="J455" s="347"/>
      <c r="K455" s="312"/>
      <c r="L455" s="347"/>
      <c r="M455" s="312"/>
      <c r="N455" s="347"/>
      <c r="O455" s="312"/>
      <c r="P455" s="347"/>
      <c r="Q455" s="312"/>
      <c r="R455" s="347"/>
      <c r="S455" s="312"/>
      <c r="T455" s="347"/>
    </row>
    <row r="456" spans="1:20" ht="12" customHeight="1" x14ac:dyDescent="0.3">
      <c r="A456" s="340" t="s">
        <v>289</v>
      </c>
      <c r="B456" s="341">
        <v>2</v>
      </c>
      <c r="C456" s="309">
        <v>46091</v>
      </c>
      <c r="D456" s="310" t="s">
        <v>414</v>
      </c>
      <c r="E456" s="342">
        <v>18.57</v>
      </c>
      <c r="F456" s="342"/>
      <c r="G456" s="344">
        <f t="shared" si="4"/>
        <v>2245.5999999999867</v>
      </c>
      <c r="H456" s="345"/>
      <c r="I456" s="346"/>
      <c r="J456" s="347"/>
      <c r="K456" s="312"/>
      <c r="L456" s="347"/>
      <c r="M456" s="312"/>
      <c r="N456" s="347"/>
      <c r="O456" s="312"/>
      <c r="P456" s="347"/>
      <c r="Q456" s="312"/>
      <c r="R456" s="347"/>
      <c r="S456" s="312"/>
      <c r="T456" s="347"/>
    </row>
    <row r="457" spans="1:20" ht="12" customHeight="1" x14ac:dyDescent="0.3">
      <c r="A457" s="340" t="s">
        <v>294</v>
      </c>
      <c r="B457" s="341">
        <v>16</v>
      </c>
      <c r="C457" s="309">
        <v>46091</v>
      </c>
      <c r="D457" s="310" t="s">
        <v>415</v>
      </c>
      <c r="E457" s="342">
        <v>107</v>
      </c>
      <c r="F457" s="342"/>
      <c r="G457" s="344">
        <f t="shared" si="4"/>
        <v>2264.1699999999869</v>
      </c>
      <c r="H457" s="345"/>
      <c r="I457" s="346"/>
      <c r="J457" s="347"/>
      <c r="K457" s="312"/>
      <c r="L457" s="347"/>
      <c r="M457" s="312"/>
      <c r="N457" s="347"/>
      <c r="O457" s="312"/>
      <c r="P457" s="347"/>
      <c r="Q457" s="312"/>
      <c r="R457" s="347"/>
      <c r="S457" s="312"/>
      <c r="T457" s="347"/>
    </row>
    <row r="458" spans="1:20" ht="12" customHeight="1" x14ac:dyDescent="0.3">
      <c r="A458" s="340" t="s">
        <v>294</v>
      </c>
      <c r="B458" s="341">
        <v>18</v>
      </c>
      <c r="C458" s="309">
        <v>46090</v>
      </c>
      <c r="D458" s="310" t="s">
        <v>361</v>
      </c>
      <c r="E458" s="342">
        <v>400</v>
      </c>
      <c r="F458" s="342"/>
      <c r="G458" s="344">
        <f t="shared" si="4"/>
        <v>2371.1699999999869</v>
      </c>
      <c r="H458" s="345"/>
      <c r="I458" s="346"/>
      <c r="J458" s="347"/>
      <c r="K458" s="312"/>
      <c r="L458" s="347"/>
      <c r="M458" s="312"/>
      <c r="N458" s="347"/>
      <c r="O458" s="312"/>
      <c r="P458" s="347"/>
      <c r="Q458" s="312"/>
      <c r="R458" s="347"/>
      <c r="S458" s="312"/>
      <c r="T458" s="347"/>
    </row>
    <row r="459" spans="1:20" ht="12" customHeight="1" x14ac:dyDescent="0.3">
      <c r="A459" s="340" t="s">
        <v>289</v>
      </c>
      <c r="B459" s="341">
        <v>4</v>
      </c>
      <c r="C459" s="309">
        <v>46090</v>
      </c>
      <c r="D459" s="310" t="s">
        <v>296</v>
      </c>
      <c r="E459" s="342">
        <v>24.69</v>
      </c>
      <c r="F459" s="342"/>
      <c r="G459" s="344">
        <f t="shared" si="4"/>
        <v>2771.1699999999869</v>
      </c>
      <c r="H459" s="345"/>
      <c r="I459" s="346"/>
      <c r="J459" s="347"/>
      <c r="K459" s="312"/>
      <c r="L459" s="347"/>
      <c r="M459" s="312"/>
      <c r="N459" s="347"/>
      <c r="O459" s="312"/>
      <c r="P459" s="347"/>
      <c r="Q459" s="312"/>
      <c r="R459" s="347"/>
      <c r="S459" s="312"/>
      <c r="T459" s="347"/>
    </row>
    <row r="460" spans="1:20" ht="12" customHeight="1" x14ac:dyDescent="0.3">
      <c r="A460" s="340" t="s">
        <v>289</v>
      </c>
      <c r="B460" s="341">
        <v>3</v>
      </c>
      <c r="C460" s="309">
        <v>46090</v>
      </c>
      <c r="D460" s="310" t="s">
        <v>416</v>
      </c>
      <c r="E460" s="342">
        <v>4.59</v>
      </c>
      <c r="F460" s="342"/>
      <c r="G460" s="344">
        <f t="shared" si="4"/>
        <v>2795.8599999999869</v>
      </c>
      <c r="H460" s="345"/>
      <c r="I460" s="346"/>
      <c r="J460" s="347"/>
      <c r="K460" s="312"/>
      <c r="L460" s="347"/>
      <c r="M460" s="312"/>
      <c r="N460" s="347"/>
      <c r="O460" s="312"/>
      <c r="P460" s="347"/>
      <c r="Q460" s="312"/>
      <c r="R460" s="347"/>
      <c r="S460" s="312"/>
      <c r="T460" s="347"/>
    </row>
    <row r="461" spans="1:20" ht="12" customHeight="1" x14ac:dyDescent="0.3">
      <c r="A461" s="340" t="s">
        <v>294</v>
      </c>
      <c r="B461" s="341">
        <v>9</v>
      </c>
      <c r="C461" s="309">
        <v>46090</v>
      </c>
      <c r="D461" s="310" t="s">
        <v>58</v>
      </c>
      <c r="E461" s="342">
        <v>1281.53</v>
      </c>
      <c r="F461" s="342"/>
      <c r="G461" s="344">
        <f t="shared" si="4"/>
        <v>2800.4499999999871</v>
      </c>
      <c r="H461" s="345"/>
      <c r="I461" s="346"/>
      <c r="J461" s="347"/>
      <c r="K461" s="312"/>
      <c r="L461" s="347"/>
      <c r="M461" s="312"/>
      <c r="N461" s="347"/>
      <c r="O461" s="312"/>
      <c r="P461" s="347"/>
      <c r="Q461" s="312"/>
      <c r="R461" s="347"/>
      <c r="S461" s="312"/>
      <c r="T461" s="347"/>
    </row>
    <row r="462" spans="1:20" ht="12" customHeight="1" x14ac:dyDescent="0.3">
      <c r="A462" s="340" t="s">
        <v>289</v>
      </c>
      <c r="B462" s="341">
        <v>7</v>
      </c>
      <c r="C462" s="309">
        <v>46090</v>
      </c>
      <c r="D462" s="310" t="s">
        <v>338</v>
      </c>
      <c r="E462" s="342">
        <v>40.61</v>
      </c>
      <c r="F462" s="342"/>
      <c r="G462" s="344">
        <f t="shared" si="4"/>
        <v>4081.9799999999873</v>
      </c>
      <c r="H462" s="345"/>
      <c r="I462" s="346"/>
      <c r="J462" s="347"/>
      <c r="K462" s="312"/>
      <c r="L462" s="347"/>
      <c r="M462" s="312"/>
      <c r="N462" s="347"/>
      <c r="O462" s="312"/>
      <c r="P462" s="347"/>
      <c r="Q462" s="312"/>
      <c r="R462" s="347"/>
      <c r="S462" s="312"/>
      <c r="T462" s="347"/>
    </row>
    <row r="463" spans="1:20" ht="12" customHeight="1" x14ac:dyDescent="0.3">
      <c r="A463" s="340" t="s">
        <v>287</v>
      </c>
      <c r="B463" s="341" t="s">
        <v>287</v>
      </c>
      <c r="C463" s="309">
        <v>46090</v>
      </c>
      <c r="D463" s="310" t="s">
        <v>417</v>
      </c>
      <c r="E463" s="342">
        <v>380</v>
      </c>
      <c r="F463" s="342">
        <v>380</v>
      </c>
      <c r="G463" s="344">
        <f t="shared" si="4"/>
        <v>4122.5899999999874</v>
      </c>
      <c r="H463" s="345"/>
      <c r="I463" s="346"/>
      <c r="J463" s="347"/>
      <c r="K463" s="312"/>
      <c r="L463" s="347"/>
      <c r="M463" s="312"/>
      <c r="N463" s="347"/>
      <c r="O463" s="312"/>
      <c r="P463" s="347"/>
      <c r="Q463" s="312"/>
      <c r="R463" s="347"/>
      <c r="S463" s="312"/>
      <c r="T463" s="347"/>
    </row>
    <row r="464" spans="1:20" ht="12" customHeight="1" x14ac:dyDescent="0.3">
      <c r="A464" s="340" t="s">
        <v>289</v>
      </c>
      <c r="B464" s="341">
        <v>2</v>
      </c>
      <c r="C464" s="309">
        <v>46090</v>
      </c>
      <c r="D464" s="310" t="s">
        <v>418</v>
      </c>
      <c r="E464" s="342">
        <v>15</v>
      </c>
      <c r="F464" s="342"/>
      <c r="G464" s="344">
        <f t="shared" si="4"/>
        <v>4122.5899999999874</v>
      </c>
      <c r="H464" s="345"/>
      <c r="I464" s="346"/>
      <c r="J464" s="347"/>
      <c r="K464" s="312"/>
      <c r="L464" s="347"/>
      <c r="M464" s="312"/>
      <c r="N464" s="347"/>
      <c r="O464" s="312"/>
      <c r="P464" s="347"/>
      <c r="Q464" s="312"/>
      <c r="R464" s="347"/>
      <c r="S464" s="312"/>
      <c r="T464" s="347"/>
    </row>
    <row r="465" spans="1:20" ht="12" customHeight="1" x14ac:dyDescent="0.3">
      <c r="A465" s="340" t="s">
        <v>289</v>
      </c>
      <c r="B465" s="341">
        <v>2</v>
      </c>
      <c r="C465" s="309">
        <v>46090</v>
      </c>
      <c r="D465" s="310" t="s">
        <v>386</v>
      </c>
      <c r="E465" s="342">
        <v>15</v>
      </c>
      <c r="F465" s="342"/>
      <c r="G465" s="344">
        <f t="shared" si="4"/>
        <v>4137.5899999999874</v>
      </c>
      <c r="H465" s="345"/>
      <c r="I465" s="346"/>
      <c r="J465" s="347"/>
      <c r="K465" s="312"/>
      <c r="L465" s="347"/>
      <c r="M465" s="312"/>
      <c r="N465" s="347"/>
      <c r="O465" s="312"/>
      <c r="P465" s="347"/>
      <c r="Q465" s="312"/>
      <c r="R465" s="347"/>
      <c r="S465" s="312"/>
      <c r="T465" s="347"/>
    </row>
    <row r="466" spans="1:20" ht="12" customHeight="1" x14ac:dyDescent="0.3">
      <c r="A466" s="340" t="s">
        <v>289</v>
      </c>
      <c r="B466" s="341">
        <v>6</v>
      </c>
      <c r="C466" s="309">
        <v>46090</v>
      </c>
      <c r="D466" s="310" t="s">
        <v>300</v>
      </c>
      <c r="E466" s="342">
        <v>70.66</v>
      </c>
      <c r="F466" s="342"/>
      <c r="G466" s="344">
        <f t="shared" si="4"/>
        <v>4152.5899999999874</v>
      </c>
      <c r="H466" s="345"/>
      <c r="I466" s="346"/>
      <c r="J466" s="347"/>
      <c r="K466" s="312"/>
      <c r="L466" s="347"/>
      <c r="M466" s="312"/>
      <c r="N466" s="347"/>
      <c r="O466" s="312"/>
      <c r="P466" s="347"/>
      <c r="Q466" s="312"/>
      <c r="R466" s="347"/>
      <c r="S466" s="312"/>
      <c r="T466" s="347"/>
    </row>
    <row r="467" spans="1:20" ht="12" customHeight="1" x14ac:dyDescent="0.3">
      <c r="A467" s="340" t="s">
        <v>289</v>
      </c>
      <c r="B467" s="341">
        <v>1</v>
      </c>
      <c r="C467" s="309">
        <v>46089</v>
      </c>
      <c r="D467" s="310" t="s">
        <v>311</v>
      </c>
      <c r="E467" s="342">
        <v>109.77</v>
      </c>
      <c r="F467" s="342"/>
      <c r="G467" s="344">
        <f t="shared" si="4"/>
        <v>4223.2499999999873</v>
      </c>
      <c r="H467" s="345"/>
      <c r="I467" s="346"/>
      <c r="J467" s="347"/>
      <c r="K467" s="312"/>
      <c r="L467" s="347"/>
      <c r="M467" s="312"/>
      <c r="N467" s="347"/>
      <c r="O467" s="312"/>
      <c r="P467" s="347"/>
      <c r="Q467" s="312"/>
      <c r="R467" s="347"/>
      <c r="S467" s="312"/>
      <c r="T467" s="347"/>
    </row>
    <row r="468" spans="1:20" ht="12" customHeight="1" x14ac:dyDescent="0.3">
      <c r="A468" s="340" t="s">
        <v>289</v>
      </c>
      <c r="B468" s="341">
        <v>6</v>
      </c>
      <c r="C468" s="309">
        <v>46089</v>
      </c>
      <c r="D468" s="310" t="s">
        <v>306</v>
      </c>
      <c r="E468" s="342">
        <v>9.3800000000000008</v>
      </c>
      <c r="F468" s="342"/>
      <c r="G468" s="344">
        <f t="shared" si="4"/>
        <v>4333.0199999999877</v>
      </c>
      <c r="H468" s="345"/>
      <c r="I468" s="346"/>
      <c r="J468" s="347"/>
      <c r="K468" s="312"/>
      <c r="L468" s="347"/>
      <c r="M468" s="312"/>
      <c r="N468" s="347"/>
      <c r="O468" s="312"/>
      <c r="P468" s="347"/>
      <c r="Q468" s="312"/>
      <c r="R468" s="347"/>
      <c r="S468" s="312"/>
      <c r="T468" s="347"/>
    </row>
    <row r="469" spans="1:20" ht="12" customHeight="1" x14ac:dyDescent="0.3">
      <c r="A469" s="340" t="s">
        <v>289</v>
      </c>
      <c r="B469" s="341">
        <v>3</v>
      </c>
      <c r="C469" s="309">
        <v>46089</v>
      </c>
      <c r="D469" s="310" t="s">
        <v>419</v>
      </c>
      <c r="E469" s="342">
        <v>3.85</v>
      </c>
      <c r="F469" s="342"/>
      <c r="G469" s="344">
        <f t="shared" si="4"/>
        <v>4342.3999999999878</v>
      </c>
      <c r="H469" s="345"/>
      <c r="I469" s="346"/>
      <c r="J469" s="347"/>
      <c r="K469" s="312"/>
      <c r="L469" s="347"/>
      <c r="M469" s="312"/>
      <c r="N469" s="347"/>
      <c r="O469" s="312"/>
      <c r="P469" s="347"/>
      <c r="Q469" s="312"/>
      <c r="R469" s="347"/>
      <c r="S469" s="312"/>
      <c r="T469" s="347"/>
    </row>
    <row r="470" spans="1:20" ht="12" customHeight="1" x14ac:dyDescent="0.3">
      <c r="A470" s="340" t="s">
        <v>289</v>
      </c>
      <c r="B470" s="341">
        <v>2</v>
      </c>
      <c r="C470" s="309">
        <v>46089</v>
      </c>
      <c r="D470" s="310" t="s">
        <v>404</v>
      </c>
      <c r="E470" s="342">
        <v>88.54</v>
      </c>
      <c r="F470" s="342"/>
      <c r="G470" s="344">
        <f t="shared" si="4"/>
        <v>4346.2499999999882</v>
      </c>
      <c r="H470" s="345"/>
      <c r="I470" s="346"/>
      <c r="J470" s="347"/>
      <c r="K470" s="312"/>
      <c r="L470" s="347"/>
      <c r="M470" s="312"/>
      <c r="N470" s="347"/>
      <c r="O470" s="312"/>
      <c r="P470" s="347"/>
      <c r="Q470" s="312"/>
      <c r="R470" s="347"/>
      <c r="S470" s="312"/>
      <c r="T470" s="347"/>
    </row>
    <row r="471" spans="1:20" ht="12" customHeight="1" x14ac:dyDescent="0.3">
      <c r="A471" s="340" t="s">
        <v>289</v>
      </c>
      <c r="B471" s="341">
        <v>2</v>
      </c>
      <c r="C471" s="309">
        <v>46089</v>
      </c>
      <c r="D471" s="310" t="s">
        <v>358</v>
      </c>
      <c r="E471" s="342">
        <v>8.3800000000000008</v>
      </c>
      <c r="F471" s="342"/>
      <c r="G471" s="344">
        <f t="shared" si="4"/>
        <v>4434.7899999999881</v>
      </c>
      <c r="H471" s="345"/>
      <c r="I471" s="346"/>
      <c r="J471" s="347"/>
      <c r="K471" s="312"/>
      <c r="L471" s="347"/>
      <c r="M471" s="312"/>
      <c r="N471" s="347"/>
      <c r="O471" s="312"/>
      <c r="P471" s="347"/>
      <c r="Q471" s="312"/>
      <c r="R471" s="347"/>
      <c r="S471" s="312"/>
      <c r="T471" s="347"/>
    </row>
    <row r="472" spans="1:20" ht="12" customHeight="1" x14ac:dyDescent="0.3">
      <c r="A472" s="340" t="s">
        <v>289</v>
      </c>
      <c r="B472" s="341">
        <v>2</v>
      </c>
      <c r="C472" s="309">
        <v>46089</v>
      </c>
      <c r="D472" s="310" t="s">
        <v>301</v>
      </c>
      <c r="E472" s="342">
        <v>39.549999999999997</v>
      </c>
      <c r="F472" s="342"/>
      <c r="G472" s="344">
        <f t="shared" si="4"/>
        <v>4443.1699999999882</v>
      </c>
      <c r="H472" s="345"/>
      <c r="I472" s="346"/>
      <c r="J472" s="347"/>
      <c r="K472" s="312"/>
      <c r="L472" s="347"/>
      <c r="M472" s="312"/>
      <c r="N472" s="347"/>
      <c r="O472" s="312"/>
      <c r="P472" s="347"/>
      <c r="Q472" s="312"/>
      <c r="R472" s="347"/>
      <c r="S472" s="312"/>
      <c r="T472" s="347"/>
    </row>
    <row r="473" spans="1:20" ht="12" customHeight="1" x14ac:dyDescent="0.3">
      <c r="A473" s="340" t="s">
        <v>289</v>
      </c>
      <c r="B473" s="341">
        <v>4</v>
      </c>
      <c r="C473" s="309">
        <v>46089</v>
      </c>
      <c r="D473" s="310" t="s">
        <v>420</v>
      </c>
      <c r="E473" s="342">
        <v>31.68</v>
      </c>
      <c r="F473" s="342"/>
      <c r="G473" s="344">
        <f t="shared" si="4"/>
        <v>4482.7199999999884</v>
      </c>
      <c r="H473" s="345"/>
      <c r="I473" s="346"/>
      <c r="J473" s="347"/>
      <c r="K473" s="312"/>
      <c r="L473" s="347"/>
      <c r="M473" s="312"/>
      <c r="N473" s="347"/>
      <c r="O473" s="312"/>
      <c r="P473" s="347"/>
      <c r="Q473" s="312"/>
      <c r="R473" s="347"/>
      <c r="S473" s="312"/>
      <c r="T473" s="347"/>
    </row>
    <row r="474" spans="1:20" ht="12" customHeight="1" x14ac:dyDescent="0.3">
      <c r="A474" s="340" t="s">
        <v>289</v>
      </c>
      <c r="B474" s="341">
        <v>8</v>
      </c>
      <c r="C474" s="309">
        <v>46088</v>
      </c>
      <c r="D474" s="310" t="s">
        <v>308</v>
      </c>
      <c r="E474" s="342">
        <v>24.65</v>
      </c>
      <c r="F474" s="342"/>
      <c r="G474" s="344">
        <f t="shared" si="4"/>
        <v>4514.3999999999887</v>
      </c>
      <c r="H474" s="345"/>
      <c r="I474" s="346"/>
      <c r="J474" s="347"/>
      <c r="K474" s="312"/>
      <c r="L474" s="347"/>
      <c r="M474" s="312"/>
      <c r="N474" s="347"/>
      <c r="O474" s="312"/>
      <c r="P474" s="347"/>
      <c r="Q474" s="312"/>
      <c r="R474" s="347"/>
      <c r="S474" s="312"/>
      <c r="T474" s="347"/>
    </row>
    <row r="475" spans="1:20" ht="12" customHeight="1" x14ac:dyDescent="0.3">
      <c r="A475" s="340" t="s">
        <v>289</v>
      </c>
      <c r="B475" s="341">
        <v>2</v>
      </c>
      <c r="C475" s="309">
        <v>46088</v>
      </c>
      <c r="D475" s="310" t="s">
        <v>346</v>
      </c>
      <c r="E475" s="342">
        <v>11.04</v>
      </c>
      <c r="F475" s="342"/>
      <c r="G475" s="344">
        <f t="shared" si="4"/>
        <v>4539.0499999999884</v>
      </c>
      <c r="H475" s="345"/>
      <c r="I475" s="346"/>
      <c r="J475" s="347"/>
      <c r="K475" s="312"/>
      <c r="L475" s="347"/>
      <c r="M475" s="312"/>
      <c r="N475" s="347"/>
      <c r="O475" s="312"/>
      <c r="P475" s="347"/>
      <c r="Q475" s="312"/>
      <c r="R475" s="347"/>
      <c r="S475" s="312"/>
      <c r="T475" s="347"/>
    </row>
    <row r="476" spans="1:20" ht="12" customHeight="1" x14ac:dyDescent="0.3">
      <c r="A476" s="340" t="s">
        <v>289</v>
      </c>
      <c r="B476" s="341">
        <v>8</v>
      </c>
      <c r="C476" s="309">
        <v>46088</v>
      </c>
      <c r="D476" s="310" t="s">
        <v>319</v>
      </c>
      <c r="E476" s="342">
        <v>11.5</v>
      </c>
      <c r="F476" s="342"/>
      <c r="G476" s="344">
        <f t="shared" si="4"/>
        <v>4550.0899999999883</v>
      </c>
      <c r="H476" s="345"/>
      <c r="I476" s="346"/>
      <c r="J476" s="347"/>
      <c r="K476" s="312"/>
      <c r="L476" s="347"/>
      <c r="M476" s="312"/>
      <c r="N476" s="347"/>
      <c r="O476" s="312"/>
      <c r="P476" s="347"/>
      <c r="Q476" s="312"/>
      <c r="R476" s="347"/>
      <c r="S476" s="312"/>
      <c r="T476" s="347"/>
    </row>
    <row r="477" spans="1:20" ht="12" customHeight="1" x14ac:dyDescent="0.3">
      <c r="A477" s="340" t="s">
        <v>289</v>
      </c>
      <c r="B477" s="341">
        <v>8</v>
      </c>
      <c r="C477" s="309">
        <v>46088</v>
      </c>
      <c r="D477" s="310" t="s">
        <v>296</v>
      </c>
      <c r="E477" s="342">
        <v>12.44</v>
      </c>
      <c r="F477" s="342"/>
      <c r="G477" s="344">
        <f t="shared" si="4"/>
        <v>4561.5899999999883</v>
      </c>
      <c r="H477" s="345"/>
      <c r="I477" s="346"/>
      <c r="J477" s="347"/>
      <c r="K477" s="312"/>
      <c r="L477" s="347"/>
      <c r="M477" s="312"/>
      <c r="N477" s="347"/>
      <c r="O477" s="312"/>
      <c r="P477" s="347"/>
      <c r="Q477" s="312"/>
      <c r="R477" s="347"/>
      <c r="S477" s="312"/>
      <c r="T477" s="347"/>
    </row>
    <row r="478" spans="1:20" ht="12" customHeight="1" x14ac:dyDescent="0.3">
      <c r="A478" s="340" t="s">
        <v>289</v>
      </c>
      <c r="B478" s="341">
        <v>4</v>
      </c>
      <c r="C478" s="309">
        <v>46088</v>
      </c>
      <c r="D478" s="310" t="s">
        <v>296</v>
      </c>
      <c r="E478" s="342">
        <v>23.62</v>
      </c>
      <c r="F478" s="342"/>
      <c r="G478" s="344">
        <f t="shared" si="4"/>
        <v>4574.0299999999879</v>
      </c>
      <c r="H478" s="345"/>
      <c r="I478" s="346"/>
      <c r="J478" s="347"/>
      <c r="K478" s="312"/>
      <c r="L478" s="347"/>
      <c r="M478" s="312"/>
      <c r="N478" s="347"/>
      <c r="O478" s="312"/>
      <c r="P478" s="347"/>
      <c r="Q478" s="312"/>
      <c r="R478" s="347"/>
      <c r="S478" s="312"/>
      <c r="T478" s="347"/>
    </row>
    <row r="479" spans="1:20" ht="12" customHeight="1" x14ac:dyDescent="0.3">
      <c r="A479" s="340" t="s">
        <v>289</v>
      </c>
      <c r="B479" s="341">
        <v>2</v>
      </c>
      <c r="C479" s="309">
        <v>46088</v>
      </c>
      <c r="D479" s="310" t="s">
        <v>301</v>
      </c>
      <c r="E479" s="342">
        <v>36.049999999999997</v>
      </c>
      <c r="F479" s="342"/>
      <c r="G479" s="344">
        <f t="shared" si="4"/>
        <v>4597.6499999999878</v>
      </c>
      <c r="H479" s="345"/>
      <c r="I479" s="346"/>
      <c r="J479" s="347"/>
      <c r="K479" s="312"/>
      <c r="L479" s="347"/>
      <c r="M479" s="312"/>
      <c r="N479" s="347"/>
      <c r="O479" s="312"/>
      <c r="P479" s="347"/>
      <c r="Q479" s="312"/>
      <c r="R479" s="347"/>
      <c r="S479" s="312"/>
      <c r="T479" s="347"/>
    </row>
    <row r="480" spans="1:20" ht="12" customHeight="1" x14ac:dyDescent="0.3">
      <c r="A480" s="340" t="s">
        <v>294</v>
      </c>
      <c r="B480" s="341">
        <v>14</v>
      </c>
      <c r="C480" s="309">
        <v>46087</v>
      </c>
      <c r="D480" s="310" t="s">
        <v>366</v>
      </c>
      <c r="E480" s="342">
        <v>66.67</v>
      </c>
      <c r="F480" s="342"/>
      <c r="G480" s="344">
        <f t="shared" si="4"/>
        <v>4633.699999999988</v>
      </c>
      <c r="H480" s="345"/>
      <c r="I480" s="346"/>
      <c r="J480" s="347"/>
      <c r="K480" s="312"/>
      <c r="L480" s="347"/>
      <c r="M480" s="312"/>
      <c r="N480" s="347"/>
      <c r="O480" s="312"/>
      <c r="P480" s="347"/>
      <c r="Q480" s="312"/>
      <c r="R480" s="347"/>
      <c r="S480" s="312"/>
      <c r="T480" s="347"/>
    </row>
    <row r="481" spans="1:20" ht="12" customHeight="1" x14ac:dyDescent="0.3">
      <c r="A481" s="340" t="s">
        <v>289</v>
      </c>
      <c r="B481" s="341">
        <v>2</v>
      </c>
      <c r="C481" s="309">
        <v>46087</v>
      </c>
      <c r="D481" s="310" t="s">
        <v>296</v>
      </c>
      <c r="E481" s="342">
        <v>17.850000000000001</v>
      </c>
      <c r="F481" s="342"/>
      <c r="G481" s="344">
        <f t="shared" si="4"/>
        <v>4700.3699999999881</v>
      </c>
      <c r="H481" s="345"/>
      <c r="I481" s="346"/>
      <c r="J481" s="347"/>
      <c r="K481" s="312"/>
      <c r="L481" s="347"/>
      <c r="M481" s="312"/>
      <c r="N481" s="347"/>
      <c r="O481" s="312"/>
      <c r="P481" s="347"/>
      <c r="Q481" s="312"/>
      <c r="R481" s="347"/>
      <c r="S481" s="312"/>
      <c r="T481" s="347"/>
    </row>
    <row r="482" spans="1:20" ht="12" customHeight="1" x14ac:dyDescent="0.3">
      <c r="A482" s="340" t="s">
        <v>289</v>
      </c>
      <c r="B482" s="341">
        <v>1</v>
      </c>
      <c r="C482" s="309">
        <v>46087</v>
      </c>
      <c r="D482" s="310" t="s">
        <v>304</v>
      </c>
      <c r="E482" s="342">
        <v>112.13</v>
      </c>
      <c r="F482" s="342"/>
      <c r="G482" s="344">
        <f t="shared" si="4"/>
        <v>4718.2199999999884</v>
      </c>
      <c r="H482" s="345"/>
      <c r="I482" s="346"/>
      <c r="J482" s="347"/>
      <c r="K482" s="312"/>
      <c r="L482" s="347"/>
      <c r="M482" s="312"/>
      <c r="N482" s="347"/>
      <c r="O482" s="312"/>
      <c r="P482" s="347"/>
      <c r="Q482" s="312"/>
      <c r="R482" s="347"/>
      <c r="S482" s="312"/>
      <c r="T482" s="347"/>
    </row>
    <row r="483" spans="1:20" ht="12" customHeight="1" x14ac:dyDescent="0.3">
      <c r="A483" s="340" t="s">
        <v>289</v>
      </c>
      <c r="B483" s="341">
        <v>3</v>
      </c>
      <c r="C483" s="309">
        <v>46087</v>
      </c>
      <c r="D483" s="310" t="s">
        <v>324</v>
      </c>
      <c r="E483" s="342">
        <v>7.31</v>
      </c>
      <c r="F483" s="342"/>
      <c r="G483" s="344">
        <f t="shared" si="4"/>
        <v>4830.3499999999885</v>
      </c>
      <c r="H483" s="345"/>
      <c r="I483" s="346"/>
      <c r="J483" s="347"/>
      <c r="K483" s="312"/>
      <c r="L483" s="347"/>
      <c r="M483" s="312"/>
      <c r="N483" s="347"/>
      <c r="O483" s="312"/>
      <c r="P483" s="347"/>
      <c r="Q483" s="312"/>
      <c r="R483" s="347"/>
      <c r="S483" s="312"/>
      <c r="T483" s="347"/>
    </row>
    <row r="484" spans="1:20" ht="12" customHeight="1" x14ac:dyDescent="0.3">
      <c r="A484" s="340" t="s">
        <v>291</v>
      </c>
      <c r="B484" s="341">
        <v>39</v>
      </c>
      <c r="C484" s="309">
        <v>46086</v>
      </c>
      <c r="D484" s="310" t="s">
        <v>292</v>
      </c>
      <c r="E484" s="342"/>
      <c r="F484" s="342">
        <v>2763.78</v>
      </c>
      <c r="G484" s="344">
        <f t="shared" si="4"/>
        <v>4837.6599999999889</v>
      </c>
      <c r="H484" s="345"/>
      <c r="I484" s="346"/>
      <c r="J484" s="347"/>
      <c r="K484" s="312"/>
      <c r="L484" s="347"/>
      <c r="M484" s="312"/>
      <c r="N484" s="347"/>
      <c r="O484" s="312"/>
      <c r="P484" s="347"/>
      <c r="Q484" s="312"/>
      <c r="R484" s="347"/>
      <c r="S484" s="312"/>
      <c r="T484" s="347"/>
    </row>
    <row r="485" spans="1:20" ht="12" customHeight="1" x14ac:dyDescent="0.3">
      <c r="A485" s="340" t="s">
        <v>289</v>
      </c>
      <c r="B485" s="341">
        <v>4</v>
      </c>
      <c r="C485" s="309">
        <v>46086</v>
      </c>
      <c r="D485" s="310" t="s">
        <v>295</v>
      </c>
      <c r="E485" s="342">
        <v>31.52</v>
      </c>
      <c r="F485" s="342"/>
      <c r="G485" s="344">
        <f t="shared" si="4"/>
        <v>2073.8799999999892</v>
      </c>
      <c r="H485" s="345"/>
      <c r="I485" s="346"/>
      <c r="J485" s="347"/>
      <c r="K485" s="312"/>
      <c r="L485" s="347"/>
      <c r="M485" s="312"/>
      <c r="N485" s="347"/>
      <c r="O485" s="312"/>
      <c r="P485" s="347"/>
      <c r="Q485" s="312"/>
      <c r="R485" s="347"/>
      <c r="S485" s="312"/>
      <c r="T485" s="347"/>
    </row>
    <row r="486" spans="1:20" ht="12" customHeight="1" x14ac:dyDescent="0.3">
      <c r="A486" s="340" t="s">
        <v>289</v>
      </c>
      <c r="B486" s="341">
        <v>2</v>
      </c>
      <c r="C486" s="309">
        <v>46086</v>
      </c>
      <c r="D486" s="310" t="s">
        <v>358</v>
      </c>
      <c r="E486" s="342">
        <v>14.86</v>
      </c>
      <c r="F486" s="342"/>
      <c r="G486" s="344">
        <f t="shared" si="4"/>
        <v>2105.3999999999892</v>
      </c>
      <c r="H486" s="345"/>
      <c r="I486" s="346"/>
      <c r="J486" s="347"/>
      <c r="K486" s="312"/>
      <c r="L486" s="347"/>
      <c r="M486" s="312"/>
      <c r="N486" s="347"/>
      <c r="O486" s="312"/>
      <c r="P486" s="347"/>
      <c r="Q486" s="312"/>
      <c r="R486" s="347"/>
      <c r="S486" s="312"/>
      <c r="T486" s="347"/>
    </row>
    <row r="487" spans="1:20" ht="12" customHeight="1" x14ac:dyDescent="0.3">
      <c r="A487" s="340" t="s">
        <v>289</v>
      </c>
      <c r="B487" s="341">
        <v>8</v>
      </c>
      <c r="C487" s="309">
        <v>46086</v>
      </c>
      <c r="D487" s="310" t="s">
        <v>409</v>
      </c>
      <c r="E487" s="342">
        <v>44.99</v>
      </c>
      <c r="F487" s="342"/>
      <c r="G487" s="344">
        <f t="shared" si="4"/>
        <v>2120.2599999999893</v>
      </c>
      <c r="H487" s="345"/>
      <c r="I487" s="346"/>
      <c r="J487" s="347"/>
      <c r="K487" s="312"/>
      <c r="L487" s="347"/>
      <c r="M487" s="312"/>
      <c r="N487" s="347"/>
      <c r="O487" s="312"/>
      <c r="P487" s="347"/>
      <c r="Q487" s="312"/>
      <c r="R487" s="347"/>
      <c r="S487" s="312"/>
      <c r="T487" s="347"/>
    </row>
    <row r="488" spans="1:20" ht="12" customHeight="1" x14ac:dyDescent="0.3">
      <c r="A488" s="340" t="s">
        <v>289</v>
      </c>
      <c r="B488" s="341">
        <v>2</v>
      </c>
      <c r="C488" s="309">
        <v>46085</v>
      </c>
      <c r="D488" s="310" t="s">
        <v>421</v>
      </c>
      <c r="E488" s="342">
        <v>15</v>
      </c>
      <c r="F488" s="342"/>
      <c r="G488" s="344">
        <f t="shared" si="4"/>
        <v>2165.2499999999891</v>
      </c>
      <c r="H488" s="345"/>
      <c r="I488" s="346"/>
      <c r="J488" s="347"/>
      <c r="K488" s="312"/>
      <c r="L488" s="347"/>
      <c r="M488" s="312"/>
      <c r="N488" s="347"/>
      <c r="O488" s="312"/>
      <c r="P488" s="347"/>
      <c r="Q488" s="312"/>
      <c r="R488" s="347"/>
      <c r="S488" s="312"/>
      <c r="T488" s="347"/>
    </row>
    <row r="489" spans="1:20" ht="12" customHeight="1" x14ac:dyDescent="0.3">
      <c r="A489" s="340" t="s">
        <v>289</v>
      </c>
      <c r="B489" s="341">
        <v>2</v>
      </c>
      <c r="C489" s="309">
        <v>46085</v>
      </c>
      <c r="D489" s="310" t="s">
        <v>296</v>
      </c>
      <c r="E489" s="342">
        <v>10.84</v>
      </c>
      <c r="F489" s="342"/>
      <c r="G489" s="344">
        <f t="shared" si="4"/>
        <v>2180.2499999999891</v>
      </c>
      <c r="H489" s="345"/>
      <c r="I489" s="346"/>
      <c r="J489" s="347"/>
      <c r="K489" s="312"/>
      <c r="L489" s="347"/>
      <c r="M489" s="312"/>
      <c r="N489" s="347"/>
      <c r="O489" s="312"/>
      <c r="P489" s="347"/>
      <c r="Q489" s="312"/>
      <c r="R489" s="347"/>
      <c r="S489" s="312"/>
      <c r="T489" s="347"/>
    </row>
    <row r="490" spans="1:20" ht="12" customHeight="1" x14ac:dyDescent="0.3">
      <c r="A490" s="340" t="s">
        <v>294</v>
      </c>
      <c r="B490" s="341">
        <v>14</v>
      </c>
      <c r="C490" s="309">
        <v>46085</v>
      </c>
      <c r="D490" s="310" t="s">
        <v>367</v>
      </c>
      <c r="E490" s="342">
        <v>68.739999999999995</v>
      </c>
      <c r="F490" s="342"/>
      <c r="G490" s="344">
        <f t="shared" si="4"/>
        <v>2191.0899999999892</v>
      </c>
      <c r="H490" s="345"/>
      <c r="I490" s="346"/>
      <c r="J490" s="347"/>
      <c r="K490" s="312"/>
      <c r="L490" s="347"/>
      <c r="M490" s="312"/>
      <c r="N490" s="347"/>
      <c r="O490" s="312"/>
      <c r="P490" s="347"/>
      <c r="Q490" s="312"/>
      <c r="R490" s="347"/>
      <c r="S490" s="312"/>
      <c r="T490" s="347"/>
    </row>
    <row r="491" spans="1:20" ht="12" customHeight="1" x14ac:dyDescent="0.3">
      <c r="A491" s="340" t="s">
        <v>289</v>
      </c>
      <c r="B491" s="341">
        <v>4</v>
      </c>
      <c r="C491" s="309">
        <v>46085</v>
      </c>
      <c r="D491" s="310" t="s">
        <v>310</v>
      </c>
      <c r="E491" s="342">
        <v>30.67</v>
      </c>
      <c r="F491" s="342"/>
      <c r="G491" s="344">
        <f t="shared" si="4"/>
        <v>2259.829999999989</v>
      </c>
      <c r="H491" s="345"/>
      <c r="I491" s="346"/>
      <c r="J491" s="347"/>
      <c r="K491" s="312"/>
      <c r="L491" s="347"/>
      <c r="M491" s="312"/>
      <c r="N491" s="347"/>
      <c r="O491" s="312"/>
      <c r="P491" s="347"/>
      <c r="Q491" s="312"/>
      <c r="R491" s="347"/>
      <c r="S491" s="312"/>
      <c r="T491" s="347"/>
    </row>
    <row r="492" spans="1:20" ht="12" customHeight="1" x14ac:dyDescent="0.3">
      <c r="A492" s="340" t="s">
        <v>294</v>
      </c>
      <c r="B492" s="341">
        <v>17</v>
      </c>
      <c r="C492" s="309">
        <v>46085</v>
      </c>
      <c r="D492" s="310" t="s">
        <v>370</v>
      </c>
      <c r="E492" s="342">
        <v>99</v>
      </c>
      <c r="F492" s="342"/>
      <c r="G492" s="344">
        <f t="shared" si="4"/>
        <v>2290.4999999999891</v>
      </c>
      <c r="H492" s="345"/>
      <c r="I492" s="346"/>
      <c r="J492" s="347"/>
      <c r="K492" s="312"/>
      <c r="L492" s="347"/>
      <c r="M492" s="312"/>
      <c r="N492" s="347"/>
      <c r="O492" s="312"/>
      <c r="P492" s="347"/>
      <c r="Q492" s="312"/>
      <c r="R492" s="347"/>
      <c r="S492" s="312"/>
      <c r="T492" s="347"/>
    </row>
    <row r="493" spans="1:20" ht="12" customHeight="1" x14ac:dyDescent="0.3">
      <c r="A493" s="340" t="s">
        <v>294</v>
      </c>
      <c r="B493" s="341">
        <v>21</v>
      </c>
      <c r="C493" s="309">
        <v>46084</v>
      </c>
      <c r="D493" s="310" t="s">
        <v>194</v>
      </c>
      <c r="E493" s="342">
        <v>40.72</v>
      </c>
      <c r="F493" s="342"/>
      <c r="G493" s="344">
        <f t="shared" si="4"/>
        <v>2389.4999999999891</v>
      </c>
      <c r="H493" s="345"/>
      <c r="I493" s="346"/>
      <c r="J493" s="347"/>
      <c r="K493" s="312"/>
      <c r="L493" s="347"/>
      <c r="M493" s="312"/>
      <c r="N493" s="347"/>
      <c r="O493" s="312"/>
      <c r="P493" s="347"/>
      <c r="Q493" s="312"/>
      <c r="R493" s="347"/>
      <c r="S493" s="312"/>
      <c r="T493" s="347"/>
    </row>
    <row r="494" spans="1:20" ht="12" customHeight="1" x14ac:dyDescent="0.3">
      <c r="A494" s="340" t="s">
        <v>284</v>
      </c>
      <c r="B494" s="341">
        <v>36</v>
      </c>
      <c r="C494" s="309">
        <v>46084</v>
      </c>
      <c r="D494" s="310" t="s">
        <v>374</v>
      </c>
      <c r="E494" s="342">
        <v>50</v>
      </c>
      <c r="F494" s="342"/>
      <c r="G494" s="344">
        <f t="shared" si="4"/>
        <v>2430.2199999999889</v>
      </c>
      <c r="H494" s="345"/>
      <c r="I494" s="346"/>
      <c r="J494" s="347"/>
      <c r="K494" s="312"/>
      <c r="L494" s="347"/>
      <c r="M494" s="312"/>
      <c r="N494" s="347"/>
      <c r="O494" s="312"/>
      <c r="P494" s="347"/>
      <c r="Q494" s="312"/>
      <c r="R494" s="347"/>
      <c r="S494" s="312"/>
      <c r="T494" s="347"/>
    </row>
    <row r="495" spans="1:20" ht="12" customHeight="1" x14ac:dyDescent="0.3">
      <c r="A495" s="340" t="s">
        <v>289</v>
      </c>
      <c r="B495" s="341">
        <v>2</v>
      </c>
      <c r="C495" s="309">
        <v>46084</v>
      </c>
      <c r="D495" s="310" t="s">
        <v>296</v>
      </c>
      <c r="E495" s="342">
        <v>14.67</v>
      </c>
      <c r="F495" s="342"/>
      <c r="G495" s="344">
        <f t="shared" si="4"/>
        <v>2480.2199999999889</v>
      </c>
      <c r="H495" s="345"/>
      <c r="I495" s="346"/>
      <c r="J495" s="347"/>
      <c r="K495" s="312"/>
      <c r="L495" s="347"/>
      <c r="M495" s="312"/>
      <c r="N495" s="347"/>
      <c r="O495" s="312"/>
      <c r="P495" s="347"/>
      <c r="Q495" s="312"/>
      <c r="R495" s="347"/>
      <c r="S495" s="312"/>
      <c r="T495" s="347"/>
    </row>
    <row r="496" spans="1:20" ht="12" customHeight="1" x14ac:dyDescent="0.3">
      <c r="A496" s="340" t="s">
        <v>289</v>
      </c>
      <c r="B496" s="341">
        <v>4</v>
      </c>
      <c r="C496" s="309">
        <v>46084</v>
      </c>
      <c r="D496" s="310" t="s">
        <v>296</v>
      </c>
      <c r="E496" s="342">
        <v>27.42</v>
      </c>
      <c r="F496" s="342"/>
      <c r="G496" s="344">
        <f t="shared" si="4"/>
        <v>2494.889999999989</v>
      </c>
      <c r="H496" s="345"/>
      <c r="I496" s="346"/>
      <c r="J496" s="347"/>
      <c r="K496" s="312"/>
      <c r="L496" s="347"/>
      <c r="M496" s="312"/>
      <c r="N496" s="347"/>
      <c r="O496" s="312"/>
      <c r="P496" s="347"/>
      <c r="Q496" s="312"/>
      <c r="R496" s="347"/>
      <c r="S496" s="312"/>
      <c r="T496" s="347"/>
    </row>
    <row r="497" spans="1:20" ht="12" customHeight="1" x14ac:dyDescent="0.3">
      <c r="A497" s="340" t="s">
        <v>289</v>
      </c>
      <c r="B497" s="341">
        <v>6</v>
      </c>
      <c r="C497" s="309">
        <v>46084</v>
      </c>
      <c r="D497" s="310" t="s">
        <v>422</v>
      </c>
      <c r="E497" s="342">
        <v>106.27</v>
      </c>
      <c r="F497" s="342"/>
      <c r="G497" s="344">
        <f t="shared" si="4"/>
        <v>2522.309999999989</v>
      </c>
      <c r="H497" s="345"/>
      <c r="I497" s="346"/>
      <c r="J497" s="347"/>
      <c r="K497" s="312"/>
      <c r="L497" s="347"/>
      <c r="M497" s="312"/>
      <c r="N497" s="347"/>
      <c r="O497" s="312"/>
      <c r="P497" s="347"/>
      <c r="Q497" s="312"/>
      <c r="R497" s="347"/>
      <c r="S497" s="312"/>
      <c r="T497" s="347"/>
    </row>
    <row r="498" spans="1:20" ht="12" customHeight="1" x14ac:dyDescent="0.3">
      <c r="A498" s="340" t="s">
        <v>289</v>
      </c>
      <c r="B498" s="341">
        <v>6</v>
      </c>
      <c r="C498" s="309">
        <v>46084</v>
      </c>
      <c r="D498" s="310" t="s">
        <v>422</v>
      </c>
      <c r="E498" s="342">
        <v>-107</v>
      </c>
      <c r="F498" s="342"/>
      <c r="G498" s="344">
        <f t="shared" si="4"/>
        <v>2628.579999999989</v>
      </c>
      <c r="H498" s="345" t="s">
        <v>298</v>
      </c>
      <c r="I498" s="346"/>
      <c r="J498" s="347"/>
      <c r="K498" s="312"/>
      <c r="L498" s="347"/>
      <c r="M498" s="312"/>
      <c r="N498" s="347"/>
      <c r="O498" s="312"/>
      <c r="P498" s="347"/>
      <c r="Q498" s="312"/>
      <c r="R498" s="347"/>
      <c r="S498" s="312"/>
      <c r="T498" s="347"/>
    </row>
    <row r="499" spans="1:20" ht="12" customHeight="1" x14ac:dyDescent="0.3">
      <c r="A499" s="340" t="s">
        <v>289</v>
      </c>
      <c r="B499" s="341">
        <v>2</v>
      </c>
      <c r="C499" s="309">
        <v>46083</v>
      </c>
      <c r="D499" s="310" t="s">
        <v>301</v>
      </c>
      <c r="E499" s="342">
        <v>20</v>
      </c>
      <c r="F499" s="342"/>
      <c r="G499" s="344">
        <f t="shared" si="4"/>
        <v>2521.579999999989</v>
      </c>
      <c r="H499" s="345"/>
      <c r="I499" s="346"/>
      <c r="J499" s="347"/>
      <c r="K499" s="312"/>
      <c r="L499" s="347"/>
      <c r="M499" s="312"/>
      <c r="N499" s="347"/>
      <c r="O499" s="312"/>
      <c r="P499" s="347"/>
      <c r="Q499" s="312"/>
      <c r="R499" s="347"/>
      <c r="S499" s="312"/>
      <c r="T499" s="347"/>
    </row>
    <row r="500" spans="1:20" ht="12" customHeight="1" x14ac:dyDescent="0.3">
      <c r="A500" s="340" t="s">
        <v>287</v>
      </c>
      <c r="B500" s="341" t="s">
        <v>287</v>
      </c>
      <c r="C500" s="309">
        <v>46083</v>
      </c>
      <c r="D500" s="310" t="s">
        <v>288</v>
      </c>
      <c r="E500" s="342">
        <v>185.64</v>
      </c>
      <c r="F500" s="342">
        <v>185.64</v>
      </c>
      <c r="G500" s="344">
        <f t="shared" si="4"/>
        <v>2541.579999999989</v>
      </c>
      <c r="H500" s="345"/>
      <c r="I500" s="346"/>
      <c r="J500" s="347"/>
      <c r="K500" s="312"/>
      <c r="L500" s="347"/>
      <c r="M500" s="312"/>
      <c r="N500" s="347"/>
      <c r="O500" s="312"/>
      <c r="P500" s="347"/>
      <c r="Q500" s="312"/>
      <c r="R500" s="347"/>
      <c r="S500" s="312"/>
      <c r="T500" s="347"/>
    </row>
    <row r="501" spans="1:20" ht="12" customHeight="1" x14ac:dyDescent="0.3">
      <c r="A501" s="340" t="s">
        <v>289</v>
      </c>
      <c r="B501" s="341">
        <v>2</v>
      </c>
      <c r="C501" s="309">
        <v>46083</v>
      </c>
      <c r="D501" s="310" t="s">
        <v>424</v>
      </c>
      <c r="E501" s="342">
        <v>70.12</v>
      </c>
      <c r="F501" s="342"/>
      <c r="G501" s="344">
        <f t="shared" si="4"/>
        <v>2541.579999999989</v>
      </c>
      <c r="H501" s="345"/>
      <c r="I501" s="346"/>
      <c r="J501" s="347"/>
      <c r="K501" s="312"/>
      <c r="L501" s="347"/>
      <c r="M501" s="312"/>
      <c r="N501" s="347"/>
      <c r="O501" s="312"/>
      <c r="P501" s="347"/>
      <c r="Q501" s="312"/>
      <c r="R501" s="347"/>
      <c r="S501" s="312"/>
      <c r="T501" s="347"/>
    </row>
    <row r="502" spans="1:20" ht="12" customHeight="1" x14ac:dyDescent="0.3">
      <c r="A502" s="340" t="s">
        <v>294</v>
      </c>
      <c r="B502" s="341">
        <v>17</v>
      </c>
      <c r="C502" s="309">
        <v>46083</v>
      </c>
      <c r="D502" s="310" t="s">
        <v>188</v>
      </c>
      <c r="E502" s="342">
        <v>41.44</v>
      </c>
      <c r="F502" s="342"/>
      <c r="G502" s="344">
        <f t="shared" si="4"/>
        <v>2611.6999999999889</v>
      </c>
      <c r="H502" s="345"/>
      <c r="I502" s="346"/>
      <c r="J502" s="347"/>
      <c r="K502" s="312"/>
      <c r="L502" s="347"/>
      <c r="M502" s="312"/>
      <c r="N502" s="347"/>
      <c r="O502" s="312"/>
      <c r="P502" s="347"/>
      <c r="Q502" s="312"/>
      <c r="R502" s="347"/>
      <c r="S502" s="312"/>
      <c r="T502" s="347"/>
    </row>
    <row r="503" spans="1:20" ht="12" customHeight="1" x14ac:dyDescent="0.3">
      <c r="A503" s="340" t="s">
        <v>289</v>
      </c>
      <c r="B503" s="341">
        <v>8</v>
      </c>
      <c r="C503" s="309">
        <v>46083</v>
      </c>
      <c r="D503" s="310" t="s">
        <v>296</v>
      </c>
      <c r="E503" s="342">
        <v>8.7200000000000006</v>
      </c>
      <c r="F503" s="342"/>
      <c r="G503" s="344">
        <f t="shared" si="4"/>
        <v>2653.139999999989</v>
      </c>
      <c r="H503" s="345"/>
      <c r="I503" s="346"/>
      <c r="J503" s="347"/>
      <c r="K503" s="312"/>
      <c r="L503" s="347"/>
      <c r="M503" s="312"/>
      <c r="N503" s="347"/>
      <c r="O503" s="312"/>
      <c r="P503" s="347"/>
      <c r="Q503" s="312"/>
      <c r="R503" s="347"/>
      <c r="S503" s="312"/>
      <c r="T503" s="347"/>
    </row>
    <row r="504" spans="1:20" ht="12" customHeight="1" x14ac:dyDescent="0.3">
      <c r="A504" s="340" t="s">
        <v>294</v>
      </c>
      <c r="B504" s="341">
        <v>22</v>
      </c>
      <c r="C504" s="309">
        <v>46082</v>
      </c>
      <c r="D504" s="310" t="s">
        <v>375</v>
      </c>
      <c r="E504" s="342">
        <v>6.37</v>
      </c>
      <c r="F504" s="342"/>
      <c r="G504" s="344">
        <f t="shared" si="4"/>
        <v>2661.8599999999888</v>
      </c>
      <c r="H504" s="345"/>
      <c r="I504" s="346"/>
      <c r="J504" s="347"/>
      <c r="K504" s="312"/>
      <c r="L504" s="347"/>
      <c r="M504" s="312"/>
      <c r="N504" s="347"/>
      <c r="O504" s="312"/>
      <c r="P504" s="347"/>
      <c r="Q504" s="312"/>
      <c r="R504" s="347"/>
      <c r="S504" s="312"/>
      <c r="T504" s="347"/>
    </row>
    <row r="505" spans="1:20" ht="12" customHeight="1" x14ac:dyDescent="0.3">
      <c r="A505" s="340" t="s">
        <v>289</v>
      </c>
      <c r="B505" s="341">
        <v>2</v>
      </c>
      <c r="C505" s="309">
        <v>46082</v>
      </c>
      <c r="D505" s="310" t="s">
        <v>296</v>
      </c>
      <c r="E505" s="342">
        <v>9.8699999999999992</v>
      </c>
      <c r="F505" s="342"/>
      <c r="G505" s="344">
        <f t="shared" si="4"/>
        <v>2668.2299999999886</v>
      </c>
      <c r="H505" s="345"/>
      <c r="I505" s="346"/>
      <c r="J505" s="347"/>
      <c r="K505" s="312"/>
      <c r="L505" s="347"/>
      <c r="M505" s="312"/>
      <c r="N505" s="347"/>
      <c r="O505" s="312"/>
      <c r="P505" s="347"/>
      <c r="Q505" s="312"/>
      <c r="R505" s="347"/>
      <c r="S505" s="312"/>
      <c r="T505" s="347"/>
    </row>
    <row r="506" spans="1:20" ht="12" customHeight="1" x14ac:dyDescent="0.3">
      <c r="A506" s="340" t="s">
        <v>289</v>
      </c>
      <c r="B506" s="341">
        <v>1</v>
      </c>
      <c r="C506" s="309">
        <v>46082</v>
      </c>
      <c r="D506" s="310" t="s">
        <v>311</v>
      </c>
      <c r="E506" s="342">
        <v>119.55</v>
      </c>
      <c r="F506" s="342"/>
      <c r="G506" s="344">
        <f t="shared" si="4"/>
        <v>2678.0999999999885</v>
      </c>
      <c r="H506" s="345"/>
      <c r="I506" s="346"/>
      <c r="J506" s="347"/>
      <c r="K506" s="312"/>
      <c r="L506" s="347"/>
      <c r="M506" s="312"/>
      <c r="N506" s="347"/>
      <c r="O506" s="312"/>
      <c r="P506" s="347"/>
      <c r="Q506" s="312"/>
      <c r="R506" s="347"/>
      <c r="S506" s="312"/>
      <c r="T506" s="347"/>
    </row>
    <row r="507" spans="1:20" ht="12" customHeight="1" x14ac:dyDescent="0.3">
      <c r="A507" s="340" t="s">
        <v>289</v>
      </c>
      <c r="B507" s="341">
        <v>3</v>
      </c>
      <c r="C507" s="309">
        <v>46082</v>
      </c>
      <c r="D507" s="310" t="s">
        <v>348</v>
      </c>
      <c r="E507" s="342">
        <v>25</v>
      </c>
      <c r="F507" s="342"/>
      <c r="G507" s="344">
        <f t="shared" si="4"/>
        <v>2797.6499999999887</v>
      </c>
      <c r="H507" s="345"/>
      <c r="I507" s="346"/>
      <c r="J507" s="347"/>
      <c r="K507" s="312"/>
      <c r="L507" s="347"/>
      <c r="M507" s="312"/>
      <c r="N507" s="347"/>
      <c r="O507" s="312"/>
      <c r="P507" s="347"/>
      <c r="Q507" s="312"/>
      <c r="R507" s="347"/>
      <c r="S507" s="312"/>
      <c r="T507" s="347"/>
    </row>
    <row r="508" spans="1:20" ht="12" customHeight="1" x14ac:dyDescent="0.3">
      <c r="A508" s="340" t="s">
        <v>289</v>
      </c>
      <c r="B508" s="341">
        <v>1</v>
      </c>
      <c r="C508" s="309">
        <v>46082</v>
      </c>
      <c r="D508" s="310" t="s">
        <v>304</v>
      </c>
      <c r="E508" s="342">
        <v>119.17</v>
      </c>
      <c r="F508" s="342"/>
      <c r="G508" s="344">
        <f t="shared" si="4"/>
        <v>2822.6499999999887</v>
      </c>
      <c r="H508" s="345"/>
      <c r="I508" s="346"/>
      <c r="J508" s="347"/>
      <c r="K508" s="312"/>
      <c r="L508" s="347"/>
      <c r="M508" s="312"/>
      <c r="N508" s="347"/>
      <c r="O508" s="312"/>
      <c r="P508" s="347"/>
      <c r="Q508" s="312"/>
      <c r="R508" s="347"/>
      <c r="S508" s="312"/>
      <c r="T508" s="347"/>
    </row>
    <row r="509" spans="1:20" ht="12" customHeight="1" x14ac:dyDescent="0.3">
      <c r="A509" s="340" t="s">
        <v>284</v>
      </c>
      <c r="B509" s="341">
        <v>37</v>
      </c>
      <c r="C509" s="309">
        <v>46081</v>
      </c>
      <c r="D509" s="310" t="s">
        <v>425</v>
      </c>
      <c r="E509" s="342">
        <v>3764.91</v>
      </c>
      <c r="F509" s="342"/>
      <c r="G509" s="344">
        <f t="shared" si="4"/>
        <v>2941.8199999999888</v>
      </c>
      <c r="H509" s="345"/>
      <c r="I509" s="346"/>
      <c r="J509" s="347"/>
      <c r="K509" s="312"/>
      <c r="L509" s="347"/>
      <c r="M509" s="312"/>
      <c r="N509" s="347"/>
      <c r="O509" s="312"/>
      <c r="P509" s="347"/>
      <c r="Q509" s="312"/>
      <c r="R509" s="347"/>
      <c r="S509" s="312"/>
      <c r="T509" s="347"/>
    </row>
    <row r="510" spans="1:20" ht="12" customHeight="1" x14ac:dyDescent="0.3">
      <c r="A510" s="340" t="s">
        <v>286</v>
      </c>
      <c r="B510" s="341">
        <v>25</v>
      </c>
      <c r="C510" s="309">
        <v>46081</v>
      </c>
      <c r="D510" s="309" t="s">
        <v>204</v>
      </c>
      <c r="E510" s="342">
        <v>350</v>
      </c>
      <c r="F510" s="342"/>
      <c r="G510" s="344">
        <f t="shared" si="4"/>
        <v>6706.7299999999886</v>
      </c>
      <c r="H510" s="345"/>
      <c r="I510" s="346"/>
      <c r="J510" s="347"/>
      <c r="K510" s="312"/>
      <c r="L510" s="347"/>
      <c r="M510" s="312"/>
      <c r="N510" s="347"/>
      <c r="O510" s="312"/>
      <c r="P510" s="347"/>
      <c r="Q510" s="312"/>
      <c r="R510" s="347"/>
      <c r="S510" s="312"/>
      <c r="T510" s="347"/>
    </row>
    <row r="511" spans="1:20" ht="12" customHeight="1" x14ac:dyDescent="0.3">
      <c r="A511" s="340" t="s">
        <v>286</v>
      </c>
      <c r="B511" s="341">
        <v>26</v>
      </c>
      <c r="C511" s="309">
        <v>46081</v>
      </c>
      <c r="D511" s="309" t="s">
        <v>205</v>
      </c>
      <c r="E511" s="342">
        <v>320</v>
      </c>
      <c r="F511" s="342"/>
      <c r="G511" s="344">
        <f t="shared" si="4"/>
        <v>7056.7299999999886</v>
      </c>
      <c r="H511" s="345"/>
      <c r="I511" s="346"/>
      <c r="J511" s="347"/>
      <c r="K511" s="312"/>
      <c r="L511" s="347"/>
      <c r="M511" s="312"/>
      <c r="N511" s="347"/>
      <c r="O511" s="312"/>
      <c r="P511" s="347"/>
      <c r="Q511" s="312"/>
      <c r="R511" s="347"/>
      <c r="S511" s="312"/>
      <c r="T511" s="347"/>
    </row>
    <row r="512" spans="1:20" ht="12" customHeight="1" x14ac:dyDescent="0.3">
      <c r="A512" s="340" t="s">
        <v>286</v>
      </c>
      <c r="B512" s="341">
        <v>27</v>
      </c>
      <c r="C512" s="309">
        <v>46081</v>
      </c>
      <c r="D512" s="309" t="s">
        <v>206</v>
      </c>
      <c r="E512" s="342">
        <v>25</v>
      </c>
      <c r="F512" s="342"/>
      <c r="G512" s="344">
        <f t="shared" si="4"/>
        <v>7376.7299999999886</v>
      </c>
      <c r="H512" s="345"/>
      <c r="I512" s="346"/>
      <c r="J512" s="347"/>
      <c r="K512" s="312"/>
      <c r="L512" s="347"/>
      <c r="M512" s="312"/>
      <c r="N512" s="347"/>
      <c r="O512" s="312"/>
      <c r="P512" s="347"/>
      <c r="Q512" s="312"/>
      <c r="R512" s="347"/>
      <c r="S512" s="312"/>
      <c r="T512" s="347"/>
    </row>
    <row r="513" spans="1:20" ht="12" customHeight="1" x14ac:dyDescent="0.3">
      <c r="A513" s="340" t="s">
        <v>286</v>
      </c>
      <c r="B513" s="341">
        <v>28</v>
      </c>
      <c r="C513" s="309">
        <v>46081</v>
      </c>
      <c r="D513" s="309" t="s">
        <v>207</v>
      </c>
      <c r="E513" s="342">
        <v>25</v>
      </c>
      <c r="F513" s="342"/>
      <c r="G513" s="344">
        <f t="shared" si="4"/>
        <v>7401.7299999999886</v>
      </c>
      <c r="H513" s="345"/>
      <c r="I513" s="346"/>
      <c r="J513" s="347"/>
      <c r="K513" s="312"/>
      <c r="L513" s="347"/>
      <c r="M513" s="312"/>
      <c r="N513" s="347"/>
      <c r="O513" s="312"/>
      <c r="P513" s="347"/>
      <c r="Q513" s="312"/>
      <c r="R513" s="347"/>
      <c r="S513" s="312"/>
      <c r="T513" s="347"/>
    </row>
    <row r="514" spans="1:20" ht="12" customHeight="1" x14ac:dyDescent="0.3">
      <c r="A514" s="340" t="s">
        <v>286</v>
      </c>
      <c r="B514" s="341">
        <v>29</v>
      </c>
      <c r="C514" s="309">
        <v>46081</v>
      </c>
      <c r="D514" s="309" t="s">
        <v>208</v>
      </c>
      <c r="E514" s="342">
        <v>45</v>
      </c>
      <c r="F514" s="342"/>
      <c r="G514" s="344">
        <f t="shared" si="4"/>
        <v>7426.7299999999886</v>
      </c>
      <c r="H514" s="345"/>
      <c r="I514" s="346"/>
      <c r="J514" s="347"/>
      <c r="K514" s="312"/>
      <c r="L514" s="347"/>
      <c r="M514" s="312"/>
      <c r="N514" s="347"/>
      <c r="O514" s="312"/>
      <c r="P514" s="347"/>
      <c r="Q514" s="312"/>
      <c r="R514" s="347"/>
      <c r="S514" s="312"/>
      <c r="T514" s="347"/>
    </row>
    <row r="515" spans="1:20" ht="12" customHeight="1" x14ac:dyDescent="0.3">
      <c r="A515" s="340" t="s">
        <v>286</v>
      </c>
      <c r="B515" s="341">
        <v>30</v>
      </c>
      <c r="C515" s="309">
        <v>46081</v>
      </c>
      <c r="D515" s="309" t="s">
        <v>209</v>
      </c>
      <c r="E515" s="342">
        <v>400</v>
      </c>
      <c r="F515" s="342"/>
      <c r="G515" s="344">
        <f t="shared" si="4"/>
        <v>7471.7299999999886</v>
      </c>
      <c r="H515" s="345"/>
      <c r="I515" s="346"/>
      <c r="J515" s="347"/>
      <c r="K515" s="312"/>
      <c r="L515" s="347"/>
      <c r="M515" s="312"/>
      <c r="N515" s="347"/>
      <c r="O515" s="312"/>
      <c r="P515" s="347"/>
      <c r="Q515" s="312"/>
      <c r="R515" s="347"/>
      <c r="S515" s="312"/>
      <c r="T515" s="347"/>
    </row>
    <row r="516" spans="1:20" ht="12" customHeight="1" x14ac:dyDescent="0.3">
      <c r="A516" s="340" t="s">
        <v>286</v>
      </c>
      <c r="B516" s="341">
        <v>31</v>
      </c>
      <c r="C516" s="309">
        <v>46081</v>
      </c>
      <c r="D516" s="309" t="s">
        <v>210</v>
      </c>
      <c r="E516" s="342">
        <v>375</v>
      </c>
      <c r="F516" s="342"/>
      <c r="G516" s="344">
        <f t="shared" si="4"/>
        <v>7871.7299999999886</v>
      </c>
      <c r="H516" s="345"/>
      <c r="I516" s="346"/>
      <c r="J516" s="347"/>
      <c r="K516" s="312"/>
      <c r="L516" s="347"/>
      <c r="M516" s="312"/>
      <c r="N516" s="347"/>
      <c r="O516" s="312"/>
      <c r="P516" s="347"/>
      <c r="Q516" s="312"/>
      <c r="R516" s="347"/>
      <c r="S516" s="312"/>
      <c r="T516" s="347"/>
    </row>
    <row r="517" spans="1:20" ht="12" customHeight="1" x14ac:dyDescent="0.3">
      <c r="A517" s="340" t="s">
        <v>286</v>
      </c>
      <c r="B517" s="341">
        <v>32</v>
      </c>
      <c r="C517" s="309">
        <v>46081</v>
      </c>
      <c r="D517" s="309" t="s">
        <v>211</v>
      </c>
      <c r="E517" s="342">
        <v>100</v>
      </c>
      <c r="F517" s="342"/>
      <c r="G517" s="344">
        <f t="shared" si="4"/>
        <v>8246.7299999999886</v>
      </c>
      <c r="H517" s="345"/>
      <c r="I517" s="346"/>
      <c r="J517" s="347"/>
      <c r="K517" s="312"/>
      <c r="L517" s="347"/>
      <c r="M517" s="312"/>
      <c r="N517" s="347"/>
      <c r="O517" s="312"/>
      <c r="P517" s="347"/>
      <c r="Q517" s="312"/>
      <c r="R517" s="347"/>
      <c r="S517" s="312"/>
      <c r="T517" s="347"/>
    </row>
    <row r="518" spans="1:20" ht="12" customHeight="1" x14ac:dyDescent="0.3">
      <c r="A518" s="340" t="s">
        <v>286</v>
      </c>
      <c r="B518" s="341">
        <v>33</v>
      </c>
      <c r="C518" s="309">
        <v>46081</v>
      </c>
      <c r="D518" s="309" t="s">
        <v>212</v>
      </c>
      <c r="E518" s="342">
        <v>85</v>
      </c>
      <c r="F518" s="342"/>
      <c r="G518" s="344">
        <f t="shared" si="4"/>
        <v>8346.7299999999886</v>
      </c>
      <c r="H518" s="345"/>
      <c r="I518" s="346"/>
      <c r="J518" s="347"/>
      <c r="K518" s="312"/>
      <c r="L518" s="347"/>
      <c r="M518" s="312"/>
      <c r="N518" s="347"/>
      <c r="O518" s="312"/>
      <c r="P518" s="347"/>
      <c r="Q518" s="312"/>
      <c r="R518" s="347"/>
      <c r="S518" s="312"/>
      <c r="T518" s="347"/>
    </row>
    <row r="519" spans="1:20" ht="12" customHeight="1" x14ac:dyDescent="0.3">
      <c r="A519" s="340" t="s">
        <v>286</v>
      </c>
      <c r="B519" s="341">
        <v>34</v>
      </c>
      <c r="C519" s="309">
        <v>46081</v>
      </c>
      <c r="D519" s="309" t="s">
        <v>213</v>
      </c>
      <c r="E519" s="342">
        <v>230</v>
      </c>
      <c r="F519" s="342"/>
      <c r="G519" s="344">
        <f t="shared" si="4"/>
        <v>8431.7299999999886</v>
      </c>
      <c r="H519" s="345"/>
      <c r="I519" s="346"/>
      <c r="J519" s="347"/>
      <c r="K519" s="312"/>
      <c r="L519" s="347"/>
      <c r="M519" s="312"/>
      <c r="N519" s="347"/>
      <c r="O519" s="312"/>
      <c r="P519" s="347"/>
      <c r="Q519" s="312"/>
      <c r="R519" s="347"/>
      <c r="S519" s="312"/>
      <c r="T519" s="347"/>
    </row>
    <row r="520" spans="1:20" ht="12" customHeight="1" x14ac:dyDescent="0.3">
      <c r="A520" s="340" t="s">
        <v>286</v>
      </c>
      <c r="B520" s="341">
        <v>35</v>
      </c>
      <c r="C520" s="309">
        <v>46081</v>
      </c>
      <c r="D520" s="309" t="s">
        <v>214</v>
      </c>
      <c r="E520" s="342">
        <v>45</v>
      </c>
      <c r="F520" s="342"/>
      <c r="G520" s="344">
        <f t="shared" si="4"/>
        <v>8661.7299999999886</v>
      </c>
      <c r="H520" s="345"/>
      <c r="I520" s="346"/>
      <c r="J520" s="347"/>
      <c r="K520" s="312"/>
      <c r="L520" s="347"/>
      <c r="M520" s="312"/>
      <c r="N520" s="347"/>
      <c r="O520" s="312"/>
      <c r="P520" s="347"/>
      <c r="Q520" s="312"/>
      <c r="R520" s="347"/>
      <c r="S520" s="312"/>
      <c r="T520" s="347"/>
    </row>
    <row r="521" spans="1:20" ht="12" customHeight="1" x14ac:dyDescent="0.3">
      <c r="A521" s="340" t="s">
        <v>294</v>
      </c>
      <c r="B521" s="341">
        <v>42</v>
      </c>
      <c r="C521" s="309">
        <v>46081</v>
      </c>
      <c r="D521" s="309" t="s">
        <v>200</v>
      </c>
      <c r="E521" s="342">
        <v>51.19</v>
      </c>
      <c r="F521" s="342"/>
      <c r="G521" s="344">
        <f t="shared" si="4"/>
        <v>8706.7299999999886</v>
      </c>
      <c r="H521" s="345"/>
      <c r="I521" s="346"/>
      <c r="J521" s="347"/>
      <c r="K521" s="312"/>
      <c r="L521" s="347"/>
      <c r="M521" s="312"/>
      <c r="N521" s="347"/>
      <c r="O521" s="312"/>
      <c r="P521" s="347"/>
      <c r="Q521" s="312"/>
      <c r="R521" s="347"/>
      <c r="S521" s="312"/>
      <c r="T521" s="347"/>
    </row>
    <row r="522" spans="1:20" ht="12" customHeight="1" x14ac:dyDescent="0.3">
      <c r="A522" s="340" t="s">
        <v>294</v>
      </c>
      <c r="B522" s="341">
        <v>43</v>
      </c>
      <c r="C522" s="309">
        <v>46081</v>
      </c>
      <c r="D522" s="309" t="s">
        <v>201</v>
      </c>
      <c r="E522" s="342">
        <v>37.17</v>
      </c>
      <c r="F522" s="342"/>
      <c r="G522" s="344">
        <f t="shared" si="4"/>
        <v>8757.9199999999892</v>
      </c>
      <c r="H522" s="345"/>
      <c r="I522" s="346"/>
      <c r="J522" s="347"/>
      <c r="K522" s="312"/>
      <c r="L522" s="347"/>
      <c r="M522" s="312"/>
      <c r="N522" s="347"/>
      <c r="O522" s="312"/>
      <c r="P522" s="347"/>
      <c r="Q522" s="312"/>
      <c r="R522" s="347"/>
      <c r="S522" s="312"/>
      <c r="T522" s="347"/>
    </row>
    <row r="523" spans="1:20" ht="12" customHeight="1" x14ac:dyDescent="0.3">
      <c r="A523" s="340" t="s">
        <v>294</v>
      </c>
      <c r="B523" s="341">
        <v>10</v>
      </c>
      <c r="C523" s="309">
        <v>46081</v>
      </c>
      <c r="D523" s="309" t="s">
        <v>176</v>
      </c>
      <c r="E523" s="342">
        <v>17.899999999999999</v>
      </c>
      <c r="F523" s="342"/>
      <c r="G523" s="344">
        <f t="shared" si="4"/>
        <v>8795.0899999999892</v>
      </c>
      <c r="H523" s="345"/>
      <c r="I523" s="346"/>
      <c r="J523" s="347"/>
      <c r="K523" s="312"/>
      <c r="L523" s="347"/>
      <c r="M523" s="312"/>
      <c r="N523" s="347"/>
      <c r="O523" s="312"/>
      <c r="P523" s="347"/>
      <c r="Q523" s="312"/>
      <c r="R523" s="347"/>
      <c r="S523" s="312"/>
      <c r="T523" s="347"/>
    </row>
    <row r="524" spans="1:20" ht="12" customHeight="1" x14ac:dyDescent="0.3">
      <c r="A524" s="340" t="s">
        <v>289</v>
      </c>
      <c r="B524" s="341">
        <v>2</v>
      </c>
      <c r="C524" s="309">
        <v>46080</v>
      </c>
      <c r="D524" s="309" t="s">
        <v>358</v>
      </c>
      <c r="E524" s="342">
        <v>11.17</v>
      </c>
      <c r="F524" s="342"/>
      <c r="G524" s="344">
        <f t="shared" si="4"/>
        <v>8812.9899999999889</v>
      </c>
      <c r="H524" s="345"/>
      <c r="I524" s="346"/>
      <c r="J524" s="347"/>
      <c r="K524" s="312"/>
      <c r="L524" s="347"/>
      <c r="M524" s="312"/>
      <c r="N524" s="347"/>
      <c r="O524" s="312"/>
      <c r="P524" s="347"/>
      <c r="Q524" s="312"/>
      <c r="R524" s="347"/>
      <c r="S524" s="312"/>
      <c r="T524" s="347"/>
    </row>
    <row r="525" spans="1:20" ht="12" customHeight="1" x14ac:dyDescent="0.3">
      <c r="A525" s="340" t="s">
        <v>289</v>
      </c>
      <c r="B525" s="341">
        <v>2</v>
      </c>
      <c r="C525" s="309">
        <v>46080</v>
      </c>
      <c r="D525" s="310" t="s">
        <v>426</v>
      </c>
      <c r="E525" s="342">
        <v>25</v>
      </c>
      <c r="F525" s="342"/>
      <c r="G525" s="344">
        <f t="shared" si="4"/>
        <v>8824.1599999999889</v>
      </c>
      <c r="H525" s="345"/>
      <c r="I525" s="346"/>
      <c r="J525" s="347"/>
      <c r="K525" s="312"/>
      <c r="L525" s="347"/>
      <c r="M525" s="312"/>
      <c r="N525" s="347"/>
      <c r="O525" s="312"/>
      <c r="P525" s="347"/>
      <c r="Q525" s="312"/>
      <c r="R525" s="347"/>
      <c r="S525" s="312"/>
      <c r="T525" s="347"/>
    </row>
    <row r="526" spans="1:20" ht="12" customHeight="1" x14ac:dyDescent="0.3">
      <c r="A526" s="340" t="s">
        <v>289</v>
      </c>
      <c r="B526" s="341">
        <v>2</v>
      </c>
      <c r="C526" s="309">
        <v>46080</v>
      </c>
      <c r="D526" s="310" t="s">
        <v>358</v>
      </c>
      <c r="E526" s="342">
        <v>22.84</v>
      </c>
      <c r="F526" s="342"/>
      <c r="G526" s="344">
        <f t="shared" si="4"/>
        <v>8849.1599999999889</v>
      </c>
      <c r="H526" s="345"/>
      <c r="I526" s="346"/>
      <c r="J526" s="347"/>
      <c r="K526" s="312"/>
      <c r="L526" s="347"/>
      <c r="M526" s="312"/>
      <c r="N526" s="347"/>
      <c r="O526" s="312"/>
      <c r="P526" s="347"/>
      <c r="Q526" s="312"/>
      <c r="R526" s="347"/>
      <c r="S526" s="312"/>
      <c r="T526" s="347"/>
    </row>
    <row r="527" spans="1:20" ht="12" customHeight="1" x14ac:dyDescent="0.3">
      <c r="A527" s="340" t="s">
        <v>289</v>
      </c>
      <c r="B527" s="341">
        <v>6</v>
      </c>
      <c r="C527" s="309">
        <v>46080</v>
      </c>
      <c r="D527" s="310" t="s">
        <v>427</v>
      </c>
      <c r="E527" s="342">
        <v>-88</v>
      </c>
      <c r="F527" s="342"/>
      <c r="G527" s="344">
        <f t="shared" si="4"/>
        <v>8871.9999999999891</v>
      </c>
      <c r="H527" s="345"/>
      <c r="I527" s="346"/>
      <c r="J527" s="347"/>
      <c r="K527" s="312"/>
      <c r="L527" s="347"/>
      <c r="M527" s="312"/>
      <c r="N527" s="347"/>
      <c r="O527" s="312"/>
      <c r="P527" s="347"/>
      <c r="Q527" s="312"/>
      <c r="R527" s="347"/>
      <c r="S527" s="312"/>
      <c r="T527" s="347"/>
    </row>
    <row r="528" spans="1:20" ht="12" customHeight="1" x14ac:dyDescent="0.3">
      <c r="A528" s="340" t="s">
        <v>291</v>
      </c>
      <c r="B528" s="341">
        <v>38</v>
      </c>
      <c r="C528" s="309">
        <v>46080</v>
      </c>
      <c r="D528" s="310" t="s">
        <v>293</v>
      </c>
      <c r="E528" s="342"/>
      <c r="F528" s="342">
        <v>4278.1499999999996</v>
      </c>
      <c r="G528" s="344">
        <f t="shared" si="4"/>
        <v>8783.9999999999891</v>
      </c>
      <c r="H528" s="345"/>
      <c r="I528" s="346"/>
      <c r="J528" s="347"/>
      <c r="K528" s="312"/>
      <c r="L528" s="347"/>
      <c r="M528" s="312"/>
      <c r="N528" s="347"/>
      <c r="O528" s="312"/>
      <c r="P528" s="347"/>
      <c r="Q528" s="312"/>
      <c r="R528" s="347"/>
      <c r="S528" s="312"/>
      <c r="T528" s="347"/>
    </row>
    <row r="529" spans="1:20" ht="12" customHeight="1" x14ac:dyDescent="0.3">
      <c r="A529" s="340" t="s">
        <v>289</v>
      </c>
      <c r="B529" s="341">
        <v>6</v>
      </c>
      <c r="C529" s="309">
        <v>46080</v>
      </c>
      <c r="D529" s="310" t="s">
        <v>428</v>
      </c>
      <c r="E529" s="342">
        <v>25.93</v>
      </c>
      <c r="F529" s="342"/>
      <c r="G529" s="344">
        <f t="shared" si="4"/>
        <v>4505.8499999999904</v>
      </c>
      <c r="H529" s="345"/>
      <c r="I529" s="346"/>
      <c r="J529" s="347"/>
      <c r="K529" s="312"/>
      <c r="L529" s="347"/>
      <c r="M529" s="312"/>
      <c r="N529" s="347"/>
      <c r="O529" s="312"/>
      <c r="P529" s="347"/>
      <c r="Q529" s="312"/>
      <c r="R529" s="347"/>
      <c r="S529" s="312"/>
      <c r="T529" s="347"/>
    </row>
    <row r="530" spans="1:20" ht="12" customHeight="1" x14ac:dyDescent="0.3">
      <c r="A530" s="340" t="s">
        <v>289</v>
      </c>
      <c r="B530" s="341">
        <v>4</v>
      </c>
      <c r="C530" s="309">
        <v>46079</v>
      </c>
      <c r="D530" s="310" t="s">
        <v>310</v>
      </c>
      <c r="E530" s="342">
        <v>29.84</v>
      </c>
      <c r="F530" s="342"/>
      <c r="G530" s="344">
        <f t="shared" si="4"/>
        <v>4531.7799999999907</v>
      </c>
      <c r="H530" s="345"/>
      <c r="I530" s="346"/>
      <c r="J530" s="347"/>
      <c r="K530" s="312"/>
      <c r="L530" s="347"/>
      <c r="M530" s="312"/>
      <c r="N530" s="347"/>
      <c r="O530" s="312"/>
      <c r="P530" s="347"/>
      <c r="Q530" s="312"/>
      <c r="R530" s="347"/>
      <c r="S530" s="312"/>
      <c r="T530" s="347"/>
    </row>
    <row r="531" spans="1:20" ht="12" customHeight="1" x14ac:dyDescent="0.3">
      <c r="A531" s="340" t="s">
        <v>289</v>
      </c>
      <c r="B531" s="341">
        <v>5</v>
      </c>
      <c r="C531" s="309">
        <v>46079</v>
      </c>
      <c r="D531" s="310" t="s">
        <v>429</v>
      </c>
      <c r="E531" s="342">
        <v>103.25</v>
      </c>
      <c r="F531" s="342"/>
      <c r="G531" s="344">
        <f t="shared" si="4"/>
        <v>4561.6199999999908</v>
      </c>
      <c r="H531" s="345"/>
      <c r="I531" s="346"/>
      <c r="J531" s="347"/>
      <c r="K531" s="312"/>
      <c r="L531" s="347"/>
      <c r="M531" s="312"/>
      <c r="N531" s="347"/>
      <c r="O531" s="312"/>
      <c r="P531" s="347"/>
      <c r="Q531" s="312"/>
      <c r="R531" s="347"/>
      <c r="S531" s="312"/>
      <c r="T531" s="347"/>
    </row>
    <row r="532" spans="1:20" ht="12" customHeight="1" x14ac:dyDescent="0.3">
      <c r="A532" s="340" t="s">
        <v>289</v>
      </c>
      <c r="B532" s="341">
        <v>8</v>
      </c>
      <c r="C532" s="309">
        <v>46079</v>
      </c>
      <c r="D532" s="310" t="s">
        <v>357</v>
      </c>
      <c r="E532" s="342">
        <v>26.02</v>
      </c>
      <c r="F532" s="342"/>
      <c r="G532" s="344">
        <f t="shared" si="4"/>
        <v>4664.8699999999908</v>
      </c>
      <c r="H532" s="345"/>
      <c r="I532" s="346"/>
      <c r="J532" s="347"/>
      <c r="K532" s="312"/>
      <c r="L532" s="347"/>
      <c r="M532" s="312"/>
      <c r="N532" s="347"/>
      <c r="O532" s="312"/>
      <c r="P532" s="347"/>
      <c r="Q532" s="312"/>
      <c r="R532" s="347"/>
      <c r="S532" s="312"/>
      <c r="T532" s="347"/>
    </row>
    <row r="533" spans="1:20" ht="12" customHeight="1" x14ac:dyDescent="0.3">
      <c r="A533" s="340" t="s">
        <v>294</v>
      </c>
      <c r="B533" s="341">
        <v>24</v>
      </c>
      <c r="C533" s="309">
        <v>46079</v>
      </c>
      <c r="D533" s="310" t="s">
        <v>861</v>
      </c>
      <c r="E533" s="342">
        <v>84.83</v>
      </c>
      <c r="F533" s="342"/>
      <c r="G533" s="344">
        <f t="shared" si="4"/>
        <v>4690.8899999999912</v>
      </c>
      <c r="H533" s="345"/>
      <c r="I533" s="346"/>
      <c r="J533" s="347"/>
      <c r="K533" s="312"/>
      <c r="L533" s="347"/>
      <c r="M533" s="312"/>
      <c r="N533" s="347"/>
      <c r="O533" s="312"/>
      <c r="P533" s="347"/>
      <c r="Q533" s="312"/>
      <c r="R533" s="347"/>
      <c r="S533" s="312"/>
      <c r="T533" s="347"/>
    </row>
    <row r="534" spans="1:20" ht="12" customHeight="1" x14ac:dyDescent="0.3">
      <c r="A534" s="340" t="s">
        <v>289</v>
      </c>
      <c r="B534" s="341">
        <v>2</v>
      </c>
      <c r="C534" s="309">
        <v>46079</v>
      </c>
      <c r="D534" s="310" t="s">
        <v>296</v>
      </c>
      <c r="E534" s="342">
        <v>17.87</v>
      </c>
      <c r="F534" s="342"/>
      <c r="G534" s="344">
        <f t="shared" si="4"/>
        <v>4775.7199999999912</v>
      </c>
      <c r="H534" s="345"/>
      <c r="I534" s="346"/>
      <c r="J534" s="347"/>
      <c r="K534" s="312"/>
      <c r="L534" s="347"/>
      <c r="M534" s="312"/>
      <c r="N534" s="347"/>
      <c r="O534" s="312"/>
      <c r="P534" s="347"/>
      <c r="Q534" s="312"/>
      <c r="R534" s="347"/>
      <c r="S534" s="312"/>
      <c r="T534" s="347"/>
    </row>
    <row r="535" spans="1:20" ht="12" customHeight="1" x14ac:dyDescent="0.3">
      <c r="A535" s="340" t="s">
        <v>289</v>
      </c>
      <c r="B535" s="341">
        <v>5</v>
      </c>
      <c r="C535" s="309">
        <v>46079</v>
      </c>
      <c r="D535" s="310" t="s">
        <v>430</v>
      </c>
      <c r="E535" s="342">
        <v>123.64</v>
      </c>
      <c r="F535" s="342"/>
      <c r="G535" s="344">
        <f t="shared" si="4"/>
        <v>4793.5899999999911</v>
      </c>
      <c r="H535" s="345"/>
      <c r="I535" s="346"/>
      <c r="J535" s="347"/>
      <c r="K535" s="312"/>
      <c r="L535" s="347"/>
      <c r="M535" s="312"/>
      <c r="N535" s="347"/>
      <c r="O535" s="312"/>
      <c r="P535" s="347"/>
      <c r="Q535" s="312"/>
      <c r="R535" s="347"/>
      <c r="S535" s="312"/>
      <c r="T535" s="347"/>
    </row>
    <row r="536" spans="1:20" ht="12" customHeight="1" x14ac:dyDescent="0.3">
      <c r="A536" s="340" t="s">
        <v>289</v>
      </c>
      <c r="B536" s="341">
        <v>8</v>
      </c>
      <c r="C536" s="309">
        <v>46078</v>
      </c>
      <c r="D536" s="310" t="s">
        <v>319</v>
      </c>
      <c r="E536" s="342">
        <v>18.5</v>
      </c>
      <c r="F536" s="342"/>
      <c r="G536" s="344">
        <f t="shared" si="4"/>
        <v>4917.2299999999914</v>
      </c>
      <c r="H536" s="345"/>
      <c r="I536" s="346"/>
      <c r="J536" s="347"/>
      <c r="K536" s="312"/>
      <c r="L536" s="347"/>
      <c r="M536" s="312"/>
      <c r="N536" s="347"/>
      <c r="O536" s="312"/>
      <c r="P536" s="347"/>
      <c r="Q536" s="312"/>
      <c r="R536" s="347"/>
      <c r="S536" s="312"/>
      <c r="T536" s="347"/>
    </row>
    <row r="537" spans="1:20" ht="12" customHeight="1" x14ac:dyDescent="0.3">
      <c r="A537" s="340" t="s">
        <v>289</v>
      </c>
      <c r="B537" s="341">
        <v>4</v>
      </c>
      <c r="C537" s="309">
        <v>46078</v>
      </c>
      <c r="D537" s="310" t="s">
        <v>296</v>
      </c>
      <c r="E537" s="342">
        <v>50.96</v>
      </c>
      <c r="F537" s="342"/>
      <c r="G537" s="344">
        <f t="shared" si="4"/>
        <v>4935.7299999999914</v>
      </c>
      <c r="H537" s="345"/>
      <c r="I537" s="346"/>
      <c r="J537" s="347"/>
      <c r="K537" s="312"/>
      <c r="L537" s="347"/>
      <c r="M537" s="312"/>
      <c r="N537" s="347"/>
      <c r="O537" s="312"/>
      <c r="P537" s="347"/>
      <c r="Q537" s="312"/>
      <c r="R537" s="347"/>
      <c r="S537" s="312"/>
      <c r="T537" s="347"/>
    </row>
    <row r="538" spans="1:20" ht="12" customHeight="1" x14ac:dyDescent="0.3">
      <c r="A538" s="340" t="s">
        <v>289</v>
      </c>
      <c r="B538" s="341">
        <v>8</v>
      </c>
      <c r="C538" s="309">
        <v>46078</v>
      </c>
      <c r="D538" s="310" t="s">
        <v>296</v>
      </c>
      <c r="E538" s="342">
        <v>11.28</v>
      </c>
      <c r="F538" s="342"/>
      <c r="G538" s="344">
        <f t="shared" si="4"/>
        <v>4986.6899999999914</v>
      </c>
      <c r="H538" s="345"/>
      <c r="I538" s="346"/>
      <c r="J538" s="347"/>
      <c r="K538" s="312"/>
      <c r="L538" s="347"/>
      <c r="M538" s="312"/>
      <c r="N538" s="347"/>
      <c r="O538" s="312"/>
      <c r="P538" s="347"/>
      <c r="Q538" s="312"/>
      <c r="R538" s="347"/>
      <c r="S538" s="312"/>
      <c r="T538" s="347"/>
    </row>
    <row r="539" spans="1:20" ht="12" customHeight="1" x14ac:dyDescent="0.3">
      <c r="A539" s="340" t="s">
        <v>294</v>
      </c>
      <c r="B539" s="341">
        <v>12</v>
      </c>
      <c r="C539" s="309">
        <v>46078</v>
      </c>
      <c r="D539" s="310" t="s">
        <v>314</v>
      </c>
      <c r="E539" s="342">
        <v>204.47</v>
      </c>
      <c r="F539" s="342"/>
      <c r="G539" s="344">
        <f t="shared" si="4"/>
        <v>4997.9699999999912</v>
      </c>
      <c r="H539" s="345"/>
      <c r="I539" s="346"/>
      <c r="J539" s="347"/>
      <c r="K539" s="312"/>
      <c r="L539" s="347"/>
      <c r="M539" s="312"/>
      <c r="N539" s="347"/>
      <c r="O539" s="312"/>
      <c r="P539" s="347"/>
      <c r="Q539" s="312"/>
      <c r="R539" s="347"/>
      <c r="S539" s="312"/>
      <c r="T539" s="347"/>
    </row>
    <row r="540" spans="1:20" ht="12" customHeight="1" x14ac:dyDescent="0.3">
      <c r="A540" s="340" t="s">
        <v>289</v>
      </c>
      <c r="B540" s="341">
        <v>8</v>
      </c>
      <c r="C540" s="309">
        <v>46078</v>
      </c>
      <c r="D540" s="310" t="s">
        <v>308</v>
      </c>
      <c r="E540" s="342">
        <v>47.99</v>
      </c>
      <c r="F540" s="342"/>
      <c r="G540" s="344">
        <f t="shared" si="4"/>
        <v>5202.4399999999914</v>
      </c>
      <c r="H540" s="345"/>
      <c r="I540" s="346"/>
      <c r="J540" s="347"/>
      <c r="K540" s="312"/>
      <c r="L540" s="347"/>
      <c r="M540" s="312"/>
      <c r="N540" s="347"/>
      <c r="O540" s="312"/>
      <c r="P540" s="347"/>
      <c r="Q540" s="312"/>
      <c r="R540" s="347"/>
      <c r="S540" s="312"/>
      <c r="T540" s="347"/>
    </row>
    <row r="541" spans="1:20" ht="12" customHeight="1" x14ac:dyDescent="0.3">
      <c r="A541" s="340" t="s">
        <v>289</v>
      </c>
      <c r="B541" s="341">
        <v>1</v>
      </c>
      <c r="C541" s="309">
        <v>46078</v>
      </c>
      <c r="D541" s="310" t="s">
        <v>304</v>
      </c>
      <c r="E541" s="342">
        <v>19.09</v>
      </c>
      <c r="F541" s="342"/>
      <c r="G541" s="344">
        <f t="shared" si="4"/>
        <v>5250.4299999999912</v>
      </c>
      <c r="H541" s="345"/>
      <c r="I541" s="346"/>
      <c r="J541" s="347"/>
      <c r="K541" s="312"/>
      <c r="L541" s="347"/>
      <c r="M541" s="312"/>
      <c r="N541" s="347"/>
      <c r="O541" s="312"/>
      <c r="P541" s="347"/>
      <c r="Q541" s="312"/>
      <c r="R541" s="347"/>
      <c r="S541" s="312"/>
      <c r="T541" s="347"/>
    </row>
    <row r="542" spans="1:20" ht="12" customHeight="1" x14ac:dyDescent="0.3">
      <c r="A542" s="340" t="s">
        <v>294</v>
      </c>
      <c r="B542" s="341">
        <v>23</v>
      </c>
      <c r="C542" s="309">
        <v>46076</v>
      </c>
      <c r="D542" s="310" t="s">
        <v>67</v>
      </c>
      <c r="E542" s="342">
        <v>650.88</v>
      </c>
      <c r="F542" s="342"/>
      <c r="G542" s="344">
        <f t="shared" si="4"/>
        <v>5269.5199999999913</v>
      </c>
      <c r="H542" s="345"/>
      <c r="I542" s="346"/>
      <c r="J542" s="347"/>
      <c r="K542" s="312"/>
      <c r="L542" s="347"/>
      <c r="M542" s="312"/>
      <c r="N542" s="347"/>
      <c r="O542" s="312"/>
      <c r="P542" s="347"/>
      <c r="Q542" s="312"/>
      <c r="R542" s="347"/>
      <c r="S542" s="312"/>
      <c r="T542" s="347"/>
    </row>
    <row r="543" spans="1:20" ht="12" customHeight="1" x14ac:dyDescent="0.3">
      <c r="A543" s="340" t="s">
        <v>289</v>
      </c>
      <c r="B543" s="341">
        <v>6</v>
      </c>
      <c r="C543" s="309">
        <v>46076</v>
      </c>
      <c r="D543" s="310" t="s">
        <v>351</v>
      </c>
      <c r="E543" s="342">
        <v>35</v>
      </c>
      <c r="F543" s="342"/>
      <c r="G543" s="344">
        <f t="shared" si="4"/>
        <v>5920.3999999999915</v>
      </c>
      <c r="H543" s="345"/>
      <c r="I543" s="346"/>
      <c r="J543" s="347"/>
      <c r="K543" s="312"/>
      <c r="L543" s="347"/>
      <c r="M543" s="312"/>
      <c r="N543" s="347"/>
      <c r="O543" s="312"/>
      <c r="P543" s="347"/>
      <c r="Q543" s="312"/>
      <c r="R543" s="347"/>
      <c r="S543" s="312"/>
      <c r="T543" s="347"/>
    </row>
    <row r="544" spans="1:20" ht="12" customHeight="1" x14ac:dyDescent="0.3">
      <c r="A544" s="340" t="s">
        <v>289</v>
      </c>
      <c r="B544" s="341">
        <v>1</v>
      </c>
      <c r="C544" s="309">
        <v>46076</v>
      </c>
      <c r="D544" s="310" t="s">
        <v>306</v>
      </c>
      <c r="E544" s="342">
        <v>128.97999999999999</v>
      </c>
      <c r="F544" s="342"/>
      <c r="G544" s="344">
        <f t="shared" si="4"/>
        <v>5955.3999999999915</v>
      </c>
      <c r="H544" s="345"/>
      <c r="I544" s="346"/>
      <c r="J544" s="347"/>
      <c r="K544" s="312"/>
      <c r="L544" s="347"/>
      <c r="M544" s="312"/>
      <c r="N544" s="347"/>
      <c r="O544" s="312"/>
      <c r="P544" s="347"/>
      <c r="Q544" s="312"/>
      <c r="R544" s="347"/>
      <c r="S544" s="312"/>
      <c r="T544" s="347"/>
    </row>
    <row r="545" spans="1:20" ht="12" customHeight="1" x14ac:dyDescent="0.3">
      <c r="A545" s="340" t="s">
        <v>289</v>
      </c>
      <c r="B545" s="341">
        <v>1</v>
      </c>
      <c r="C545" s="309">
        <v>46076</v>
      </c>
      <c r="D545" s="310" t="s">
        <v>320</v>
      </c>
      <c r="E545" s="342">
        <v>52.55</v>
      </c>
      <c r="F545" s="342"/>
      <c r="G545" s="344">
        <f t="shared" si="4"/>
        <v>6084.379999999991</v>
      </c>
      <c r="H545" s="345"/>
      <c r="I545" s="346"/>
      <c r="J545" s="347"/>
      <c r="K545" s="312"/>
      <c r="L545" s="347"/>
      <c r="M545" s="312"/>
      <c r="N545" s="347"/>
      <c r="O545" s="312"/>
      <c r="P545" s="347"/>
      <c r="Q545" s="312"/>
      <c r="R545" s="347"/>
      <c r="S545" s="312"/>
      <c r="T545" s="347"/>
    </row>
    <row r="546" spans="1:20" ht="12" customHeight="1" x14ac:dyDescent="0.3">
      <c r="A546" s="340" t="s">
        <v>289</v>
      </c>
      <c r="B546" s="341">
        <v>3</v>
      </c>
      <c r="C546" s="309">
        <v>46075</v>
      </c>
      <c r="D546" s="310" t="s">
        <v>348</v>
      </c>
      <c r="E546" s="342">
        <v>13.76</v>
      </c>
      <c r="F546" s="342"/>
      <c r="G546" s="344">
        <f t="shared" si="4"/>
        <v>6136.9299999999912</v>
      </c>
      <c r="H546" s="345"/>
      <c r="I546" s="346"/>
      <c r="J546" s="347"/>
      <c r="K546" s="312"/>
      <c r="L546" s="347"/>
      <c r="M546" s="312"/>
      <c r="N546" s="347"/>
      <c r="O546" s="312"/>
      <c r="P546" s="347"/>
      <c r="Q546" s="312"/>
      <c r="R546" s="347"/>
      <c r="S546" s="312"/>
      <c r="T546" s="347"/>
    </row>
    <row r="547" spans="1:20" ht="12" customHeight="1" x14ac:dyDescent="0.3">
      <c r="A547" s="340" t="s">
        <v>289</v>
      </c>
      <c r="B547" s="341">
        <v>1</v>
      </c>
      <c r="C547" s="309">
        <v>46075</v>
      </c>
      <c r="D547" s="310" t="s">
        <v>311</v>
      </c>
      <c r="E547" s="342">
        <v>187.64</v>
      </c>
      <c r="F547" s="342"/>
      <c r="G547" s="344">
        <f t="shared" si="4"/>
        <v>6150.6899999999914</v>
      </c>
      <c r="H547" s="345"/>
      <c r="I547" s="346"/>
      <c r="J547" s="347"/>
      <c r="K547" s="312"/>
      <c r="L547" s="347"/>
      <c r="M547" s="312"/>
      <c r="N547" s="347"/>
      <c r="O547" s="312"/>
      <c r="P547" s="347"/>
      <c r="Q547" s="312"/>
      <c r="R547" s="347"/>
      <c r="S547" s="312"/>
      <c r="T547" s="347"/>
    </row>
    <row r="548" spans="1:20" ht="12" customHeight="1" x14ac:dyDescent="0.3">
      <c r="A548" s="340" t="s">
        <v>289</v>
      </c>
      <c r="B548" s="341">
        <v>1</v>
      </c>
      <c r="C548" s="309">
        <v>46074</v>
      </c>
      <c r="D548" s="310" t="s">
        <v>393</v>
      </c>
      <c r="E548" s="342">
        <v>75.78</v>
      </c>
      <c r="F548" s="342"/>
      <c r="G548" s="344">
        <f t="shared" si="4"/>
        <v>6338.3299999999917</v>
      </c>
      <c r="H548" s="345"/>
      <c r="I548" s="346"/>
      <c r="J548" s="347"/>
      <c r="K548" s="312"/>
      <c r="L548" s="347"/>
      <c r="M548" s="312"/>
      <c r="N548" s="347"/>
      <c r="O548" s="312"/>
      <c r="P548" s="347"/>
      <c r="Q548" s="312"/>
      <c r="R548" s="347"/>
      <c r="S548" s="312"/>
      <c r="T548" s="347"/>
    </row>
    <row r="549" spans="1:20" ht="12" customHeight="1" x14ac:dyDescent="0.3">
      <c r="A549" s="340" t="s">
        <v>289</v>
      </c>
      <c r="B549" s="341">
        <v>2</v>
      </c>
      <c r="C549" s="309">
        <v>46074</v>
      </c>
      <c r="D549" s="310" t="s">
        <v>392</v>
      </c>
      <c r="E549" s="342">
        <v>27.41</v>
      </c>
      <c r="F549" s="342"/>
      <c r="G549" s="344">
        <f t="shared" si="4"/>
        <v>6414.1099999999915</v>
      </c>
      <c r="H549" s="345"/>
      <c r="I549" s="346"/>
      <c r="J549" s="347"/>
      <c r="K549" s="312"/>
      <c r="L549" s="347"/>
      <c r="M549" s="312"/>
      <c r="N549" s="347"/>
      <c r="O549" s="312"/>
      <c r="P549" s="347"/>
      <c r="Q549" s="312"/>
      <c r="R549" s="347"/>
      <c r="S549" s="312"/>
      <c r="T549" s="347"/>
    </row>
    <row r="550" spans="1:20" ht="12" customHeight="1" x14ac:dyDescent="0.3">
      <c r="A550" s="340" t="s">
        <v>289</v>
      </c>
      <c r="B550" s="341">
        <v>4</v>
      </c>
      <c r="C550" s="309">
        <v>46074</v>
      </c>
      <c r="D550" s="310" t="s">
        <v>431</v>
      </c>
      <c r="E550" s="342">
        <v>32.049999999999997</v>
      </c>
      <c r="F550" s="342"/>
      <c r="G550" s="344">
        <f t="shared" si="4"/>
        <v>6441.5199999999913</v>
      </c>
      <c r="H550" s="345"/>
      <c r="I550" s="346"/>
      <c r="J550" s="347"/>
      <c r="K550" s="312"/>
      <c r="L550" s="347"/>
      <c r="M550" s="312"/>
      <c r="N550" s="347"/>
      <c r="O550" s="312"/>
      <c r="P550" s="347"/>
      <c r="Q550" s="312"/>
      <c r="R550" s="347"/>
      <c r="S550" s="312"/>
      <c r="T550" s="347"/>
    </row>
    <row r="551" spans="1:20" ht="12" customHeight="1" x14ac:dyDescent="0.3">
      <c r="A551" s="340" t="s">
        <v>289</v>
      </c>
      <c r="B551" s="341">
        <v>2</v>
      </c>
      <c r="C551" s="309">
        <v>46074</v>
      </c>
      <c r="D551" s="310" t="s">
        <v>358</v>
      </c>
      <c r="E551" s="342">
        <v>9.4700000000000006</v>
      </c>
      <c r="F551" s="342"/>
      <c r="G551" s="344">
        <f t="shared" si="4"/>
        <v>6473.5699999999915</v>
      </c>
      <c r="H551" s="345"/>
      <c r="I551" s="346"/>
      <c r="J551" s="347"/>
      <c r="K551" s="312"/>
      <c r="L551" s="347"/>
      <c r="M551" s="312"/>
      <c r="N551" s="347"/>
      <c r="O551" s="312"/>
      <c r="P551" s="347"/>
      <c r="Q551" s="312"/>
      <c r="R551" s="347"/>
      <c r="S551" s="312"/>
      <c r="T551" s="347"/>
    </row>
    <row r="552" spans="1:20" ht="12" customHeight="1" x14ac:dyDescent="0.3">
      <c r="A552" s="340" t="s">
        <v>289</v>
      </c>
      <c r="B552" s="341">
        <v>2</v>
      </c>
      <c r="C552" s="309">
        <v>46073</v>
      </c>
      <c r="D552" s="310" t="s">
        <v>296</v>
      </c>
      <c r="E552" s="342">
        <v>14.47</v>
      </c>
      <c r="F552" s="342"/>
      <c r="G552" s="344">
        <f t="shared" si="4"/>
        <v>6483.0399999999918</v>
      </c>
      <c r="H552" s="345"/>
      <c r="I552" s="346"/>
      <c r="J552" s="347"/>
      <c r="K552" s="312"/>
      <c r="L552" s="347"/>
      <c r="M552" s="312"/>
      <c r="N552" s="347"/>
      <c r="O552" s="312"/>
      <c r="P552" s="347"/>
      <c r="Q552" s="312"/>
      <c r="R552" s="347"/>
      <c r="S552" s="312"/>
      <c r="T552" s="347"/>
    </row>
    <row r="553" spans="1:20" ht="12" customHeight="1" x14ac:dyDescent="0.3">
      <c r="A553" s="340" t="s">
        <v>289</v>
      </c>
      <c r="B553" s="341">
        <v>3</v>
      </c>
      <c r="C553" s="309">
        <v>46073</v>
      </c>
      <c r="D553" s="310" t="s">
        <v>355</v>
      </c>
      <c r="E553" s="342">
        <v>11.97</v>
      </c>
      <c r="F553" s="342"/>
      <c r="G553" s="344">
        <f t="shared" si="4"/>
        <v>6497.509999999992</v>
      </c>
      <c r="H553" s="345"/>
      <c r="I553" s="346"/>
      <c r="J553" s="347"/>
      <c r="K553" s="312"/>
      <c r="L553" s="347"/>
      <c r="M553" s="312"/>
      <c r="N553" s="347"/>
      <c r="O553" s="312"/>
      <c r="P553" s="347"/>
      <c r="Q553" s="312"/>
      <c r="R553" s="347"/>
      <c r="S553" s="312"/>
      <c r="T553" s="347"/>
    </row>
    <row r="554" spans="1:20" ht="12" customHeight="1" x14ac:dyDescent="0.3">
      <c r="A554" s="340" t="s">
        <v>289</v>
      </c>
      <c r="B554" s="341">
        <v>4</v>
      </c>
      <c r="C554" s="309">
        <v>46073</v>
      </c>
      <c r="D554" s="310" t="s">
        <v>355</v>
      </c>
      <c r="E554" s="342">
        <v>59.88</v>
      </c>
      <c r="F554" s="342"/>
      <c r="G554" s="344">
        <f t="shared" si="4"/>
        <v>6509.4799999999923</v>
      </c>
      <c r="H554" s="345"/>
      <c r="I554" s="346"/>
      <c r="J554" s="347"/>
      <c r="K554" s="312"/>
      <c r="L554" s="347"/>
      <c r="M554" s="312"/>
      <c r="N554" s="347"/>
      <c r="O554" s="312"/>
      <c r="P554" s="347"/>
      <c r="Q554" s="312"/>
      <c r="R554" s="347"/>
      <c r="S554" s="312"/>
      <c r="T554" s="347"/>
    </row>
    <row r="555" spans="1:20" ht="12" customHeight="1" x14ac:dyDescent="0.3">
      <c r="A555" s="340" t="s">
        <v>289</v>
      </c>
      <c r="B555" s="341">
        <v>2</v>
      </c>
      <c r="C555" s="309">
        <v>46073</v>
      </c>
      <c r="D555" s="310" t="s">
        <v>418</v>
      </c>
      <c r="E555" s="342">
        <v>19.57</v>
      </c>
      <c r="F555" s="342"/>
      <c r="G555" s="344">
        <f t="shared" si="4"/>
        <v>6569.3599999999924</v>
      </c>
      <c r="H555" s="345"/>
      <c r="I555" s="346"/>
      <c r="J555" s="347"/>
      <c r="K555" s="312"/>
      <c r="L555" s="347"/>
      <c r="M555" s="312"/>
      <c r="N555" s="347"/>
      <c r="O555" s="312"/>
      <c r="P555" s="347"/>
      <c r="Q555" s="312"/>
      <c r="R555" s="347"/>
      <c r="S555" s="312"/>
      <c r="T555" s="347"/>
    </row>
    <row r="556" spans="1:20" ht="12" customHeight="1" x14ac:dyDescent="0.3">
      <c r="A556" s="340" t="s">
        <v>294</v>
      </c>
      <c r="B556" s="341">
        <v>22</v>
      </c>
      <c r="C556" s="309">
        <v>46073</v>
      </c>
      <c r="D556" s="310" t="s">
        <v>323</v>
      </c>
      <c r="E556" s="342">
        <v>20.22</v>
      </c>
      <c r="F556" s="342"/>
      <c r="G556" s="344">
        <f t="shared" si="4"/>
        <v>6588.9299999999921</v>
      </c>
      <c r="H556" s="345"/>
      <c r="I556" s="346"/>
      <c r="J556" s="347"/>
      <c r="K556" s="312"/>
      <c r="L556" s="347"/>
      <c r="M556" s="312"/>
      <c r="N556" s="347"/>
      <c r="O556" s="312"/>
      <c r="P556" s="347"/>
      <c r="Q556" s="312"/>
      <c r="R556" s="347"/>
      <c r="S556" s="312"/>
      <c r="T556" s="347"/>
    </row>
    <row r="557" spans="1:20" ht="12" customHeight="1" x14ac:dyDescent="0.3">
      <c r="A557" s="340" t="s">
        <v>289</v>
      </c>
      <c r="B557" s="341">
        <v>2</v>
      </c>
      <c r="C557" s="309">
        <v>46073</v>
      </c>
      <c r="D557" s="310" t="s">
        <v>358</v>
      </c>
      <c r="E557" s="342">
        <v>5.3</v>
      </c>
      <c r="F557" s="342"/>
      <c r="G557" s="344">
        <f t="shared" si="4"/>
        <v>6609.1499999999924</v>
      </c>
      <c r="H557" s="345"/>
      <c r="I557" s="346"/>
      <c r="J557" s="347"/>
      <c r="K557" s="312"/>
      <c r="L557" s="347"/>
      <c r="M557" s="312"/>
      <c r="N557" s="347"/>
      <c r="O557" s="312"/>
      <c r="P557" s="347"/>
      <c r="Q557" s="312"/>
      <c r="R557" s="347"/>
      <c r="S557" s="312"/>
      <c r="T557" s="347"/>
    </row>
    <row r="558" spans="1:20" ht="12" customHeight="1" x14ac:dyDescent="0.3">
      <c r="A558" s="340" t="s">
        <v>289</v>
      </c>
      <c r="B558" s="341">
        <v>3</v>
      </c>
      <c r="C558" s="309">
        <v>46073</v>
      </c>
      <c r="D558" s="310" t="s">
        <v>324</v>
      </c>
      <c r="E558" s="342">
        <v>8.1300000000000008</v>
      </c>
      <c r="F558" s="342"/>
      <c r="G558" s="344">
        <f t="shared" si="4"/>
        <v>6614.4499999999925</v>
      </c>
      <c r="H558" s="345"/>
      <c r="I558" s="346"/>
      <c r="J558" s="347"/>
      <c r="K558" s="312"/>
      <c r="L558" s="347"/>
      <c r="M558" s="312"/>
      <c r="N558" s="347"/>
      <c r="O558" s="312"/>
      <c r="P558" s="347"/>
      <c r="Q558" s="312"/>
      <c r="R558" s="347"/>
      <c r="S558" s="312"/>
      <c r="T558" s="347"/>
    </row>
    <row r="559" spans="1:20" ht="12" customHeight="1" x14ac:dyDescent="0.3">
      <c r="A559" s="340" t="s">
        <v>289</v>
      </c>
      <c r="B559" s="341">
        <v>4</v>
      </c>
      <c r="C559" s="309">
        <v>46073</v>
      </c>
      <c r="D559" s="310" t="s">
        <v>310</v>
      </c>
      <c r="E559" s="342">
        <v>32.43</v>
      </c>
      <c r="F559" s="342"/>
      <c r="G559" s="344">
        <f t="shared" si="4"/>
        <v>6622.5799999999927</v>
      </c>
      <c r="H559" s="345"/>
      <c r="I559" s="346"/>
      <c r="J559" s="347"/>
      <c r="K559" s="312"/>
      <c r="L559" s="347"/>
      <c r="M559" s="312"/>
      <c r="N559" s="347"/>
      <c r="O559" s="312"/>
      <c r="P559" s="347"/>
      <c r="Q559" s="312"/>
      <c r="R559" s="347"/>
      <c r="S559" s="312"/>
      <c r="T559" s="347"/>
    </row>
    <row r="560" spans="1:20" ht="12" customHeight="1" x14ac:dyDescent="0.3">
      <c r="A560" s="340" t="s">
        <v>289</v>
      </c>
      <c r="B560" s="341">
        <v>8</v>
      </c>
      <c r="C560" s="309">
        <v>46073</v>
      </c>
      <c r="D560" s="310" t="s">
        <v>432</v>
      </c>
      <c r="E560" s="342">
        <v>98.65</v>
      </c>
      <c r="F560" s="342"/>
      <c r="G560" s="344">
        <f t="shared" si="4"/>
        <v>6655.0099999999929</v>
      </c>
      <c r="H560" s="345"/>
      <c r="I560" s="346"/>
      <c r="J560" s="347"/>
      <c r="K560" s="312"/>
      <c r="L560" s="347"/>
      <c r="M560" s="312"/>
      <c r="N560" s="347"/>
      <c r="O560" s="312"/>
      <c r="P560" s="347"/>
      <c r="Q560" s="312"/>
      <c r="R560" s="347"/>
      <c r="S560" s="312"/>
      <c r="T560" s="347"/>
    </row>
    <row r="561" spans="1:20" ht="12" customHeight="1" x14ac:dyDescent="0.3">
      <c r="A561" s="340" t="s">
        <v>289</v>
      </c>
      <c r="B561" s="341">
        <v>6</v>
      </c>
      <c r="C561" s="309">
        <v>46072</v>
      </c>
      <c r="D561" s="310" t="s">
        <v>300</v>
      </c>
      <c r="E561" s="342">
        <v>30.87</v>
      </c>
      <c r="F561" s="342"/>
      <c r="G561" s="344">
        <f t="shared" si="4"/>
        <v>6753.6599999999926</v>
      </c>
      <c r="H561" s="345"/>
      <c r="I561" s="346"/>
      <c r="J561" s="347"/>
      <c r="K561" s="312"/>
      <c r="L561" s="347"/>
      <c r="M561" s="312"/>
      <c r="N561" s="347"/>
      <c r="O561" s="312"/>
      <c r="P561" s="347"/>
      <c r="Q561" s="312"/>
      <c r="R561" s="347"/>
      <c r="S561" s="312"/>
      <c r="T561" s="347"/>
    </row>
    <row r="562" spans="1:20" ht="12" customHeight="1" x14ac:dyDescent="0.3">
      <c r="A562" s="340" t="s">
        <v>289</v>
      </c>
      <c r="B562" s="341">
        <v>6</v>
      </c>
      <c r="C562" s="309">
        <v>46072</v>
      </c>
      <c r="D562" s="310" t="s">
        <v>300</v>
      </c>
      <c r="E562" s="342">
        <v>15.96</v>
      </c>
      <c r="F562" s="342"/>
      <c r="G562" s="344">
        <f t="shared" si="4"/>
        <v>6784.5299999999925</v>
      </c>
      <c r="H562" s="345"/>
      <c r="I562" s="346"/>
      <c r="J562" s="347"/>
      <c r="K562" s="312"/>
      <c r="L562" s="347"/>
      <c r="M562" s="312"/>
      <c r="N562" s="347"/>
      <c r="O562" s="312"/>
      <c r="P562" s="347"/>
      <c r="Q562" s="312"/>
      <c r="R562" s="347"/>
      <c r="S562" s="312"/>
      <c r="T562" s="347"/>
    </row>
    <row r="563" spans="1:20" ht="12" customHeight="1" x14ac:dyDescent="0.3">
      <c r="A563" s="340" t="s">
        <v>289</v>
      </c>
      <c r="B563" s="341">
        <v>2</v>
      </c>
      <c r="C563" s="309">
        <v>46072</v>
      </c>
      <c r="D563" s="310" t="s">
        <v>296</v>
      </c>
      <c r="E563" s="342">
        <v>17.36</v>
      </c>
      <c r="F563" s="342"/>
      <c r="G563" s="344">
        <f t="shared" si="4"/>
        <v>6800.4899999999925</v>
      </c>
      <c r="H563" s="345"/>
      <c r="I563" s="346"/>
      <c r="J563" s="347"/>
      <c r="K563" s="312"/>
      <c r="L563" s="347"/>
      <c r="M563" s="312"/>
      <c r="N563" s="347"/>
      <c r="O563" s="312"/>
      <c r="P563" s="347"/>
      <c r="Q563" s="312"/>
      <c r="R563" s="347"/>
      <c r="S563" s="312"/>
      <c r="T563" s="347"/>
    </row>
    <row r="564" spans="1:20" ht="12" customHeight="1" x14ac:dyDescent="0.3">
      <c r="A564" s="340" t="s">
        <v>294</v>
      </c>
      <c r="B564" s="341">
        <v>22</v>
      </c>
      <c r="C564" s="309">
        <v>46072</v>
      </c>
      <c r="D564" s="310" t="s">
        <v>328</v>
      </c>
      <c r="E564" s="342">
        <v>7.46</v>
      </c>
      <c r="F564" s="342"/>
      <c r="G564" s="344">
        <f t="shared" si="4"/>
        <v>6817.8499999999922</v>
      </c>
      <c r="H564" s="345"/>
      <c r="I564" s="346"/>
      <c r="J564" s="347"/>
      <c r="K564" s="312"/>
      <c r="L564" s="347"/>
      <c r="M564" s="312"/>
      <c r="N564" s="347"/>
      <c r="O564" s="312"/>
      <c r="P564" s="347"/>
      <c r="Q564" s="312"/>
      <c r="R564" s="347"/>
      <c r="S564" s="312"/>
      <c r="T564" s="347"/>
    </row>
    <row r="565" spans="1:20" ht="12" customHeight="1" x14ac:dyDescent="0.3">
      <c r="A565" s="340" t="s">
        <v>291</v>
      </c>
      <c r="B565" s="341">
        <v>39</v>
      </c>
      <c r="C565" s="309">
        <v>46072</v>
      </c>
      <c r="D565" s="310" t="s">
        <v>292</v>
      </c>
      <c r="E565" s="342"/>
      <c r="F565" s="342">
        <v>2763.77</v>
      </c>
      <c r="G565" s="344">
        <f t="shared" si="4"/>
        <v>6825.3099999999922</v>
      </c>
      <c r="H565" s="345"/>
      <c r="I565" s="346"/>
      <c r="J565" s="347"/>
      <c r="K565" s="312"/>
      <c r="L565" s="347"/>
      <c r="M565" s="312"/>
      <c r="N565" s="347"/>
      <c r="O565" s="312"/>
      <c r="P565" s="347"/>
      <c r="Q565" s="312"/>
      <c r="R565" s="347"/>
      <c r="S565" s="312"/>
      <c r="T565" s="347"/>
    </row>
    <row r="566" spans="1:20" ht="12" customHeight="1" x14ac:dyDescent="0.3">
      <c r="A566" s="340" t="s">
        <v>335</v>
      </c>
      <c r="B566" s="341" t="s">
        <v>335</v>
      </c>
      <c r="C566" s="309">
        <v>46071</v>
      </c>
      <c r="D566" s="310" t="s">
        <v>336</v>
      </c>
      <c r="E566" s="342">
        <v>182.55</v>
      </c>
      <c r="F566" s="342"/>
      <c r="G566" s="344">
        <f t="shared" si="4"/>
        <v>4061.5399999999927</v>
      </c>
      <c r="H566" s="345"/>
      <c r="I566" s="346"/>
      <c r="J566" s="347"/>
      <c r="K566" s="312"/>
      <c r="L566" s="347"/>
      <c r="M566" s="312"/>
      <c r="N566" s="347"/>
      <c r="O566" s="312"/>
      <c r="P566" s="347"/>
      <c r="Q566" s="312"/>
      <c r="R566" s="347"/>
      <c r="S566" s="312"/>
      <c r="T566" s="347"/>
    </row>
    <row r="567" spans="1:20" ht="12" customHeight="1" x14ac:dyDescent="0.3">
      <c r="A567" s="340" t="s">
        <v>294</v>
      </c>
      <c r="B567" s="341">
        <v>15</v>
      </c>
      <c r="C567" s="309">
        <v>46071</v>
      </c>
      <c r="D567" s="310" t="s">
        <v>185</v>
      </c>
      <c r="E567" s="342">
        <v>188.16</v>
      </c>
      <c r="F567" s="342"/>
      <c r="G567" s="344">
        <f t="shared" si="4"/>
        <v>4244.0899999999929</v>
      </c>
      <c r="H567" s="345"/>
      <c r="I567" s="346"/>
      <c r="J567" s="347"/>
      <c r="K567" s="312"/>
      <c r="L567" s="347"/>
      <c r="M567" s="312"/>
      <c r="N567" s="347"/>
      <c r="O567" s="312"/>
      <c r="P567" s="347"/>
      <c r="Q567" s="312"/>
      <c r="R567" s="347"/>
      <c r="S567" s="312"/>
      <c r="T567" s="347"/>
    </row>
    <row r="568" spans="1:20" ht="12" customHeight="1" x14ac:dyDescent="0.3">
      <c r="A568" s="340" t="s">
        <v>291</v>
      </c>
      <c r="B568" s="341">
        <v>40</v>
      </c>
      <c r="C568" s="309">
        <v>46071</v>
      </c>
      <c r="D568" s="310" t="s">
        <v>316</v>
      </c>
      <c r="E568" s="342"/>
      <c r="F568" s="342">
        <v>1281.58</v>
      </c>
      <c r="G568" s="344">
        <f t="shared" si="4"/>
        <v>4432.2499999999927</v>
      </c>
      <c r="H568" s="345"/>
      <c r="I568" s="346"/>
      <c r="J568" s="347"/>
      <c r="K568" s="312"/>
      <c r="L568" s="347"/>
      <c r="M568" s="312"/>
      <c r="N568" s="347"/>
      <c r="O568" s="312"/>
      <c r="P568" s="347"/>
      <c r="Q568" s="312"/>
      <c r="R568" s="347"/>
      <c r="S568" s="312"/>
      <c r="T568" s="347"/>
    </row>
    <row r="569" spans="1:20" ht="12" customHeight="1" x14ac:dyDescent="0.3">
      <c r="A569" s="340" t="s">
        <v>289</v>
      </c>
      <c r="B569" s="341">
        <v>6</v>
      </c>
      <c r="C569" s="309">
        <v>46071</v>
      </c>
      <c r="D569" s="310" t="s">
        <v>433</v>
      </c>
      <c r="E569" s="342">
        <v>-146</v>
      </c>
      <c r="F569" s="342"/>
      <c r="G569" s="344">
        <f t="shared" si="4"/>
        <v>3150.6699999999933</v>
      </c>
      <c r="H569" s="345"/>
      <c r="I569" s="346"/>
      <c r="J569" s="347"/>
      <c r="K569" s="312"/>
      <c r="L569" s="347"/>
      <c r="M569" s="312"/>
      <c r="N569" s="347"/>
      <c r="O569" s="312"/>
      <c r="P569" s="347"/>
      <c r="Q569" s="312"/>
      <c r="R569" s="347"/>
      <c r="S569" s="312"/>
      <c r="T569" s="347"/>
    </row>
    <row r="570" spans="1:20" ht="12" customHeight="1" x14ac:dyDescent="0.3">
      <c r="A570" s="340" t="s">
        <v>289</v>
      </c>
      <c r="B570" s="341">
        <v>2</v>
      </c>
      <c r="C570" s="309">
        <v>46071</v>
      </c>
      <c r="D570" s="310" t="s">
        <v>434</v>
      </c>
      <c r="E570" s="342">
        <v>-13</v>
      </c>
      <c r="F570" s="342"/>
      <c r="G570" s="344">
        <f t="shared" si="4"/>
        <v>3004.6699999999933</v>
      </c>
      <c r="H570" s="345"/>
      <c r="I570" s="346"/>
      <c r="J570" s="347"/>
      <c r="K570" s="312"/>
      <c r="L570" s="347"/>
      <c r="M570" s="312"/>
      <c r="N570" s="347"/>
      <c r="O570" s="312"/>
      <c r="P570" s="347"/>
      <c r="Q570" s="312"/>
      <c r="R570" s="347"/>
      <c r="S570" s="312"/>
      <c r="T570" s="347"/>
    </row>
    <row r="571" spans="1:20" ht="12" customHeight="1" x14ac:dyDescent="0.3">
      <c r="A571" s="340" t="s">
        <v>335</v>
      </c>
      <c r="B571" s="341" t="s">
        <v>335</v>
      </c>
      <c r="C571" s="309">
        <v>46071</v>
      </c>
      <c r="D571" s="310" t="s">
        <v>460</v>
      </c>
      <c r="E571" s="342"/>
      <c r="F571" s="342">
        <v>191</v>
      </c>
      <c r="G571" s="344">
        <f t="shared" si="4"/>
        <v>2991.6699999999933</v>
      </c>
      <c r="H571" s="345"/>
      <c r="I571" s="346"/>
      <c r="J571" s="347"/>
      <c r="K571" s="312"/>
      <c r="L571" s="347"/>
      <c r="M571" s="312"/>
      <c r="N571" s="347"/>
      <c r="O571" s="312"/>
      <c r="P571" s="347"/>
      <c r="Q571" s="312"/>
      <c r="R571" s="347"/>
      <c r="S571" s="312"/>
      <c r="T571" s="347"/>
    </row>
    <row r="572" spans="1:20" ht="12" customHeight="1" x14ac:dyDescent="0.3">
      <c r="A572" s="340" t="s">
        <v>289</v>
      </c>
      <c r="B572" s="341">
        <v>6</v>
      </c>
      <c r="C572" s="309">
        <v>46071</v>
      </c>
      <c r="D572" s="310" t="s">
        <v>300</v>
      </c>
      <c r="E572" s="342">
        <v>43.63</v>
      </c>
      <c r="F572" s="342"/>
      <c r="G572" s="344">
        <f t="shared" si="4"/>
        <v>2800.6699999999933</v>
      </c>
      <c r="H572" s="345"/>
      <c r="I572" s="346"/>
      <c r="J572" s="347"/>
      <c r="K572" s="312"/>
      <c r="L572" s="347"/>
      <c r="M572" s="312"/>
      <c r="N572" s="347"/>
      <c r="O572" s="312"/>
      <c r="P572" s="347"/>
      <c r="Q572" s="312"/>
      <c r="R572" s="347"/>
      <c r="S572" s="312"/>
      <c r="T572" s="347"/>
    </row>
    <row r="573" spans="1:20" ht="12" customHeight="1" x14ac:dyDescent="0.3">
      <c r="A573" s="340" t="s">
        <v>289</v>
      </c>
      <c r="B573" s="341">
        <v>6</v>
      </c>
      <c r="C573" s="309">
        <v>46071</v>
      </c>
      <c r="D573" s="310" t="s">
        <v>300</v>
      </c>
      <c r="E573" s="342">
        <v>10.64</v>
      </c>
      <c r="F573" s="342"/>
      <c r="G573" s="344">
        <f t="shared" si="4"/>
        <v>2844.2999999999934</v>
      </c>
      <c r="H573" s="345"/>
      <c r="I573" s="346"/>
      <c r="J573" s="347"/>
      <c r="K573" s="312"/>
      <c r="L573" s="347"/>
      <c r="M573" s="312"/>
      <c r="N573" s="347"/>
      <c r="O573" s="312"/>
      <c r="P573" s="347"/>
      <c r="Q573" s="312"/>
      <c r="R573" s="347"/>
      <c r="S573" s="312"/>
      <c r="T573" s="347"/>
    </row>
    <row r="574" spans="1:20" ht="12" customHeight="1" x14ac:dyDescent="0.3">
      <c r="A574" s="340" t="s">
        <v>289</v>
      </c>
      <c r="B574" s="341">
        <v>8</v>
      </c>
      <c r="C574" s="309">
        <v>46071</v>
      </c>
      <c r="D574" s="310" t="s">
        <v>296</v>
      </c>
      <c r="E574" s="342">
        <v>14.87</v>
      </c>
      <c r="F574" s="342"/>
      <c r="G574" s="344">
        <f t="shared" si="4"/>
        <v>2854.9399999999932</v>
      </c>
      <c r="H574" s="345"/>
      <c r="I574" s="346"/>
      <c r="J574" s="347"/>
      <c r="K574" s="312"/>
      <c r="L574" s="347"/>
      <c r="M574" s="312"/>
      <c r="N574" s="347"/>
      <c r="O574" s="312"/>
      <c r="P574" s="347"/>
      <c r="Q574" s="312"/>
      <c r="R574" s="347"/>
      <c r="S574" s="312"/>
      <c r="T574" s="347"/>
    </row>
    <row r="575" spans="1:20" ht="12" customHeight="1" x14ac:dyDescent="0.3">
      <c r="A575" s="340" t="s">
        <v>289</v>
      </c>
      <c r="B575" s="341">
        <v>2</v>
      </c>
      <c r="C575" s="309">
        <v>46071</v>
      </c>
      <c r="D575" s="310" t="s">
        <v>295</v>
      </c>
      <c r="E575" s="342">
        <v>12.99</v>
      </c>
      <c r="F575" s="342"/>
      <c r="G575" s="344">
        <f t="shared" si="4"/>
        <v>2869.8099999999931</v>
      </c>
      <c r="H575" s="345"/>
      <c r="I575" s="346"/>
      <c r="J575" s="347"/>
      <c r="K575" s="312"/>
      <c r="L575" s="347"/>
      <c r="M575" s="312"/>
      <c r="N575" s="347"/>
      <c r="O575" s="312"/>
      <c r="P575" s="347"/>
      <c r="Q575" s="312"/>
      <c r="R575" s="347"/>
      <c r="S575" s="312"/>
      <c r="T575" s="347"/>
    </row>
    <row r="576" spans="1:20" ht="12" customHeight="1" x14ac:dyDescent="0.3">
      <c r="A576" s="340" t="s">
        <v>289</v>
      </c>
      <c r="B576" s="341">
        <v>4</v>
      </c>
      <c r="C576" s="309">
        <v>46071</v>
      </c>
      <c r="D576" s="310" t="s">
        <v>295</v>
      </c>
      <c r="E576" s="342">
        <v>29.47</v>
      </c>
      <c r="F576" s="342"/>
      <c r="G576" s="344">
        <f t="shared" si="4"/>
        <v>2882.7999999999929</v>
      </c>
      <c r="H576" s="345"/>
      <c r="I576" s="346"/>
      <c r="J576" s="347"/>
      <c r="K576" s="312"/>
      <c r="L576" s="347"/>
      <c r="M576" s="312"/>
      <c r="N576" s="347"/>
      <c r="O576" s="312"/>
      <c r="P576" s="347"/>
      <c r="Q576" s="312"/>
      <c r="R576" s="347"/>
      <c r="S576" s="312"/>
      <c r="T576" s="347"/>
    </row>
    <row r="577" spans="1:20" ht="12" customHeight="1" x14ac:dyDescent="0.3">
      <c r="A577" s="340" t="s">
        <v>294</v>
      </c>
      <c r="B577" s="341">
        <v>22</v>
      </c>
      <c r="C577" s="309">
        <v>46071</v>
      </c>
      <c r="D577" s="310" t="s">
        <v>401</v>
      </c>
      <c r="E577" s="342">
        <v>13.84</v>
      </c>
      <c r="F577" s="342"/>
      <c r="G577" s="344">
        <f t="shared" si="4"/>
        <v>2912.2699999999927</v>
      </c>
      <c r="H577" s="345"/>
      <c r="I577" s="346"/>
      <c r="J577" s="347"/>
      <c r="K577" s="312"/>
      <c r="L577" s="347"/>
      <c r="M577" s="312"/>
      <c r="N577" s="347"/>
      <c r="O577" s="312"/>
      <c r="P577" s="347"/>
      <c r="Q577" s="312"/>
      <c r="R577" s="347"/>
      <c r="S577" s="312"/>
      <c r="T577" s="347"/>
    </row>
    <row r="578" spans="1:20" ht="12" customHeight="1" x14ac:dyDescent="0.3">
      <c r="A578" s="340" t="s">
        <v>289</v>
      </c>
      <c r="B578" s="341">
        <v>2</v>
      </c>
      <c r="C578" s="309">
        <v>46071</v>
      </c>
      <c r="D578" s="310" t="s">
        <v>435</v>
      </c>
      <c r="E578" s="342">
        <v>64.569999999999993</v>
      </c>
      <c r="F578" s="342"/>
      <c r="G578" s="344">
        <f t="shared" si="4"/>
        <v>2926.1099999999929</v>
      </c>
      <c r="H578" s="345"/>
      <c r="I578" s="346"/>
      <c r="J578" s="347"/>
      <c r="K578" s="312"/>
      <c r="L578" s="347"/>
      <c r="M578" s="312"/>
      <c r="N578" s="347"/>
      <c r="O578" s="312"/>
      <c r="P578" s="347"/>
      <c r="Q578" s="312"/>
      <c r="R578" s="347"/>
      <c r="S578" s="312"/>
      <c r="T578" s="347"/>
    </row>
    <row r="579" spans="1:20" ht="12" customHeight="1" x14ac:dyDescent="0.3">
      <c r="A579" s="340" t="s">
        <v>294</v>
      </c>
      <c r="B579" s="341">
        <v>21</v>
      </c>
      <c r="C579" s="309">
        <v>46070</v>
      </c>
      <c r="D579" s="310" t="s">
        <v>194</v>
      </c>
      <c r="E579" s="342">
        <v>81</v>
      </c>
      <c r="F579" s="342"/>
      <c r="G579" s="344">
        <f t="shared" si="4"/>
        <v>2990.679999999993</v>
      </c>
      <c r="H579" s="345"/>
      <c r="I579" s="346"/>
      <c r="J579" s="347"/>
      <c r="K579" s="312"/>
      <c r="L579" s="347"/>
      <c r="M579" s="312"/>
      <c r="N579" s="347"/>
      <c r="O579" s="312"/>
      <c r="P579" s="347"/>
      <c r="Q579" s="312"/>
      <c r="R579" s="347"/>
      <c r="S579" s="312"/>
      <c r="T579" s="347"/>
    </row>
    <row r="580" spans="1:20" ht="12" customHeight="1" x14ac:dyDescent="0.3">
      <c r="A580" s="340" t="s">
        <v>289</v>
      </c>
      <c r="B580" s="341">
        <v>2</v>
      </c>
      <c r="C580" s="309">
        <v>46070</v>
      </c>
      <c r="D580" s="310" t="s">
        <v>384</v>
      </c>
      <c r="E580" s="342">
        <v>81.41</v>
      </c>
      <c r="F580" s="342"/>
      <c r="G580" s="344">
        <f t="shared" si="4"/>
        <v>3071.679999999993</v>
      </c>
      <c r="H580" s="345"/>
      <c r="I580" s="346"/>
      <c r="J580" s="347"/>
      <c r="K580" s="312"/>
      <c r="L580" s="347"/>
      <c r="M580" s="312"/>
      <c r="N580" s="347"/>
      <c r="O580" s="312"/>
      <c r="P580" s="347"/>
      <c r="Q580" s="312"/>
      <c r="R580" s="347"/>
      <c r="S580" s="312"/>
      <c r="T580" s="347"/>
    </row>
    <row r="581" spans="1:20" ht="12" customHeight="1" x14ac:dyDescent="0.3">
      <c r="A581" s="340" t="s">
        <v>289</v>
      </c>
      <c r="B581" s="341">
        <v>6</v>
      </c>
      <c r="C581" s="309">
        <v>46070</v>
      </c>
      <c r="D581" s="310" t="s">
        <v>300</v>
      </c>
      <c r="E581" s="342">
        <v>113.74</v>
      </c>
      <c r="F581" s="342"/>
      <c r="G581" s="344">
        <f t="shared" si="4"/>
        <v>3153.0899999999929</v>
      </c>
      <c r="H581" s="345"/>
      <c r="I581" s="346"/>
      <c r="J581" s="347"/>
      <c r="K581" s="312"/>
      <c r="L581" s="347"/>
      <c r="M581" s="312"/>
      <c r="N581" s="347"/>
      <c r="O581" s="312"/>
      <c r="P581" s="347"/>
      <c r="Q581" s="312"/>
      <c r="R581" s="347"/>
      <c r="S581" s="312"/>
      <c r="T581" s="347"/>
    </row>
    <row r="582" spans="1:20" ht="12" customHeight="1" x14ac:dyDescent="0.3">
      <c r="A582" s="340" t="s">
        <v>294</v>
      </c>
      <c r="B582" s="341">
        <v>43</v>
      </c>
      <c r="C582" s="309">
        <v>46070</v>
      </c>
      <c r="D582" s="310" t="s">
        <v>333</v>
      </c>
      <c r="E582" s="342">
        <v>29.8</v>
      </c>
      <c r="F582" s="342"/>
      <c r="G582" s="344">
        <f t="shared" si="4"/>
        <v>3266.8299999999927</v>
      </c>
      <c r="H582" s="345"/>
      <c r="I582" s="346"/>
      <c r="J582" s="347"/>
      <c r="K582" s="312"/>
      <c r="L582" s="347"/>
      <c r="M582" s="312"/>
      <c r="N582" s="347"/>
      <c r="O582" s="312"/>
      <c r="P582" s="347"/>
      <c r="Q582" s="312"/>
      <c r="R582" s="347"/>
      <c r="S582" s="312"/>
      <c r="T582" s="347"/>
    </row>
    <row r="583" spans="1:20" ht="12" customHeight="1" x14ac:dyDescent="0.3">
      <c r="A583" s="340" t="s">
        <v>294</v>
      </c>
      <c r="B583" s="341">
        <v>42</v>
      </c>
      <c r="C583" s="309">
        <v>46070</v>
      </c>
      <c r="D583" s="310" t="s">
        <v>333</v>
      </c>
      <c r="E583" s="342">
        <v>37.25</v>
      </c>
      <c r="F583" s="342"/>
      <c r="G583" s="344">
        <f t="shared" si="4"/>
        <v>3296.6299999999928</v>
      </c>
      <c r="H583" s="345"/>
      <c r="I583" s="346"/>
      <c r="J583" s="347"/>
      <c r="K583" s="312"/>
      <c r="L583" s="347"/>
      <c r="M583" s="312"/>
      <c r="N583" s="347"/>
      <c r="O583" s="312"/>
      <c r="P583" s="347"/>
      <c r="Q583" s="312"/>
      <c r="R583" s="347"/>
      <c r="S583" s="312"/>
      <c r="T583" s="347"/>
    </row>
    <row r="584" spans="1:20" ht="12" customHeight="1" x14ac:dyDescent="0.3">
      <c r="A584" s="340" t="s">
        <v>289</v>
      </c>
      <c r="B584" s="341">
        <v>2</v>
      </c>
      <c r="C584" s="309">
        <v>46070</v>
      </c>
      <c r="D584" s="310" t="s">
        <v>424</v>
      </c>
      <c r="E584" s="342">
        <v>7.97</v>
      </c>
      <c r="F584" s="342"/>
      <c r="G584" s="344">
        <f t="shared" si="4"/>
        <v>3333.8799999999928</v>
      </c>
      <c r="H584" s="345"/>
      <c r="I584" s="346"/>
      <c r="J584" s="347"/>
      <c r="K584" s="312"/>
      <c r="L584" s="347"/>
      <c r="M584" s="312"/>
      <c r="N584" s="347"/>
      <c r="O584" s="312"/>
      <c r="P584" s="347"/>
      <c r="Q584" s="312"/>
      <c r="R584" s="347"/>
      <c r="S584" s="312"/>
      <c r="T584" s="347"/>
    </row>
    <row r="585" spans="1:20" ht="12" customHeight="1" x14ac:dyDescent="0.3">
      <c r="A585" s="340" t="s">
        <v>294</v>
      </c>
      <c r="B585" s="341">
        <v>17</v>
      </c>
      <c r="C585" s="309">
        <v>46070</v>
      </c>
      <c r="D585" s="310" t="s">
        <v>188</v>
      </c>
      <c r="E585" s="342">
        <v>42.65</v>
      </c>
      <c r="F585" s="342"/>
      <c r="G585" s="344">
        <f t="shared" si="4"/>
        <v>3341.8499999999926</v>
      </c>
      <c r="H585" s="345"/>
      <c r="I585" s="346"/>
      <c r="J585" s="347"/>
      <c r="K585" s="312"/>
      <c r="L585" s="347"/>
      <c r="M585" s="312"/>
      <c r="N585" s="347"/>
      <c r="O585" s="312"/>
      <c r="P585" s="347"/>
      <c r="Q585" s="312"/>
      <c r="R585" s="347"/>
      <c r="S585" s="312"/>
      <c r="T585" s="347"/>
    </row>
    <row r="586" spans="1:20" ht="12" customHeight="1" x14ac:dyDescent="0.3">
      <c r="A586" s="340" t="s">
        <v>289</v>
      </c>
      <c r="B586" s="341">
        <v>6</v>
      </c>
      <c r="C586" s="309">
        <v>46070</v>
      </c>
      <c r="D586" s="310" t="s">
        <v>436</v>
      </c>
      <c r="E586" s="342">
        <v>40</v>
      </c>
      <c r="F586" s="342"/>
      <c r="G586" s="344">
        <f t="shared" si="4"/>
        <v>3384.4999999999927</v>
      </c>
      <c r="H586" s="345"/>
      <c r="I586" s="346"/>
      <c r="J586" s="347"/>
      <c r="K586" s="312"/>
      <c r="L586" s="347"/>
      <c r="M586" s="312"/>
      <c r="N586" s="347"/>
      <c r="O586" s="312"/>
      <c r="P586" s="347"/>
      <c r="Q586" s="312"/>
      <c r="R586" s="347"/>
      <c r="S586" s="312"/>
      <c r="T586" s="347"/>
    </row>
    <row r="587" spans="1:20" ht="12" customHeight="1" x14ac:dyDescent="0.3">
      <c r="A587" s="340" t="s">
        <v>294</v>
      </c>
      <c r="B587" s="341">
        <v>11</v>
      </c>
      <c r="C587" s="309">
        <v>46070</v>
      </c>
      <c r="D587" s="310" t="s">
        <v>178</v>
      </c>
      <c r="E587" s="342">
        <v>480.91</v>
      </c>
      <c r="F587" s="342"/>
      <c r="G587" s="344">
        <f t="shared" si="4"/>
        <v>3424.4999999999927</v>
      </c>
      <c r="H587" s="345"/>
      <c r="I587" s="346"/>
      <c r="J587" s="347"/>
      <c r="K587" s="312"/>
      <c r="L587" s="347"/>
      <c r="M587" s="312"/>
      <c r="N587" s="347"/>
      <c r="O587" s="312"/>
      <c r="P587" s="347"/>
      <c r="Q587" s="312"/>
      <c r="R587" s="347"/>
      <c r="S587" s="312"/>
      <c r="T587" s="347"/>
    </row>
    <row r="588" spans="1:20" ht="12" customHeight="1" x14ac:dyDescent="0.3">
      <c r="A588" s="340" t="s">
        <v>294</v>
      </c>
      <c r="B588" s="341">
        <v>23</v>
      </c>
      <c r="C588" s="309">
        <v>46070</v>
      </c>
      <c r="D588" s="310" t="s">
        <v>63</v>
      </c>
      <c r="E588" s="342">
        <v>529.46</v>
      </c>
      <c r="F588" s="342"/>
      <c r="G588" s="344">
        <f t="shared" si="4"/>
        <v>3905.4099999999926</v>
      </c>
      <c r="H588" s="345"/>
      <c r="I588" s="346"/>
      <c r="J588" s="347"/>
      <c r="K588" s="312"/>
      <c r="L588" s="347"/>
      <c r="M588" s="312"/>
      <c r="N588" s="347"/>
      <c r="O588" s="312"/>
      <c r="P588" s="347"/>
      <c r="Q588" s="312"/>
      <c r="R588" s="347"/>
      <c r="S588" s="312"/>
      <c r="T588" s="347"/>
    </row>
    <row r="589" spans="1:20" ht="12" customHeight="1" x14ac:dyDescent="0.3">
      <c r="A589" s="340" t="s">
        <v>289</v>
      </c>
      <c r="B589" s="341">
        <v>2</v>
      </c>
      <c r="C589" s="309">
        <v>46069</v>
      </c>
      <c r="D589" s="310" t="s">
        <v>324</v>
      </c>
      <c r="E589" s="342">
        <v>16.079999999999998</v>
      </c>
      <c r="F589" s="342"/>
      <c r="G589" s="344">
        <f t="shared" si="4"/>
        <v>4434.8699999999926</v>
      </c>
      <c r="H589" s="345"/>
      <c r="I589" s="346"/>
      <c r="J589" s="347"/>
      <c r="K589" s="312"/>
      <c r="L589" s="347"/>
      <c r="M589" s="312"/>
      <c r="N589" s="347"/>
      <c r="O589" s="312"/>
      <c r="P589" s="347"/>
      <c r="Q589" s="312"/>
      <c r="R589" s="347"/>
      <c r="S589" s="312"/>
      <c r="T589" s="347"/>
    </row>
    <row r="590" spans="1:20" ht="12" customHeight="1" x14ac:dyDescent="0.3">
      <c r="A590" s="340" t="s">
        <v>289</v>
      </c>
      <c r="B590" s="341">
        <v>6</v>
      </c>
      <c r="C590" s="309">
        <v>46069</v>
      </c>
      <c r="D590" s="310" t="s">
        <v>300</v>
      </c>
      <c r="E590" s="342">
        <v>21.17</v>
      </c>
      <c r="F590" s="342"/>
      <c r="G590" s="344">
        <f t="shared" si="4"/>
        <v>4450.9499999999925</v>
      </c>
      <c r="H590" s="345"/>
      <c r="I590" s="346"/>
      <c r="J590" s="347"/>
      <c r="K590" s="312"/>
      <c r="L590" s="347"/>
      <c r="M590" s="312"/>
      <c r="N590" s="347"/>
      <c r="O590" s="312"/>
      <c r="P590" s="347"/>
      <c r="Q590" s="312"/>
      <c r="R590" s="347"/>
      <c r="S590" s="312"/>
      <c r="T590" s="347"/>
    </row>
    <row r="591" spans="1:20" ht="12" customHeight="1" x14ac:dyDescent="0.3">
      <c r="A591" s="340" t="s">
        <v>289</v>
      </c>
      <c r="B591" s="341">
        <v>6</v>
      </c>
      <c r="C591" s="309">
        <v>46069</v>
      </c>
      <c r="D591" s="310" t="s">
        <v>300</v>
      </c>
      <c r="E591" s="342">
        <v>17.03</v>
      </c>
      <c r="F591" s="342"/>
      <c r="G591" s="344">
        <f t="shared" si="4"/>
        <v>4472.1199999999926</v>
      </c>
      <c r="H591" s="345"/>
      <c r="I591" s="346"/>
      <c r="J591" s="347"/>
      <c r="K591" s="312"/>
      <c r="L591" s="347"/>
      <c r="M591" s="312"/>
      <c r="N591" s="347"/>
      <c r="O591" s="312"/>
      <c r="P591" s="347"/>
      <c r="Q591" s="312"/>
      <c r="R591" s="347"/>
      <c r="S591" s="312"/>
      <c r="T591" s="347"/>
    </row>
    <row r="592" spans="1:20" ht="12" customHeight="1" x14ac:dyDescent="0.3">
      <c r="A592" s="340" t="s">
        <v>289</v>
      </c>
      <c r="B592" s="341">
        <v>2</v>
      </c>
      <c r="C592" s="309">
        <v>46069</v>
      </c>
      <c r="D592" s="310" t="s">
        <v>296</v>
      </c>
      <c r="E592" s="342">
        <v>18.309999999999999</v>
      </c>
      <c r="F592" s="342"/>
      <c r="G592" s="344">
        <f t="shared" si="4"/>
        <v>4489.1499999999924</v>
      </c>
      <c r="H592" s="345"/>
      <c r="I592" s="346"/>
      <c r="J592" s="347"/>
      <c r="K592" s="312"/>
      <c r="L592" s="347"/>
      <c r="M592" s="312"/>
      <c r="N592" s="347"/>
      <c r="O592" s="312"/>
      <c r="P592" s="347"/>
      <c r="Q592" s="312"/>
      <c r="R592" s="347"/>
      <c r="S592" s="312"/>
      <c r="T592" s="347"/>
    </row>
    <row r="593" spans="1:20" ht="12" customHeight="1" x14ac:dyDescent="0.3">
      <c r="A593" s="340" t="s">
        <v>289</v>
      </c>
      <c r="B593" s="341">
        <v>2</v>
      </c>
      <c r="C593" s="309">
        <v>46069</v>
      </c>
      <c r="D593" s="310" t="s">
        <v>301</v>
      </c>
      <c r="E593" s="342">
        <v>19.3</v>
      </c>
      <c r="F593" s="342"/>
      <c r="G593" s="344">
        <f t="shared" si="4"/>
        <v>4507.4599999999928</v>
      </c>
      <c r="H593" s="345"/>
      <c r="I593" s="346"/>
      <c r="J593" s="347"/>
      <c r="K593" s="312"/>
      <c r="L593" s="347"/>
      <c r="M593" s="312"/>
      <c r="N593" s="347"/>
      <c r="O593" s="312"/>
      <c r="P593" s="347"/>
      <c r="Q593" s="312"/>
      <c r="R593" s="347"/>
      <c r="S593" s="312"/>
      <c r="T593" s="347"/>
    </row>
    <row r="594" spans="1:20" ht="12" customHeight="1" x14ac:dyDescent="0.3">
      <c r="A594" s="340" t="s">
        <v>289</v>
      </c>
      <c r="B594" s="341">
        <v>6</v>
      </c>
      <c r="C594" s="309">
        <v>46069</v>
      </c>
      <c r="D594" s="310" t="s">
        <v>397</v>
      </c>
      <c r="E594" s="342">
        <v>24.67</v>
      </c>
      <c r="F594" s="342"/>
      <c r="G594" s="344">
        <f t="shared" si="4"/>
        <v>4526.7599999999929</v>
      </c>
      <c r="H594" s="345"/>
      <c r="I594" s="346"/>
      <c r="J594" s="347"/>
      <c r="K594" s="312"/>
      <c r="L594" s="347"/>
      <c r="M594" s="312"/>
      <c r="N594" s="347"/>
      <c r="O594" s="312"/>
      <c r="P594" s="347"/>
      <c r="Q594" s="312"/>
      <c r="R594" s="347"/>
      <c r="S594" s="312"/>
      <c r="T594" s="347"/>
    </row>
    <row r="595" spans="1:20" ht="12" customHeight="1" x14ac:dyDescent="0.3">
      <c r="A595" s="340" t="s">
        <v>287</v>
      </c>
      <c r="B595" s="341" t="s">
        <v>287</v>
      </c>
      <c r="C595" s="309">
        <v>46069</v>
      </c>
      <c r="D595" s="310" t="s">
        <v>397</v>
      </c>
      <c r="E595" s="342">
        <v>152.41999999999999</v>
      </c>
      <c r="F595" s="342">
        <v>152.41999999999999</v>
      </c>
      <c r="G595" s="344">
        <f t="shared" si="4"/>
        <v>4551.429999999993</v>
      </c>
      <c r="H595" s="345"/>
      <c r="I595" s="346"/>
      <c r="J595" s="347"/>
      <c r="K595" s="312"/>
      <c r="L595" s="347"/>
      <c r="M595" s="312"/>
      <c r="N595" s="347"/>
      <c r="O595" s="312"/>
      <c r="P595" s="347"/>
      <c r="Q595" s="312"/>
      <c r="R595" s="347"/>
      <c r="S595" s="312"/>
      <c r="T595" s="347"/>
    </row>
    <row r="596" spans="1:20" ht="12" customHeight="1" x14ac:dyDescent="0.3">
      <c r="A596" s="340" t="s">
        <v>289</v>
      </c>
      <c r="B596" s="341">
        <v>6</v>
      </c>
      <c r="C596" s="309">
        <v>46068</v>
      </c>
      <c r="D596" s="310" t="s">
        <v>437</v>
      </c>
      <c r="E596" s="342">
        <v>233.83</v>
      </c>
      <c r="F596" s="342"/>
      <c r="G596" s="344">
        <f t="shared" si="4"/>
        <v>4551.429999999993</v>
      </c>
      <c r="H596" s="345"/>
      <c r="I596" s="346"/>
      <c r="J596" s="347"/>
      <c r="K596" s="312"/>
      <c r="L596" s="347"/>
      <c r="M596" s="312"/>
      <c r="N596" s="347"/>
      <c r="O596" s="312"/>
      <c r="P596" s="347"/>
      <c r="Q596" s="312"/>
      <c r="R596" s="347"/>
      <c r="S596" s="312"/>
      <c r="T596" s="347"/>
    </row>
    <row r="597" spans="1:20" ht="12" customHeight="1" x14ac:dyDescent="0.3">
      <c r="A597" s="340" t="s">
        <v>289</v>
      </c>
      <c r="B597" s="341">
        <v>2</v>
      </c>
      <c r="C597" s="309">
        <v>46068</v>
      </c>
      <c r="D597" s="310" t="s">
        <v>326</v>
      </c>
      <c r="E597" s="342">
        <v>50.87</v>
      </c>
      <c r="F597" s="342"/>
      <c r="G597" s="344">
        <f t="shared" si="4"/>
        <v>4785.2599999999929</v>
      </c>
      <c r="H597" s="345"/>
      <c r="I597" s="346"/>
      <c r="J597" s="347"/>
      <c r="K597" s="312"/>
      <c r="L597" s="347"/>
      <c r="M597" s="312"/>
      <c r="N597" s="347"/>
      <c r="O597" s="312"/>
      <c r="P597" s="347"/>
      <c r="Q597" s="312"/>
      <c r="R597" s="347"/>
      <c r="S597" s="312"/>
      <c r="T597" s="347"/>
    </row>
    <row r="598" spans="1:20" ht="12" customHeight="1" x14ac:dyDescent="0.3">
      <c r="A598" s="340" t="s">
        <v>289</v>
      </c>
      <c r="B598" s="341">
        <v>2</v>
      </c>
      <c r="C598" s="309">
        <v>46068</v>
      </c>
      <c r="D598" s="310" t="s">
        <v>438</v>
      </c>
      <c r="E598" s="342">
        <v>16</v>
      </c>
      <c r="F598" s="342"/>
      <c r="G598" s="344">
        <f t="shared" si="4"/>
        <v>4836.1299999999928</v>
      </c>
      <c r="H598" s="345"/>
      <c r="I598" s="346"/>
      <c r="J598" s="347"/>
      <c r="K598" s="312"/>
      <c r="L598" s="347"/>
      <c r="M598" s="312"/>
      <c r="N598" s="347"/>
      <c r="O598" s="312"/>
      <c r="P598" s="347"/>
      <c r="Q598" s="312"/>
      <c r="R598" s="347"/>
      <c r="S598" s="312"/>
      <c r="T598" s="347"/>
    </row>
    <row r="599" spans="1:20" ht="12" customHeight="1" x14ac:dyDescent="0.3">
      <c r="A599" s="340" t="s">
        <v>289</v>
      </c>
      <c r="B599" s="341">
        <v>2</v>
      </c>
      <c r="C599" s="309">
        <v>46068</v>
      </c>
      <c r="D599" s="310" t="s">
        <v>353</v>
      </c>
      <c r="E599" s="342">
        <v>30</v>
      </c>
      <c r="F599" s="342"/>
      <c r="G599" s="344">
        <f t="shared" si="4"/>
        <v>4852.1299999999928</v>
      </c>
      <c r="H599" s="345"/>
      <c r="I599" s="346"/>
      <c r="J599" s="347"/>
      <c r="K599" s="312"/>
      <c r="L599" s="347"/>
      <c r="M599" s="312"/>
      <c r="N599" s="347"/>
      <c r="O599" s="312"/>
      <c r="P599" s="347"/>
      <c r="Q599" s="312"/>
      <c r="R599" s="347"/>
      <c r="S599" s="312"/>
      <c r="T599" s="347"/>
    </row>
    <row r="600" spans="1:20" ht="12" customHeight="1" x14ac:dyDescent="0.3">
      <c r="A600" s="340" t="s">
        <v>289</v>
      </c>
      <c r="B600" s="341">
        <v>6</v>
      </c>
      <c r="C600" s="309">
        <v>46068</v>
      </c>
      <c r="D600" s="310" t="s">
        <v>306</v>
      </c>
      <c r="E600" s="342">
        <v>76</v>
      </c>
      <c r="F600" s="342"/>
      <c r="G600" s="344">
        <f t="shared" si="4"/>
        <v>4882.1299999999928</v>
      </c>
      <c r="H600" s="345"/>
      <c r="I600" s="346"/>
      <c r="J600" s="347"/>
      <c r="K600" s="312"/>
      <c r="L600" s="347"/>
      <c r="M600" s="312"/>
      <c r="N600" s="347"/>
      <c r="O600" s="312"/>
      <c r="P600" s="347"/>
      <c r="Q600" s="312"/>
      <c r="R600" s="347"/>
      <c r="S600" s="312"/>
      <c r="T600" s="347"/>
    </row>
    <row r="601" spans="1:20" ht="12" customHeight="1" x14ac:dyDescent="0.3">
      <c r="A601" s="340" t="s">
        <v>289</v>
      </c>
      <c r="B601" s="341">
        <v>3</v>
      </c>
      <c r="C601" s="309">
        <v>46068</v>
      </c>
      <c r="D601" s="310" t="s">
        <v>348</v>
      </c>
      <c r="E601" s="342">
        <v>3.59</v>
      </c>
      <c r="F601" s="342"/>
      <c r="G601" s="344">
        <f t="shared" si="4"/>
        <v>4958.1299999999928</v>
      </c>
      <c r="H601" s="345"/>
      <c r="I601" s="346"/>
      <c r="J601" s="347"/>
      <c r="K601" s="312"/>
      <c r="L601" s="347"/>
      <c r="M601" s="312"/>
      <c r="N601" s="347"/>
      <c r="O601" s="312"/>
      <c r="P601" s="347"/>
      <c r="Q601" s="312"/>
      <c r="R601" s="347"/>
      <c r="S601" s="312"/>
      <c r="T601" s="347"/>
    </row>
    <row r="602" spans="1:20" ht="12" customHeight="1" x14ac:dyDescent="0.3">
      <c r="A602" s="340" t="s">
        <v>289</v>
      </c>
      <c r="B602" s="341">
        <v>6</v>
      </c>
      <c r="C602" s="309">
        <v>46068</v>
      </c>
      <c r="D602" s="310" t="s">
        <v>439</v>
      </c>
      <c r="E602" s="342">
        <v>70</v>
      </c>
      <c r="F602" s="342"/>
      <c r="G602" s="344">
        <f t="shared" si="4"/>
        <v>4961.719999999993</v>
      </c>
      <c r="H602" s="345"/>
      <c r="I602" s="346"/>
      <c r="J602" s="347"/>
      <c r="K602" s="312"/>
      <c r="L602" s="347"/>
      <c r="M602" s="312"/>
      <c r="N602" s="347"/>
      <c r="O602" s="312"/>
      <c r="P602" s="347"/>
      <c r="Q602" s="312"/>
      <c r="R602" s="347"/>
      <c r="S602" s="312"/>
      <c r="T602" s="347"/>
    </row>
    <row r="603" spans="1:20" ht="12" customHeight="1" x14ac:dyDescent="0.3">
      <c r="A603" s="340" t="s">
        <v>289</v>
      </c>
      <c r="B603" s="341">
        <v>8</v>
      </c>
      <c r="C603" s="309">
        <v>46068</v>
      </c>
      <c r="D603" s="310" t="s">
        <v>440</v>
      </c>
      <c r="E603" s="342">
        <v>175</v>
      </c>
      <c r="F603" s="342"/>
      <c r="G603" s="344">
        <f t="shared" si="4"/>
        <v>5031.719999999993</v>
      </c>
      <c r="H603" s="345" t="s">
        <v>298</v>
      </c>
      <c r="I603" s="346"/>
      <c r="J603" s="347"/>
      <c r="K603" s="312"/>
      <c r="L603" s="347"/>
      <c r="M603" s="312"/>
      <c r="N603" s="347"/>
      <c r="O603" s="312"/>
      <c r="P603" s="347"/>
      <c r="Q603" s="312"/>
      <c r="R603" s="347"/>
      <c r="S603" s="312"/>
      <c r="T603" s="347"/>
    </row>
    <row r="604" spans="1:20" ht="12" customHeight="1" x14ac:dyDescent="0.3">
      <c r="A604" s="340" t="s">
        <v>289</v>
      </c>
      <c r="B604" s="341">
        <v>8</v>
      </c>
      <c r="C604" s="309">
        <v>46067</v>
      </c>
      <c r="D604" s="310" t="s">
        <v>319</v>
      </c>
      <c r="E604" s="342">
        <v>13.09</v>
      </c>
      <c r="F604" s="342"/>
      <c r="G604" s="344">
        <f t="shared" si="4"/>
        <v>5206.719999999993</v>
      </c>
      <c r="H604" s="345"/>
      <c r="I604" s="346"/>
      <c r="J604" s="347"/>
      <c r="K604" s="312"/>
      <c r="L604" s="347"/>
      <c r="M604" s="312"/>
      <c r="N604" s="347"/>
      <c r="O604" s="312"/>
      <c r="P604" s="347"/>
      <c r="Q604" s="312"/>
      <c r="R604" s="347"/>
      <c r="S604" s="312"/>
      <c r="T604" s="347"/>
    </row>
    <row r="605" spans="1:20" ht="12" customHeight="1" x14ac:dyDescent="0.3">
      <c r="A605" s="340" t="s">
        <v>289</v>
      </c>
      <c r="B605" s="341">
        <v>3</v>
      </c>
      <c r="C605" s="309">
        <v>46067</v>
      </c>
      <c r="D605" s="310" t="s">
        <v>296</v>
      </c>
      <c r="E605" s="342">
        <v>7.56</v>
      </c>
      <c r="F605" s="342"/>
      <c r="G605" s="344">
        <f t="shared" si="4"/>
        <v>5219.8099999999931</v>
      </c>
      <c r="H605" s="345"/>
      <c r="I605" s="346"/>
      <c r="J605" s="347"/>
      <c r="K605" s="312"/>
      <c r="L605" s="347"/>
      <c r="M605" s="312"/>
      <c r="N605" s="347"/>
      <c r="O605" s="312"/>
      <c r="P605" s="347"/>
      <c r="Q605" s="312"/>
      <c r="R605" s="347"/>
      <c r="S605" s="312"/>
      <c r="T605" s="347"/>
    </row>
    <row r="606" spans="1:20" ht="12" customHeight="1" x14ac:dyDescent="0.3">
      <c r="A606" s="340" t="s">
        <v>289</v>
      </c>
      <c r="B606" s="341">
        <v>4</v>
      </c>
      <c r="C606" s="309">
        <v>46067</v>
      </c>
      <c r="D606" s="310" t="s">
        <v>296</v>
      </c>
      <c r="E606" s="342">
        <v>32.409999999999997</v>
      </c>
      <c r="F606" s="342"/>
      <c r="G606" s="344">
        <f t="shared" si="4"/>
        <v>5227.3699999999935</v>
      </c>
      <c r="H606" s="345"/>
      <c r="I606" s="346"/>
      <c r="J606" s="347"/>
      <c r="K606" s="312"/>
      <c r="L606" s="347"/>
      <c r="M606" s="312"/>
      <c r="N606" s="347"/>
      <c r="O606" s="312"/>
      <c r="P606" s="347"/>
      <c r="Q606" s="312"/>
      <c r="R606" s="347"/>
      <c r="S606" s="312"/>
      <c r="T606" s="347"/>
    </row>
    <row r="607" spans="1:20" ht="12" customHeight="1" x14ac:dyDescent="0.3">
      <c r="A607" s="340" t="s">
        <v>289</v>
      </c>
      <c r="B607" s="341">
        <v>5</v>
      </c>
      <c r="C607" s="309">
        <v>46067</v>
      </c>
      <c r="D607" s="310" t="s">
        <v>441</v>
      </c>
      <c r="E607" s="342">
        <v>400</v>
      </c>
      <c r="F607" s="342"/>
      <c r="G607" s="344">
        <f t="shared" si="4"/>
        <v>5259.7799999999934</v>
      </c>
      <c r="H607" s="345"/>
      <c r="I607" s="346"/>
      <c r="J607" s="347"/>
      <c r="K607" s="312"/>
      <c r="L607" s="347"/>
      <c r="M607" s="312"/>
      <c r="N607" s="347"/>
      <c r="O607" s="312"/>
      <c r="P607" s="347"/>
      <c r="Q607" s="312"/>
      <c r="R607" s="347"/>
      <c r="S607" s="312"/>
      <c r="T607" s="347"/>
    </row>
    <row r="608" spans="1:20" ht="12" customHeight="1" x14ac:dyDescent="0.3">
      <c r="A608" s="340" t="s">
        <v>289</v>
      </c>
      <c r="B608" s="341">
        <v>8</v>
      </c>
      <c r="C608" s="309">
        <v>46066</v>
      </c>
      <c r="D608" s="310" t="s">
        <v>319</v>
      </c>
      <c r="E608" s="342">
        <v>41.51</v>
      </c>
      <c r="F608" s="342"/>
      <c r="G608" s="344">
        <f t="shared" si="4"/>
        <v>5659.7799999999934</v>
      </c>
      <c r="H608" s="345"/>
      <c r="I608" s="346"/>
      <c r="J608" s="347"/>
      <c r="K608" s="312"/>
      <c r="L608" s="347"/>
      <c r="M608" s="312"/>
      <c r="N608" s="347"/>
      <c r="O608" s="312"/>
      <c r="P608" s="347"/>
      <c r="Q608" s="312"/>
      <c r="R608" s="347"/>
      <c r="S608" s="312"/>
      <c r="T608" s="347"/>
    </row>
    <row r="609" spans="1:20" ht="12" customHeight="1" x14ac:dyDescent="0.3">
      <c r="A609" s="340" t="s">
        <v>289</v>
      </c>
      <c r="B609" s="341">
        <v>4</v>
      </c>
      <c r="C609" s="309">
        <v>46066</v>
      </c>
      <c r="D609" s="310" t="s">
        <v>296</v>
      </c>
      <c r="E609" s="342">
        <v>21.55</v>
      </c>
      <c r="F609" s="342"/>
      <c r="G609" s="344">
        <f t="shared" si="4"/>
        <v>5701.2899999999936</v>
      </c>
      <c r="H609" s="345"/>
      <c r="I609" s="346"/>
      <c r="J609" s="347"/>
      <c r="K609" s="312"/>
      <c r="L609" s="347"/>
      <c r="M609" s="312"/>
      <c r="N609" s="347"/>
      <c r="O609" s="312"/>
      <c r="P609" s="347"/>
      <c r="Q609" s="312"/>
      <c r="R609" s="347"/>
      <c r="S609" s="312"/>
      <c r="T609" s="347"/>
    </row>
    <row r="610" spans="1:20" ht="12" customHeight="1" x14ac:dyDescent="0.3">
      <c r="A610" s="340" t="s">
        <v>289</v>
      </c>
      <c r="B610" s="341">
        <v>2</v>
      </c>
      <c r="C610" s="309">
        <v>46066</v>
      </c>
      <c r="D610" s="310" t="s">
        <v>358</v>
      </c>
      <c r="E610" s="342">
        <v>12.45</v>
      </c>
      <c r="F610" s="342"/>
      <c r="G610" s="344">
        <f t="shared" si="4"/>
        <v>5722.8399999999938</v>
      </c>
      <c r="H610" s="345"/>
      <c r="I610" s="346"/>
      <c r="J610" s="347"/>
      <c r="K610" s="312"/>
      <c r="L610" s="347"/>
      <c r="M610" s="312"/>
      <c r="N610" s="347"/>
      <c r="O610" s="312"/>
      <c r="P610" s="347"/>
      <c r="Q610" s="312"/>
      <c r="R610" s="347"/>
      <c r="S610" s="312"/>
      <c r="T610" s="347"/>
    </row>
    <row r="611" spans="1:20" ht="12" customHeight="1" x14ac:dyDescent="0.3">
      <c r="A611" s="340" t="s">
        <v>287</v>
      </c>
      <c r="B611" s="341" t="s">
        <v>287</v>
      </c>
      <c r="C611" s="309">
        <v>46066</v>
      </c>
      <c r="D611" s="310" t="s">
        <v>397</v>
      </c>
      <c r="E611" s="342">
        <v>91.38</v>
      </c>
      <c r="F611" s="342">
        <v>91.38</v>
      </c>
      <c r="G611" s="344">
        <f t="shared" si="4"/>
        <v>5735.2899999999936</v>
      </c>
      <c r="H611" s="345"/>
      <c r="I611" s="346"/>
      <c r="J611" s="347"/>
      <c r="K611" s="312"/>
      <c r="L611" s="347"/>
      <c r="M611" s="312"/>
      <c r="N611" s="347"/>
      <c r="O611" s="312"/>
      <c r="P611" s="347"/>
      <c r="Q611" s="312"/>
      <c r="R611" s="347"/>
      <c r="S611" s="312"/>
      <c r="T611" s="347"/>
    </row>
    <row r="612" spans="1:20" ht="12" customHeight="1" x14ac:dyDescent="0.3">
      <c r="A612" s="340" t="s">
        <v>289</v>
      </c>
      <c r="B612" s="341">
        <v>1</v>
      </c>
      <c r="C612" s="309">
        <v>46066</v>
      </c>
      <c r="D612" s="310" t="s">
        <v>311</v>
      </c>
      <c r="E612" s="342">
        <v>16.48</v>
      </c>
      <c r="F612" s="342"/>
      <c r="G612" s="344">
        <f t="shared" si="4"/>
        <v>5735.2899999999936</v>
      </c>
      <c r="H612" s="345"/>
      <c r="I612" s="346"/>
      <c r="J612" s="347"/>
      <c r="K612" s="312"/>
      <c r="L612" s="347"/>
      <c r="M612" s="312"/>
      <c r="N612" s="347"/>
      <c r="O612" s="312"/>
      <c r="P612" s="347"/>
      <c r="Q612" s="312"/>
      <c r="R612" s="347"/>
      <c r="S612" s="312"/>
      <c r="T612" s="347"/>
    </row>
    <row r="613" spans="1:20" ht="12" customHeight="1" x14ac:dyDescent="0.3">
      <c r="A613" s="340" t="s">
        <v>289</v>
      </c>
      <c r="B613" s="341">
        <v>1</v>
      </c>
      <c r="C613" s="309">
        <v>46066</v>
      </c>
      <c r="D613" s="310" t="s">
        <v>428</v>
      </c>
      <c r="E613" s="342">
        <v>12.76</v>
      </c>
      <c r="F613" s="342"/>
      <c r="G613" s="344">
        <f t="shared" si="4"/>
        <v>5751.7699999999932</v>
      </c>
      <c r="H613" s="345"/>
      <c r="I613" s="346"/>
      <c r="J613" s="347"/>
      <c r="K613" s="312"/>
      <c r="L613" s="347"/>
      <c r="M613" s="312"/>
      <c r="N613" s="347"/>
      <c r="O613" s="312"/>
      <c r="P613" s="347"/>
      <c r="Q613" s="312"/>
      <c r="R613" s="347"/>
      <c r="S613" s="312"/>
      <c r="T613" s="347"/>
    </row>
    <row r="614" spans="1:20" ht="12" customHeight="1" x14ac:dyDescent="0.3">
      <c r="A614" s="340" t="s">
        <v>289</v>
      </c>
      <c r="B614" s="341">
        <v>4</v>
      </c>
      <c r="C614" s="309">
        <v>46066</v>
      </c>
      <c r="D614" s="310" t="s">
        <v>329</v>
      </c>
      <c r="E614" s="342">
        <v>37.9</v>
      </c>
      <c r="F614" s="342"/>
      <c r="G614" s="344">
        <f t="shared" si="4"/>
        <v>5764.5299999999934</v>
      </c>
      <c r="H614" s="345"/>
      <c r="I614" s="346"/>
      <c r="J614" s="347"/>
      <c r="K614" s="312"/>
      <c r="L614" s="347"/>
      <c r="M614" s="312"/>
      <c r="N614" s="347"/>
      <c r="O614" s="312"/>
      <c r="P614" s="347"/>
      <c r="Q614" s="312"/>
      <c r="R614" s="347"/>
      <c r="S614" s="312"/>
      <c r="T614" s="347"/>
    </row>
    <row r="615" spans="1:20" ht="12" customHeight="1" x14ac:dyDescent="0.3">
      <c r="A615" s="340" t="s">
        <v>291</v>
      </c>
      <c r="B615" s="341">
        <v>40</v>
      </c>
      <c r="C615" s="309">
        <v>46066</v>
      </c>
      <c r="D615" s="310" t="s">
        <v>316</v>
      </c>
      <c r="E615" s="342"/>
      <c r="F615" s="342">
        <v>427.18</v>
      </c>
      <c r="G615" s="344">
        <f t="shared" si="4"/>
        <v>5802.429999999993</v>
      </c>
      <c r="H615" s="345"/>
      <c r="I615" s="346"/>
      <c r="J615" s="347"/>
      <c r="K615" s="312"/>
      <c r="L615" s="347"/>
      <c r="M615" s="312"/>
      <c r="N615" s="347"/>
      <c r="O615" s="312"/>
      <c r="P615" s="347"/>
      <c r="Q615" s="312"/>
      <c r="R615" s="347"/>
      <c r="S615" s="312"/>
      <c r="T615" s="347"/>
    </row>
    <row r="616" spans="1:20" ht="12" customHeight="1" x14ac:dyDescent="0.3">
      <c r="A616" s="340" t="s">
        <v>291</v>
      </c>
      <c r="B616" s="341">
        <v>38</v>
      </c>
      <c r="C616" s="309">
        <v>46066</v>
      </c>
      <c r="D616" s="310" t="s">
        <v>293</v>
      </c>
      <c r="E616" s="342"/>
      <c r="F616" s="342">
        <v>4278.16</v>
      </c>
      <c r="G616" s="344">
        <f t="shared" si="4"/>
        <v>5375.2499999999927</v>
      </c>
      <c r="H616" s="345"/>
      <c r="I616" s="346"/>
      <c r="J616" s="347"/>
      <c r="K616" s="312"/>
      <c r="L616" s="347"/>
      <c r="M616" s="312"/>
      <c r="N616" s="347"/>
      <c r="O616" s="312"/>
      <c r="P616" s="347"/>
      <c r="Q616" s="312"/>
      <c r="R616" s="347"/>
      <c r="S616" s="312"/>
      <c r="T616" s="347"/>
    </row>
    <row r="617" spans="1:20" ht="12" customHeight="1" x14ac:dyDescent="0.3">
      <c r="A617" s="340" t="s">
        <v>289</v>
      </c>
      <c r="B617" s="341">
        <v>8</v>
      </c>
      <c r="C617" s="309">
        <v>46065</v>
      </c>
      <c r="D617" s="310" t="s">
        <v>357</v>
      </c>
      <c r="E617" s="342">
        <v>111.36</v>
      </c>
      <c r="F617" s="342"/>
      <c r="G617" s="344">
        <f t="shared" si="4"/>
        <v>1097.0899999999931</v>
      </c>
      <c r="H617" s="345"/>
      <c r="I617" s="346"/>
      <c r="J617" s="347"/>
      <c r="K617" s="312"/>
      <c r="L617" s="347"/>
      <c r="M617" s="312"/>
      <c r="N617" s="347"/>
      <c r="O617" s="312"/>
      <c r="P617" s="347"/>
      <c r="Q617" s="312"/>
      <c r="R617" s="347"/>
      <c r="S617" s="312"/>
      <c r="T617" s="347"/>
    </row>
    <row r="618" spans="1:20" ht="12" customHeight="1" x14ac:dyDescent="0.3">
      <c r="A618" s="340" t="s">
        <v>289</v>
      </c>
      <c r="B618" s="341">
        <v>6</v>
      </c>
      <c r="C618" s="309">
        <v>46065</v>
      </c>
      <c r="D618" s="310" t="s">
        <v>442</v>
      </c>
      <c r="E618" s="342">
        <v>16</v>
      </c>
      <c r="F618" s="342"/>
      <c r="G618" s="344">
        <f t="shared" si="4"/>
        <v>1208.449999999993</v>
      </c>
      <c r="H618" s="345"/>
      <c r="I618" s="346"/>
      <c r="J618" s="347"/>
      <c r="K618" s="312"/>
      <c r="L618" s="347"/>
      <c r="M618" s="312"/>
      <c r="N618" s="347"/>
      <c r="O618" s="312"/>
      <c r="P618" s="347"/>
      <c r="Q618" s="312"/>
      <c r="R618" s="347"/>
      <c r="S618" s="312"/>
      <c r="T618" s="347"/>
    </row>
    <row r="619" spans="1:20" ht="12" customHeight="1" x14ac:dyDescent="0.3">
      <c r="A619" s="340" t="s">
        <v>289</v>
      </c>
      <c r="B619" s="341">
        <v>6</v>
      </c>
      <c r="C619" s="309">
        <v>46065</v>
      </c>
      <c r="D619" s="310" t="s">
        <v>300</v>
      </c>
      <c r="E619" s="342">
        <v>29.81</v>
      </c>
      <c r="F619" s="342"/>
      <c r="G619" s="344">
        <f t="shared" si="4"/>
        <v>1224.449999999993</v>
      </c>
      <c r="H619" s="345"/>
      <c r="I619" s="346"/>
      <c r="J619" s="347"/>
      <c r="K619" s="312"/>
      <c r="L619" s="347"/>
      <c r="M619" s="312"/>
      <c r="N619" s="347"/>
      <c r="O619" s="312"/>
      <c r="P619" s="347"/>
      <c r="Q619" s="312"/>
      <c r="R619" s="347"/>
      <c r="S619" s="312"/>
      <c r="T619" s="347"/>
    </row>
    <row r="620" spans="1:20" ht="12" customHeight="1" x14ac:dyDescent="0.3">
      <c r="A620" s="340" t="s">
        <v>294</v>
      </c>
      <c r="B620" s="341">
        <v>19</v>
      </c>
      <c r="C620" s="309">
        <v>46065</v>
      </c>
      <c r="D620" s="310" t="s">
        <v>191</v>
      </c>
      <c r="E620" s="342">
        <v>200</v>
      </c>
      <c r="F620" s="342"/>
      <c r="G620" s="344">
        <f t="shared" si="4"/>
        <v>1254.2599999999929</v>
      </c>
      <c r="H620" s="345"/>
      <c r="I620" s="346"/>
      <c r="J620" s="347"/>
      <c r="K620" s="312"/>
      <c r="L620" s="347"/>
      <c r="M620" s="312"/>
      <c r="N620" s="347"/>
      <c r="O620" s="312"/>
      <c r="P620" s="347"/>
      <c r="Q620" s="312"/>
      <c r="R620" s="347"/>
      <c r="S620" s="312"/>
      <c r="T620" s="347"/>
    </row>
    <row r="621" spans="1:20" ht="12" customHeight="1" x14ac:dyDescent="0.3">
      <c r="A621" s="340" t="s">
        <v>289</v>
      </c>
      <c r="B621" s="341">
        <v>2</v>
      </c>
      <c r="C621" s="309">
        <v>46065</v>
      </c>
      <c r="D621" s="310" t="s">
        <v>296</v>
      </c>
      <c r="E621" s="342">
        <v>7.56</v>
      </c>
      <c r="F621" s="342"/>
      <c r="G621" s="344">
        <f t="shared" si="4"/>
        <v>1454.2599999999929</v>
      </c>
      <c r="H621" s="345"/>
      <c r="I621" s="346"/>
      <c r="J621" s="347"/>
      <c r="K621" s="312"/>
      <c r="L621" s="347"/>
      <c r="M621" s="312"/>
      <c r="N621" s="347"/>
      <c r="O621" s="312"/>
      <c r="P621" s="347"/>
      <c r="Q621" s="312"/>
      <c r="R621" s="347"/>
      <c r="S621" s="312"/>
      <c r="T621" s="347"/>
    </row>
    <row r="622" spans="1:20" ht="12" customHeight="1" x14ac:dyDescent="0.3">
      <c r="A622" s="340" t="s">
        <v>289</v>
      </c>
      <c r="B622" s="341">
        <v>4</v>
      </c>
      <c r="C622" s="309">
        <v>46065</v>
      </c>
      <c r="D622" s="310" t="s">
        <v>296</v>
      </c>
      <c r="E622" s="342">
        <v>65.78</v>
      </c>
      <c r="F622" s="342"/>
      <c r="G622" s="344">
        <f t="shared" si="4"/>
        <v>1461.8199999999929</v>
      </c>
      <c r="H622" s="345"/>
      <c r="I622" s="346"/>
      <c r="J622" s="347"/>
      <c r="K622" s="312"/>
      <c r="L622" s="347"/>
      <c r="M622" s="312"/>
      <c r="N622" s="347"/>
      <c r="O622" s="312"/>
      <c r="P622" s="347"/>
      <c r="Q622" s="312"/>
      <c r="R622" s="347"/>
      <c r="S622" s="312"/>
      <c r="T622" s="347"/>
    </row>
    <row r="623" spans="1:20" ht="12" customHeight="1" x14ac:dyDescent="0.3">
      <c r="A623" s="340" t="s">
        <v>289</v>
      </c>
      <c r="B623" s="341">
        <v>3</v>
      </c>
      <c r="C623" s="309">
        <v>46065</v>
      </c>
      <c r="D623" s="310" t="s">
        <v>296</v>
      </c>
      <c r="E623" s="342">
        <v>3.93</v>
      </c>
      <c r="F623" s="342"/>
      <c r="G623" s="344">
        <f t="shared" si="4"/>
        <v>1527.5999999999929</v>
      </c>
      <c r="H623" s="345"/>
      <c r="I623" s="346"/>
      <c r="J623" s="347"/>
      <c r="K623" s="312"/>
      <c r="L623" s="347"/>
      <c r="M623" s="312"/>
      <c r="N623" s="347"/>
      <c r="O623" s="312"/>
      <c r="P623" s="347"/>
      <c r="Q623" s="312"/>
      <c r="R623" s="347"/>
      <c r="S623" s="312"/>
      <c r="T623" s="347"/>
    </row>
    <row r="624" spans="1:20" ht="12" customHeight="1" x14ac:dyDescent="0.3">
      <c r="A624" s="340" t="s">
        <v>289</v>
      </c>
      <c r="B624" s="341">
        <v>7</v>
      </c>
      <c r="C624" s="309">
        <v>46065</v>
      </c>
      <c r="D624" s="310" t="s">
        <v>443</v>
      </c>
      <c r="E624" s="342">
        <v>564.83000000000004</v>
      </c>
      <c r="F624" s="342"/>
      <c r="G624" s="344">
        <f t="shared" si="4"/>
        <v>1531.5299999999929</v>
      </c>
      <c r="H624" s="345"/>
      <c r="I624" s="346"/>
      <c r="J624" s="347"/>
      <c r="K624" s="312"/>
      <c r="L624" s="347"/>
      <c r="M624" s="312"/>
      <c r="N624" s="347"/>
      <c r="O624" s="312"/>
      <c r="P624" s="347"/>
      <c r="Q624" s="312"/>
      <c r="R624" s="347"/>
      <c r="S624" s="312"/>
      <c r="T624" s="347"/>
    </row>
    <row r="625" spans="1:20" ht="12" customHeight="1" x14ac:dyDescent="0.3">
      <c r="A625" s="340" t="s">
        <v>289</v>
      </c>
      <c r="B625" s="341">
        <v>7</v>
      </c>
      <c r="C625" s="309">
        <v>46065</v>
      </c>
      <c r="D625" s="310" t="s">
        <v>444</v>
      </c>
      <c r="E625" s="342">
        <v>70.180000000000007</v>
      </c>
      <c r="F625" s="342"/>
      <c r="G625" s="344">
        <f t="shared" si="4"/>
        <v>2096.3599999999929</v>
      </c>
      <c r="H625" s="345"/>
      <c r="I625" s="346"/>
      <c r="J625" s="347"/>
      <c r="K625" s="312"/>
      <c r="L625" s="347"/>
      <c r="M625" s="312"/>
      <c r="N625" s="347"/>
      <c r="O625" s="312"/>
      <c r="P625" s="347"/>
      <c r="Q625" s="312"/>
      <c r="R625" s="347"/>
      <c r="S625" s="312"/>
      <c r="T625" s="347"/>
    </row>
    <row r="626" spans="1:20" ht="12" customHeight="1" x14ac:dyDescent="0.3">
      <c r="A626" s="340" t="s">
        <v>289</v>
      </c>
      <c r="B626" s="341">
        <v>6</v>
      </c>
      <c r="C626" s="309">
        <v>46065</v>
      </c>
      <c r="D626" s="310" t="s">
        <v>445</v>
      </c>
      <c r="E626" s="342">
        <v>2.66</v>
      </c>
      <c r="F626" s="342"/>
      <c r="G626" s="344">
        <f t="shared" si="4"/>
        <v>2166.5399999999927</v>
      </c>
      <c r="H626" s="345"/>
      <c r="I626" s="346"/>
      <c r="J626" s="347"/>
      <c r="K626" s="312"/>
      <c r="L626" s="347"/>
      <c r="M626" s="312"/>
      <c r="N626" s="347"/>
      <c r="O626" s="312"/>
      <c r="P626" s="347"/>
      <c r="Q626" s="312"/>
      <c r="R626" s="347"/>
      <c r="S626" s="312"/>
      <c r="T626" s="347"/>
    </row>
    <row r="627" spans="1:20" ht="12" customHeight="1" x14ac:dyDescent="0.3">
      <c r="A627" s="340" t="s">
        <v>289</v>
      </c>
      <c r="B627" s="341">
        <v>5</v>
      </c>
      <c r="C627" s="309">
        <v>46064</v>
      </c>
      <c r="D627" s="310" t="s">
        <v>429</v>
      </c>
      <c r="E627" s="342">
        <v>103.25</v>
      </c>
      <c r="F627" s="342"/>
      <c r="G627" s="344">
        <f t="shared" si="4"/>
        <v>2169.1999999999925</v>
      </c>
      <c r="H627" s="345"/>
      <c r="I627" s="346"/>
      <c r="J627" s="347"/>
      <c r="K627" s="312"/>
      <c r="L627" s="347"/>
      <c r="M627" s="312"/>
      <c r="N627" s="347"/>
      <c r="O627" s="312"/>
      <c r="P627" s="347"/>
      <c r="Q627" s="312"/>
      <c r="R627" s="347"/>
      <c r="S627" s="312"/>
      <c r="T627" s="347"/>
    </row>
    <row r="628" spans="1:20" ht="12" customHeight="1" x14ac:dyDescent="0.3">
      <c r="A628" s="340" t="s">
        <v>289</v>
      </c>
      <c r="B628" s="341">
        <v>4</v>
      </c>
      <c r="C628" s="309">
        <v>46064</v>
      </c>
      <c r="D628" s="310" t="s">
        <v>363</v>
      </c>
      <c r="E628" s="342">
        <v>30.39</v>
      </c>
      <c r="F628" s="342"/>
      <c r="G628" s="344">
        <f t="shared" si="4"/>
        <v>2272.4499999999925</v>
      </c>
      <c r="H628" s="345"/>
      <c r="I628" s="346"/>
      <c r="J628" s="347"/>
      <c r="K628" s="312"/>
      <c r="L628" s="347"/>
      <c r="M628" s="312"/>
      <c r="N628" s="347"/>
      <c r="O628" s="312"/>
      <c r="P628" s="347"/>
      <c r="Q628" s="312"/>
      <c r="R628" s="347"/>
      <c r="S628" s="312"/>
      <c r="T628" s="347"/>
    </row>
    <row r="629" spans="1:20" ht="12" customHeight="1" x14ac:dyDescent="0.3">
      <c r="A629" s="340" t="s">
        <v>289</v>
      </c>
      <c r="B629" s="341">
        <v>2</v>
      </c>
      <c r="C629" s="309">
        <v>46064</v>
      </c>
      <c r="D629" s="310" t="s">
        <v>296</v>
      </c>
      <c r="E629" s="342">
        <v>9.92</v>
      </c>
      <c r="F629" s="342"/>
      <c r="G629" s="344">
        <f t="shared" si="4"/>
        <v>2302.8399999999924</v>
      </c>
      <c r="H629" s="345"/>
      <c r="I629" s="346"/>
      <c r="J629" s="347"/>
      <c r="K629" s="312"/>
      <c r="L629" s="347"/>
      <c r="M629" s="312"/>
      <c r="N629" s="347"/>
      <c r="O629" s="312"/>
      <c r="P629" s="347"/>
      <c r="Q629" s="312"/>
      <c r="R629" s="347"/>
      <c r="S629" s="312"/>
      <c r="T629" s="347"/>
    </row>
    <row r="630" spans="1:20" ht="12" customHeight="1" x14ac:dyDescent="0.3">
      <c r="A630" s="340" t="s">
        <v>289</v>
      </c>
      <c r="B630" s="341">
        <v>3</v>
      </c>
      <c r="C630" s="309">
        <v>46064</v>
      </c>
      <c r="D630" s="310" t="s">
        <v>295</v>
      </c>
      <c r="E630" s="342">
        <v>3.49</v>
      </c>
      <c r="F630" s="342"/>
      <c r="G630" s="344">
        <f t="shared" si="4"/>
        <v>2312.7599999999925</v>
      </c>
      <c r="H630" s="345"/>
      <c r="I630" s="346"/>
      <c r="J630" s="347"/>
      <c r="K630" s="312"/>
      <c r="L630" s="347"/>
      <c r="M630" s="312"/>
      <c r="N630" s="347"/>
      <c r="O630" s="312"/>
      <c r="P630" s="347"/>
      <c r="Q630" s="312"/>
      <c r="R630" s="347"/>
      <c r="S630" s="312"/>
      <c r="T630" s="347"/>
    </row>
    <row r="631" spans="1:20" ht="12" customHeight="1" x14ac:dyDescent="0.3">
      <c r="A631" s="340" t="s">
        <v>294</v>
      </c>
      <c r="B631" s="341">
        <v>22</v>
      </c>
      <c r="C631" s="309">
        <v>46064</v>
      </c>
      <c r="D631" s="310" t="s">
        <v>352</v>
      </c>
      <c r="E631" s="342">
        <v>19.16</v>
      </c>
      <c r="F631" s="342"/>
      <c r="G631" s="344">
        <f t="shared" si="4"/>
        <v>2316.2499999999923</v>
      </c>
      <c r="H631" s="345"/>
      <c r="I631" s="346"/>
      <c r="J631" s="347"/>
      <c r="K631" s="312"/>
      <c r="L631" s="347"/>
      <c r="M631" s="312"/>
      <c r="N631" s="347"/>
      <c r="O631" s="312"/>
      <c r="P631" s="347"/>
      <c r="Q631" s="312"/>
      <c r="R631" s="347"/>
      <c r="S631" s="312"/>
      <c r="T631" s="347"/>
    </row>
    <row r="632" spans="1:20" ht="12" customHeight="1" x14ac:dyDescent="0.3">
      <c r="A632" s="340" t="s">
        <v>289</v>
      </c>
      <c r="B632" s="341">
        <v>6</v>
      </c>
      <c r="C632" s="309">
        <v>46063</v>
      </c>
      <c r="D632" s="310" t="s">
        <v>412</v>
      </c>
      <c r="E632" s="342">
        <v>-8</v>
      </c>
      <c r="F632" s="342"/>
      <c r="G632" s="344">
        <f t="shared" si="4"/>
        <v>2335.4099999999921</v>
      </c>
      <c r="H632" s="345"/>
      <c r="I632" s="346"/>
      <c r="J632" s="347"/>
      <c r="K632" s="312"/>
      <c r="L632" s="347"/>
      <c r="M632" s="312"/>
      <c r="N632" s="347"/>
      <c r="O632" s="312"/>
      <c r="P632" s="347"/>
      <c r="Q632" s="312"/>
      <c r="R632" s="347"/>
      <c r="S632" s="312"/>
      <c r="T632" s="347"/>
    </row>
    <row r="633" spans="1:20" ht="12" customHeight="1" x14ac:dyDescent="0.3">
      <c r="A633" s="340" t="s">
        <v>289</v>
      </c>
      <c r="B633" s="341">
        <v>6</v>
      </c>
      <c r="C633" s="309">
        <v>46063</v>
      </c>
      <c r="D633" s="310" t="s">
        <v>446</v>
      </c>
      <c r="E633" s="342">
        <v>-0.04</v>
      </c>
      <c r="F633" s="342"/>
      <c r="G633" s="344">
        <f t="shared" si="4"/>
        <v>2327.4099999999921</v>
      </c>
      <c r="H633" s="345"/>
      <c r="I633" s="346"/>
      <c r="J633" s="347"/>
      <c r="K633" s="312"/>
      <c r="L633" s="347"/>
      <c r="M633" s="312"/>
      <c r="N633" s="347"/>
      <c r="O633" s="312"/>
      <c r="P633" s="347"/>
      <c r="Q633" s="312"/>
      <c r="R633" s="347"/>
      <c r="S633" s="312"/>
      <c r="T633" s="347"/>
    </row>
    <row r="634" spans="1:20" ht="12" customHeight="1" x14ac:dyDescent="0.3">
      <c r="A634" s="340" t="s">
        <v>335</v>
      </c>
      <c r="B634" s="341" t="s">
        <v>335</v>
      </c>
      <c r="C634" s="309">
        <v>46063</v>
      </c>
      <c r="D634" s="310" t="s">
        <v>447</v>
      </c>
      <c r="E634" s="342">
        <v>65.78</v>
      </c>
      <c r="F634" s="342"/>
      <c r="G634" s="344">
        <f t="shared" si="4"/>
        <v>2327.3699999999922</v>
      </c>
      <c r="H634" s="345"/>
      <c r="I634" s="346"/>
      <c r="J634" s="347"/>
      <c r="K634" s="312"/>
      <c r="L634" s="347"/>
      <c r="M634" s="312"/>
      <c r="N634" s="347"/>
      <c r="O634" s="312"/>
      <c r="P634" s="347"/>
      <c r="Q634" s="312"/>
      <c r="R634" s="347"/>
      <c r="S634" s="312"/>
      <c r="T634" s="347"/>
    </row>
    <row r="635" spans="1:20" ht="12" customHeight="1" x14ac:dyDescent="0.3">
      <c r="A635" s="340" t="s">
        <v>294</v>
      </c>
      <c r="B635" s="341">
        <v>13</v>
      </c>
      <c r="C635" s="309">
        <v>46063</v>
      </c>
      <c r="D635" s="310" t="s">
        <v>182</v>
      </c>
      <c r="E635" s="342">
        <v>159.35</v>
      </c>
      <c r="F635" s="342"/>
      <c r="G635" s="344">
        <f t="shared" si="4"/>
        <v>2393.1499999999924</v>
      </c>
      <c r="H635" s="345"/>
      <c r="I635" s="346"/>
      <c r="J635" s="347"/>
      <c r="K635" s="312"/>
      <c r="L635" s="347"/>
      <c r="M635" s="312"/>
      <c r="N635" s="347"/>
      <c r="O635" s="312"/>
      <c r="P635" s="347"/>
      <c r="Q635" s="312"/>
      <c r="R635" s="347"/>
      <c r="S635" s="312"/>
      <c r="T635" s="347"/>
    </row>
    <row r="636" spans="1:20" ht="12" customHeight="1" x14ac:dyDescent="0.3">
      <c r="A636" s="340" t="s">
        <v>289</v>
      </c>
      <c r="B636" s="341">
        <v>2</v>
      </c>
      <c r="C636" s="309">
        <v>46063</v>
      </c>
      <c r="D636" s="310" t="s">
        <v>296</v>
      </c>
      <c r="E636" s="342">
        <v>16.29</v>
      </c>
      <c r="F636" s="342"/>
      <c r="G636" s="344">
        <f t="shared" si="4"/>
        <v>2552.4999999999923</v>
      </c>
      <c r="H636" s="345"/>
      <c r="I636" s="346"/>
      <c r="J636" s="347"/>
      <c r="K636" s="312"/>
      <c r="L636" s="347"/>
      <c r="M636" s="312"/>
      <c r="N636" s="347"/>
      <c r="O636" s="312"/>
      <c r="P636" s="347"/>
      <c r="Q636" s="312"/>
      <c r="R636" s="347"/>
      <c r="S636" s="312"/>
      <c r="T636" s="347"/>
    </row>
    <row r="637" spans="1:20" ht="12" customHeight="1" x14ac:dyDescent="0.3">
      <c r="A637" s="340" t="s">
        <v>289</v>
      </c>
      <c r="B637" s="341">
        <v>1</v>
      </c>
      <c r="C637" s="309">
        <v>46063</v>
      </c>
      <c r="D637" s="310" t="s">
        <v>311</v>
      </c>
      <c r="E637" s="342">
        <v>19.329999999999998</v>
      </c>
      <c r="F637" s="342"/>
      <c r="G637" s="344">
        <f t="shared" si="4"/>
        <v>2568.7899999999922</v>
      </c>
      <c r="H637" s="345"/>
      <c r="I637" s="346"/>
      <c r="J637" s="347"/>
      <c r="K637" s="312"/>
      <c r="L637" s="347"/>
      <c r="M637" s="312"/>
      <c r="N637" s="347"/>
      <c r="O637" s="312"/>
      <c r="P637" s="347"/>
      <c r="Q637" s="312"/>
      <c r="R637" s="347"/>
      <c r="S637" s="312"/>
      <c r="T637" s="347"/>
    </row>
    <row r="638" spans="1:20" ht="12" customHeight="1" x14ac:dyDescent="0.3">
      <c r="A638" s="340" t="s">
        <v>289</v>
      </c>
      <c r="B638" s="341">
        <v>3</v>
      </c>
      <c r="C638" s="309">
        <v>46062</v>
      </c>
      <c r="D638" s="310" t="s">
        <v>448</v>
      </c>
      <c r="E638" s="342">
        <v>8.61</v>
      </c>
      <c r="F638" s="342"/>
      <c r="G638" s="344">
        <f t="shared" ref="G638:G883" si="5">G639-E638+F638</f>
        <v>2588.1199999999922</v>
      </c>
      <c r="H638" s="345"/>
      <c r="I638" s="346"/>
      <c r="J638" s="347"/>
      <c r="K638" s="312"/>
      <c r="L638" s="347"/>
      <c r="M638" s="312"/>
      <c r="N638" s="347"/>
      <c r="O638" s="312"/>
      <c r="P638" s="347"/>
      <c r="Q638" s="312"/>
      <c r="R638" s="347"/>
      <c r="S638" s="312"/>
      <c r="T638" s="347"/>
    </row>
    <row r="639" spans="1:20" ht="12" customHeight="1" x14ac:dyDescent="0.3">
      <c r="A639" s="340" t="s">
        <v>289</v>
      </c>
      <c r="B639" s="341">
        <v>2</v>
      </c>
      <c r="C639" s="309">
        <v>46062</v>
      </c>
      <c r="D639" s="310" t="s">
        <v>296</v>
      </c>
      <c r="E639" s="342">
        <v>13.41</v>
      </c>
      <c r="F639" s="342"/>
      <c r="G639" s="344">
        <f t="shared" si="5"/>
        <v>2596.7299999999923</v>
      </c>
      <c r="H639" s="345"/>
      <c r="I639" s="346"/>
      <c r="J639" s="347"/>
      <c r="K639" s="312"/>
      <c r="L639" s="347"/>
      <c r="M639" s="312"/>
      <c r="N639" s="347"/>
      <c r="O639" s="312"/>
      <c r="P639" s="347"/>
      <c r="Q639" s="312"/>
      <c r="R639" s="347"/>
      <c r="S639" s="312"/>
      <c r="T639" s="347"/>
    </row>
    <row r="640" spans="1:20" ht="12" customHeight="1" x14ac:dyDescent="0.3">
      <c r="A640" s="340" t="s">
        <v>294</v>
      </c>
      <c r="B640" s="341">
        <v>18</v>
      </c>
      <c r="C640" s="309">
        <v>46062</v>
      </c>
      <c r="D640" s="310" t="s">
        <v>361</v>
      </c>
      <c r="E640" s="342">
        <v>400</v>
      </c>
      <c r="F640" s="342"/>
      <c r="G640" s="344">
        <f t="shared" si="5"/>
        <v>2610.1399999999921</v>
      </c>
      <c r="H640" s="345"/>
      <c r="I640" s="346"/>
      <c r="J640" s="347"/>
      <c r="K640" s="312"/>
      <c r="L640" s="347"/>
      <c r="M640" s="312"/>
      <c r="N640" s="347"/>
      <c r="O640" s="312"/>
      <c r="P640" s="347"/>
      <c r="Q640" s="312"/>
      <c r="R640" s="347"/>
      <c r="S640" s="312"/>
      <c r="T640" s="347"/>
    </row>
    <row r="641" spans="1:20" ht="12" customHeight="1" x14ac:dyDescent="0.3">
      <c r="A641" s="340" t="s">
        <v>294</v>
      </c>
      <c r="B641" s="341">
        <v>9</v>
      </c>
      <c r="C641" s="309">
        <v>46062</v>
      </c>
      <c r="D641" s="310" t="s">
        <v>58</v>
      </c>
      <c r="E641" s="342">
        <v>1281.53</v>
      </c>
      <c r="F641" s="342"/>
      <c r="G641" s="344">
        <f t="shared" si="5"/>
        <v>3010.1399999999921</v>
      </c>
      <c r="H641" s="345"/>
      <c r="I641" s="346"/>
      <c r="J641" s="347"/>
      <c r="K641" s="312"/>
      <c r="L641" s="347"/>
      <c r="M641" s="312"/>
      <c r="N641" s="347"/>
      <c r="O641" s="312"/>
      <c r="P641" s="347"/>
      <c r="Q641" s="312"/>
      <c r="R641" s="347"/>
      <c r="S641" s="312"/>
      <c r="T641" s="347"/>
    </row>
    <row r="642" spans="1:20" ht="12" customHeight="1" x14ac:dyDescent="0.3">
      <c r="A642" s="340" t="s">
        <v>289</v>
      </c>
      <c r="B642" s="341">
        <v>5</v>
      </c>
      <c r="C642" s="309">
        <v>46062</v>
      </c>
      <c r="D642" s="310" t="s">
        <v>449</v>
      </c>
      <c r="E642" s="342">
        <v>50</v>
      </c>
      <c r="F642" s="342"/>
      <c r="G642" s="344">
        <f t="shared" si="5"/>
        <v>4291.6699999999919</v>
      </c>
      <c r="H642" s="345"/>
      <c r="I642" s="346"/>
      <c r="J642" s="347"/>
      <c r="K642" s="312"/>
      <c r="L642" s="347"/>
      <c r="M642" s="312"/>
      <c r="N642" s="347"/>
      <c r="O642" s="312"/>
      <c r="P642" s="347"/>
      <c r="Q642" s="312"/>
      <c r="R642" s="347"/>
      <c r="S642" s="312"/>
      <c r="T642" s="347"/>
    </row>
    <row r="643" spans="1:20" ht="12" customHeight="1" x14ac:dyDescent="0.3">
      <c r="A643" s="340" t="s">
        <v>289</v>
      </c>
      <c r="B643" s="341">
        <v>2</v>
      </c>
      <c r="C643" s="309">
        <v>46062</v>
      </c>
      <c r="D643" s="310" t="s">
        <v>450</v>
      </c>
      <c r="E643" s="342">
        <v>12.1</v>
      </c>
      <c r="F643" s="342"/>
      <c r="G643" s="344">
        <f t="shared" si="5"/>
        <v>4341.6699999999919</v>
      </c>
      <c r="H643" s="345"/>
      <c r="I643" s="346"/>
      <c r="J643" s="347"/>
      <c r="K643" s="312"/>
      <c r="L643" s="347"/>
      <c r="M643" s="312"/>
      <c r="N643" s="347"/>
      <c r="O643" s="312"/>
      <c r="P643" s="347"/>
      <c r="Q643" s="312"/>
      <c r="R643" s="347"/>
      <c r="S643" s="312"/>
      <c r="T643" s="347"/>
    </row>
    <row r="644" spans="1:20" ht="12" customHeight="1" x14ac:dyDescent="0.3">
      <c r="A644" s="340" t="s">
        <v>289</v>
      </c>
      <c r="B644" s="341">
        <v>1</v>
      </c>
      <c r="C644" s="309">
        <v>46061</v>
      </c>
      <c r="D644" s="310" t="s">
        <v>306</v>
      </c>
      <c r="E644" s="342">
        <v>72.099999999999994</v>
      </c>
      <c r="F644" s="342"/>
      <c r="G644" s="344">
        <f t="shared" si="5"/>
        <v>4353.7699999999923</v>
      </c>
      <c r="H644" s="345"/>
      <c r="I644" s="346"/>
      <c r="J644" s="347"/>
      <c r="K644" s="312"/>
      <c r="L644" s="347"/>
      <c r="M644" s="312"/>
      <c r="N644" s="347"/>
      <c r="O644" s="312"/>
      <c r="P644" s="347"/>
      <c r="Q644" s="312"/>
      <c r="R644" s="347"/>
      <c r="S644" s="312"/>
      <c r="T644" s="347"/>
    </row>
    <row r="645" spans="1:20" ht="12" customHeight="1" x14ac:dyDescent="0.3">
      <c r="A645" s="340" t="s">
        <v>289</v>
      </c>
      <c r="B645" s="341">
        <v>8</v>
      </c>
      <c r="C645" s="309">
        <v>46061</v>
      </c>
      <c r="D645" s="310" t="s">
        <v>319</v>
      </c>
      <c r="E645" s="342">
        <v>30.25</v>
      </c>
      <c r="F645" s="342"/>
      <c r="G645" s="344">
        <f t="shared" si="5"/>
        <v>4425.8699999999926</v>
      </c>
      <c r="H645" s="345"/>
      <c r="I645" s="346"/>
      <c r="J645" s="347"/>
      <c r="K645" s="312"/>
      <c r="L645" s="347"/>
      <c r="M645" s="312"/>
      <c r="N645" s="347"/>
      <c r="O645" s="312"/>
      <c r="P645" s="347"/>
      <c r="Q645" s="312"/>
      <c r="R645" s="347"/>
      <c r="S645" s="312"/>
      <c r="T645" s="347"/>
    </row>
    <row r="646" spans="1:20" ht="12" customHeight="1" x14ac:dyDescent="0.3">
      <c r="A646" s="340" t="s">
        <v>289</v>
      </c>
      <c r="B646" s="341">
        <v>3</v>
      </c>
      <c r="C646" s="309">
        <v>46061</v>
      </c>
      <c r="D646" s="310" t="s">
        <v>296</v>
      </c>
      <c r="E646" s="342">
        <v>3.72</v>
      </c>
      <c r="F646" s="342"/>
      <c r="G646" s="344">
        <f t="shared" si="5"/>
        <v>4456.1199999999926</v>
      </c>
      <c r="H646" s="345"/>
      <c r="I646" s="346"/>
      <c r="J646" s="347"/>
      <c r="K646" s="312"/>
      <c r="L646" s="347"/>
      <c r="M646" s="312"/>
      <c r="N646" s="347"/>
      <c r="O646" s="312"/>
      <c r="P646" s="347"/>
      <c r="Q646" s="312"/>
      <c r="R646" s="347"/>
      <c r="S646" s="312"/>
      <c r="T646" s="347"/>
    </row>
    <row r="647" spans="1:20" ht="12" customHeight="1" x14ac:dyDescent="0.3">
      <c r="A647" s="340" t="s">
        <v>289</v>
      </c>
      <c r="B647" s="341">
        <v>4</v>
      </c>
      <c r="C647" s="309">
        <v>46061</v>
      </c>
      <c r="D647" s="310" t="s">
        <v>296</v>
      </c>
      <c r="E647" s="342">
        <v>41.6</v>
      </c>
      <c r="F647" s="342"/>
      <c r="G647" s="344">
        <f t="shared" si="5"/>
        <v>4459.8399999999929</v>
      </c>
      <c r="H647" s="345"/>
      <c r="I647" s="346"/>
      <c r="J647" s="347"/>
      <c r="K647" s="312"/>
      <c r="L647" s="347"/>
      <c r="M647" s="312"/>
      <c r="N647" s="347"/>
      <c r="O647" s="312"/>
      <c r="P647" s="347"/>
      <c r="Q647" s="312"/>
      <c r="R647" s="347"/>
      <c r="S647" s="312"/>
      <c r="T647" s="347"/>
    </row>
    <row r="648" spans="1:20" ht="12" customHeight="1" x14ac:dyDescent="0.3">
      <c r="A648" s="340" t="s">
        <v>289</v>
      </c>
      <c r="B648" s="341">
        <v>3</v>
      </c>
      <c r="C648" s="309">
        <v>46061</v>
      </c>
      <c r="D648" s="310" t="s">
        <v>451</v>
      </c>
      <c r="E648" s="342">
        <v>1</v>
      </c>
      <c r="F648" s="342"/>
      <c r="G648" s="344">
        <f t="shared" si="5"/>
        <v>4501.4399999999932</v>
      </c>
      <c r="H648" s="345"/>
      <c r="I648" s="346"/>
      <c r="J648" s="347"/>
      <c r="K648" s="312"/>
      <c r="L648" s="347"/>
      <c r="M648" s="312"/>
      <c r="N648" s="347"/>
      <c r="O648" s="312"/>
      <c r="P648" s="347"/>
      <c r="Q648" s="312"/>
      <c r="R648" s="347"/>
      <c r="S648" s="312"/>
      <c r="T648" s="347"/>
    </row>
    <row r="649" spans="1:20" ht="12" customHeight="1" x14ac:dyDescent="0.3">
      <c r="A649" s="340" t="s">
        <v>289</v>
      </c>
      <c r="B649" s="341">
        <v>2</v>
      </c>
      <c r="C649" s="309">
        <v>46061</v>
      </c>
      <c r="D649" s="310" t="s">
        <v>358</v>
      </c>
      <c r="E649" s="342">
        <v>10.17</v>
      </c>
      <c r="F649" s="342"/>
      <c r="G649" s="344">
        <f t="shared" si="5"/>
        <v>4502.4399999999932</v>
      </c>
      <c r="H649" s="345"/>
      <c r="I649" s="346"/>
      <c r="J649" s="347"/>
      <c r="K649" s="312"/>
      <c r="L649" s="347"/>
      <c r="M649" s="312"/>
      <c r="N649" s="347"/>
      <c r="O649" s="312"/>
      <c r="P649" s="347"/>
      <c r="Q649" s="312"/>
      <c r="R649" s="347"/>
      <c r="S649" s="312"/>
      <c r="T649" s="347"/>
    </row>
    <row r="650" spans="1:20" ht="12" customHeight="1" x14ac:dyDescent="0.3">
      <c r="A650" s="340" t="s">
        <v>287</v>
      </c>
      <c r="B650" s="341" t="s">
        <v>287</v>
      </c>
      <c r="C650" s="309">
        <v>46060</v>
      </c>
      <c r="D650" s="310" t="s">
        <v>452</v>
      </c>
      <c r="E650" s="342">
        <v>367.77</v>
      </c>
      <c r="F650" s="342">
        <v>367.77</v>
      </c>
      <c r="G650" s="344">
        <f t="shared" si="5"/>
        <v>4512.6099999999933</v>
      </c>
      <c r="H650" s="345"/>
      <c r="I650" s="346"/>
      <c r="J650" s="347"/>
      <c r="K650" s="312"/>
      <c r="L650" s="347"/>
      <c r="M650" s="312"/>
      <c r="N650" s="347"/>
      <c r="O650" s="312"/>
      <c r="P650" s="347"/>
      <c r="Q650" s="312"/>
      <c r="R650" s="347"/>
      <c r="S650" s="312"/>
      <c r="T650" s="347"/>
    </row>
    <row r="651" spans="1:20" ht="12" customHeight="1" x14ac:dyDescent="0.3">
      <c r="A651" s="340" t="s">
        <v>289</v>
      </c>
      <c r="B651" s="341">
        <v>4</v>
      </c>
      <c r="C651" s="309">
        <v>46060</v>
      </c>
      <c r="D651" s="310" t="s">
        <v>310</v>
      </c>
      <c r="E651" s="342">
        <v>32.36</v>
      </c>
      <c r="F651" s="342"/>
      <c r="G651" s="344">
        <f t="shared" si="5"/>
        <v>4512.6099999999933</v>
      </c>
      <c r="H651" s="345"/>
      <c r="I651" s="346"/>
      <c r="J651" s="347"/>
      <c r="K651" s="312"/>
      <c r="L651" s="347"/>
      <c r="M651" s="312"/>
      <c r="N651" s="347"/>
      <c r="O651" s="312"/>
      <c r="P651" s="347"/>
      <c r="Q651" s="312"/>
      <c r="R651" s="347"/>
      <c r="S651" s="312"/>
      <c r="T651" s="347"/>
    </row>
    <row r="652" spans="1:20" ht="12" customHeight="1" x14ac:dyDescent="0.3">
      <c r="A652" s="340" t="s">
        <v>289</v>
      </c>
      <c r="B652" s="341">
        <v>6</v>
      </c>
      <c r="C652" s="309">
        <v>46060</v>
      </c>
      <c r="D652" s="310" t="s">
        <v>453</v>
      </c>
      <c r="E652" s="342">
        <v>41.39</v>
      </c>
      <c r="F652" s="342"/>
      <c r="G652" s="344">
        <f t="shared" si="5"/>
        <v>4544.969999999993</v>
      </c>
      <c r="H652" s="345"/>
      <c r="I652" s="346"/>
      <c r="J652" s="347"/>
      <c r="K652" s="312"/>
      <c r="L652" s="347"/>
      <c r="M652" s="312"/>
      <c r="N652" s="347"/>
      <c r="O652" s="312"/>
      <c r="P652" s="347"/>
      <c r="Q652" s="312"/>
      <c r="R652" s="347"/>
      <c r="S652" s="312"/>
      <c r="T652" s="347"/>
    </row>
    <row r="653" spans="1:20" ht="12" customHeight="1" x14ac:dyDescent="0.3">
      <c r="A653" s="340" t="s">
        <v>289</v>
      </c>
      <c r="B653" s="341">
        <v>1</v>
      </c>
      <c r="C653" s="309">
        <v>46060</v>
      </c>
      <c r="D653" s="310" t="s">
        <v>445</v>
      </c>
      <c r="E653" s="342">
        <v>35.770000000000003</v>
      </c>
      <c r="F653" s="342"/>
      <c r="G653" s="344">
        <f t="shared" si="5"/>
        <v>4586.3599999999933</v>
      </c>
      <c r="H653" s="345"/>
      <c r="I653" s="346"/>
      <c r="J653" s="347"/>
      <c r="K653" s="312"/>
      <c r="L653" s="347"/>
      <c r="M653" s="312"/>
      <c r="N653" s="347"/>
      <c r="O653" s="312"/>
      <c r="P653" s="347"/>
      <c r="Q653" s="312"/>
      <c r="R653" s="347"/>
      <c r="S653" s="312"/>
      <c r="T653" s="347"/>
    </row>
    <row r="654" spans="1:20" ht="12" customHeight="1" x14ac:dyDescent="0.3">
      <c r="A654" s="340" t="s">
        <v>289</v>
      </c>
      <c r="B654" s="341">
        <v>3</v>
      </c>
      <c r="C654" s="309">
        <v>46060</v>
      </c>
      <c r="D654" s="310" t="s">
        <v>348</v>
      </c>
      <c r="E654" s="342">
        <v>25</v>
      </c>
      <c r="F654" s="342"/>
      <c r="G654" s="344">
        <f t="shared" si="5"/>
        <v>4622.1299999999937</v>
      </c>
      <c r="H654" s="345"/>
      <c r="I654" s="346"/>
      <c r="J654" s="347"/>
      <c r="K654" s="312"/>
      <c r="L654" s="347"/>
      <c r="M654" s="312"/>
      <c r="N654" s="347"/>
      <c r="O654" s="312"/>
      <c r="P654" s="347"/>
      <c r="Q654" s="312"/>
      <c r="R654" s="347"/>
      <c r="S654" s="312"/>
      <c r="T654" s="347"/>
    </row>
    <row r="655" spans="1:20" ht="12" customHeight="1" x14ac:dyDescent="0.3">
      <c r="A655" s="340" t="s">
        <v>289</v>
      </c>
      <c r="B655" s="341">
        <v>8</v>
      </c>
      <c r="C655" s="309">
        <v>46060</v>
      </c>
      <c r="D655" s="310" t="s">
        <v>296</v>
      </c>
      <c r="E655" s="342">
        <v>6.69</v>
      </c>
      <c r="F655" s="342"/>
      <c r="G655" s="344">
        <f t="shared" si="5"/>
        <v>4647.1299999999937</v>
      </c>
      <c r="H655" s="345"/>
      <c r="I655" s="346"/>
      <c r="J655" s="347"/>
      <c r="K655" s="312"/>
      <c r="L655" s="347"/>
      <c r="M655" s="312"/>
      <c r="N655" s="347"/>
      <c r="O655" s="312"/>
      <c r="P655" s="347"/>
      <c r="Q655" s="312"/>
      <c r="R655" s="347"/>
      <c r="S655" s="312"/>
      <c r="T655" s="347"/>
    </row>
    <row r="656" spans="1:20" ht="12" customHeight="1" x14ac:dyDescent="0.3">
      <c r="A656" s="340" t="s">
        <v>289</v>
      </c>
      <c r="B656" s="341">
        <v>4</v>
      </c>
      <c r="C656" s="309">
        <v>46060</v>
      </c>
      <c r="D656" s="310" t="s">
        <v>296</v>
      </c>
      <c r="E656" s="342">
        <v>47.85</v>
      </c>
      <c r="F656" s="342"/>
      <c r="G656" s="344">
        <f t="shared" si="5"/>
        <v>4653.8199999999933</v>
      </c>
      <c r="H656" s="345"/>
      <c r="I656" s="346"/>
      <c r="J656" s="347"/>
      <c r="K656" s="312"/>
      <c r="L656" s="347"/>
      <c r="M656" s="312"/>
      <c r="N656" s="347"/>
      <c r="O656" s="312"/>
      <c r="P656" s="347"/>
      <c r="Q656" s="312"/>
      <c r="R656" s="347"/>
      <c r="S656" s="312"/>
      <c r="T656" s="347"/>
    </row>
    <row r="657" spans="1:20" ht="12" customHeight="1" x14ac:dyDescent="0.3">
      <c r="A657" s="340" t="s">
        <v>289</v>
      </c>
      <c r="B657" s="341">
        <v>2</v>
      </c>
      <c r="C657" s="309">
        <v>46059</v>
      </c>
      <c r="D657" s="310" t="s">
        <v>301</v>
      </c>
      <c r="E657" s="342">
        <v>20</v>
      </c>
      <c r="F657" s="342"/>
      <c r="G657" s="344">
        <f t="shared" si="5"/>
        <v>4701.6699999999937</v>
      </c>
      <c r="H657" s="345"/>
      <c r="I657" s="346"/>
      <c r="J657" s="347"/>
      <c r="K657" s="312"/>
      <c r="L657" s="347"/>
      <c r="M657" s="312"/>
      <c r="N657" s="347"/>
      <c r="O657" s="312"/>
      <c r="P657" s="347"/>
      <c r="Q657" s="312"/>
      <c r="R657" s="347"/>
      <c r="S657" s="312"/>
      <c r="T657" s="347"/>
    </row>
    <row r="658" spans="1:20" ht="12" customHeight="1" x14ac:dyDescent="0.3">
      <c r="A658" s="340" t="s">
        <v>291</v>
      </c>
      <c r="B658" s="341">
        <v>40</v>
      </c>
      <c r="C658" s="309">
        <v>46059</v>
      </c>
      <c r="D658" s="310" t="s">
        <v>316</v>
      </c>
      <c r="E658" s="342"/>
      <c r="F658" s="342">
        <v>822.99</v>
      </c>
      <c r="G658" s="344">
        <f t="shared" si="5"/>
        <v>4721.6699999999937</v>
      </c>
      <c r="H658" s="345"/>
      <c r="I658" s="346"/>
      <c r="J658" s="347"/>
      <c r="K658" s="312"/>
      <c r="L658" s="347"/>
      <c r="M658" s="312"/>
      <c r="N658" s="347"/>
      <c r="O658" s="312"/>
      <c r="P658" s="347"/>
      <c r="Q658" s="312"/>
      <c r="R658" s="347"/>
      <c r="S658" s="312"/>
      <c r="T658" s="347"/>
    </row>
    <row r="659" spans="1:20" ht="12" customHeight="1" x14ac:dyDescent="0.3">
      <c r="A659" s="340" t="s">
        <v>294</v>
      </c>
      <c r="B659" s="341">
        <v>14</v>
      </c>
      <c r="C659" s="309">
        <v>46059</v>
      </c>
      <c r="D659" s="310" t="s">
        <v>366</v>
      </c>
      <c r="E659" s="342">
        <v>66.67</v>
      </c>
      <c r="F659" s="342"/>
      <c r="G659" s="344">
        <f t="shared" si="5"/>
        <v>3898.6799999999935</v>
      </c>
      <c r="H659" s="345"/>
      <c r="I659" s="346"/>
      <c r="J659" s="347"/>
      <c r="K659" s="312"/>
      <c r="L659" s="347"/>
      <c r="M659" s="312"/>
      <c r="N659" s="347"/>
      <c r="O659" s="312"/>
      <c r="P659" s="347"/>
      <c r="Q659" s="312"/>
      <c r="R659" s="347"/>
      <c r="S659" s="312"/>
      <c r="T659" s="347"/>
    </row>
    <row r="660" spans="1:20" ht="12" customHeight="1" x14ac:dyDescent="0.3">
      <c r="A660" s="340" t="s">
        <v>289</v>
      </c>
      <c r="B660" s="341">
        <v>2</v>
      </c>
      <c r="C660" s="309">
        <v>46059</v>
      </c>
      <c r="D660" s="310" t="s">
        <v>296</v>
      </c>
      <c r="E660" s="342">
        <v>9.35</v>
      </c>
      <c r="F660" s="342"/>
      <c r="G660" s="344">
        <f t="shared" si="5"/>
        <v>3965.3499999999935</v>
      </c>
      <c r="H660" s="345"/>
      <c r="I660" s="346"/>
      <c r="J660" s="347"/>
      <c r="K660" s="312"/>
      <c r="L660" s="347"/>
      <c r="M660" s="312"/>
      <c r="N660" s="347"/>
      <c r="O660" s="312"/>
      <c r="P660" s="347"/>
      <c r="Q660" s="312"/>
      <c r="R660" s="347"/>
      <c r="S660" s="312"/>
      <c r="T660" s="347"/>
    </row>
    <row r="661" spans="1:20" ht="12" customHeight="1" x14ac:dyDescent="0.3">
      <c r="A661" s="340" t="s">
        <v>289</v>
      </c>
      <c r="B661" s="341">
        <v>4</v>
      </c>
      <c r="C661" s="309">
        <v>46059</v>
      </c>
      <c r="D661" s="310" t="s">
        <v>296</v>
      </c>
      <c r="E661" s="342">
        <v>45.81</v>
      </c>
      <c r="F661" s="342"/>
      <c r="G661" s="344">
        <f t="shared" si="5"/>
        <v>3974.6999999999935</v>
      </c>
      <c r="H661" s="345"/>
      <c r="I661" s="346"/>
      <c r="J661" s="347"/>
      <c r="K661" s="312"/>
      <c r="L661" s="347"/>
      <c r="M661" s="312"/>
      <c r="N661" s="347"/>
      <c r="O661" s="312"/>
      <c r="P661" s="347"/>
      <c r="Q661" s="312"/>
      <c r="R661" s="347"/>
      <c r="S661" s="312"/>
      <c r="T661" s="347"/>
    </row>
    <row r="662" spans="1:20" ht="12" customHeight="1" x14ac:dyDescent="0.3">
      <c r="A662" s="340" t="s">
        <v>289</v>
      </c>
      <c r="B662" s="341">
        <v>2</v>
      </c>
      <c r="C662" s="309">
        <v>46059</v>
      </c>
      <c r="D662" s="310" t="s">
        <v>353</v>
      </c>
      <c r="E662" s="342">
        <v>22.98</v>
      </c>
      <c r="F662" s="342"/>
      <c r="G662" s="344">
        <f t="shared" si="5"/>
        <v>4020.5099999999934</v>
      </c>
      <c r="H662" s="345"/>
      <c r="I662" s="346"/>
      <c r="J662" s="347"/>
      <c r="K662" s="312"/>
      <c r="L662" s="347"/>
      <c r="M662" s="312"/>
      <c r="N662" s="347"/>
      <c r="O662" s="312"/>
      <c r="P662" s="347"/>
      <c r="Q662" s="312"/>
      <c r="R662" s="347"/>
      <c r="S662" s="312"/>
      <c r="T662" s="347"/>
    </row>
    <row r="663" spans="1:20" ht="12" customHeight="1" x14ac:dyDescent="0.3">
      <c r="A663" s="340" t="s">
        <v>289</v>
      </c>
      <c r="B663" s="341">
        <v>2</v>
      </c>
      <c r="C663" s="309">
        <v>46059</v>
      </c>
      <c r="D663" s="310" t="s">
        <v>301</v>
      </c>
      <c r="E663" s="342">
        <v>46.5</v>
      </c>
      <c r="F663" s="342"/>
      <c r="G663" s="344">
        <f t="shared" si="5"/>
        <v>4043.4899999999934</v>
      </c>
      <c r="H663" s="345"/>
      <c r="I663" s="346"/>
      <c r="J663" s="347"/>
      <c r="K663" s="312"/>
      <c r="L663" s="347"/>
      <c r="M663" s="312"/>
      <c r="N663" s="347"/>
      <c r="O663" s="312"/>
      <c r="P663" s="347"/>
      <c r="Q663" s="312"/>
      <c r="R663" s="347"/>
      <c r="S663" s="312"/>
      <c r="T663" s="347"/>
    </row>
    <row r="664" spans="1:20" ht="12" customHeight="1" x14ac:dyDescent="0.3">
      <c r="A664" s="340" t="s">
        <v>289</v>
      </c>
      <c r="B664" s="341">
        <v>2</v>
      </c>
      <c r="C664" s="309">
        <v>46059</v>
      </c>
      <c r="D664" s="310" t="s">
        <v>358</v>
      </c>
      <c r="E664" s="342">
        <v>10.17</v>
      </c>
      <c r="F664" s="342"/>
      <c r="G664" s="344">
        <f t="shared" si="5"/>
        <v>4089.9899999999934</v>
      </c>
      <c r="H664" s="345"/>
      <c r="I664" s="346"/>
      <c r="J664" s="347"/>
      <c r="K664" s="312"/>
      <c r="L664" s="347"/>
      <c r="M664" s="312"/>
      <c r="N664" s="347"/>
      <c r="O664" s="312"/>
      <c r="P664" s="347"/>
      <c r="Q664" s="312"/>
      <c r="R664" s="347"/>
      <c r="S664" s="312"/>
      <c r="T664" s="347"/>
    </row>
    <row r="665" spans="1:20" ht="12" customHeight="1" x14ac:dyDescent="0.3">
      <c r="A665" s="340" t="s">
        <v>289</v>
      </c>
      <c r="B665" s="341">
        <v>8</v>
      </c>
      <c r="C665" s="309">
        <v>46059</v>
      </c>
      <c r="D665" s="310" t="s">
        <v>435</v>
      </c>
      <c r="E665" s="342">
        <v>81.2</v>
      </c>
      <c r="F665" s="342"/>
      <c r="G665" s="344">
        <f t="shared" si="5"/>
        <v>4100.1599999999935</v>
      </c>
      <c r="H665" s="345"/>
      <c r="I665" s="346"/>
      <c r="J665" s="347"/>
      <c r="K665" s="312"/>
      <c r="L665" s="347"/>
      <c r="M665" s="312"/>
      <c r="N665" s="347"/>
      <c r="O665" s="312"/>
      <c r="P665" s="347"/>
      <c r="Q665" s="312"/>
      <c r="R665" s="347"/>
      <c r="S665" s="312"/>
      <c r="T665" s="347"/>
    </row>
    <row r="666" spans="1:20" ht="12" customHeight="1" x14ac:dyDescent="0.3">
      <c r="A666" s="340" t="s">
        <v>289</v>
      </c>
      <c r="B666" s="341">
        <v>2</v>
      </c>
      <c r="C666" s="309">
        <v>46058</v>
      </c>
      <c r="D666" s="310" t="s">
        <v>301</v>
      </c>
      <c r="E666" s="342">
        <v>21</v>
      </c>
      <c r="F666" s="342"/>
      <c r="G666" s="344">
        <f t="shared" si="5"/>
        <v>4181.3599999999933</v>
      </c>
      <c r="H666" s="345"/>
      <c r="I666" s="346"/>
      <c r="J666" s="347"/>
      <c r="K666" s="312"/>
      <c r="L666" s="347"/>
      <c r="M666" s="312"/>
      <c r="N666" s="347"/>
      <c r="O666" s="312"/>
      <c r="P666" s="347"/>
      <c r="Q666" s="312"/>
      <c r="R666" s="347"/>
      <c r="S666" s="312"/>
      <c r="T666" s="347"/>
    </row>
    <row r="667" spans="1:20" ht="12" customHeight="1" x14ac:dyDescent="0.3">
      <c r="A667" s="340" t="s">
        <v>291</v>
      </c>
      <c r="B667" s="341">
        <v>39</v>
      </c>
      <c r="C667" s="309">
        <v>46058</v>
      </c>
      <c r="D667" s="310" t="s">
        <v>292</v>
      </c>
      <c r="E667" s="342"/>
      <c r="F667" s="342">
        <v>2763.79</v>
      </c>
      <c r="G667" s="344">
        <f t="shared" si="5"/>
        <v>4202.3599999999933</v>
      </c>
      <c r="H667" s="345"/>
      <c r="I667" s="346"/>
      <c r="J667" s="347"/>
      <c r="K667" s="312"/>
      <c r="L667" s="347"/>
      <c r="M667" s="312"/>
      <c r="N667" s="347"/>
      <c r="O667" s="312"/>
      <c r="P667" s="347"/>
      <c r="Q667" s="312"/>
      <c r="R667" s="347"/>
      <c r="S667" s="312"/>
      <c r="T667" s="347"/>
    </row>
    <row r="668" spans="1:20" ht="12" customHeight="1" x14ac:dyDescent="0.3">
      <c r="A668" s="340" t="s">
        <v>289</v>
      </c>
      <c r="B668" s="341">
        <v>8</v>
      </c>
      <c r="C668" s="309">
        <v>46058</v>
      </c>
      <c r="D668" s="310" t="s">
        <v>357</v>
      </c>
      <c r="E668" s="342">
        <v>95.35</v>
      </c>
      <c r="F668" s="342"/>
      <c r="G668" s="344">
        <f t="shared" si="5"/>
        <v>1438.5699999999933</v>
      </c>
      <c r="H668" s="345"/>
      <c r="I668" s="346"/>
      <c r="J668" s="347"/>
      <c r="K668" s="312"/>
      <c r="L668" s="347"/>
      <c r="M668" s="312"/>
      <c r="N668" s="347"/>
      <c r="O668" s="312"/>
      <c r="P668" s="347"/>
      <c r="Q668" s="312"/>
      <c r="R668" s="347"/>
      <c r="S668" s="312"/>
      <c r="T668" s="347"/>
    </row>
    <row r="669" spans="1:20" ht="12" customHeight="1" x14ac:dyDescent="0.3">
      <c r="A669" s="340" t="s">
        <v>289</v>
      </c>
      <c r="B669" s="341">
        <v>2</v>
      </c>
      <c r="C669" s="309">
        <v>46058</v>
      </c>
      <c r="D669" s="310" t="s">
        <v>353</v>
      </c>
      <c r="E669" s="342">
        <v>14.99</v>
      </c>
      <c r="F669" s="342"/>
      <c r="G669" s="344">
        <f t="shared" si="5"/>
        <v>1533.9199999999933</v>
      </c>
      <c r="H669" s="345"/>
      <c r="I669" s="346"/>
      <c r="J669" s="347"/>
      <c r="K669" s="312"/>
      <c r="L669" s="347"/>
      <c r="M669" s="312"/>
      <c r="N669" s="347"/>
      <c r="O669" s="312"/>
      <c r="P669" s="347"/>
      <c r="Q669" s="312"/>
      <c r="R669" s="347"/>
      <c r="S669" s="312"/>
      <c r="T669" s="347"/>
    </row>
    <row r="670" spans="1:20" ht="12" customHeight="1" x14ac:dyDescent="0.3">
      <c r="A670" s="340" t="s">
        <v>287</v>
      </c>
      <c r="B670" s="341" t="s">
        <v>287</v>
      </c>
      <c r="C670" s="309">
        <v>46058</v>
      </c>
      <c r="D670" s="310" t="s">
        <v>452</v>
      </c>
      <c r="E670" s="342">
        <v>77.569999999999993</v>
      </c>
      <c r="F670" s="342">
        <v>77.569999999999993</v>
      </c>
      <c r="G670" s="344">
        <f t="shared" si="5"/>
        <v>1548.9099999999933</v>
      </c>
      <c r="H670" s="345"/>
      <c r="I670" s="346"/>
      <c r="J670" s="347"/>
      <c r="K670" s="312"/>
      <c r="L670" s="347"/>
      <c r="M670" s="312"/>
      <c r="N670" s="347"/>
      <c r="O670" s="312"/>
      <c r="P670" s="347"/>
      <c r="Q670" s="312"/>
      <c r="R670" s="347"/>
      <c r="S670" s="312"/>
      <c r="T670" s="347"/>
    </row>
    <row r="671" spans="1:20" ht="12" customHeight="1" x14ac:dyDescent="0.3">
      <c r="A671" s="340" t="s">
        <v>289</v>
      </c>
      <c r="B671" s="341">
        <v>6</v>
      </c>
      <c r="C671" s="309">
        <v>46057</v>
      </c>
      <c r="D671" s="310" t="s">
        <v>344</v>
      </c>
      <c r="E671" s="342">
        <v>50</v>
      </c>
      <c r="F671" s="342"/>
      <c r="G671" s="344">
        <f t="shared" si="5"/>
        <v>1548.9099999999933</v>
      </c>
      <c r="H671" s="345"/>
      <c r="I671" s="346"/>
      <c r="J671" s="347"/>
      <c r="K671" s="312"/>
      <c r="L671" s="347"/>
      <c r="M671" s="312"/>
      <c r="N671" s="347"/>
      <c r="O671" s="312"/>
      <c r="P671" s="347"/>
      <c r="Q671" s="312"/>
      <c r="R671" s="347"/>
      <c r="S671" s="312"/>
      <c r="T671" s="347"/>
    </row>
    <row r="672" spans="1:20" ht="12" customHeight="1" x14ac:dyDescent="0.3">
      <c r="A672" s="340" t="s">
        <v>289</v>
      </c>
      <c r="B672" s="341">
        <v>1</v>
      </c>
      <c r="C672" s="309">
        <v>46057</v>
      </c>
      <c r="D672" s="310" t="s">
        <v>306</v>
      </c>
      <c r="E672" s="342">
        <v>62.03</v>
      </c>
      <c r="F672" s="342"/>
      <c r="G672" s="344">
        <f t="shared" si="5"/>
        <v>1598.9099999999933</v>
      </c>
      <c r="H672" s="345"/>
      <c r="I672" s="346"/>
      <c r="J672" s="347"/>
      <c r="K672" s="312"/>
      <c r="L672" s="347"/>
      <c r="M672" s="312"/>
      <c r="N672" s="347"/>
      <c r="O672" s="312"/>
      <c r="P672" s="347"/>
      <c r="Q672" s="312"/>
      <c r="R672" s="347"/>
      <c r="S672" s="312"/>
      <c r="T672" s="347"/>
    </row>
    <row r="673" spans="1:20" ht="12" customHeight="1" x14ac:dyDescent="0.3">
      <c r="A673" s="340" t="s">
        <v>289</v>
      </c>
      <c r="B673" s="341">
        <v>2</v>
      </c>
      <c r="C673" s="309">
        <v>46057</v>
      </c>
      <c r="D673" s="310" t="s">
        <v>296</v>
      </c>
      <c r="E673" s="342">
        <v>14.91</v>
      </c>
      <c r="F673" s="342"/>
      <c r="G673" s="344">
        <f t="shared" si="5"/>
        <v>1660.9399999999932</v>
      </c>
      <c r="H673" s="345"/>
      <c r="I673" s="346"/>
      <c r="J673" s="347"/>
      <c r="K673" s="312"/>
      <c r="L673" s="347"/>
      <c r="M673" s="312"/>
      <c r="N673" s="347"/>
      <c r="O673" s="312"/>
      <c r="P673" s="347"/>
      <c r="Q673" s="312"/>
      <c r="R673" s="347"/>
      <c r="S673" s="312"/>
      <c r="T673" s="347"/>
    </row>
    <row r="674" spans="1:20" ht="12" customHeight="1" x14ac:dyDescent="0.3">
      <c r="A674" s="340" t="s">
        <v>289</v>
      </c>
      <c r="B674" s="341">
        <v>4</v>
      </c>
      <c r="C674" s="309">
        <v>46057</v>
      </c>
      <c r="D674" s="310" t="s">
        <v>310</v>
      </c>
      <c r="E674" s="342">
        <v>63.38</v>
      </c>
      <c r="F674" s="342"/>
      <c r="G674" s="344">
        <f t="shared" si="5"/>
        <v>1675.8499999999933</v>
      </c>
      <c r="H674" s="345"/>
      <c r="I674" s="346"/>
      <c r="J674" s="347"/>
      <c r="K674" s="312"/>
      <c r="L674" s="347"/>
      <c r="M674" s="312"/>
      <c r="N674" s="347"/>
      <c r="O674" s="312"/>
      <c r="P674" s="347"/>
      <c r="Q674" s="312"/>
      <c r="R674" s="347"/>
      <c r="S674" s="312"/>
      <c r="T674" s="347"/>
    </row>
    <row r="675" spans="1:20" ht="12" customHeight="1" x14ac:dyDescent="0.3">
      <c r="A675" s="340" t="s">
        <v>287</v>
      </c>
      <c r="B675" s="341" t="s">
        <v>287</v>
      </c>
      <c r="C675" s="309">
        <v>46057</v>
      </c>
      <c r="D675" s="310" t="s">
        <v>454</v>
      </c>
      <c r="E675" s="342">
        <v>192.78</v>
      </c>
      <c r="F675" s="342">
        <v>192.78</v>
      </c>
      <c r="G675" s="344">
        <f t="shared" si="5"/>
        <v>1739.2299999999934</v>
      </c>
      <c r="H675" s="345"/>
      <c r="I675" s="346"/>
      <c r="J675" s="347"/>
      <c r="K675" s="312"/>
      <c r="L675" s="347"/>
      <c r="M675" s="312"/>
      <c r="N675" s="347"/>
      <c r="O675" s="312"/>
      <c r="P675" s="347"/>
      <c r="Q675" s="312"/>
      <c r="R675" s="347"/>
      <c r="S675" s="312"/>
      <c r="T675" s="347"/>
    </row>
    <row r="676" spans="1:20" ht="12" customHeight="1" x14ac:dyDescent="0.3">
      <c r="A676" s="340" t="s">
        <v>294</v>
      </c>
      <c r="B676" s="341">
        <v>14</v>
      </c>
      <c r="C676" s="309">
        <v>46057</v>
      </c>
      <c r="D676" s="310" t="s">
        <v>367</v>
      </c>
      <c r="E676" s="342">
        <v>68.739999999999995</v>
      </c>
      <c r="F676" s="342"/>
      <c r="G676" s="344">
        <f t="shared" si="5"/>
        <v>1739.2299999999934</v>
      </c>
      <c r="H676" s="345"/>
      <c r="I676" s="346"/>
      <c r="J676" s="347"/>
      <c r="K676" s="312"/>
      <c r="L676" s="347"/>
      <c r="M676" s="312"/>
      <c r="N676" s="347"/>
      <c r="O676" s="312"/>
      <c r="P676" s="347"/>
      <c r="Q676" s="312"/>
      <c r="R676" s="347"/>
      <c r="S676" s="312"/>
      <c r="T676" s="347"/>
    </row>
    <row r="677" spans="1:20" ht="12" customHeight="1" x14ac:dyDescent="0.3">
      <c r="A677" s="340" t="s">
        <v>289</v>
      </c>
      <c r="B677" s="341">
        <v>6</v>
      </c>
      <c r="C677" s="309">
        <v>46057</v>
      </c>
      <c r="D677" s="310" t="s">
        <v>300</v>
      </c>
      <c r="E677" s="342">
        <v>-42.58</v>
      </c>
      <c r="F677" s="342"/>
      <c r="G677" s="344">
        <f t="shared" si="5"/>
        <v>1807.9699999999934</v>
      </c>
      <c r="H677" s="345"/>
      <c r="I677" s="346"/>
      <c r="J677" s="347"/>
      <c r="K677" s="312"/>
      <c r="L677" s="347"/>
      <c r="M677" s="312"/>
      <c r="N677" s="347"/>
      <c r="O677" s="312"/>
      <c r="P677" s="347"/>
      <c r="Q677" s="312"/>
      <c r="R677" s="347"/>
      <c r="S677" s="312"/>
      <c r="T677" s="347"/>
    </row>
    <row r="678" spans="1:20" ht="12" customHeight="1" x14ac:dyDescent="0.3">
      <c r="A678" s="340" t="s">
        <v>289</v>
      </c>
      <c r="B678" s="341">
        <v>1</v>
      </c>
      <c r="C678" s="309">
        <v>46057</v>
      </c>
      <c r="D678" s="310" t="s">
        <v>371</v>
      </c>
      <c r="E678" s="342">
        <v>31.36</v>
      </c>
      <c r="F678" s="342"/>
      <c r="G678" s="344">
        <f t="shared" si="5"/>
        <v>1765.3899999999935</v>
      </c>
      <c r="H678" s="345"/>
      <c r="I678" s="346"/>
      <c r="J678" s="347"/>
      <c r="K678" s="312"/>
      <c r="L678" s="347"/>
      <c r="M678" s="312"/>
      <c r="N678" s="347"/>
      <c r="O678" s="312"/>
      <c r="P678" s="347"/>
      <c r="Q678" s="312"/>
      <c r="R678" s="347"/>
      <c r="S678" s="312"/>
      <c r="T678" s="347"/>
    </row>
    <row r="679" spans="1:20" ht="12" customHeight="1" x14ac:dyDescent="0.3">
      <c r="A679" s="340" t="s">
        <v>294</v>
      </c>
      <c r="B679" s="341">
        <v>17</v>
      </c>
      <c r="C679" s="309">
        <v>46057</v>
      </c>
      <c r="D679" s="310" t="s">
        <v>370</v>
      </c>
      <c r="E679" s="342">
        <v>99</v>
      </c>
      <c r="F679" s="342"/>
      <c r="G679" s="344">
        <f t="shared" si="5"/>
        <v>1796.7499999999934</v>
      </c>
      <c r="H679" s="345"/>
      <c r="I679" s="346"/>
      <c r="J679" s="347"/>
      <c r="K679" s="312"/>
      <c r="L679" s="347"/>
      <c r="M679" s="312"/>
      <c r="N679" s="347"/>
      <c r="O679" s="312"/>
      <c r="P679" s="347"/>
      <c r="Q679" s="312"/>
      <c r="R679" s="347"/>
      <c r="S679" s="312"/>
      <c r="T679" s="347"/>
    </row>
    <row r="680" spans="1:20" ht="12" customHeight="1" x14ac:dyDescent="0.3">
      <c r="A680" s="340" t="s">
        <v>284</v>
      </c>
      <c r="B680" s="341">
        <v>36</v>
      </c>
      <c r="C680" s="309">
        <v>46056</v>
      </c>
      <c r="D680" s="310" t="s">
        <v>374</v>
      </c>
      <c r="E680" s="342">
        <v>50</v>
      </c>
      <c r="F680" s="342"/>
      <c r="G680" s="344">
        <f t="shared" si="5"/>
        <v>1895.7499999999934</v>
      </c>
      <c r="H680" s="345"/>
      <c r="I680" s="346"/>
      <c r="J680" s="347"/>
      <c r="K680" s="312"/>
      <c r="L680" s="347"/>
      <c r="M680" s="312"/>
      <c r="N680" s="347"/>
      <c r="O680" s="312"/>
      <c r="P680" s="347"/>
      <c r="Q680" s="312"/>
      <c r="R680" s="347"/>
      <c r="S680" s="312"/>
      <c r="T680" s="347"/>
    </row>
    <row r="681" spans="1:20" ht="12" customHeight="1" x14ac:dyDescent="0.3">
      <c r="A681" s="340" t="s">
        <v>289</v>
      </c>
      <c r="B681" s="341">
        <v>8</v>
      </c>
      <c r="C681" s="309">
        <v>46056</v>
      </c>
      <c r="D681" s="310" t="s">
        <v>319</v>
      </c>
      <c r="E681" s="342">
        <v>7.92</v>
      </c>
      <c r="F681" s="342"/>
      <c r="G681" s="344">
        <f t="shared" si="5"/>
        <v>1945.7499999999934</v>
      </c>
      <c r="H681" s="345"/>
      <c r="I681" s="346"/>
      <c r="J681" s="347"/>
      <c r="K681" s="312"/>
      <c r="L681" s="347"/>
      <c r="M681" s="312"/>
      <c r="N681" s="347"/>
      <c r="O681" s="312"/>
      <c r="P681" s="347"/>
      <c r="Q681" s="312"/>
      <c r="R681" s="347"/>
      <c r="S681" s="312"/>
      <c r="T681" s="347"/>
    </row>
    <row r="682" spans="1:20" ht="12" customHeight="1" x14ac:dyDescent="0.3">
      <c r="A682" s="340" t="s">
        <v>294</v>
      </c>
      <c r="B682" s="341">
        <v>24</v>
      </c>
      <c r="C682" s="309">
        <v>46056</v>
      </c>
      <c r="D682" s="310" t="s">
        <v>861</v>
      </c>
      <c r="E682" s="342">
        <v>83.58</v>
      </c>
      <c r="F682" s="342"/>
      <c r="G682" s="344">
        <f t="shared" si="5"/>
        <v>1953.6699999999935</v>
      </c>
      <c r="H682" s="345"/>
      <c r="I682" s="346"/>
      <c r="J682" s="347"/>
      <c r="K682" s="312"/>
      <c r="L682" s="347"/>
      <c r="M682" s="312"/>
      <c r="N682" s="347"/>
      <c r="O682" s="312"/>
      <c r="P682" s="347"/>
      <c r="Q682" s="312"/>
      <c r="R682" s="347"/>
      <c r="S682" s="312"/>
      <c r="T682" s="347"/>
    </row>
    <row r="683" spans="1:20" ht="12" customHeight="1" x14ac:dyDescent="0.3">
      <c r="A683" s="340" t="s">
        <v>289</v>
      </c>
      <c r="B683" s="341">
        <v>4</v>
      </c>
      <c r="C683" s="309">
        <v>46056</v>
      </c>
      <c r="D683" s="310" t="s">
        <v>455</v>
      </c>
      <c r="E683" s="342">
        <v>28.64</v>
      </c>
      <c r="F683" s="342"/>
      <c r="G683" s="344">
        <f t="shared" si="5"/>
        <v>2037.2499999999934</v>
      </c>
      <c r="H683" s="345"/>
      <c r="I683" s="346"/>
      <c r="J683" s="347"/>
      <c r="K683" s="312"/>
      <c r="L683" s="347"/>
      <c r="M683" s="312"/>
      <c r="N683" s="347"/>
      <c r="O683" s="312"/>
      <c r="P683" s="347"/>
      <c r="Q683" s="312"/>
      <c r="R683" s="347"/>
      <c r="S683" s="312"/>
      <c r="T683" s="347"/>
    </row>
    <row r="684" spans="1:20" ht="12" customHeight="1" x14ac:dyDescent="0.3">
      <c r="A684" s="340" t="s">
        <v>289</v>
      </c>
      <c r="B684" s="341">
        <v>2</v>
      </c>
      <c r="C684" s="309">
        <v>46056</v>
      </c>
      <c r="D684" s="310" t="s">
        <v>358</v>
      </c>
      <c r="E684" s="342">
        <v>9.4700000000000006</v>
      </c>
      <c r="F684" s="342"/>
      <c r="G684" s="344">
        <f t="shared" si="5"/>
        <v>2065.8899999999935</v>
      </c>
      <c r="H684" s="345"/>
      <c r="I684" s="346"/>
      <c r="J684" s="347"/>
      <c r="K684" s="312"/>
      <c r="L684" s="347"/>
      <c r="M684" s="312"/>
      <c r="N684" s="347"/>
      <c r="O684" s="312"/>
      <c r="P684" s="347"/>
      <c r="Q684" s="312"/>
      <c r="R684" s="347"/>
      <c r="S684" s="312"/>
      <c r="T684" s="347"/>
    </row>
    <row r="685" spans="1:20" ht="12" customHeight="1" x14ac:dyDescent="0.3">
      <c r="A685" s="340" t="s">
        <v>289</v>
      </c>
      <c r="B685" s="341">
        <v>6</v>
      </c>
      <c r="C685" s="309">
        <v>46055</v>
      </c>
      <c r="D685" s="310" t="s">
        <v>456</v>
      </c>
      <c r="E685" s="342">
        <v>20</v>
      </c>
      <c r="F685" s="342"/>
      <c r="G685" s="344">
        <f t="shared" si="5"/>
        <v>2075.3599999999933</v>
      </c>
      <c r="H685" s="345"/>
      <c r="I685" s="346"/>
      <c r="J685" s="347"/>
      <c r="K685" s="312"/>
      <c r="L685" s="347"/>
      <c r="M685" s="312"/>
      <c r="N685" s="347"/>
      <c r="O685" s="312"/>
      <c r="P685" s="347"/>
      <c r="Q685" s="312"/>
      <c r="R685" s="347"/>
      <c r="S685" s="312"/>
      <c r="T685" s="347"/>
    </row>
    <row r="686" spans="1:20" ht="12" customHeight="1" x14ac:dyDescent="0.3">
      <c r="A686" s="340" t="s">
        <v>294</v>
      </c>
      <c r="B686" s="341">
        <v>17</v>
      </c>
      <c r="C686" s="309">
        <v>46055</v>
      </c>
      <c r="D686" s="310" t="s">
        <v>188</v>
      </c>
      <c r="E686" s="342">
        <v>41.54</v>
      </c>
      <c r="F686" s="342"/>
      <c r="G686" s="344">
        <f t="shared" si="5"/>
        <v>2095.3599999999933</v>
      </c>
      <c r="H686" s="345"/>
      <c r="I686" s="346"/>
      <c r="J686" s="347"/>
      <c r="K686" s="312"/>
      <c r="L686" s="347"/>
      <c r="M686" s="312"/>
      <c r="N686" s="347"/>
      <c r="O686" s="312"/>
      <c r="P686" s="347"/>
      <c r="Q686" s="312"/>
      <c r="R686" s="347"/>
      <c r="S686" s="312"/>
      <c r="T686" s="347"/>
    </row>
    <row r="687" spans="1:20" ht="12" customHeight="1" x14ac:dyDescent="0.3">
      <c r="A687" s="340" t="s">
        <v>289</v>
      </c>
      <c r="B687" s="341">
        <v>2</v>
      </c>
      <c r="C687" s="309">
        <v>46055</v>
      </c>
      <c r="D687" s="310" t="s">
        <v>296</v>
      </c>
      <c r="E687" s="342">
        <v>9.92</v>
      </c>
      <c r="F687" s="342"/>
      <c r="G687" s="344">
        <f t="shared" si="5"/>
        <v>2136.8999999999933</v>
      </c>
      <c r="H687" s="345"/>
      <c r="I687" s="346"/>
      <c r="J687" s="347"/>
      <c r="K687" s="312"/>
      <c r="L687" s="347"/>
      <c r="M687" s="312"/>
      <c r="N687" s="347"/>
      <c r="O687" s="312"/>
      <c r="P687" s="347"/>
      <c r="Q687" s="312"/>
      <c r="R687" s="347"/>
      <c r="S687" s="312"/>
      <c r="T687" s="347"/>
    </row>
    <row r="688" spans="1:20" ht="12" customHeight="1" x14ac:dyDescent="0.3">
      <c r="A688" s="340" t="s">
        <v>289</v>
      </c>
      <c r="B688" s="341">
        <v>8</v>
      </c>
      <c r="C688" s="309">
        <v>46055</v>
      </c>
      <c r="D688" s="310" t="s">
        <v>457</v>
      </c>
      <c r="E688" s="342">
        <v>155.38</v>
      </c>
      <c r="F688" s="342"/>
      <c r="G688" s="344">
        <f t="shared" si="5"/>
        <v>2146.8199999999933</v>
      </c>
      <c r="H688" s="345"/>
      <c r="I688" s="346"/>
      <c r="J688" s="347"/>
      <c r="K688" s="312"/>
      <c r="L688" s="347"/>
      <c r="M688" s="312"/>
      <c r="N688" s="347"/>
      <c r="O688" s="312"/>
      <c r="P688" s="347"/>
      <c r="Q688" s="312"/>
      <c r="R688" s="347"/>
      <c r="S688" s="312"/>
      <c r="T688" s="347"/>
    </row>
    <row r="689" spans="1:20" ht="12" customHeight="1" x14ac:dyDescent="0.3">
      <c r="A689" s="340" t="s">
        <v>294</v>
      </c>
      <c r="B689" s="341">
        <v>21</v>
      </c>
      <c r="C689" s="309">
        <v>46055</v>
      </c>
      <c r="D689" s="310" t="s">
        <v>194</v>
      </c>
      <c r="E689" s="342">
        <v>27.35</v>
      </c>
      <c r="F689" s="342"/>
      <c r="G689" s="344">
        <f t="shared" si="5"/>
        <v>2302.1999999999935</v>
      </c>
      <c r="H689" s="345"/>
      <c r="I689" s="346"/>
      <c r="J689" s="347"/>
      <c r="K689" s="312"/>
      <c r="L689" s="347"/>
      <c r="M689" s="312"/>
      <c r="N689" s="347"/>
      <c r="O689" s="312"/>
      <c r="P689" s="347"/>
      <c r="Q689" s="312"/>
      <c r="R689" s="347"/>
      <c r="S689" s="312"/>
      <c r="T689" s="347"/>
    </row>
    <row r="690" spans="1:20" ht="12" customHeight="1" x14ac:dyDescent="0.3">
      <c r="A690" s="340" t="s">
        <v>289</v>
      </c>
      <c r="B690" s="341">
        <v>6</v>
      </c>
      <c r="C690" s="309">
        <v>46054</v>
      </c>
      <c r="D690" s="310" t="s">
        <v>300</v>
      </c>
      <c r="E690" s="342">
        <v>59.37</v>
      </c>
      <c r="F690" s="342"/>
      <c r="G690" s="344">
        <f t="shared" si="5"/>
        <v>2329.5499999999934</v>
      </c>
      <c r="H690" s="345"/>
      <c r="I690" s="346"/>
      <c r="J690" s="347"/>
      <c r="K690" s="312"/>
      <c r="L690" s="347"/>
      <c r="M690" s="312"/>
      <c r="N690" s="347"/>
      <c r="O690" s="312"/>
      <c r="P690" s="347"/>
      <c r="Q690" s="312"/>
      <c r="R690" s="347"/>
      <c r="S690" s="312"/>
      <c r="T690" s="347"/>
    </row>
    <row r="691" spans="1:20" ht="12" customHeight="1" x14ac:dyDescent="0.3">
      <c r="A691" s="340" t="s">
        <v>294</v>
      </c>
      <c r="B691" s="341">
        <v>22</v>
      </c>
      <c r="C691" s="309">
        <v>46054</v>
      </c>
      <c r="D691" s="310" t="s">
        <v>375</v>
      </c>
      <c r="E691" s="342">
        <v>6.37</v>
      </c>
      <c r="F691" s="342"/>
      <c r="G691" s="344">
        <f t="shared" si="5"/>
        <v>2388.9199999999933</v>
      </c>
      <c r="H691" s="345"/>
      <c r="I691" s="346"/>
      <c r="J691" s="347"/>
      <c r="K691" s="312"/>
      <c r="L691" s="347"/>
      <c r="M691" s="312"/>
      <c r="N691" s="347"/>
      <c r="O691" s="312"/>
      <c r="P691" s="347"/>
      <c r="Q691" s="312"/>
      <c r="R691" s="347"/>
      <c r="S691" s="312"/>
      <c r="T691" s="347"/>
    </row>
    <row r="692" spans="1:20" ht="12" customHeight="1" x14ac:dyDescent="0.3">
      <c r="A692" s="340" t="s">
        <v>289</v>
      </c>
      <c r="B692" s="341">
        <v>8</v>
      </c>
      <c r="C692" s="309">
        <v>46054</v>
      </c>
      <c r="D692" s="310" t="s">
        <v>458</v>
      </c>
      <c r="E692" s="342">
        <v>44.65</v>
      </c>
      <c r="F692" s="342"/>
      <c r="G692" s="344">
        <f t="shared" si="5"/>
        <v>2395.2899999999931</v>
      </c>
      <c r="H692" s="345"/>
      <c r="I692" s="346"/>
      <c r="J692" s="347"/>
      <c r="K692" s="312"/>
      <c r="L692" s="347"/>
      <c r="M692" s="312"/>
      <c r="N692" s="347"/>
      <c r="O692" s="312"/>
      <c r="P692" s="347"/>
      <c r="Q692" s="312"/>
      <c r="R692" s="347"/>
      <c r="S692" s="312"/>
      <c r="T692" s="347"/>
    </row>
    <row r="693" spans="1:20" ht="12" customHeight="1" x14ac:dyDescent="0.3">
      <c r="A693" s="340" t="s">
        <v>289</v>
      </c>
      <c r="B693" s="341">
        <v>7</v>
      </c>
      <c r="C693" s="309">
        <v>46054</v>
      </c>
      <c r="D693" s="310" t="s">
        <v>338</v>
      </c>
      <c r="E693" s="342">
        <v>35.17</v>
      </c>
      <c r="F693" s="342"/>
      <c r="G693" s="344">
        <f t="shared" si="5"/>
        <v>2439.9399999999932</v>
      </c>
      <c r="H693" s="345"/>
      <c r="I693" s="346"/>
      <c r="J693" s="347"/>
      <c r="K693" s="312"/>
      <c r="L693" s="347"/>
      <c r="M693" s="312"/>
      <c r="N693" s="347"/>
      <c r="O693" s="312"/>
      <c r="P693" s="347"/>
      <c r="Q693" s="312"/>
      <c r="R693" s="347"/>
      <c r="S693" s="312"/>
      <c r="T693" s="347"/>
    </row>
    <row r="694" spans="1:20" ht="12" customHeight="1" x14ac:dyDescent="0.3">
      <c r="A694" s="340" t="s">
        <v>289</v>
      </c>
      <c r="B694" s="341">
        <v>4</v>
      </c>
      <c r="C694" s="309">
        <v>46054</v>
      </c>
      <c r="D694" s="310" t="s">
        <v>310</v>
      </c>
      <c r="E694" s="342">
        <v>28.48</v>
      </c>
      <c r="F694" s="342"/>
      <c r="G694" s="344">
        <f t="shared" si="5"/>
        <v>2475.1099999999933</v>
      </c>
      <c r="H694" s="345"/>
      <c r="I694" s="346"/>
      <c r="J694" s="347"/>
      <c r="K694" s="312"/>
      <c r="L694" s="347"/>
      <c r="M694" s="312"/>
      <c r="N694" s="347"/>
      <c r="O694" s="312"/>
      <c r="P694" s="347"/>
      <c r="Q694" s="312"/>
      <c r="R694" s="347"/>
      <c r="S694" s="312"/>
      <c r="T694" s="347"/>
    </row>
    <row r="695" spans="1:20" ht="12" customHeight="1" x14ac:dyDescent="0.3">
      <c r="A695" s="340" t="s">
        <v>289</v>
      </c>
      <c r="B695" s="341">
        <v>1</v>
      </c>
      <c r="C695" s="309">
        <v>46054</v>
      </c>
      <c r="D695" s="310" t="s">
        <v>311</v>
      </c>
      <c r="E695" s="342">
        <v>125.07</v>
      </c>
      <c r="F695" s="342"/>
      <c r="G695" s="344">
        <f t="shared" si="5"/>
        <v>2503.5899999999933</v>
      </c>
      <c r="H695" s="345"/>
      <c r="I695" s="346"/>
      <c r="J695" s="347"/>
      <c r="K695" s="312"/>
      <c r="L695" s="347"/>
      <c r="M695" s="312"/>
      <c r="N695" s="347"/>
      <c r="O695" s="312"/>
      <c r="P695" s="347"/>
      <c r="Q695" s="312"/>
      <c r="R695" s="347"/>
      <c r="S695" s="312"/>
      <c r="T695" s="347"/>
    </row>
    <row r="696" spans="1:20" ht="12" customHeight="1" x14ac:dyDescent="0.3">
      <c r="A696" s="340" t="s">
        <v>289</v>
      </c>
      <c r="B696" s="341">
        <v>2</v>
      </c>
      <c r="C696" s="309">
        <v>46054</v>
      </c>
      <c r="D696" s="310" t="s">
        <v>458</v>
      </c>
      <c r="E696" s="342">
        <v>100</v>
      </c>
      <c r="F696" s="342"/>
      <c r="G696" s="344">
        <f t="shared" si="5"/>
        <v>2628.6599999999935</v>
      </c>
      <c r="H696" s="345"/>
      <c r="I696" s="346"/>
      <c r="J696" s="347"/>
      <c r="K696" s="312"/>
      <c r="L696" s="347"/>
      <c r="M696" s="312"/>
      <c r="N696" s="347"/>
      <c r="O696" s="312"/>
      <c r="P696" s="347"/>
      <c r="Q696" s="312"/>
      <c r="R696" s="347"/>
      <c r="S696" s="312"/>
      <c r="T696" s="347"/>
    </row>
    <row r="697" spans="1:20" ht="12" customHeight="1" x14ac:dyDescent="0.3">
      <c r="A697" s="340" t="s">
        <v>289</v>
      </c>
      <c r="B697" s="341">
        <v>1</v>
      </c>
      <c r="C697" s="309">
        <v>46054</v>
      </c>
      <c r="D697" s="310" t="s">
        <v>329</v>
      </c>
      <c r="E697" s="342">
        <v>194.96</v>
      </c>
      <c r="F697" s="342"/>
      <c r="G697" s="344">
        <f t="shared" si="5"/>
        <v>2728.6599999999935</v>
      </c>
      <c r="H697" s="345"/>
      <c r="I697" s="346"/>
      <c r="J697" s="347"/>
      <c r="K697" s="312"/>
      <c r="L697" s="347"/>
      <c r="M697" s="312"/>
      <c r="N697" s="347"/>
      <c r="O697" s="312"/>
      <c r="P697" s="347"/>
      <c r="Q697" s="312"/>
      <c r="R697" s="347"/>
      <c r="S697" s="312"/>
      <c r="T697" s="347"/>
    </row>
    <row r="698" spans="1:20" ht="12" customHeight="1" x14ac:dyDescent="0.3">
      <c r="A698" s="340" t="s">
        <v>289</v>
      </c>
      <c r="B698" s="341">
        <v>2</v>
      </c>
      <c r="C698" s="309">
        <v>46054</v>
      </c>
      <c r="D698" s="310" t="s">
        <v>410</v>
      </c>
      <c r="E698" s="342">
        <v>75.53</v>
      </c>
      <c r="F698" s="342"/>
      <c r="G698" s="344">
        <f t="shared" si="5"/>
        <v>2923.6199999999935</v>
      </c>
      <c r="H698" s="345"/>
      <c r="I698" s="346"/>
      <c r="J698" s="347"/>
      <c r="K698" s="312"/>
      <c r="L698" s="347"/>
      <c r="M698" s="312"/>
      <c r="N698" s="347"/>
      <c r="O698" s="312"/>
      <c r="P698" s="347"/>
      <c r="Q698" s="312"/>
      <c r="R698" s="347"/>
      <c r="S698" s="312"/>
      <c r="T698" s="347"/>
    </row>
    <row r="699" spans="1:20" ht="12" customHeight="1" x14ac:dyDescent="0.3">
      <c r="A699" s="340" t="s">
        <v>284</v>
      </c>
      <c r="B699" s="341">
        <v>37</v>
      </c>
      <c r="C699" s="309">
        <v>46053</v>
      </c>
      <c r="D699" s="310" t="s">
        <v>459</v>
      </c>
      <c r="E699" s="342">
        <v>3194.64</v>
      </c>
      <c r="F699" s="342"/>
      <c r="G699" s="344">
        <f t="shared" si="5"/>
        <v>2999.1499999999937</v>
      </c>
      <c r="H699" s="345"/>
      <c r="I699" s="346"/>
      <c r="J699" s="347"/>
      <c r="K699" s="312"/>
      <c r="L699" s="347"/>
      <c r="M699" s="312"/>
      <c r="N699" s="347"/>
      <c r="O699" s="312"/>
      <c r="P699" s="347"/>
      <c r="Q699" s="312"/>
      <c r="R699" s="347"/>
      <c r="S699" s="312"/>
      <c r="T699" s="347"/>
    </row>
    <row r="700" spans="1:20" ht="12" customHeight="1" x14ac:dyDescent="0.3">
      <c r="A700" s="340" t="s">
        <v>286</v>
      </c>
      <c r="B700" s="341">
        <v>25</v>
      </c>
      <c r="C700" s="309">
        <v>46053</v>
      </c>
      <c r="D700" s="309" t="s">
        <v>204</v>
      </c>
      <c r="E700" s="342">
        <v>350</v>
      </c>
      <c r="F700" s="342"/>
      <c r="G700" s="344">
        <f t="shared" si="5"/>
        <v>6193.7899999999936</v>
      </c>
      <c r="H700" s="345"/>
      <c r="I700" s="346"/>
      <c r="J700" s="347"/>
      <c r="K700" s="312"/>
      <c r="L700" s="347"/>
      <c r="M700" s="312"/>
      <c r="N700" s="347"/>
      <c r="O700" s="312"/>
      <c r="P700" s="347"/>
      <c r="Q700" s="312"/>
      <c r="R700" s="347"/>
      <c r="S700" s="312"/>
      <c r="T700" s="347"/>
    </row>
    <row r="701" spans="1:20" ht="12" customHeight="1" x14ac:dyDescent="0.3">
      <c r="A701" s="340" t="s">
        <v>286</v>
      </c>
      <c r="B701" s="341">
        <v>26</v>
      </c>
      <c r="C701" s="309">
        <v>46053</v>
      </c>
      <c r="D701" s="309" t="s">
        <v>205</v>
      </c>
      <c r="E701" s="342">
        <v>320</v>
      </c>
      <c r="F701" s="342"/>
      <c r="G701" s="344">
        <f t="shared" si="5"/>
        <v>6543.7899999999936</v>
      </c>
      <c r="H701" s="345"/>
      <c r="I701" s="346"/>
      <c r="J701" s="347"/>
      <c r="K701" s="312"/>
      <c r="L701" s="347"/>
      <c r="M701" s="312"/>
      <c r="N701" s="347"/>
      <c r="O701" s="312"/>
      <c r="P701" s="347"/>
      <c r="Q701" s="312"/>
      <c r="R701" s="347"/>
      <c r="S701" s="312"/>
      <c r="T701" s="347"/>
    </row>
    <row r="702" spans="1:20" ht="12" customHeight="1" x14ac:dyDescent="0.3">
      <c r="A702" s="340" t="s">
        <v>286</v>
      </c>
      <c r="B702" s="341">
        <v>27</v>
      </c>
      <c r="C702" s="309">
        <v>46053</v>
      </c>
      <c r="D702" s="309" t="s">
        <v>206</v>
      </c>
      <c r="E702" s="342">
        <v>25</v>
      </c>
      <c r="F702" s="342"/>
      <c r="G702" s="344">
        <f t="shared" si="5"/>
        <v>6863.7899999999936</v>
      </c>
      <c r="H702" s="345"/>
      <c r="I702" s="346"/>
      <c r="J702" s="347"/>
      <c r="K702" s="312"/>
      <c r="L702" s="347"/>
      <c r="M702" s="312"/>
      <c r="N702" s="347"/>
      <c r="O702" s="312"/>
      <c r="P702" s="347"/>
      <c r="Q702" s="312"/>
      <c r="R702" s="347"/>
      <c r="S702" s="312"/>
      <c r="T702" s="347"/>
    </row>
    <row r="703" spans="1:20" ht="12" customHeight="1" x14ac:dyDescent="0.3">
      <c r="A703" s="340" t="s">
        <v>286</v>
      </c>
      <c r="B703" s="341">
        <v>28</v>
      </c>
      <c r="C703" s="309">
        <v>46053</v>
      </c>
      <c r="D703" s="309" t="s">
        <v>207</v>
      </c>
      <c r="E703" s="342">
        <v>25</v>
      </c>
      <c r="F703" s="342"/>
      <c r="G703" s="344">
        <f t="shared" si="5"/>
        <v>6888.7899999999936</v>
      </c>
      <c r="H703" s="345"/>
      <c r="I703" s="346"/>
      <c r="J703" s="347"/>
      <c r="K703" s="312"/>
      <c r="L703" s="347"/>
      <c r="M703" s="312"/>
      <c r="N703" s="347"/>
      <c r="O703" s="312"/>
      <c r="P703" s="347"/>
      <c r="Q703" s="312"/>
      <c r="R703" s="347"/>
      <c r="S703" s="312"/>
      <c r="T703" s="347"/>
    </row>
    <row r="704" spans="1:20" ht="12" customHeight="1" x14ac:dyDescent="0.3">
      <c r="A704" s="340" t="s">
        <v>286</v>
      </c>
      <c r="B704" s="341">
        <v>29</v>
      </c>
      <c r="C704" s="309">
        <v>46053</v>
      </c>
      <c r="D704" s="309" t="s">
        <v>208</v>
      </c>
      <c r="E704" s="342">
        <v>45</v>
      </c>
      <c r="F704" s="342"/>
      <c r="G704" s="344">
        <f t="shared" si="5"/>
        <v>6913.7899999999936</v>
      </c>
      <c r="H704" s="345"/>
      <c r="I704" s="346"/>
      <c r="J704" s="347"/>
      <c r="K704" s="312"/>
      <c r="L704" s="347"/>
      <c r="M704" s="312"/>
      <c r="N704" s="347"/>
      <c r="O704" s="312"/>
      <c r="P704" s="347"/>
      <c r="Q704" s="312"/>
      <c r="R704" s="347"/>
      <c r="S704" s="312"/>
      <c r="T704" s="347"/>
    </row>
    <row r="705" spans="1:20" ht="12" customHeight="1" x14ac:dyDescent="0.3">
      <c r="A705" s="340" t="s">
        <v>286</v>
      </c>
      <c r="B705" s="341">
        <v>30</v>
      </c>
      <c r="C705" s="309">
        <v>46053</v>
      </c>
      <c r="D705" s="309" t="s">
        <v>209</v>
      </c>
      <c r="E705" s="342">
        <v>400</v>
      </c>
      <c r="F705" s="342"/>
      <c r="G705" s="344">
        <f t="shared" si="5"/>
        <v>6958.7899999999936</v>
      </c>
      <c r="H705" s="345"/>
      <c r="I705" s="346"/>
      <c r="J705" s="347"/>
      <c r="K705" s="312"/>
      <c r="L705" s="347"/>
      <c r="M705" s="312"/>
      <c r="N705" s="347"/>
      <c r="O705" s="312"/>
      <c r="P705" s="347"/>
      <c r="Q705" s="312"/>
      <c r="R705" s="347"/>
      <c r="S705" s="312"/>
      <c r="T705" s="347"/>
    </row>
    <row r="706" spans="1:20" ht="12" customHeight="1" x14ac:dyDescent="0.3">
      <c r="A706" s="340" t="s">
        <v>286</v>
      </c>
      <c r="B706" s="341">
        <v>31</v>
      </c>
      <c r="C706" s="309">
        <v>46053</v>
      </c>
      <c r="D706" s="309" t="s">
        <v>210</v>
      </c>
      <c r="E706" s="342">
        <v>375</v>
      </c>
      <c r="F706" s="342"/>
      <c r="G706" s="344">
        <f t="shared" si="5"/>
        <v>7358.7899999999936</v>
      </c>
      <c r="H706" s="345"/>
      <c r="I706" s="346"/>
      <c r="J706" s="347"/>
      <c r="K706" s="312"/>
      <c r="L706" s="347"/>
      <c r="M706" s="312"/>
      <c r="N706" s="347"/>
      <c r="O706" s="312"/>
      <c r="P706" s="347"/>
      <c r="Q706" s="312"/>
      <c r="R706" s="347"/>
      <c r="S706" s="312"/>
      <c r="T706" s="347"/>
    </row>
    <row r="707" spans="1:20" ht="12" customHeight="1" x14ac:dyDescent="0.3">
      <c r="A707" s="340" t="s">
        <v>286</v>
      </c>
      <c r="B707" s="341">
        <v>32</v>
      </c>
      <c r="C707" s="309">
        <v>46053</v>
      </c>
      <c r="D707" s="309" t="s">
        <v>211</v>
      </c>
      <c r="E707" s="342">
        <v>100</v>
      </c>
      <c r="F707" s="342"/>
      <c r="G707" s="344">
        <f t="shared" si="5"/>
        <v>7733.7899999999936</v>
      </c>
      <c r="H707" s="345"/>
      <c r="I707" s="346"/>
      <c r="J707" s="347"/>
      <c r="K707" s="312"/>
      <c r="L707" s="347"/>
      <c r="M707" s="312"/>
      <c r="N707" s="347"/>
      <c r="O707" s="312"/>
      <c r="P707" s="347"/>
      <c r="Q707" s="312"/>
      <c r="R707" s="347"/>
      <c r="S707" s="312"/>
      <c r="T707" s="347"/>
    </row>
    <row r="708" spans="1:20" ht="12" customHeight="1" x14ac:dyDescent="0.3">
      <c r="A708" s="340" t="s">
        <v>286</v>
      </c>
      <c r="B708" s="341">
        <v>33</v>
      </c>
      <c r="C708" s="309">
        <v>46053</v>
      </c>
      <c r="D708" s="309" t="s">
        <v>212</v>
      </c>
      <c r="E708" s="342">
        <v>85</v>
      </c>
      <c r="F708" s="342"/>
      <c r="G708" s="344">
        <f t="shared" si="5"/>
        <v>7833.7899999999936</v>
      </c>
      <c r="H708" s="345"/>
      <c r="I708" s="346"/>
      <c r="J708" s="347"/>
      <c r="K708" s="312"/>
      <c r="L708" s="347"/>
      <c r="M708" s="312"/>
      <c r="N708" s="347"/>
      <c r="O708" s="312"/>
      <c r="P708" s="347"/>
      <c r="Q708" s="312"/>
      <c r="R708" s="347"/>
      <c r="S708" s="312"/>
      <c r="T708" s="347"/>
    </row>
    <row r="709" spans="1:20" ht="12" customHeight="1" x14ac:dyDescent="0.3">
      <c r="A709" s="340" t="s">
        <v>286</v>
      </c>
      <c r="B709" s="341">
        <v>34</v>
      </c>
      <c r="C709" s="309">
        <v>46053</v>
      </c>
      <c r="D709" s="309" t="s">
        <v>213</v>
      </c>
      <c r="E709" s="342">
        <v>230</v>
      </c>
      <c r="F709" s="342"/>
      <c r="G709" s="344">
        <f t="shared" si="5"/>
        <v>7918.7899999999936</v>
      </c>
      <c r="H709" s="345"/>
      <c r="I709" s="346"/>
      <c r="J709" s="347"/>
      <c r="K709" s="312"/>
      <c r="L709" s="347"/>
      <c r="M709" s="312"/>
      <c r="N709" s="347"/>
      <c r="O709" s="312"/>
      <c r="P709" s="347"/>
      <c r="Q709" s="312"/>
      <c r="R709" s="347"/>
      <c r="S709" s="312"/>
      <c r="T709" s="347"/>
    </row>
    <row r="710" spans="1:20" ht="12" customHeight="1" x14ac:dyDescent="0.3">
      <c r="A710" s="340" t="s">
        <v>286</v>
      </c>
      <c r="B710" s="341">
        <v>35</v>
      </c>
      <c r="C710" s="309">
        <v>46053</v>
      </c>
      <c r="D710" s="309" t="s">
        <v>214</v>
      </c>
      <c r="E710" s="342">
        <v>45</v>
      </c>
      <c r="F710" s="342"/>
      <c r="G710" s="344">
        <f t="shared" si="5"/>
        <v>8148.7899999999936</v>
      </c>
      <c r="H710" s="345"/>
      <c r="I710" s="346"/>
      <c r="J710" s="347"/>
      <c r="K710" s="312"/>
      <c r="L710" s="347"/>
      <c r="M710" s="312"/>
      <c r="N710" s="347"/>
      <c r="O710" s="312"/>
      <c r="P710" s="347"/>
      <c r="Q710" s="312"/>
      <c r="R710" s="347"/>
      <c r="S710" s="312"/>
      <c r="T710" s="347"/>
    </row>
    <row r="711" spans="1:20" ht="12" customHeight="1" x14ac:dyDescent="0.3">
      <c r="A711" s="340" t="s">
        <v>289</v>
      </c>
      <c r="B711" s="341">
        <v>8</v>
      </c>
      <c r="C711" s="309">
        <v>46053</v>
      </c>
      <c r="D711" s="309" t="s">
        <v>319</v>
      </c>
      <c r="E711" s="342">
        <v>31.03</v>
      </c>
      <c r="F711" s="342"/>
      <c r="G711" s="344">
        <f t="shared" si="5"/>
        <v>8193.7899999999936</v>
      </c>
      <c r="H711" s="345"/>
      <c r="I711" s="346"/>
      <c r="J711" s="347"/>
      <c r="K711" s="312"/>
      <c r="L711" s="347"/>
      <c r="M711" s="312"/>
      <c r="N711" s="347"/>
      <c r="O711" s="312"/>
      <c r="P711" s="347"/>
      <c r="Q711" s="312"/>
      <c r="R711" s="347"/>
      <c r="S711" s="312"/>
      <c r="T711" s="347"/>
    </row>
    <row r="712" spans="1:20" ht="12" customHeight="1" x14ac:dyDescent="0.3">
      <c r="A712" s="340" t="s">
        <v>294</v>
      </c>
      <c r="B712" s="341">
        <v>10</v>
      </c>
      <c r="C712" s="309">
        <v>46053</v>
      </c>
      <c r="D712" s="309" t="s">
        <v>176</v>
      </c>
      <c r="E712" s="342">
        <v>17.899999999999999</v>
      </c>
      <c r="F712" s="342"/>
      <c r="G712" s="344">
        <f t="shared" si="5"/>
        <v>8224.8199999999943</v>
      </c>
      <c r="H712" s="345"/>
      <c r="I712" s="346"/>
      <c r="J712" s="347"/>
      <c r="K712" s="312"/>
      <c r="L712" s="347"/>
      <c r="M712" s="312"/>
      <c r="N712" s="347"/>
      <c r="O712" s="312"/>
      <c r="P712" s="347"/>
      <c r="Q712" s="312"/>
      <c r="R712" s="347"/>
      <c r="S712" s="312"/>
      <c r="T712" s="347"/>
    </row>
    <row r="713" spans="1:20" ht="12" customHeight="1" x14ac:dyDescent="0.3">
      <c r="A713" s="340" t="s">
        <v>289</v>
      </c>
      <c r="B713" s="341">
        <v>3</v>
      </c>
      <c r="C713" s="309">
        <v>46053</v>
      </c>
      <c r="D713" s="309" t="s">
        <v>348</v>
      </c>
      <c r="E713" s="342">
        <v>18.84</v>
      </c>
      <c r="F713" s="342"/>
      <c r="G713" s="344">
        <f t="shared" si="5"/>
        <v>8242.7199999999939</v>
      </c>
      <c r="H713" s="345"/>
      <c r="I713" s="346"/>
      <c r="J713" s="347"/>
      <c r="K713" s="312"/>
      <c r="L713" s="347"/>
      <c r="M713" s="312"/>
      <c r="N713" s="347"/>
      <c r="O713" s="312"/>
      <c r="P713" s="347"/>
      <c r="Q713" s="312"/>
      <c r="R713" s="347"/>
      <c r="S713" s="312"/>
      <c r="T713" s="347"/>
    </row>
    <row r="714" spans="1:20" ht="12" customHeight="1" x14ac:dyDescent="0.3">
      <c r="A714" s="340" t="s">
        <v>289</v>
      </c>
      <c r="B714" s="341">
        <v>8</v>
      </c>
      <c r="C714" s="309">
        <v>46053</v>
      </c>
      <c r="D714" s="309" t="s">
        <v>319</v>
      </c>
      <c r="E714" s="342">
        <v>25.54</v>
      </c>
      <c r="F714" s="342"/>
      <c r="G714" s="344">
        <f t="shared" si="5"/>
        <v>8261.559999999994</v>
      </c>
      <c r="H714" s="345"/>
      <c r="I714" s="346"/>
      <c r="J714" s="347"/>
      <c r="K714" s="312"/>
      <c r="L714" s="347"/>
      <c r="M714" s="312"/>
      <c r="N714" s="347"/>
      <c r="O714" s="312"/>
      <c r="P714" s="347"/>
      <c r="Q714" s="312"/>
      <c r="R714" s="347"/>
      <c r="S714" s="312"/>
      <c r="T714" s="347"/>
    </row>
    <row r="715" spans="1:20" ht="12" customHeight="1" x14ac:dyDescent="0.3">
      <c r="A715" s="340" t="s">
        <v>289</v>
      </c>
      <c r="B715" s="341">
        <v>8</v>
      </c>
      <c r="C715" s="309">
        <v>46053</v>
      </c>
      <c r="D715" s="309" t="s">
        <v>308</v>
      </c>
      <c r="E715" s="342">
        <v>52.59</v>
      </c>
      <c r="F715" s="342"/>
      <c r="G715" s="344">
        <f t="shared" si="5"/>
        <v>8287.0999999999949</v>
      </c>
      <c r="H715" s="345"/>
      <c r="I715" s="346"/>
      <c r="J715" s="347"/>
      <c r="K715" s="312"/>
      <c r="L715" s="347"/>
      <c r="M715" s="312"/>
      <c r="N715" s="347"/>
      <c r="O715" s="312"/>
      <c r="P715" s="347"/>
      <c r="Q715" s="312"/>
      <c r="R715" s="347"/>
      <c r="S715" s="312"/>
      <c r="T715" s="347"/>
    </row>
    <row r="716" spans="1:20" ht="12" customHeight="1" x14ac:dyDescent="0.3">
      <c r="A716" s="340" t="s">
        <v>335</v>
      </c>
      <c r="B716" s="341" t="s">
        <v>335</v>
      </c>
      <c r="C716" s="309">
        <v>46052</v>
      </c>
      <c r="D716" s="310" t="s">
        <v>460</v>
      </c>
      <c r="E716" s="342"/>
      <c r="F716" s="342">
        <v>422</v>
      </c>
      <c r="G716" s="344">
        <f t="shared" si="5"/>
        <v>8339.6899999999951</v>
      </c>
      <c r="H716" s="345"/>
      <c r="I716" s="346"/>
      <c r="J716" s="347"/>
      <c r="K716" s="312"/>
      <c r="L716" s="347"/>
      <c r="M716" s="312"/>
      <c r="N716" s="347"/>
      <c r="O716" s="312"/>
      <c r="P716" s="347"/>
      <c r="Q716" s="312"/>
      <c r="R716" s="347"/>
      <c r="S716" s="312"/>
      <c r="T716" s="347"/>
    </row>
    <row r="717" spans="1:20" ht="12" customHeight="1" x14ac:dyDescent="0.3">
      <c r="A717" s="340" t="s">
        <v>289</v>
      </c>
      <c r="B717" s="341">
        <v>5</v>
      </c>
      <c r="C717" s="309">
        <v>46052</v>
      </c>
      <c r="D717" s="310" t="s">
        <v>865</v>
      </c>
      <c r="E717" s="342">
        <v>200</v>
      </c>
      <c r="F717" s="342"/>
      <c r="G717" s="344">
        <f t="shared" si="5"/>
        <v>7917.6899999999951</v>
      </c>
      <c r="H717" s="345"/>
      <c r="I717" s="346"/>
      <c r="J717" s="347"/>
      <c r="K717" s="312"/>
      <c r="L717" s="347"/>
      <c r="M717" s="312"/>
      <c r="N717" s="347"/>
      <c r="O717" s="312"/>
      <c r="P717" s="347"/>
      <c r="Q717" s="312"/>
      <c r="R717" s="347"/>
      <c r="S717" s="312"/>
      <c r="T717" s="347"/>
    </row>
    <row r="718" spans="1:20" ht="12" customHeight="1" x14ac:dyDescent="0.3">
      <c r="A718" s="340" t="s">
        <v>289</v>
      </c>
      <c r="B718" s="341">
        <v>2</v>
      </c>
      <c r="C718" s="309">
        <v>46052</v>
      </c>
      <c r="D718" s="310" t="s">
        <v>296</v>
      </c>
      <c r="E718" s="342">
        <v>8.52</v>
      </c>
      <c r="F718" s="342"/>
      <c r="G718" s="344">
        <f t="shared" si="5"/>
        <v>8117.6899999999951</v>
      </c>
      <c r="H718" s="345"/>
      <c r="I718" s="346"/>
      <c r="J718" s="347"/>
      <c r="K718" s="312"/>
      <c r="L718" s="347"/>
      <c r="M718" s="312"/>
      <c r="N718" s="347"/>
      <c r="O718" s="312"/>
      <c r="P718" s="347"/>
      <c r="Q718" s="312"/>
      <c r="R718" s="347"/>
      <c r="S718" s="312"/>
      <c r="T718" s="347"/>
    </row>
    <row r="719" spans="1:20" ht="12" customHeight="1" x14ac:dyDescent="0.3">
      <c r="A719" s="340" t="s">
        <v>287</v>
      </c>
      <c r="B719" s="341" t="s">
        <v>287</v>
      </c>
      <c r="C719" s="309">
        <v>46052</v>
      </c>
      <c r="D719" s="310" t="s">
        <v>461</v>
      </c>
      <c r="E719" s="342">
        <v>831.92</v>
      </c>
      <c r="F719" s="342">
        <v>831.92</v>
      </c>
      <c r="G719" s="344">
        <f t="shared" si="5"/>
        <v>8126.2099999999955</v>
      </c>
      <c r="H719" s="345"/>
      <c r="I719" s="346"/>
      <c r="J719" s="347"/>
      <c r="K719" s="312"/>
      <c r="L719" s="347"/>
      <c r="M719" s="312"/>
      <c r="N719" s="347"/>
      <c r="O719" s="312"/>
      <c r="P719" s="347"/>
      <c r="Q719" s="312"/>
      <c r="R719" s="347"/>
      <c r="S719" s="312"/>
      <c r="T719" s="347"/>
    </row>
    <row r="720" spans="1:20" ht="12" customHeight="1" x14ac:dyDescent="0.3">
      <c r="A720" s="340" t="s">
        <v>289</v>
      </c>
      <c r="B720" s="341">
        <v>5</v>
      </c>
      <c r="C720" s="309">
        <v>46052</v>
      </c>
      <c r="D720" s="310" t="s">
        <v>441</v>
      </c>
      <c r="E720" s="342">
        <v>200</v>
      </c>
      <c r="F720" s="342"/>
      <c r="G720" s="344">
        <f t="shared" si="5"/>
        <v>8126.2099999999955</v>
      </c>
      <c r="H720" s="345"/>
      <c r="I720" s="346"/>
      <c r="J720" s="347"/>
      <c r="K720" s="312"/>
      <c r="L720" s="347"/>
      <c r="M720" s="312"/>
      <c r="N720" s="347"/>
      <c r="O720" s="312"/>
      <c r="P720" s="347"/>
      <c r="Q720" s="312"/>
      <c r="R720" s="347"/>
      <c r="S720" s="312"/>
      <c r="T720" s="347"/>
    </row>
    <row r="721" spans="1:20" ht="12" customHeight="1" x14ac:dyDescent="0.3">
      <c r="A721" s="340" t="s">
        <v>289</v>
      </c>
      <c r="B721" s="341">
        <v>2</v>
      </c>
      <c r="C721" s="309">
        <v>46052</v>
      </c>
      <c r="D721" s="310" t="s">
        <v>324</v>
      </c>
      <c r="E721" s="342">
        <v>11.04</v>
      </c>
      <c r="F721" s="342"/>
      <c r="G721" s="344">
        <f t="shared" si="5"/>
        <v>8326.2099999999955</v>
      </c>
      <c r="H721" s="345"/>
      <c r="I721" s="346"/>
      <c r="J721" s="347"/>
      <c r="K721" s="312"/>
      <c r="L721" s="347"/>
      <c r="M721" s="312"/>
      <c r="N721" s="347"/>
      <c r="O721" s="312"/>
      <c r="P721" s="347"/>
      <c r="Q721" s="312"/>
      <c r="R721" s="347"/>
      <c r="S721" s="312"/>
      <c r="T721" s="347"/>
    </row>
    <row r="722" spans="1:20" ht="12" customHeight="1" x14ac:dyDescent="0.3">
      <c r="A722" s="340" t="s">
        <v>291</v>
      </c>
      <c r="B722" s="341">
        <v>38</v>
      </c>
      <c r="C722" s="309">
        <v>46051</v>
      </c>
      <c r="D722" s="310" t="s">
        <v>293</v>
      </c>
      <c r="E722" s="342"/>
      <c r="F722" s="342">
        <v>4365.6499999999996</v>
      </c>
      <c r="G722" s="344">
        <f t="shared" si="5"/>
        <v>8337.2499999999964</v>
      </c>
      <c r="H722" s="345"/>
      <c r="I722" s="346"/>
      <c r="J722" s="347"/>
      <c r="K722" s="312"/>
      <c r="L722" s="347"/>
      <c r="M722" s="312"/>
      <c r="N722" s="347"/>
      <c r="O722" s="312"/>
      <c r="P722" s="347"/>
      <c r="Q722" s="312"/>
      <c r="R722" s="347"/>
      <c r="S722" s="312"/>
      <c r="T722" s="347"/>
    </row>
    <row r="723" spans="1:20" ht="12" customHeight="1" x14ac:dyDescent="0.3">
      <c r="A723" s="340" t="s">
        <v>289</v>
      </c>
      <c r="B723" s="341">
        <v>2</v>
      </c>
      <c r="C723" s="309">
        <v>46051</v>
      </c>
      <c r="D723" s="310" t="s">
        <v>296</v>
      </c>
      <c r="E723" s="342">
        <v>18.28</v>
      </c>
      <c r="F723" s="342"/>
      <c r="G723" s="344">
        <f t="shared" si="5"/>
        <v>3971.5999999999976</v>
      </c>
      <c r="H723" s="345"/>
      <c r="I723" s="346"/>
      <c r="J723" s="347"/>
      <c r="K723" s="312"/>
      <c r="L723" s="347"/>
      <c r="M723" s="312"/>
      <c r="N723" s="347"/>
      <c r="O723" s="312"/>
      <c r="P723" s="347"/>
      <c r="Q723" s="312"/>
      <c r="R723" s="347"/>
      <c r="S723" s="312"/>
      <c r="T723" s="347"/>
    </row>
    <row r="724" spans="1:20" ht="12" customHeight="1" x14ac:dyDescent="0.3">
      <c r="A724" s="340" t="s">
        <v>289</v>
      </c>
      <c r="B724" s="341">
        <v>4</v>
      </c>
      <c r="C724" s="309">
        <v>46051</v>
      </c>
      <c r="D724" s="310" t="s">
        <v>295</v>
      </c>
      <c r="E724" s="342">
        <v>57.06</v>
      </c>
      <c r="F724" s="342"/>
      <c r="G724" s="344">
        <f t="shared" si="5"/>
        <v>3989.8799999999978</v>
      </c>
      <c r="H724" s="345"/>
      <c r="I724" s="346"/>
      <c r="J724" s="347"/>
      <c r="K724" s="312"/>
      <c r="L724" s="347"/>
      <c r="M724" s="312"/>
      <c r="N724" s="347"/>
      <c r="O724" s="312"/>
      <c r="P724" s="347"/>
      <c r="Q724" s="312"/>
      <c r="R724" s="347"/>
      <c r="S724" s="312"/>
      <c r="T724" s="347"/>
    </row>
    <row r="725" spans="1:20" ht="12" customHeight="1" x14ac:dyDescent="0.3">
      <c r="A725" s="340" t="s">
        <v>287</v>
      </c>
      <c r="B725" s="341" t="s">
        <v>287</v>
      </c>
      <c r="C725" s="309">
        <v>46051</v>
      </c>
      <c r="D725" s="310" t="s">
        <v>462</v>
      </c>
      <c r="E725" s="342">
        <v>89.42</v>
      </c>
      <c r="F725" s="342">
        <v>89.42</v>
      </c>
      <c r="G725" s="344">
        <f t="shared" si="5"/>
        <v>4046.9399999999978</v>
      </c>
      <c r="H725" s="345"/>
      <c r="I725" s="346"/>
      <c r="J725" s="347"/>
      <c r="K725" s="312"/>
      <c r="L725" s="347"/>
      <c r="M725" s="312"/>
      <c r="N725" s="347"/>
      <c r="O725" s="312"/>
      <c r="P725" s="347"/>
      <c r="Q725" s="312"/>
      <c r="R725" s="347"/>
      <c r="S725" s="312"/>
      <c r="T725" s="347"/>
    </row>
    <row r="726" spans="1:20" ht="12" customHeight="1" x14ac:dyDescent="0.3">
      <c r="A726" s="340" t="s">
        <v>289</v>
      </c>
      <c r="B726" s="341">
        <v>8</v>
      </c>
      <c r="C726" s="309">
        <v>46051</v>
      </c>
      <c r="D726" s="310" t="s">
        <v>463</v>
      </c>
      <c r="E726" s="342">
        <v>59</v>
      </c>
      <c r="F726" s="342"/>
      <c r="G726" s="344">
        <f t="shared" si="5"/>
        <v>4046.9399999999978</v>
      </c>
      <c r="H726" s="345"/>
      <c r="I726" s="346"/>
      <c r="J726" s="347"/>
      <c r="K726" s="312"/>
      <c r="L726" s="347"/>
      <c r="M726" s="312"/>
      <c r="N726" s="347"/>
      <c r="O726" s="312"/>
      <c r="P726" s="347"/>
      <c r="Q726" s="312"/>
      <c r="R726" s="347"/>
      <c r="S726" s="312"/>
      <c r="T726" s="347"/>
    </row>
    <row r="727" spans="1:20" ht="12" customHeight="1" x14ac:dyDescent="0.3">
      <c r="A727" s="340" t="s">
        <v>289</v>
      </c>
      <c r="B727" s="341">
        <v>2</v>
      </c>
      <c r="C727" s="309">
        <v>46051</v>
      </c>
      <c r="D727" s="310" t="s">
        <v>371</v>
      </c>
      <c r="E727" s="342">
        <v>19.899999999999999</v>
      </c>
      <c r="F727" s="342"/>
      <c r="G727" s="344">
        <f t="shared" si="5"/>
        <v>4105.9399999999978</v>
      </c>
      <c r="H727" s="345"/>
      <c r="I727" s="346"/>
      <c r="J727" s="347"/>
      <c r="K727" s="312"/>
      <c r="L727" s="347"/>
      <c r="M727" s="312"/>
      <c r="N727" s="347"/>
      <c r="O727" s="312"/>
      <c r="P727" s="347"/>
      <c r="Q727" s="312"/>
      <c r="R727" s="347"/>
      <c r="S727" s="312"/>
      <c r="T727" s="347"/>
    </row>
    <row r="728" spans="1:20" ht="12" customHeight="1" x14ac:dyDescent="0.3">
      <c r="A728" s="340" t="s">
        <v>289</v>
      </c>
      <c r="B728" s="341">
        <v>2</v>
      </c>
      <c r="C728" s="309">
        <v>46050</v>
      </c>
      <c r="D728" s="310" t="s">
        <v>353</v>
      </c>
      <c r="E728" s="342">
        <v>14.99</v>
      </c>
      <c r="F728" s="342"/>
      <c r="G728" s="344">
        <f t="shared" si="5"/>
        <v>4125.8399999999974</v>
      </c>
      <c r="H728" s="345"/>
      <c r="I728" s="346"/>
      <c r="J728" s="347"/>
      <c r="K728" s="312"/>
      <c r="L728" s="347"/>
      <c r="M728" s="312"/>
      <c r="N728" s="347"/>
      <c r="O728" s="312"/>
      <c r="P728" s="347"/>
      <c r="Q728" s="312"/>
      <c r="R728" s="347"/>
      <c r="S728" s="312"/>
      <c r="T728" s="347"/>
    </row>
    <row r="729" spans="1:20" ht="12" customHeight="1" x14ac:dyDescent="0.3">
      <c r="A729" s="340" t="s">
        <v>289</v>
      </c>
      <c r="B729" s="341">
        <v>6</v>
      </c>
      <c r="C729" s="309">
        <v>46050</v>
      </c>
      <c r="D729" s="310" t="s">
        <v>464</v>
      </c>
      <c r="E729" s="342">
        <v>25</v>
      </c>
      <c r="F729" s="342"/>
      <c r="G729" s="344">
        <f t="shared" si="5"/>
        <v>4140.8299999999972</v>
      </c>
      <c r="H729" s="345"/>
      <c r="I729" s="346"/>
      <c r="J729" s="347"/>
      <c r="K729" s="312"/>
      <c r="L729" s="347"/>
      <c r="M729" s="312"/>
      <c r="N729" s="347"/>
      <c r="O729" s="312"/>
      <c r="P729" s="347"/>
      <c r="Q729" s="312"/>
      <c r="R729" s="347"/>
      <c r="S729" s="312"/>
      <c r="T729" s="347"/>
    </row>
    <row r="730" spans="1:20" ht="12" customHeight="1" x14ac:dyDescent="0.3">
      <c r="A730" s="340" t="s">
        <v>289</v>
      </c>
      <c r="B730" s="341">
        <v>3</v>
      </c>
      <c r="C730" s="309">
        <v>46050</v>
      </c>
      <c r="D730" s="310" t="s">
        <v>866</v>
      </c>
      <c r="E730" s="342">
        <v>6</v>
      </c>
      <c r="F730" s="342"/>
      <c r="G730" s="344">
        <f t="shared" si="5"/>
        <v>4165.8299999999972</v>
      </c>
      <c r="H730" s="345"/>
      <c r="I730" s="346"/>
      <c r="J730" s="347"/>
      <c r="K730" s="312"/>
      <c r="L730" s="347"/>
      <c r="M730" s="312"/>
      <c r="N730" s="347"/>
      <c r="O730" s="312"/>
      <c r="P730" s="347"/>
      <c r="Q730" s="312"/>
      <c r="R730" s="347"/>
      <c r="S730" s="312"/>
      <c r="T730" s="347"/>
    </row>
    <row r="731" spans="1:20" ht="12" customHeight="1" x14ac:dyDescent="0.3">
      <c r="A731" s="340" t="s">
        <v>289</v>
      </c>
      <c r="B731" s="341">
        <v>2</v>
      </c>
      <c r="C731" s="309">
        <v>46050</v>
      </c>
      <c r="D731" s="310" t="s">
        <v>867</v>
      </c>
      <c r="E731" s="342">
        <v>15</v>
      </c>
      <c r="F731" s="342"/>
      <c r="G731" s="344">
        <f t="shared" si="5"/>
        <v>4171.8299999999972</v>
      </c>
      <c r="H731" s="345"/>
      <c r="I731" s="346"/>
      <c r="J731" s="347"/>
      <c r="K731" s="312"/>
      <c r="L731" s="347"/>
      <c r="M731" s="312"/>
      <c r="N731" s="347"/>
      <c r="O731" s="312"/>
      <c r="P731" s="347"/>
      <c r="Q731" s="312"/>
      <c r="R731" s="347"/>
      <c r="S731" s="312"/>
      <c r="T731" s="347"/>
    </row>
    <row r="732" spans="1:20" ht="12" customHeight="1" x14ac:dyDescent="0.3">
      <c r="A732" s="340" t="s">
        <v>289</v>
      </c>
      <c r="B732" s="341">
        <v>2</v>
      </c>
      <c r="C732" s="309">
        <v>46050</v>
      </c>
      <c r="D732" s="310" t="s">
        <v>296</v>
      </c>
      <c r="E732" s="342">
        <v>12.71</v>
      </c>
      <c r="F732" s="342"/>
      <c r="G732" s="344">
        <f t="shared" si="5"/>
        <v>4186.8299999999972</v>
      </c>
      <c r="H732" s="345"/>
      <c r="I732" s="346"/>
      <c r="J732" s="347"/>
      <c r="K732" s="312"/>
      <c r="L732" s="347"/>
      <c r="M732" s="312"/>
      <c r="N732" s="347"/>
      <c r="O732" s="312"/>
      <c r="P732" s="347"/>
      <c r="Q732" s="312"/>
      <c r="R732" s="347"/>
      <c r="S732" s="312"/>
      <c r="T732" s="347"/>
    </row>
    <row r="733" spans="1:20" ht="12" customHeight="1" x14ac:dyDescent="0.3">
      <c r="A733" s="340" t="s">
        <v>287</v>
      </c>
      <c r="B733" s="341" t="s">
        <v>287</v>
      </c>
      <c r="C733" s="309">
        <v>46050</v>
      </c>
      <c r="D733" s="310" t="s">
        <v>452</v>
      </c>
      <c r="E733" s="342">
        <v>1475.9</v>
      </c>
      <c r="F733" s="342">
        <v>1475.9</v>
      </c>
      <c r="G733" s="344">
        <f t="shared" si="5"/>
        <v>4199.5399999999972</v>
      </c>
      <c r="H733" s="345"/>
      <c r="I733" s="346"/>
      <c r="J733" s="347"/>
      <c r="K733" s="312"/>
      <c r="L733" s="347"/>
      <c r="M733" s="312"/>
      <c r="N733" s="347"/>
      <c r="O733" s="312"/>
      <c r="P733" s="347"/>
      <c r="Q733" s="312"/>
      <c r="R733" s="347"/>
      <c r="S733" s="312"/>
      <c r="T733" s="347"/>
    </row>
    <row r="734" spans="1:20" ht="12" customHeight="1" x14ac:dyDescent="0.3">
      <c r="A734" s="340" t="s">
        <v>289</v>
      </c>
      <c r="B734" s="341">
        <v>8</v>
      </c>
      <c r="C734" s="309">
        <v>46050</v>
      </c>
      <c r="D734" s="310" t="s">
        <v>319</v>
      </c>
      <c r="E734" s="342">
        <v>28.52</v>
      </c>
      <c r="F734" s="342"/>
      <c r="G734" s="344">
        <f t="shared" si="5"/>
        <v>4199.5399999999972</v>
      </c>
      <c r="H734" s="345"/>
      <c r="I734" s="346"/>
      <c r="J734" s="347"/>
      <c r="K734" s="312"/>
      <c r="L734" s="347"/>
      <c r="M734" s="312"/>
      <c r="N734" s="347"/>
      <c r="O734" s="312"/>
      <c r="P734" s="347"/>
      <c r="Q734" s="312"/>
      <c r="R734" s="347"/>
      <c r="S734" s="312"/>
      <c r="T734" s="347"/>
    </row>
    <row r="735" spans="1:20" ht="12" customHeight="1" x14ac:dyDescent="0.3">
      <c r="A735" s="340" t="s">
        <v>289</v>
      </c>
      <c r="B735" s="341">
        <v>2</v>
      </c>
      <c r="C735" s="309">
        <v>46050</v>
      </c>
      <c r="D735" s="310" t="s">
        <v>465</v>
      </c>
      <c r="E735" s="342">
        <v>66.94</v>
      </c>
      <c r="F735" s="342"/>
      <c r="G735" s="344">
        <f t="shared" si="5"/>
        <v>4228.0599999999977</v>
      </c>
      <c r="H735" s="345"/>
      <c r="I735" s="346"/>
      <c r="J735" s="347"/>
      <c r="K735" s="312"/>
      <c r="L735" s="347"/>
      <c r="M735" s="312"/>
      <c r="N735" s="347"/>
      <c r="O735" s="312"/>
      <c r="P735" s="347"/>
      <c r="Q735" s="312"/>
      <c r="R735" s="347"/>
      <c r="S735" s="312"/>
      <c r="T735" s="347"/>
    </row>
    <row r="736" spans="1:20" ht="12" customHeight="1" x14ac:dyDescent="0.3">
      <c r="A736" s="340" t="s">
        <v>289</v>
      </c>
      <c r="B736" s="341">
        <v>8</v>
      </c>
      <c r="C736" s="309">
        <v>46049</v>
      </c>
      <c r="D736" s="310" t="s">
        <v>308</v>
      </c>
      <c r="E736" s="342">
        <v>47.99</v>
      </c>
      <c r="F736" s="342"/>
      <c r="G736" s="344">
        <f t="shared" si="5"/>
        <v>4294.9999999999973</v>
      </c>
      <c r="H736" s="345"/>
      <c r="I736" s="346"/>
      <c r="J736" s="347"/>
      <c r="K736" s="312"/>
      <c r="L736" s="347"/>
      <c r="M736" s="312"/>
      <c r="N736" s="347"/>
      <c r="O736" s="312"/>
      <c r="P736" s="347"/>
      <c r="Q736" s="312"/>
      <c r="R736" s="347"/>
      <c r="S736" s="312"/>
      <c r="T736" s="347"/>
    </row>
    <row r="737" spans="1:20" ht="12" customHeight="1" x14ac:dyDescent="0.3">
      <c r="A737" s="340" t="s">
        <v>287</v>
      </c>
      <c r="B737" s="341" t="s">
        <v>287</v>
      </c>
      <c r="C737" s="309">
        <v>46048</v>
      </c>
      <c r="D737" s="310" t="s">
        <v>466</v>
      </c>
      <c r="E737" s="342"/>
      <c r="F737" s="342">
        <v>425</v>
      </c>
      <c r="G737" s="344">
        <f t="shared" si="5"/>
        <v>4342.9899999999971</v>
      </c>
      <c r="H737" s="345" t="s">
        <v>298</v>
      </c>
      <c r="I737" s="346"/>
      <c r="J737" s="347"/>
      <c r="K737" s="312"/>
      <c r="L737" s="347"/>
      <c r="M737" s="312"/>
      <c r="N737" s="347"/>
      <c r="O737" s="312"/>
      <c r="P737" s="347"/>
      <c r="Q737" s="312"/>
      <c r="R737" s="347"/>
      <c r="S737" s="312"/>
      <c r="T737" s="347"/>
    </row>
    <row r="738" spans="1:20" ht="12" customHeight="1" x14ac:dyDescent="0.3">
      <c r="A738" s="340" t="s">
        <v>287</v>
      </c>
      <c r="B738" s="341" t="s">
        <v>287</v>
      </c>
      <c r="C738" s="309">
        <v>46048</v>
      </c>
      <c r="D738" s="310" t="s">
        <v>466</v>
      </c>
      <c r="E738" s="342">
        <v>425</v>
      </c>
      <c r="F738" s="342"/>
      <c r="G738" s="344">
        <f t="shared" si="5"/>
        <v>3917.9899999999971</v>
      </c>
      <c r="H738" s="345"/>
      <c r="I738" s="346"/>
      <c r="J738" s="347"/>
      <c r="K738" s="312"/>
      <c r="L738" s="347"/>
      <c r="M738" s="312"/>
      <c r="N738" s="347"/>
      <c r="O738" s="312"/>
      <c r="P738" s="347"/>
      <c r="Q738" s="312"/>
      <c r="R738" s="347"/>
      <c r="S738" s="312"/>
      <c r="T738" s="347"/>
    </row>
    <row r="739" spans="1:20" ht="12" customHeight="1" x14ac:dyDescent="0.3">
      <c r="A739" s="340" t="s">
        <v>289</v>
      </c>
      <c r="B739" s="341">
        <v>2</v>
      </c>
      <c r="C739" s="309">
        <v>46048</v>
      </c>
      <c r="D739" s="310" t="s">
        <v>467</v>
      </c>
      <c r="E739" s="342">
        <v>20.12</v>
      </c>
      <c r="F739" s="342"/>
      <c r="G739" s="344">
        <f t="shared" si="5"/>
        <v>4342.9899999999971</v>
      </c>
      <c r="H739" s="345"/>
      <c r="I739" s="346"/>
      <c r="J739" s="347"/>
      <c r="K739" s="312"/>
      <c r="L739" s="347"/>
      <c r="M739" s="312"/>
      <c r="N739" s="347"/>
      <c r="O739" s="312"/>
      <c r="P739" s="347"/>
      <c r="Q739" s="312"/>
      <c r="R739" s="347"/>
      <c r="S739" s="312"/>
      <c r="T739" s="347"/>
    </row>
    <row r="740" spans="1:20" ht="12" customHeight="1" x14ac:dyDescent="0.3">
      <c r="A740" s="340" t="s">
        <v>294</v>
      </c>
      <c r="B740" s="341">
        <v>17</v>
      </c>
      <c r="C740" s="309">
        <v>46048</v>
      </c>
      <c r="D740" s="310" t="s">
        <v>468</v>
      </c>
      <c r="E740" s="342">
        <v>42.68</v>
      </c>
      <c r="F740" s="342"/>
      <c r="G740" s="344">
        <f t="shared" si="5"/>
        <v>4363.1099999999969</v>
      </c>
      <c r="H740" s="345"/>
      <c r="I740" s="346"/>
      <c r="J740" s="347"/>
      <c r="K740" s="312"/>
      <c r="L740" s="347"/>
      <c r="M740" s="312"/>
      <c r="N740" s="347"/>
      <c r="O740" s="312"/>
      <c r="P740" s="347"/>
      <c r="Q740" s="312"/>
      <c r="R740" s="347"/>
      <c r="S740" s="312"/>
      <c r="T740" s="347"/>
    </row>
    <row r="741" spans="1:20" ht="12" customHeight="1" x14ac:dyDescent="0.3">
      <c r="A741" s="340" t="s">
        <v>289</v>
      </c>
      <c r="B741" s="341">
        <v>6</v>
      </c>
      <c r="C741" s="309">
        <v>46048</v>
      </c>
      <c r="D741" s="310" t="s">
        <v>397</v>
      </c>
      <c r="E741" s="342">
        <v>47.9</v>
      </c>
      <c r="F741" s="342"/>
      <c r="G741" s="344">
        <f t="shared" si="5"/>
        <v>4405.7899999999972</v>
      </c>
      <c r="H741" s="345"/>
      <c r="I741" s="346"/>
      <c r="J741" s="347"/>
      <c r="K741" s="312"/>
      <c r="L741" s="347"/>
      <c r="M741" s="312"/>
      <c r="N741" s="347"/>
      <c r="O741" s="312"/>
      <c r="P741" s="347"/>
      <c r="Q741" s="312"/>
      <c r="R741" s="347"/>
      <c r="S741" s="312"/>
      <c r="T741" s="347"/>
    </row>
    <row r="742" spans="1:20" ht="12" customHeight="1" x14ac:dyDescent="0.3">
      <c r="A742" s="340" t="s">
        <v>289</v>
      </c>
      <c r="B742" s="341">
        <v>1</v>
      </c>
      <c r="C742" s="309">
        <v>46047</v>
      </c>
      <c r="D742" s="310" t="s">
        <v>457</v>
      </c>
      <c r="E742" s="342">
        <v>105.79</v>
      </c>
      <c r="F742" s="342"/>
      <c r="G742" s="344">
        <f t="shared" si="5"/>
        <v>4453.6899999999969</v>
      </c>
      <c r="H742" s="345"/>
      <c r="I742" s="346"/>
      <c r="J742" s="347"/>
      <c r="K742" s="312"/>
      <c r="L742" s="347"/>
      <c r="M742" s="312"/>
      <c r="N742" s="347"/>
      <c r="O742" s="312"/>
      <c r="P742" s="347"/>
      <c r="Q742" s="312"/>
      <c r="R742" s="347"/>
      <c r="S742" s="312"/>
      <c r="T742" s="347"/>
    </row>
    <row r="743" spans="1:20" ht="12" customHeight="1" x14ac:dyDescent="0.3">
      <c r="A743" s="340" t="s">
        <v>294</v>
      </c>
      <c r="B743" s="341">
        <v>12</v>
      </c>
      <c r="C743" s="309">
        <v>46047</v>
      </c>
      <c r="D743" s="310" t="s">
        <v>314</v>
      </c>
      <c r="E743" s="342">
        <v>204.83</v>
      </c>
      <c r="F743" s="342"/>
      <c r="G743" s="344">
        <f t="shared" si="5"/>
        <v>4559.4799999999968</v>
      </c>
      <c r="H743" s="345"/>
      <c r="I743" s="346"/>
      <c r="J743" s="347"/>
      <c r="K743" s="312"/>
      <c r="L743" s="347"/>
      <c r="M743" s="312"/>
      <c r="N743" s="347"/>
      <c r="O743" s="312"/>
      <c r="P743" s="347"/>
      <c r="Q743" s="312"/>
      <c r="R743" s="347"/>
      <c r="S743" s="312"/>
      <c r="T743" s="347"/>
    </row>
    <row r="744" spans="1:20" ht="12" customHeight="1" x14ac:dyDescent="0.3">
      <c r="A744" s="340" t="s">
        <v>289</v>
      </c>
      <c r="B744" s="341">
        <v>3</v>
      </c>
      <c r="C744" s="309">
        <v>46047</v>
      </c>
      <c r="D744" s="310" t="s">
        <v>348</v>
      </c>
      <c r="E744" s="342">
        <v>8.51</v>
      </c>
      <c r="F744" s="342"/>
      <c r="G744" s="344">
        <f t="shared" si="5"/>
        <v>4764.3099999999968</v>
      </c>
      <c r="H744" s="345"/>
      <c r="I744" s="346"/>
      <c r="J744" s="347"/>
      <c r="K744" s="312"/>
      <c r="L744" s="347"/>
      <c r="M744" s="312"/>
      <c r="N744" s="347"/>
      <c r="O744" s="312"/>
      <c r="P744" s="347"/>
      <c r="Q744" s="312"/>
      <c r="R744" s="347"/>
      <c r="S744" s="312"/>
      <c r="T744" s="347"/>
    </row>
    <row r="745" spans="1:20" ht="12" customHeight="1" x14ac:dyDescent="0.3">
      <c r="A745" s="340" t="s">
        <v>289</v>
      </c>
      <c r="B745" s="341">
        <v>4</v>
      </c>
      <c r="C745" s="309">
        <v>46046</v>
      </c>
      <c r="D745" s="310" t="s">
        <v>296</v>
      </c>
      <c r="E745" s="342">
        <v>92.96</v>
      </c>
      <c r="F745" s="342"/>
      <c r="G745" s="344">
        <f t="shared" si="5"/>
        <v>4772.819999999997</v>
      </c>
      <c r="H745" s="345"/>
      <c r="I745" s="346"/>
      <c r="J745" s="347"/>
      <c r="K745" s="312"/>
      <c r="L745" s="347"/>
      <c r="M745" s="312"/>
      <c r="N745" s="347"/>
      <c r="O745" s="312"/>
      <c r="P745" s="347"/>
      <c r="Q745" s="312"/>
      <c r="R745" s="347"/>
      <c r="S745" s="312"/>
      <c r="T745" s="347"/>
    </row>
    <row r="746" spans="1:20" ht="12" customHeight="1" x14ac:dyDescent="0.3">
      <c r="A746" s="340" t="s">
        <v>289</v>
      </c>
      <c r="B746" s="341">
        <v>4</v>
      </c>
      <c r="C746" s="309">
        <v>46046</v>
      </c>
      <c r="D746" s="310" t="s">
        <v>334</v>
      </c>
      <c r="E746" s="342">
        <v>30.77</v>
      </c>
      <c r="F746" s="342"/>
      <c r="G746" s="344">
        <f t="shared" si="5"/>
        <v>4865.779999999997</v>
      </c>
      <c r="H746" s="345"/>
      <c r="I746" s="346"/>
      <c r="J746" s="347"/>
      <c r="K746" s="312"/>
      <c r="L746" s="347"/>
      <c r="M746" s="312"/>
      <c r="N746" s="347"/>
      <c r="O746" s="312"/>
      <c r="P746" s="347"/>
      <c r="Q746" s="312"/>
      <c r="R746" s="347"/>
      <c r="S746" s="312"/>
      <c r="T746" s="347"/>
    </row>
    <row r="747" spans="1:20" ht="12" customHeight="1" x14ac:dyDescent="0.3">
      <c r="A747" s="340" t="s">
        <v>289</v>
      </c>
      <c r="B747" s="341">
        <v>2</v>
      </c>
      <c r="C747" s="309">
        <v>46046</v>
      </c>
      <c r="D747" s="310" t="s">
        <v>358</v>
      </c>
      <c r="E747" s="342">
        <v>9.4700000000000006</v>
      </c>
      <c r="F747" s="342"/>
      <c r="G747" s="344">
        <f t="shared" si="5"/>
        <v>4896.5499999999975</v>
      </c>
      <c r="H747" s="345"/>
      <c r="I747" s="346"/>
      <c r="J747" s="347"/>
      <c r="K747" s="312"/>
      <c r="L747" s="347"/>
      <c r="M747" s="312"/>
      <c r="N747" s="347"/>
      <c r="O747" s="312"/>
      <c r="P747" s="347"/>
      <c r="Q747" s="312"/>
      <c r="R747" s="347"/>
      <c r="S747" s="312"/>
      <c r="T747" s="347"/>
    </row>
    <row r="748" spans="1:20" ht="12" customHeight="1" x14ac:dyDescent="0.3">
      <c r="A748" s="340" t="s">
        <v>289</v>
      </c>
      <c r="B748" s="341">
        <v>6</v>
      </c>
      <c r="C748" s="309">
        <v>46046</v>
      </c>
      <c r="D748" s="310" t="s">
        <v>397</v>
      </c>
      <c r="E748" s="342">
        <v>53.59</v>
      </c>
      <c r="F748" s="342"/>
      <c r="G748" s="344">
        <f t="shared" si="5"/>
        <v>4906.0199999999977</v>
      </c>
      <c r="H748" s="345"/>
      <c r="I748" s="346"/>
      <c r="J748" s="347"/>
      <c r="K748" s="312"/>
      <c r="L748" s="347"/>
      <c r="M748" s="312"/>
      <c r="N748" s="347"/>
      <c r="O748" s="312"/>
      <c r="P748" s="347"/>
      <c r="Q748" s="312"/>
      <c r="R748" s="347"/>
      <c r="S748" s="312"/>
      <c r="T748" s="347"/>
    </row>
    <row r="749" spans="1:20" ht="12" customHeight="1" x14ac:dyDescent="0.3">
      <c r="A749" s="340" t="s">
        <v>289</v>
      </c>
      <c r="B749" s="341">
        <v>1</v>
      </c>
      <c r="C749" s="309">
        <v>46046</v>
      </c>
      <c r="D749" s="310" t="s">
        <v>311</v>
      </c>
      <c r="E749" s="342">
        <v>61.64</v>
      </c>
      <c r="F749" s="342"/>
      <c r="G749" s="344">
        <f t="shared" si="5"/>
        <v>4959.6099999999979</v>
      </c>
      <c r="H749" s="345"/>
      <c r="I749" s="346"/>
      <c r="J749" s="347"/>
      <c r="K749" s="312"/>
      <c r="L749" s="347"/>
      <c r="M749" s="312"/>
      <c r="N749" s="347"/>
      <c r="O749" s="312"/>
      <c r="P749" s="347"/>
      <c r="Q749" s="312"/>
      <c r="R749" s="347"/>
      <c r="S749" s="312"/>
      <c r="T749" s="347"/>
    </row>
    <row r="750" spans="1:20" ht="12" customHeight="1" x14ac:dyDescent="0.3">
      <c r="A750" s="340" t="s">
        <v>289</v>
      </c>
      <c r="B750" s="341">
        <v>1</v>
      </c>
      <c r="C750" s="309">
        <v>46045</v>
      </c>
      <c r="D750" s="310" t="s">
        <v>304</v>
      </c>
      <c r="E750" s="342">
        <v>23.17</v>
      </c>
      <c r="F750" s="342"/>
      <c r="G750" s="344">
        <f t="shared" si="5"/>
        <v>5021.2499999999982</v>
      </c>
      <c r="H750" s="345"/>
      <c r="I750" s="346"/>
      <c r="J750" s="347"/>
      <c r="K750" s="312"/>
      <c r="L750" s="347"/>
      <c r="M750" s="312"/>
      <c r="N750" s="347"/>
      <c r="O750" s="312"/>
      <c r="P750" s="347"/>
      <c r="Q750" s="312"/>
      <c r="R750" s="347"/>
      <c r="S750" s="312"/>
      <c r="T750" s="347"/>
    </row>
    <row r="751" spans="1:20" ht="12" customHeight="1" x14ac:dyDescent="0.3">
      <c r="A751" s="340" t="s">
        <v>289</v>
      </c>
      <c r="B751" s="341">
        <v>4</v>
      </c>
      <c r="C751" s="309">
        <v>46045</v>
      </c>
      <c r="D751" s="310" t="s">
        <v>296</v>
      </c>
      <c r="E751" s="342">
        <v>62.77</v>
      </c>
      <c r="F751" s="342"/>
      <c r="G751" s="344">
        <f t="shared" si="5"/>
        <v>5044.4199999999983</v>
      </c>
      <c r="H751" s="345"/>
      <c r="I751" s="346"/>
      <c r="J751" s="347"/>
      <c r="K751" s="312"/>
      <c r="L751" s="347"/>
      <c r="M751" s="312"/>
      <c r="N751" s="347"/>
      <c r="O751" s="312"/>
      <c r="P751" s="347"/>
      <c r="Q751" s="312"/>
      <c r="R751" s="347"/>
      <c r="S751" s="312"/>
      <c r="T751" s="347"/>
    </row>
    <row r="752" spans="1:20" ht="12" customHeight="1" x14ac:dyDescent="0.3">
      <c r="A752" s="340" t="s">
        <v>289</v>
      </c>
      <c r="B752" s="341">
        <v>6</v>
      </c>
      <c r="C752" s="309">
        <v>46045</v>
      </c>
      <c r="D752" s="310" t="s">
        <v>469</v>
      </c>
      <c r="E752" s="342">
        <v>105.51</v>
      </c>
      <c r="F752" s="342"/>
      <c r="G752" s="344">
        <f t="shared" si="5"/>
        <v>5107.1899999999987</v>
      </c>
      <c r="H752" s="345"/>
      <c r="I752" s="346"/>
      <c r="J752" s="347"/>
      <c r="K752" s="312"/>
      <c r="L752" s="347"/>
      <c r="M752" s="312"/>
      <c r="N752" s="347"/>
      <c r="O752" s="312"/>
      <c r="P752" s="347"/>
      <c r="Q752" s="312"/>
      <c r="R752" s="347"/>
      <c r="S752" s="312"/>
      <c r="T752" s="347"/>
    </row>
    <row r="753" spans="1:20" ht="12" customHeight="1" x14ac:dyDescent="0.3">
      <c r="A753" s="340" t="s">
        <v>289</v>
      </c>
      <c r="B753" s="341">
        <v>3</v>
      </c>
      <c r="C753" s="309">
        <v>46045</v>
      </c>
      <c r="D753" s="310" t="s">
        <v>334</v>
      </c>
      <c r="E753" s="342">
        <v>9.9499999999999993</v>
      </c>
      <c r="F753" s="342"/>
      <c r="G753" s="344">
        <f t="shared" si="5"/>
        <v>5212.6999999999989</v>
      </c>
      <c r="H753" s="345"/>
      <c r="I753" s="346"/>
      <c r="J753" s="347"/>
      <c r="K753" s="312"/>
      <c r="L753" s="347"/>
      <c r="M753" s="312"/>
      <c r="N753" s="347"/>
      <c r="O753" s="312"/>
      <c r="P753" s="347"/>
      <c r="Q753" s="312"/>
      <c r="R753" s="347"/>
      <c r="S753" s="312"/>
      <c r="T753" s="347"/>
    </row>
    <row r="754" spans="1:20" ht="12" customHeight="1" x14ac:dyDescent="0.3">
      <c r="A754" s="340" t="s">
        <v>289</v>
      </c>
      <c r="B754" s="341">
        <v>2</v>
      </c>
      <c r="C754" s="309">
        <v>46045</v>
      </c>
      <c r="D754" s="310" t="s">
        <v>358</v>
      </c>
      <c r="E754" s="342">
        <v>10.17</v>
      </c>
      <c r="F754" s="342"/>
      <c r="G754" s="344">
        <f t="shared" si="5"/>
        <v>5222.6499999999987</v>
      </c>
      <c r="H754" s="345"/>
      <c r="I754" s="346"/>
      <c r="J754" s="347"/>
      <c r="K754" s="312"/>
      <c r="L754" s="347"/>
      <c r="M754" s="312"/>
      <c r="N754" s="347"/>
      <c r="O754" s="312"/>
      <c r="P754" s="347"/>
      <c r="Q754" s="312"/>
      <c r="R754" s="347"/>
      <c r="S754" s="312"/>
      <c r="T754" s="347"/>
    </row>
    <row r="755" spans="1:20" ht="12" customHeight="1" x14ac:dyDescent="0.3">
      <c r="A755" s="340" t="s">
        <v>289</v>
      </c>
      <c r="B755" s="341">
        <v>2</v>
      </c>
      <c r="C755" s="309">
        <v>46045</v>
      </c>
      <c r="D755" s="310" t="s">
        <v>301</v>
      </c>
      <c r="E755" s="342">
        <v>32.200000000000003</v>
      </c>
      <c r="F755" s="342"/>
      <c r="G755" s="344">
        <f t="shared" si="5"/>
        <v>5232.8199999999988</v>
      </c>
      <c r="H755" s="345"/>
      <c r="I755" s="346"/>
      <c r="J755" s="347"/>
      <c r="K755" s="312"/>
      <c r="L755" s="347"/>
      <c r="M755" s="312"/>
      <c r="N755" s="347"/>
      <c r="O755" s="312"/>
      <c r="P755" s="347"/>
      <c r="Q755" s="312"/>
      <c r="R755" s="347"/>
      <c r="S755" s="312"/>
      <c r="T755" s="347"/>
    </row>
    <row r="756" spans="1:20" ht="12" customHeight="1" x14ac:dyDescent="0.3">
      <c r="A756" s="340" t="s">
        <v>294</v>
      </c>
      <c r="B756" s="341">
        <v>22</v>
      </c>
      <c r="C756" s="309">
        <v>46045</v>
      </c>
      <c r="D756" s="310" t="s">
        <v>863</v>
      </c>
      <c r="E756" s="342">
        <v>5.31</v>
      </c>
      <c r="F756" s="342"/>
      <c r="G756" s="344">
        <f t="shared" si="5"/>
        <v>5265.0199999999986</v>
      </c>
      <c r="H756" s="345"/>
      <c r="I756" s="346"/>
      <c r="J756" s="347"/>
      <c r="K756" s="312"/>
      <c r="L756" s="347"/>
      <c r="M756" s="312"/>
      <c r="N756" s="347"/>
      <c r="O756" s="312"/>
      <c r="P756" s="347"/>
      <c r="Q756" s="312"/>
      <c r="R756" s="347"/>
      <c r="S756" s="312"/>
      <c r="T756" s="347"/>
    </row>
    <row r="757" spans="1:20" ht="12" customHeight="1" x14ac:dyDescent="0.3">
      <c r="A757" s="340" t="s">
        <v>289</v>
      </c>
      <c r="B757" s="341">
        <v>8</v>
      </c>
      <c r="C757" s="309">
        <v>46044</v>
      </c>
      <c r="D757" s="310" t="s">
        <v>435</v>
      </c>
      <c r="E757" s="342">
        <v>73.95</v>
      </c>
      <c r="F757" s="342"/>
      <c r="G757" s="344">
        <f t="shared" si="5"/>
        <v>5270.329999999999</v>
      </c>
      <c r="H757" s="345"/>
      <c r="I757" s="346"/>
      <c r="J757" s="347"/>
      <c r="K757" s="312"/>
      <c r="L757" s="347"/>
      <c r="M757" s="312"/>
      <c r="N757" s="347"/>
      <c r="O757" s="312"/>
      <c r="P757" s="347"/>
      <c r="Q757" s="312"/>
      <c r="R757" s="347"/>
      <c r="S757" s="312"/>
      <c r="T757" s="347"/>
    </row>
    <row r="758" spans="1:20" ht="12" customHeight="1" x14ac:dyDescent="0.3">
      <c r="A758" s="340" t="s">
        <v>289</v>
      </c>
      <c r="B758" s="341">
        <v>2</v>
      </c>
      <c r="C758" s="309">
        <v>46044</v>
      </c>
      <c r="D758" s="310" t="s">
        <v>470</v>
      </c>
      <c r="E758" s="342">
        <v>28.68</v>
      </c>
      <c r="F758" s="342"/>
      <c r="G758" s="344">
        <f t="shared" si="5"/>
        <v>5344.2799999999988</v>
      </c>
      <c r="H758" s="345"/>
      <c r="I758" s="346"/>
      <c r="J758" s="347"/>
      <c r="K758" s="312"/>
      <c r="L758" s="347"/>
      <c r="M758" s="312"/>
      <c r="N758" s="347"/>
      <c r="O758" s="312"/>
      <c r="P758" s="347"/>
      <c r="Q758" s="312"/>
      <c r="R758" s="347"/>
      <c r="S758" s="312"/>
      <c r="T758" s="347"/>
    </row>
    <row r="759" spans="1:20" ht="12" customHeight="1" x14ac:dyDescent="0.3">
      <c r="A759" s="340" t="s">
        <v>289</v>
      </c>
      <c r="B759" s="341">
        <v>8</v>
      </c>
      <c r="C759" s="309">
        <v>46044</v>
      </c>
      <c r="D759" s="310" t="s">
        <v>357</v>
      </c>
      <c r="E759" s="342">
        <v>57.38</v>
      </c>
      <c r="F759" s="342"/>
      <c r="G759" s="344">
        <f t="shared" si="5"/>
        <v>5372.9599999999991</v>
      </c>
      <c r="H759" s="345"/>
      <c r="I759" s="346"/>
      <c r="J759" s="347"/>
      <c r="K759" s="312"/>
      <c r="L759" s="347"/>
      <c r="M759" s="312"/>
      <c r="N759" s="347"/>
      <c r="O759" s="312"/>
      <c r="P759" s="347"/>
      <c r="Q759" s="312"/>
      <c r="R759" s="347"/>
      <c r="S759" s="312"/>
      <c r="T759" s="347"/>
    </row>
    <row r="760" spans="1:20" ht="12" customHeight="1" x14ac:dyDescent="0.3">
      <c r="A760" s="340" t="s">
        <v>289</v>
      </c>
      <c r="B760" s="341">
        <v>2</v>
      </c>
      <c r="C760" s="309">
        <v>46044</v>
      </c>
      <c r="D760" s="310" t="s">
        <v>358</v>
      </c>
      <c r="E760" s="342">
        <v>9.4700000000000006</v>
      </c>
      <c r="F760" s="342"/>
      <c r="G760" s="344">
        <f t="shared" si="5"/>
        <v>5430.3399999999992</v>
      </c>
      <c r="H760" s="345"/>
      <c r="I760" s="346"/>
      <c r="J760" s="347"/>
      <c r="K760" s="312"/>
      <c r="L760" s="347"/>
      <c r="M760" s="312"/>
      <c r="N760" s="347"/>
      <c r="O760" s="312"/>
      <c r="P760" s="347"/>
      <c r="Q760" s="312"/>
      <c r="R760" s="347"/>
      <c r="S760" s="312"/>
      <c r="T760" s="347"/>
    </row>
    <row r="761" spans="1:20" ht="12" customHeight="1" x14ac:dyDescent="0.3">
      <c r="A761" s="340" t="s">
        <v>289</v>
      </c>
      <c r="B761" s="341">
        <v>2</v>
      </c>
      <c r="C761" s="309">
        <v>46044</v>
      </c>
      <c r="D761" s="310" t="s">
        <v>358</v>
      </c>
      <c r="E761" s="342">
        <v>7.18</v>
      </c>
      <c r="F761" s="342"/>
      <c r="G761" s="344">
        <f t="shared" si="5"/>
        <v>5439.8099999999995</v>
      </c>
      <c r="H761" s="345"/>
      <c r="I761" s="346"/>
      <c r="J761" s="347"/>
      <c r="K761" s="312"/>
      <c r="L761" s="347"/>
      <c r="M761" s="312"/>
      <c r="N761" s="347"/>
      <c r="O761" s="312"/>
      <c r="P761" s="347"/>
      <c r="Q761" s="312"/>
      <c r="R761" s="347"/>
      <c r="S761" s="312"/>
      <c r="T761" s="347"/>
    </row>
    <row r="762" spans="1:20" ht="12" customHeight="1" x14ac:dyDescent="0.3">
      <c r="A762" s="340" t="s">
        <v>287</v>
      </c>
      <c r="B762" s="341" t="s">
        <v>287</v>
      </c>
      <c r="C762" s="309">
        <v>46044</v>
      </c>
      <c r="D762" s="310" t="s">
        <v>315</v>
      </c>
      <c r="E762" s="342">
        <v>126.24</v>
      </c>
      <c r="F762" s="342">
        <v>126.24</v>
      </c>
      <c r="G762" s="344">
        <f t="shared" si="5"/>
        <v>5446.99</v>
      </c>
      <c r="H762" s="345"/>
      <c r="I762" s="346"/>
      <c r="J762" s="347"/>
      <c r="K762" s="312"/>
      <c r="L762" s="347"/>
      <c r="M762" s="312"/>
      <c r="N762" s="347"/>
      <c r="O762" s="312"/>
      <c r="P762" s="347"/>
      <c r="Q762" s="312"/>
      <c r="R762" s="347"/>
      <c r="S762" s="312"/>
      <c r="T762" s="347"/>
    </row>
    <row r="763" spans="1:20" ht="12" customHeight="1" x14ac:dyDescent="0.3">
      <c r="A763" s="340" t="s">
        <v>289</v>
      </c>
      <c r="B763" s="341">
        <v>8</v>
      </c>
      <c r="C763" s="309">
        <v>46043</v>
      </c>
      <c r="D763" s="310" t="s">
        <v>471</v>
      </c>
      <c r="E763" s="342">
        <v>17</v>
      </c>
      <c r="F763" s="342"/>
      <c r="G763" s="344">
        <f t="shared" si="5"/>
        <v>5446.99</v>
      </c>
      <c r="H763" s="345"/>
      <c r="I763" s="346"/>
      <c r="J763" s="347"/>
      <c r="K763" s="312"/>
      <c r="L763" s="347"/>
      <c r="M763" s="312"/>
      <c r="N763" s="347"/>
      <c r="O763" s="312"/>
      <c r="P763" s="347"/>
      <c r="Q763" s="312"/>
      <c r="R763" s="347"/>
      <c r="S763" s="312"/>
      <c r="T763" s="347"/>
    </row>
    <row r="764" spans="1:20" ht="12" customHeight="1" x14ac:dyDescent="0.3">
      <c r="A764" s="340" t="s">
        <v>289</v>
      </c>
      <c r="B764" s="341">
        <v>1</v>
      </c>
      <c r="C764" s="309">
        <v>46043</v>
      </c>
      <c r="D764" s="310" t="s">
        <v>329</v>
      </c>
      <c r="E764" s="342">
        <v>24.75</v>
      </c>
      <c r="F764" s="342"/>
      <c r="G764" s="344">
        <f t="shared" si="5"/>
        <v>5463.99</v>
      </c>
      <c r="H764" s="345"/>
      <c r="I764" s="346"/>
      <c r="J764" s="347"/>
      <c r="K764" s="312"/>
      <c r="L764" s="347"/>
      <c r="M764" s="312"/>
      <c r="N764" s="347"/>
      <c r="O764" s="312"/>
      <c r="P764" s="347"/>
      <c r="Q764" s="312"/>
      <c r="R764" s="347"/>
      <c r="S764" s="312"/>
      <c r="T764" s="347"/>
    </row>
    <row r="765" spans="1:20" ht="12" customHeight="1" x14ac:dyDescent="0.3">
      <c r="A765" s="340" t="s">
        <v>291</v>
      </c>
      <c r="B765" s="341">
        <v>39</v>
      </c>
      <c r="C765" s="309">
        <v>46043</v>
      </c>
      <c r="D765" s="310" t="s">
        <v>292</v>
      </c>
      <c r="E765" s="342"/>
      <c r="F765" s="342">
        <v>3378.82</v>
      </c>
      <c r="G765" s="344">
        <f t="shared" si="5"/>
        <v>5488.74</v>
      </c>
      <c r="H765" s="345"/>
      <c r="I765" s="346"/>
      <c r="J765" s="347"/>
      <c r="K765" s="312"/>
      <c r="L765" s="347"/>
      <c r="M765" s="312"/>
      <c r="N765" s="347"/>
      <c r="O765" s="312"/>
      <c r="P765" s="347"/>
      <c r="Q765" s="312"/>
      <c r="R765" s="347"/>
      <c r="S765" s="312"/>
      <c r="T765" s="347"/>
    </row>
    <row r="766" spans="1:20" ht="12" customHeight="1" x14ac:dyDescent="0.3">
      <c r="A766" s="340" t="s">
        <v>294</v>
      </c>
      <c r="B766" s="341">
        <v>23</v>
      </c>
      <c r="C766" s="309">
        <v>46043</v>
      </c>
      <c r="D766" s="310" t="s">
        <v>67</v>
      </c>
      <c r="E766" s="342">
        <v>650.88</v>
      </c>
      <c r="F766" s="342"/>
      <c r="G766" s="344">
        <f t="shared" si="5"/>
        <v>2109.9199999999992</v>
      </c>
      <c r="H766" s="345"/>
      <c r="I766" s="346"/>
      <c r="J766" s="347"/>
      <c r="K766" s="312"/>
      <c r="L766" s="347"/>
      <c r="M766" s="312"/>
      <c r="N766" s="347"/>
      <c r="O766" s="312"/>
      <c r="P766" s="347"/>
      <c r="Q766" s="312"/>
      <c r="R766" s="347"/>
      <c r="S766" s="312"/>
      <c r="T766" s="347"/>
    </row>
    <row r="767" spans="1:20" ht="12" customHeight="1" x14ac:dyDescent="0.3">
      <c r="A767" s="340" t="s">
        <v>287</v>
      </c>
      <c r="B767" s="341" t="s">
        <v>287</v>
      </c>
      <c r="C767" s="309">
        <v>46043</v>
      </c>
      <c r="D767" s="310" t="s">
        <v>472</v>
      </c>
      <c r="E767" s="342">
        <v>100</v>
      </c>
      <c r="F767" s="342">
        <v>100</v>
      </c>
      <c r="G767" s="344">
        <f t="shared" si="5"/>
        <v>2760.7999999999993</v>
      </c>
      <c r="H767" s="345"/>
      <c r="I767" s="346"/>
      <c r="J767" s="347"/>
      <c r="K767" s="312"/>
      <c r="L767" s="347"/>
      <c r="M767" s="312"/>
      <c r="N767" s="347"/>
      <c r="O767" s="312"/>
      <c r="P767" s="347"/>
      <c r="Q767" s="312"/>
      <c r="R767" s="347"/>
      <c r="S767" s="312"/>
      <c r="T767" s="347"/>
    </row>
    <row r="768" spans="1:20" ht="12" customHeight="1" x14ac:dyDescent="0.3">
      <c r="A768" s="340" t="s">
        <v>289</v>
      </c>
      <c r="B768" s="341">
        <v>2</v>
      </c>
      <c r="C768" s="309">
        <v>46043</v>
      </c>
      <c r="D768" s="310" t="s">
        <v>301</v>
      </c>
      <c r="E768" s="342">
        <v>20</v>
      </c>
      <c r="F768" s="342"/>
      <c r="G768" s="344">
        <f t="shared" si="5"/>
        <v>2760.7999999999993</v>
      </c>
      <c r="H768" s="345"/>
      <c r="I768" s="346"/>
      <c r="J768" s="347"/>
      <c r="K768" s="312"/>
      <c r="L768" s="347"/>
      <c r="M768" s="312"/>
      <c r="N768" s="347"/>
      <c r="O768" s="312"/>
      <c r="P768" s="347"/>
      <c r="Q768" s="312"/>
      <c r="R768" s="347"/>
      <c r="S768" s="312"/>
      <c r="T768" s="347"/>
    </row>
    <row r="769" spans="1:20" ht="12" customHeight="1" x14ac:dyDescent="0.3">
      <c r="A769" s="340" t="s">
        <v>289</v>
      </c>
      <c r="B769" s="341">
        <v>8</v>
      </c>
      <c r="C769" s="309">
        <v>46043</v>
      </c>
      <c r="D769" s="310" t="s">
        <v>295</v>
      </c>
      <c r="E769" s="342">
        <v>6.38</v>
      </c>
      <c r="F769" s="342"/>
      <c r="G769" s="344">
        <f t="shared" si="5"/>
        <v>2780.7999999999993</v>
      </c>
      <c r="H769" s="345"/>
      <c r="I769" s="346"/>
      <c r="J769" s="347"/>
      <c r="K769" s="312"/>
      <c r="L769" s="347"/>
      <c r="M769" s="312"/>
      <c r="N769" s="347"/>
      <c r="O769" s="312"/>
      <c r="P769" s="347"/>
      <c r="Q769" s="312"/>
      <c r="R769" s="347"/>
      <c r="S769" s="312"/>
      <c r="T769" s="347"/>
    </row>
    <row r="770" spans="1:20" ht="12" customHeight="1" x14ac:dyDescent="0.3">
      <c r="A770" s="340" t="s">
        <v>289</v>
      </c>
      <c r="B770" s="341">
        <v>2</v>
      </c>
      <c r="C770" s="309">
        <v>46043</v>
      </c>
      <c r="D770" s="310" t="s">
        <v>295</v>
      </c>
      <c r="E770" s="342">
        <v>17.29</v>
      </c>
      <c r="F770" s="342"/>
      <c r="G770" s="344">
        <f t="shared" si="5"/>
        <v>2787.1799999999994</v>
      </c>
      <c r="H770" s="345"/>
      <c r="I770" s="346"/>
      <c r="J770" s="347"/>
      <c r="K770" s="312"/>
      <c r="L770" s="347"/>
      <c r="M770" s="312"/>
      <c r="N770" s="347"/>
      <c r="O770" s="312"/>
      <c r="P770" s="347"/>
      <c r="Q770" s="312"/>
      <c r="R770" s="347"/>
      <c r="S770" s="312"/>
      <c r="T770" s="347"/>
    </row>
    <row r="771" spans="1:20" ht="12" customHeight="1" x14ac:dyDescent="0.3">
      <c r="A771" s="340" t="s">
        <v>289</v>
      </c>
      <c r="B771" s="341">
        <v>2</v>
      </c>
      <c r="C771" s="309">
        <v>46043</v>
      </c>
      <c r="D771" s="310" t="s">
        <v>358</v>
      </c>
      <c r="E771" s="342">
        <v>14.86</v>
      </c>
      <c r="F771" s="342"/>
      <c r="G771" s="344">
        <f t="shared" si="5"/>
        <v>2804.4699999999993</v>
      </c>
      <c r="H771" s="345"/>
      <c r="I771" s="346"/>
      <c r="J771" s="347"/>
      <c r="K771" s="312"/>
      <c r="L771" s="347"/>
      <c r="M771" s="312"/>
      <c r="N771" s="347"/>
      <c r="O771" s="312"/>
      <c r="P771" s="347"/>
      <c r="Q771" s="312"/>
      <c r="R771" s="347"/>
      <c r="S771" s="312"/>
      <c r="T771" s="347"/>
    </row>
    <row r="772" spans="1:20" ht="12" customHeight="1" x14ac:dyDescent="0.3">
      <c r="A772" s="340" t="s">
        <v>289</v>
      </c>
      <c r="B772" s="341">
        <v>2</v>
      </c>
      <c r="C772" s="309">
        <v>46042</v>
      </c>
      <c r="D772" s="310" t="s">
        <v>371</v>
      </c>
      <c r="E772" s="342">
        <v>13.4</v>
      </c>
      <c r="F772" s="342"/>
      <c r="G772" s="344">
        <f t="shared" si="5"/>
        <v>2819.3299999999995</v>
      </c>
      <c r="H772" s="345"/>
      <c r="I772" s="346"/>
      <c r="J772" s="347"/>
      <c r="K772" s="312"/>
      <c r="L772" s="347"/>
      <c r="M772" s="312"/>
      <c r="N772" s="347"/>
      <c r="O772" s="312"/>
      <c r="P772" s="347"/>
      <c r="Q772" s="312"/>
      <c r="R772" s="347"/>
      <c r="S772" s="312"/>
      <c r="T772" s="347"/>
    </row>
    <row r="773" spans="1:20" ht="12" customHeight="1" x14ac:dyDescent="0.3">
      <c r="A773" s="340" t="s">
        <v>289</v>
      </c>
      <c r="B773" s="341">
        <v>2</v>
      </c>
      <c r="C773" s="309">
        <v>46042</v>
      </c>
      <c r="D773" s="310" t="s">
        <v>371</v>
      </c>
      <c r="E773" s="342">
        <v>5.97</v>
      </c>
      <c r="F773" s="342"/>
      <c r="G773" s="344">
        <f t="shared" si="5"/>
        <v>2832.7299999999996</v>
      </c>
      <c r="H773" s="345"/>
      <c r="I773" s="346"/>
      <c r="J773" s="347"/>
      <c r="K773" s="312"/>
      <c r="L773" s="347"/>
      <c r="M773" s="312"/>
      <c r="N773" s="347"/>
      <c r="O773" s="312"/>
      <c r="P773" s="347"/>
      <c r="Q773" s="312"/>
      <c r="R773" s="347"/>
      <c r="S773" s="312"/>
      <c r="T773" s="347"/>
    </row>
    <row r="774" spans="1:20" ht="12" customHeight="1" x14ac:dyDescent="0.3">
      <c r="A774" s="340" t="s">
        <v>294</v>
      </c>
      <c r="B774" s="341">
        <v>22</v>
      </c>
      <c r="C774" s="309">
        <v>46042</v>
      </c>
      <c r="D774" s="310" t="s">
        <v>323</v>
      </c>
      <c r="E774" s="342">
        <v>18.09</v>
      </c>
      <c r="F774" s="342"/>
      <c r="G774" s="344">
        <f t="shared" si="5"/>
        <v>2838.6999999999994</v>
      </c>
      <c r="H774" s="345"/>
      <c r="I774" s="346"/>
      <c r="J774" s="347"/>
      <c r="K774" s="312"/>
      <c r="L774" s="347"/>
      <c r="M774" s="312"/>
      <c r="N774" s="347"/>
      <c r="O774" s="312"/>
      <c r="P774" s="347"/>
      <c r="Q774" s="312"/>
      <c r="R774" s="347"/>
      <c r="S774" s="312"/>
      <c r="T774" s="347"/>
    </row>
    <row r="775" spans="1:20" ht="12" customHeight="1" x14ac:dyDescent="0.3">
      <c r="A775" s="340" t="s">
        <v>294</v>
      </c>
      <c r="B775" s="341">
        <v>17</v>
      </c>
      <c r="C775" s="309">
        <v>46042</v>
      </c>
      <c r="D775" s="310" t="s">
        <v>188</v>
      </c>
      <c r="E775" s="342">
        <v>42.65</v>
      </c>
      <c r="F775" s="342"/>
      <c r="G775" s="344">
        <f t="shared" si="5"/>
        <v>2856.7899999999995</v>
      </c>
      <c r="H775" s="345"/>
      <c r="I775" s="346"/>
      <c r="J775" s="347"/>
      <c r="K775" s="312"/>
      <c r="L775" s="347"/>
      <c r="M775" s="312"/>
      <c r="N775" s="347"/>
      <c r="O775" s="312"/>
      <c r="P775" s="347"/>
      <c r="Q775" s="312"/>
      <c r="R775" s="347"/>
      <c r="S775" s="312"/>
      <c r="T775" s="347"/>
    </row>
    <row r="776" spans="1:20" ht="12" customHeight="1" x14ac:dyDescent="0.3">
      <c r="A776" s="340" t="s">
        <v>335</v>
      </c>
      <c r="B776" s="341" t="s">
        <v>335</v>
      </c>
      <c r="C776" s="309">
        <v>46042</v>
      </c>
      <c r="D776" s="310" t="s">
        <v>336</v>
      </c>
      <c r="E776" s="342">
        <v>130.51</v>
      </c>
      <c r="F776" s="342"/>
      <c r="G776" s="344">
        <f t="shared" si="5"/>
        <v>2899.4399999999996</v>
      </c>
      <c r="H776" s="345"/>
      <c r="I776" s="346"/>
      <c r="J776" s="347"/>
      <c r="K776" s="312"/>
      <c r="L776" s="347"/>
      <c r="M776" s="312"/>
      <c r="N776" s="347"/>
      <c r="O776" s="312"/>
      <c r="P776" s="347"/>
      <c r="Q776" s="312"/>
      <c r="R776" s="347"/>
      <c r="S776" s="312"/>
      <c r="T776" s="347"/>
    </row>
    <row r="777" spans="1:20" ht="12" customHeight="1" x14ac:dyDescent="0.3">
      <c r="A777" s="340" t="s">
        <v>294</v>
      </c>
      <c r="B777" s="341">
        <v>15</v>
      </c>
      <c r="C777" s="309">
        <v>46042</v>
      </c>
      <c r="D777" s="310" t="s">
        <v>185</v>
      </c>
      <c r="E777" s="342">
        <v>132.4</v>
      </c>
      <c r="F777" s="342"/>
      <c r="G777" s="344">
        <f t="shared" si="5"/>
        <v>3029.9499999999994</v>
      </c>
      <c r="H777" s="345"/>
      <c r="I777" s="346"/>
      <c r="J777" s="347"/>
      <c r="K777" s="312"/>
      <c r="L777" s="347"/>
      <c r="M777" s="312"/>
      <c r="N777" s="347"/>
      <c r="O777" s="312"/>
      <c r="P777" s="347"/>
      <c r="Q777" s="312"/>
      <c r="R777" s="347"/>
      <c r="S777" s="312"/>
      <c r="T777" s="347"/>
    </row>
    <row r="778" spans="1:20" ht="12" customHeight="1" x14ac:dyDescent="0.3">
      <c r="A778" s="340" t="s">
        <v>294</v>
      </c>
      <c r="B778" s="341">
        <v>23</v>
      </c>
      <c r="C778" s="309">
        <v>46042</v>
      </c>
      <c r="D778" s="310" t="s">
        <v>63</v>
      </c>
      <c r="E778" s="342">
        <v>529.46</v>
      </c>
      <c r="F778" s="342"/>
      <c r="G778" s="344">
        <f t="shared" si="5"/>
        <v>3162.3499999999995</v>
      </c>
      <c r="H778" s="345"/>
      <c r="I778" s="346"/>
      <c r="J778" s="347"/>
      <c r="K778" s="312"/>
      <c r="L778" s="347"/>
      <c r="M778" s="312"/>
      <c r="N778" s="347"/>
      <c r="O778" s="312"/>
      <c r="P778" s="347"/>
      <c r="Q778" s="312"/>
      <c r="R778" s="347"/>
      <c r="S778" s="312"/>
      <c r="T778" s="347"/>
    </row>
    <row r="779" spans="1:20" ht="12" customHeight="1" x14ac:dyDescent="0.3">
      <c r="A779" s="340" t="s">
        <v>289</v>
      </c>
      <c r="B779" s="341">
        <v>6</v>
      </c>
      <c r="C779" s="309">
        <v>46042</v>
      </c>
      <c r="D779" s="310" t="s">
        <v>300</v>
      </c>
      <c r="E779" s="342">
        <v>51.63</v>
      </c>
      <c r="F779" s="342"/>
      <c r="G779" s="344">
        <f t="shared" si="5"/>
        <v>3691.8099999999995</v>
      </c>
      <c r="H779" s="345"/>
      <c r="I779" s="346"/>
      <c r="J779" s="347"/>
      <c r="K779" s="312"/>
      <c r="L779" s="347"/>
      <c r="M779" s="312"/>
      <c r="N779" s="347"/>
      <c r="O779" s="312"/>
      <c r="P779" s="347"/>
      <c r="Q779" s="312"/>
      <c r="R779" s="347"/>
      <c r="S779" s="312"/>
      <c r="T779" s="347"/>
    </row>
    <row r="780" spans="1:20" ht="12" customHeight="1" x14ac:dyDescent="0.3">
      <c r="A780" s="340" t="s">
        <v>289</v>
      </c>
      <c r="B780" s="341">
        <v>2</v>
      </c>
      <c r="C780" s="309">
        <v>46042</v>
      </c>
      <c r="D780" s="310" t="s">
        <v>296</v>
      </c>
      <c r="E780" s="342">
        <v>11.17</v>
      </c>
      <c r="F780" s="342"/>
      <c r="G780" s="344">
        <f t="shared" si="5"/>
        <v>3743.4399999999996</v>
      </c>
      <c r="H780" s="345"/>
      <c r="I780" s="346"/>
      <c r="J780" s="347"/>
      <c r="K780" s="312"/>
      <c r="L780" s="347"/>
      <c r="M780" s="312"/>
      <c r="N780" s="347"/>
      <c r="O780" s="312"/>
      <c r="P780" s="347"/>
      <c r="Q780" s="312"/>
      <c r="R780" s="347"/>
      <c r="S780" s="312"/>
      <c r="T780" s="347"/>
    </row>
    <row r="781" spans="1:20" ht="12" customHeight="1" x14ac:dyDescent="0.3">
      <c r="A781" s="340" t="s">
        <v>289</v>
      </c>
      <c r="B781" s="341">
        <v>4</v>
      </c>
      <c r="C781" s="309">
        <v>46042</v>
      </c>
      <c r="D781" s="310" t="s">
        <v>296</v>
      </c>
      <c r="E781" s="342">
        <v>57.37</v>
      </c>
      <c r="F781" s="342"/>
      <c r="G781" s="344">
        <f t="shared" si="5"/>
        <v>3754.6099999999997</v>
      </c>
      <c r="H781" s="345"/>
      <c r="I781" s="346"/>
      <c r="J781" s="347"/>
      <c r="K781" s="312"/>
      <c r="L781" s="347"/>
      <c r="M781" s="312"/>
      <c r="N781" s="347"/>
      <c r="O781" s="312"/>
      <c r="P781" s="347"/>
      <c r="Q781" s="312"/>
      <c r="R781" s="347"/>
      <c r="S781" s="312"/>
      <c r="T781" s="347"/>
    </row>
    <row r="782" spans="1:20" ht="12" customHeight="1" x14ac:dyDescent="0.3">
      <c r="A782" s="340" t="s">
        <v>294</v>
      </c>
      <c r="B782" s="341">
        <v>22</v>
      </c>
      <c r="C782" s="309">
        <v>46042</v>
      </c>
      <c r="D782" s="310" t="s">
        <v>328</v>
      </c>
      <c r="E782" s="342">
        <v>7.46</v>
      </c>
      <c r="F782" s="342"/>
      <c r="G782" s="344">
        <f t="shared" si="5"/>
        <v>3811.9799999999996</v>
      </c>
      <c r="H782" s="345"/>
      <c r="I782" s="346"/>
      <c r="J782" s="347"/>
      <c r="K782" s="312"/>
      <c r="L782" s="347"/>
      <c r="M782" s="312"/>
      <c r="N782" s="347"/>
      <c r="O782" s="312"/>
      <c r="P782" s="347"/>
      <c r="Q782" s="312"/>
      <c r="R782" s="347"/>
      <c r="S782" s="312"/>
      <c r="T782" s="347"/>
    </row>
    <row r="783" spans="1:20" ht="12" customHeight="1" x14ac:dyDescent="0.3">
      <c r="A783" s="340" t="s">
        <v>289</v>
      </c>
      <c r="B783" s="341">
        <v>4</v>
      </c>
      <c r="C783" s="309">
        <v>46042</v>
      </c>
      <c r="D783" s="310" t="s">
        <v>310</v>
      </c>
      <c r="E783" s="342">
        <v>28.91</v>
      </c>
      <c r="F783" s="342"/>
      <c r="G783" s="344">
        <f t="shared" si="5"/>
        <v>3819.4399999999996</v>
      </c>
      <c r="H783" s="345"/>
      <c r="I783" s="346"/>
      <c r="J783" s="347"/>
      <c r="K783" s="312"/>
      <c r="L783" s="347"/>
      <c r="M783" s="312"/>
      <c r="N783" s="347"/>
      <c r="O783" s="312"/>
      <c r="P783" s="347"/>
      <c r="Q783" s="312"/>
      <c r="R783" s="347"/>
      <c r="S783" s="312"/>
      <c r="T783" s="347"/>
    </row>
    <row r="784" spans="1:20" ht="12" customHeight="1" x14ac:dyDescent="0.3">
      <c r="A784" s="340" t="s">
        <v>289</v>
      </c>
      <c r="B784" s="341">
        <v>6</v>
      </c>
      <c r="C784" s="309">
        <v>46040</v>
      </c>
      <c r="D784" s="310" t="s">
        <v>300</v>
      </c>
      <c r="E784" s="342">
        <v>31.35</v>
      </c>
      <c r="F784" s="342"/>
      <c r="G784" s="344">
        <f t="shared" si="5"/>
        <v>3848.3499999999995</v>
      </c>
      <c r="H784" s="345"/>
      <c r="I784" s="346"/>
      <c r="J784" s="347"/>
      <c r="K784" s="312"/>
      <c r="L784" s="347"/>
      <c r="M784" s="312"/>
      <c r="N784" s="347"/>
      <c r="O784" s="312"/>
      <c r="P784" s="347"/>
      <c r="Q784" s="312"/>
      <c r="R784" s="347"/>
      <c r="S784" s="312"/>
      <c r="T784" s="347"/>
    </row>
    <row r="785" spans="1:20" ht="12" customHeight="1" x14ac:dyDescent="0.3">
      <c r="A785" s="340" t="s">
        <v>289</v>
      </c>
      <c r="B785" s="341">
        <v>8</v>
      </c>
      <c r="C785" s="309">
        <v>46040</v>
      </c>
      <c r="D785" s="310" t="s">
        <v>473</v>
      </c>
      <c r="E785" s="342">
        <v>124.75</v>
      </c>
      <c r="F785" s="342"/>
      <c r="G785" s="344">
        <f t="shared" si="5"/>
        <v>3879.6999999999994</v>
      </c>
      <c r="H785" s="345"/>
      <c r="I785" s="346"/>
      <c r="J785" s="347"/>
      <c r="K785" s="312"/>
      <c r="L785" s="347"/>
      <c r="M785" s="312"/>
      <c r="N785" s="347"/>
      <c r="O785" s="312"/>
      <c r="P785" s="347"/>
      <c r="Q785" s="312"/>
      <c r="R785" s="347"/>
      <c r="S785" s="312"/>
      <c r="T785" s="347"/>
    </row>
    <row r="786" spans="1:20" ht="12" customHeight="1" x14ac:dyDescent="0.3">
      <c r="A786" s="340" t="s">
        <v>289</v>
      </c>
      <c r="B786" s="341">
        <v>3</v>
      </c>
      <c r="C786" s="309">
        <v>46040</v>
      </c>
      <c r="D786" s="310" t="s">
        <v>320</v>
      </c>
      <c r="E786" s="342">
        <v>11.3</v>
      </c>
      <c r="F786" s="342"/>
      <c r="G786" s="344">
        <f t="shared" si="5"/>
        <v>4004.4499999999994</v>
      </c>
      <c r="H786" s="345"/>
      <c r="I786" s="346"/>
      <c r="J786" s="347"/>
      <c r="K786" s="312"/>
      <c r="L786" s="347"/>
      <c r="M786" s="312"/>
      <c r="N786" s="347"/>
      <c r="O786" s="312"/>
      <c r="P786" s="347"/>
      <c r="Q786" s="312"/>
      <c r="R786" s="347"/>
      <c r="S786" s="312"/>
      <c r="T786" s="347"/>
    </row>
    <row r="787" spans="1:20" ht="12" customHeight="1" x14ac:dyDescent="0.3">
      <c r="A787" s="340" t="s">
        <v>294</v>
      </c>
      <c r="B787" s="341">
        <v>22</v>
      </c>
      <c r="C787" s="309">
        <v>46040</v>
      </c>
      <c r="D787" s="310" t="s">
        <v>401</v>
      </c>
      <c r="E787" s="342">
        <v>13.84</v>
      </c>
      <c r="F787" s="342"/>
      <c r="G787" s="344">
        <f t="shared" si="5"/>
        <v>4015.7499999999995</v>
      </c>
      <c r="H787" s="345"/>
      <c r="I787" s="346"/>
      <c r="J787" s="347"/>
      <c r="K787" s="312"/>
      <c r="L787" s="347"/>
      <c r="M787" s="312"/>
      <c r="N787" s="347"/>
      <c r="O787" s="312"/>
      <c r="P787" s="347"/>
      <c r="Q787" s="312"/>
      <c r="R787" s="347"/>
      <c r="S787" s="312"/>
      <c r="T787" s="347"/>
    </row>
    <row r="788" spans="1:20" ht="12" customHeight="1" x14ac:dyDescent="0.3">
      <c r="A788" s="340" t="s">
        <v>289</v>
      </c>
      <c r="B788" s="341">
        <v>1</v>
      </c>
      <c r="C788" s="309">
        <v>46040</v>
      </c>
      <c r="D788" s="310" t="s">
        <v>306</v>
      </c>
      <c r="E788" s="342">
        <v>92.06</v>
      </c>
      <c r="F788" s="342"/>
      <c r="G788" s="344">
        <f t="shared" si="5"/>
        <v>4029.5899999999997</v>
      </c>
      <c r="H788" s="345"/>
      <c r="I788" s="346"/>
      <c r="J788" s="347"/>
      <c r="K788" s="312"/>
      <c r="L788" s="347"/>
      <c r="M788" s="312"/>
      <c r="N788" s="347"/>
      <c r="O788" s="312"/>
      <c r="P788" s="347"/>
      <c r="Q788" s="312"/>
      <c r="R788" s="347"/>
      <c r="S788" s="312"/>
      <c r="T788" s="347"/>
    </row>
    <row r="789" spans="1:20" ht="12" customHeight="1" x14ac:dyDescent="0.3">
      <c r="A789" s="340" t="s">
        <v>289</v>
      </c>
      <c r="B789" s="341">
        <v>7</v>
      </c>
      <c r="C789" s="309">
        <v>46040</v>
      </c>
      <c r="D789" s="310" t="s">
        <v>338</v>
      </c>
      <c r="E789" s="342">
        <v>78.47</v>
      </c>
      <c r="F789" s="342"/>
      <c r="G789" s="344">
        <f t="shared" si="5"/>
        <v>4121.6499999999996</v>
      </c>
      <c r="H789" s="345"/>
      <c r="I789" s="346"/>
      <c r="J789" s="347"/>
      <c r="K789" s="312"/>
      <c r="L789" s="347"/>
      <c r="M789" s="312"/>
      <c r="N789" s="347"/>
      <c r="O789" s="312"/>
      <c r="P789" s="347"/>
      <c r="Q789" s="312"/>
      <c r="R789" s="347"/>
      <c r="S789" s="312"/>
      <c r="T789" s="347"/>
    </row>
    <row r="790" spans="1:20" ht="12" customHeight="1" x14ac:dyDescent="0.3">
      <c r="A790" s="340" t="s">
        <v>289</v>
      </c>
      <c r="B790" s="341">
        <v>1</v>
      </c>
      <c r="C790" s="309">
        <v>46040</v>
      </c>
      <c r="D790" s="310" t="s">
        <v>393</v>
      </c>
      <c r="E790" s="342">
        <v>28.22</v>
      </c>
      <c r="F790" s="342"/>
      <c r="G790" s="344">
        <f t="shared" si="5"/>
        <v>4200.12</v>
      </c>
      <c r="H790" s="345"/>
      <c r="I790" s="346"/>
      <c r="J790" s="347"/>
      <c r="K790" s="312"/>
      <c r="L790" s="347"/>
      <c r="M790" s="312"/>
      <c r="N790" s="347"/>
      <c r="O790" s="312"/>
      <c r="P790" s="347"/>
      <c r="Q790" s="312"/>
      <c r="R790" s="347"/>
      <c r="S790" s="312"/>
      <c r="T790" s="347"/>
    </row>
    <row r="791" spans="1:20" ht="12" customHeight="1" x14ac:dyDescent="0.3">
      <c r="A791" s="340" t="s">
        <v>289</v>
      </c>
      <c r="B791" s="341">
        <v>2</v>
      </c>
      <c r="C791" s="309">
        <v>46040</v>
      </c>
      <c r="D791" s="310" t="s">
        <v>392</v>
      </c>
      <c r="E791" s="342">
        <v>32.729999999999997</v>
      </c>
      <c r="F791" s="342"/>
      <c r="G791" s="344">
        <f t="shared" si="5"/>
        <v>4228.34</v>
      </c>
      <c r="H791" s="345"/>
      <c r="I791" s="346"/>
      <c r="J791" s="347"/>
      <c r="K791" s="312"/>
      <c r="L791" s="347"/>
      <c r="M791" s="312"/>
      <c r="N791" s="347"/>
      <c r="O791" s="312"/>
      <c r="P791" s="347"/>
      <c r="Q791" s="312"/>
      <c r="R791" s="347"/>
      <c r="S791" s="312"/>
      <c r="T791" s="347"/>
    </row>
    <row r="792" spans="1:20" ht="12" customHeight="1" x14ac:dyDescent="0.3">
      <c r="A792" s="340" t="s">
        <v>294</v>
      </c>
      <c r="B792" s="341">
        <v>42</v>
      </c>
      <c r="C792" s="309">
        <v>46039</v>
      </c>
      <c r="D792" s="310" t="s">
        <v>333</v>
      </c>
      <c r="E792" s="342">
        <v>29.8</v>
      </c>
      <c r="F792" s="342"/>
      <c r="G792" s="344">
        <f t="shared" si="5"/>
        <v>4261.07</v>
      </c>
      <c r="H792" s="345"/>
      <c r="I792" s="346"/>
      <c r="J792" s="347"/>
      <c r="K792" s="312"/>
      <c r="L792" s="347"/>
      <c r="M792" s="312"/>
      <c r="N792" s="347"/>
      <c r="O792" s="312"/>
      <c r="P792" s="347"/>
      <c r="Q792" s="312"/>
      <c r="R792" s="347"/>
      <c r="S792" s="312"/>
      <c r="T792" s="347"/>
    </row>
    <row r="793" spans="1:20" ht="12" customHeight="1" x14ac:dyDescent="0.3">
      <c r="A793" s="340" t="s">
        <v>294</v>
      </c>
      <c r="B793" s="341">
        <v>43</v>
      </c>
      <c r="C793" s="309">
        <v>46039</v>
      </c>
      <c r="D793" s="310" t="s">
        <v>333</v>
      </c>
      <c r="E793" s="342">
        <v>22.35</v>
      </c>
      <c r="F793" s="342"/>
      <c r="G793" s="344">
        <f t="shared" si="5"/>
        <v>4290.87</v>
      </c>
      <c r="H793" s="345"/>
      <c r="I793" s="346"/>
      <c r="J793" s="347"/>
      <c r="K793" s="312"/>
      <c r="L793" s="347"/>
      <c r="M793" s="312"/>
      <c r="N793" s="347"/>
      <c r="O793" s="312"/>
      <c r="P793" s="347"/>
      <c r="Q793" s="312"/>
      <c r="R793" s="347"/>
      <c r="S793" s="312"/>
      <c r="T793" s="347"/>
    </row>
    <row r="794" spans="1:20" ht="12" customHeight="1" x14ac:dyDescent="0.3">
      <c r="A794" s="340" t="s">
        <v>289</v>
      </c>
      <c r="B794" s="341">
        <v>8</v>
      </c>
      <c r="C794" s="309">
        <v>46039</v>
      </c>
      <c r="D794" s="310" t="s">
        <v>319</v>
      </c>
      <c r="E794" s="342">
        <v>36.92</v>
      </c>
      <c r="F794" s="342"/>
      <c r="G794" s="344">
        <f t="shared" si="5"/>
        <v>4313.22</v>
      </c>
      <c r="H794" s="345"/>
      <c r="I794" s="346"/>
      <c r="J794" s="347"/>
      <c r="K794" s="312"/>
      <c r="L794" s="347"/>
      <c r="M794" s="312"/>
      <c r="N794" s="347"/>
      <c r="O794" s="312"/>
      <c r="P794" s="347"/>
      <c r="Q794" s="312"/>
      <c r="R794" s="347"/>
      <c r="S794" s="312"/>
      <c r="T794" s="347"/>
    </row>
    <row r="795" spans="1:20" ht="12" customHeight="1" x14ac:dyDescent="0.3">
      <c r="A795" s="340" t="s">
        <v>289</v>
      </c>
      <c r="B795" s="341">
        <v>1</v>
      </c>
      <c r="C795" s="309">
        <v>46039</v>
      </c>
      <c r="D795" s="310" t="s">
        <v>311</v>
      </c>
      <c r="E795" s="342">
        <v>117.89</v>
      </c>
      <c r="F795" s="342"/>
      <c r="G795" s="344">
        <f t="shared" si="5"/>
        <v>4350.1400000000003</v>
      </c>
      <c r="H795" s="345"/>
      <c r="I795" s="346"/>
      <c r="J795" s="347"/>
      <c r="K795" s="312"/>
      <c r="L795" s="347"/>
      <c r="M795" s="312"/>
      <c r="N795" s="347"/>
      <c r="O795" s="312"/>
      <c r="P795" s="347"/>
      <c r="Q795" s="312"/>
      <c r="R795" s="347"/>
      <c r="S795" s="312"/>
      <c r="T795" s="347"/>
    </row>
    <row r="796" spans="1:20" ht="12" customHeight="1" x14ac:dyDescent="0.3">
      <c r="A796" s="340" t="s">
        <v>289</v>
      </c>
      <c r="B796" s="341">
        <v>1</v>
      </c>
      <c r="C796" s="309">
        <v>46039</v>
      </c>
      <c r="D796" s="310" t="s">
        <v>329</v>
      </c>
      <c r="E796" s="342">
        <v>196.36</v>
      </c>
      <c r="F796" s="342"/>
      <c r="G796" s="344">
        <f t="shared" si="5"/>
        <v>4468.0300000000007</v>
      </c>
      <c r="H796" s="345"/>
      <c r="I796" s="346"/>
      <c r="J796" s="347"/>
      <c r="K796" s="312"/>
      <c r="L796" s="347"/>
      <c r="M796" s="312"/>
      <c r="N796" s="347"/>
      <c r="O796" s="312"/>
      <c r="P796" s="347"/>
      <c r="Q796" s="312"/>
      <c r="R796" s="347"/>
      <c r="S796" s="312"/>
      <c r="T796" s="347"/>
    </row>
    <row r="797" spans="1:20" ht="12" customHeight="1" x14ac:dyDescent="0.3">
      <c r="A797" s="340" t="s">
        <v>294</v>
      </c>
      <c r="B797" s="341">
        <v>21</v>
      </c>
      <c r="C797" s="309">
        <v>46039</v>
      </c>
      <c r="D797" s="310" t="s">
        <v>194</v>
      </c>
      <c r="E797" s="342">
        <v>70.2</v>
      </c>
      <c r="F797" s="342"/>
      <c r="G797" s="344">
        <f t="shared" si="5"/>
        <v>4664.3900000000003</v>
      </c>
      <c r="H797" s="345"/>
      <c r="I797" s="346"/>
      <c r="J797" s="347"/>
      <c r="K797" s="312"/>
      <c r="L797" s="347"/>
      <c r="M797" s="312"/>
      <c r="N797" s="347"/>
      <c r="O797" s="312"/>
      <c r="P797" s="347"/>
      <c r="Q797" s="312"/>
      <c r="R797" s="347"/>
      <c r="S797" s="312"/>
      <c r="T797" s="347"/>
    </row>
    <row r="798" spans="1:20" ht="12" customHeight="1" x14ac:dyDescent="0.3">
      <c r="A798" s="340" t="s">
        <v>289</v>
      </c>
      <c r="B798" s="341">
        <v>2</v>
      </c>
      <c r="C798" s="309">
        <v>46038</v>
      </c>
      <c r="D798" s="310" t="s">
        <v>324</v>
      </c>
      <c r="E798" s="342">
        <v>13.14</v>
      </c>
      <c r="F798" s="342"/>
      <c r="G798" s="344">
        <f t="shared" si="5"/>
        <v>4734.59</v>
      </c>
      <c r="H798" s="345"/>
      <c r="I798" s="346"/>
      <c r="J798" s="347"/>
      <c r="K798" s="312"/>
      <c r="L798" s="347"/>
      <c r="M798" s="312"/>
      <c r="N798" s="347"/>
      <c r="O798" s="312"/>
      <c r="P798" s="347"/>
      <c r="Q798" s="312"/>
      <c r="R798" s="347"/>
      <c r="S798" s="312"/>
      <c r="T798" s="347"/>
    </row>
    <row r="799" spans="1:20" ht="12" customHeight="1" x14ac:dyDescent="0.3">
      <c r="A799" s="340" t="s">
        <v>289</v>
      </c>
      <c r="B799" s="341">
        <v>2</v>
      </c>
      <c r="C799" s="309">
        <v>46038</v>
      </c>
      <c r="D799" s="310" t="s">
        <v>296</v>
      </c>
      <c r="E799" s="342">
        <v>18.489999999999998</v>
      </c>
      <c r="F799" s="342"/>
      <c r="G799" s="344">
        <f t="shared" si="5"/>
        <v>4747.7300000000005</v>
      </c>
      <c r="H799" s="345"/>
      <c r="I799" s="346"/>
      <c r="J799" s="347"/>
      <c r="K799" s="312"/>
      <c r="L799" s="347"/>
      <c r="M799" s="312"/>
      <c r="N799" s="347"/>
      <c r="O799" s="312"/>
      <c r="P799" s="347"/>
      <c r="Q799" s="312"/>
      <c r="R799" s="347"/>
      <c r="S799" s="312"/>
      <c r="T799" s="347"/>
    </row>
    <row r="800" spans="1:20" ht="12" customHeight="1" x14ac:dyDescent="0.3">
      <c r="A800" s="340" t="s">
        <v>291</v>
      </c>
      <c r="B800" s="341">
        <v>41</v>
      </c>
      <c r="C800" s="309">
        <v>46038</v>
      </c>
      <c r="D800" s="310" t="s">
        <v>474</v>
      </c>
      <c r="E800" s="342"/>
      <c r="F800" s="342">
        <v>800</v>
      </c>
      <c r="G800" s="344">
        <f t="shared" si="5"/>
        <v>4766.22</v>
      </c>
      <c r="H800" s="345" t="s">
        <v>298</v>
      </c>
      <c r="I800" s="346"/>
      <c r="J800" s="347"/>
      <c r="K800" s="312"/>
      <c r="L800" s="347"/>
      <c r="M800" s="312"/>
      <c r="N800" s="347"/>
      <c r="O800" s="312"/>
      <c r="P800" s="347"/>
      <c r="Q800" s="312"/>
      <c r="R800" s="347"/>
      <c r="S800" s="312"/>
      <c r="T800" s="347"/>
    </row>
    <row r="801" spans="1:20" ht="12" customHeight="1" x14ac:dyDescent="0.3">
      <c r="A801" s="340" t="s">
        <v>294</v>
      </c>
      <c r="B801" s="341">
        <v>18</v>
      </c>
      <c r="C801" s="309">
        <v>46038</v>
      </c>
      <c r="D801" s="310" t="s">
        <v>361</v>
      </c>
      <c r="E801" s="342">
        <v>400</v>
      </c>
      <c r="F801" s="342"/>
      <c r="G801" s="344">
        <f t="shared" si="5"/>
        <v>3966.2200000000003</v>
      </c>
      <c r="H801" s="345"/>
      <c r="I801" s="346"/>
      <c r="J801" s="347"/>
      <c r="K801" s="312"/>
      <c r="L801" s="347"/>
      <c r="M801" s="312"/>
      <c r="N801" s="347"/>
      <c r="O801" s="312"/>
      <c r="P801" s="347"/>
      <c r="Q801" s="312"/>
      <c r="R801" s="347"/>
      <c r="S801" s="312"/>
      <c r="T801" s="347"/>
    </row>
    <row r="802" spans="1:20" ht="12" customHeight="1" x14ac:dyDescent="0.3">
      <c r="A802" s="340" t="s">
        <v>294</v>
      </c>
      <c r="B802" s="341">
        <v>19</v>
      </c>
      <c r="C802" s="309">
        <v>46038</v>
      </c>
      <c r="D802" s="310" t="s">
        <v>191</v>
      </c>
      <c r="E802" s="342">
        <v>200</v>
      </c>
      <c r="F802" s="342"/>
      <c r="G802" s="344">
        <f t="shared" si="5"/>
        <v>4366.22</v>
      </c>
      <c r="H802" s="345"/>
      <c r="I802" s="346"/>
      <c r="J802" s="347"/>
      <c r="K802" s="312"/>
      <c r="L802" s="347"/>
      <c r="M802" s="312"/>
      <c r="N802" s="347"/>
      <c r="O802" s="312"/>
      <c r="P802" s="347"/>
      <c r="Q802" s="312"/>
      <c r="R802" s="347"/>
      <c r="S802" s="312"/>
      <c r="T802" s="347"/>
    </row>
    <row r="803" spans="1:20" ht="12" customHeight="1" x14ac:dyDescent="0.3">
      <c r="A803" s="340" t="s">
        <v>294</v>
      </c>
      <c r="B803" s="341">
        <v>11</v>
      </c>
      <c r="C803" s="309">
        <v>46038</v>
      </c>
      <c r="D803" s="310" t="s">
        <v>178</v>
      </c>
      <c r="E803" s="342">
        <v>267.95999999999998</v>
      </c>
      <c r="F803" s="342"/>
      <c r="G803" s="344">
        <f t="shared" si="5"/>
        <v>4566.22</v>
      </c>
      <c r="H803" s="345"/>
      <c r="I803" s="346"/>
      <c r="J803" s="347"/>
      <c r="K803" s="312"/>
      <c r="L803" s="347"/>
      <c r="M803" s="312"/>
      <c r="N803" s="347"/>
      <c r="O803" s="312"/>
      <c r="P803" s="347"/>
      <c r="Q803" s="312"/>
      <c r="R803" s="347"/>
      <c r="S803" s="312"/>
      <c r="T803" s="347"/>
    </row>
    <row r="804" spans="1:20" ht="12" customHeight="1" x14ac:dyDescent="0.3">
      <c r="A804" s="340" t="s">
        <v>289</v>
      </c>
      <c r="B804" s="341">
        <v>8</v>
      </c>
      <c r="C804" s="309">
        <v>46037</v>
      </c>
      <c r="D804" s="310" t="s">
        <v>357</v>
      </c>
      <c r="E804" s="342">
        <v>59.95</v>
      </c>
      <c r="F804" s="342"/>
      <c r="G804" s="344">
        <f t="shared" si="5"/>
        <v>4834.18</v>
      </c>
      <c r="H804" s="345"/>
      <c r="I804" s="346"/>
      <c r="J804" s="347"/>
      <c r="K804" s="312"/>
      <c r="L804" s="347"/>
      <c r="M804" s="312"/>
      <c r="N804" s="347"/>
      <c r="O804" s="312"/>
      <c r="P804" s="347"/>
      <c r="Q804" s="312"/>
      <c r="R804" s="347"/>
      <c r="S804" s="312"/>
      <c r="T804" s="347"/>
    </row>
    <row r="805" spans="1:20" ht="12" customHeight="1" x14ac:dyDescent="0.3">
      <c r="A805" s="340" t="s">
        <v>289</v>
      </c>
      <c r="B805" s="341">
        <v>2</v>
      </c>
      <c r="C805" s="309">
        <v>46037</v>
      </c>
      <c r="D805" s="310" t="s">
        <v>357</v>
      </c>
      <c r="E805" s="342">
        <v>59.96</v>
      </c>
      <c r="F805" s="342"/>
      <c r="G805" s="344">
        <f t="shared" si="5"/>
        <v>4894.13</v>
      </c>
      <c r="H805" s="345"/>
      <c r="I805" s="346"/>
      <c r="J805" s="347"/>
      <c r="K805" s="312"/>
      <c r="L805" s="347"/>
      <c r="M805" s="312"/>
      <c r="N805" s="347"/>
      <c r="O805" s="312"/>
      <c r="P805" s="347"/>
      <c r="Q805" s="312"/>
      <c r="R805" s="347"/>
      <c r="S805" s="312"/>
      <c r="T805" s="347"/>
    </row>
    <row r="806" spans="1:20" ht="12" customHeight="1" x14ac:dyDescent="0.3">
      <c r="A806" s="340" t="s">
        <v>289</v>
      </c>
      <c r="B806" s="341">
        <v>8</v>
      </c>
      <c r="C806" s="309">
        <v>46037</v>
      </c>
      <c r="D806" s="310" t="s">
        <v>319</v>
      </c>
      <c r="E806" s="342">
        <v>12.43</v>
      </c>
      <c r="F806" s="342"/>
      <c r="G806" s="344">
        <f t="shared" si="5"/>
        <v>4954.09</v>
      </c>
      <c r="H806" s="345"/>
      <c r="I806" s="346"/>
      <c r="J806" s="347"/>
      <c r="K806" s="312"/>
      <c r="L806" s="347"/>
      <c r="M806" s="312"/>
      <c r="N806" s="347"/>
      <c r="O806" s="312"/>
      <c r="P806" s="347"/>
      <c r="Q806" s="312"/>
      <c r="R806" s="347"/>
      <c r="S806" s="312"/>
      <c r="T806" s="347"/>
    </row>
    <row r="807" spans="1:20" ht="12" customHeight="1" x14ac:dyDescent="0.3">
      <c r="A807" s="340" t="s">
        <v>289</v>
      </c>
      <c r="B807" s="341">
        <v>2</v>
      </c>
      <c r="C807" s="309">
        <v>46037</v>
      </c>
      <c r="D807" s="310" t="s">
        <v>296</v>
      </c>
      <c r="E807" s="342">
        <v>11.07</v>
      </c>
      <c r="F807" s="342"/>
      <c r="G807" s="344">
        <f t="shared" si="5"/>
        <v>4966.5200000000004</v>
      </c>
      <c r="H807" s="345"/>
      <c r="I807" s="346"/>
      <c r="J807" s="347"/>
      <c r="K807" s="312"/>
      <c r="L807" s="347"/>
      <c r="M807" s="312"/>
      <c r="N807" s="347"/>
      <c r="O807" s="312"/>
      <c r="P807" s="347"/>
      <c r="Q807" s="312"/>
      <c r="R807" s="347"/>
      <c r="S807" s="312"/>
      <c r="T807" s="347"/>
    </row>
    <row r="808" spans="1:20" ht="12" customHeight="1" x14ac:dyDescent="0.3">
      <c r="A808" s="340" t="s">
        <v>289</v>
      </c>
      <c r="B808" s="341">
        <v>4</v>
      </c>
      <c r="C808" s="309">
        <v>46037</v>
      </c>
      <c r="D808" s="310" t="s">
        <v>296</v>
      </c>
      <c r="E808" s="342">
        <v>52.3</v>
      </c>
      <c r="F808" s="342"/>
      <c r="G808" s="344">
        <f t="shared" si="5"/>
        <v>4977.59</v>
      </c>
      <c r="H808" s="345"/>
      <c r="I808" s="346"/>
      <c r="J808" s="347"/>
      <c r="K808" s="312"/>
      <c r="L808" s="347"/>
      <c r="M808" s="312"/>
      <c r="N808" s="347"/>
      <c r="O808" s="312"/>
      <c r="P808" s="347"/>
      <c r="Q808" s="312"/>
      <c r="R808" s="347"/>
      <c r="S808" s="312"/>
      <c r="T808" s="347"/>
    </row>
    <row r="809" spans="1:20" ht="12" customHeight="1" x14ac:dyDescent="0.3">
      <c r="A809" s="340" t="s">
        <v>289</v>
      </c>
      <c r="B809" s="341">
        <v>6</v>
      </c>
      <c r="C809" s="309">
        <v>46037</v>
      </c>
      <c r="D809" s="310" t="s">
        <v>436</v>
      </c>
      <c r="E809" s="342">
        <v>50</v>
      </c>
      <c r="F809" s="342"/>
      <c r="G809" s="344">
        <f t="shared" si="5"/>
        <v>5029.8900000000003</v>
      </c>
      <c r="H809" s="345"/>
      <c r="I809" s="346"/>
      <c r="J809" s="347"/>
      <c r="K809" s="312"/>
      <c r="L809" s="347"/>
      <c r="M809" s="312"/>
      <c r="N809" s="347"/>
      <c r="O809" s="312"/>
      <c r="P809" s="347"/>
      <c r="Q809" s="312"/>
      <c r="R809" s="347"/>
      <c r="S809" s="312"/>
      <c r="T809" s="347"/>
    </row>
    <row r="810" spans="1:20" ht="12" customHeight="1" x14ac:dyDescent="0.3">
      <c r="A810" s="340" t="s">
        <v>291</v>
      </c>
      <c r="B810" s="341">
        <v>38</v>
      </c>
      <c r="C810" s="309">
        <v>46037</v>
      </c>
      <c r="D810" s="310" t="s">
        <v>293</v>
      </c>
      <c r="E810" s="342"/>
      <c r="F810" s="342">
        <v>4365.67</v>
      </c>
      <c r="G810" s="344">
        <f t="shared" si="5"/>
        <v>5079.8900000000003</v>
      </c>
      <c r="H810" s="345"/>
      <c r="I810" s="346"/>
      <c r="J810" s="347"/>
      <c r="K810" s="312"/>
      <c r="L810" s="347"/>
      <c r="M810" s="312"/>
      <c r="N810" s="347"/>
      <c r="O810" s="312"/>
      <c r="P810" s="347"/>
      <c r="Q810" s="312"/>
      <c r="R810" s="347"/>
      <c r="S810" s="312"/>
      <c r="T810" s="347"/>
    </row>
    <row r="811" spans="1:20" ht="12" customHeight="1" x14ac:dyDescent="0.3">
      <c r="A811" s="340" t="s">
        <v>289</v>
      </c>
      <c r="B811" s="341">
        <v>4</v>
      </c>
      <c r="C811" s="309">
        <v>46036</v>
      </c>
      <c r="D811" s="310" t="s">
        <v>295</v>
      </c>
      <c r="E811" s="342">
        <v>30.91</v>
      </c>
      <c r="F811" s="342"/>
      <c r="G811" s="344">
        <f t="shared" si="5"/>
        <v>714.22</v>
      </c>
      <c r="H811" s="345"/>
      <c r="I811" s="346"/>
      <c r="J811" s="347"/>
      <c r="K811" s="312"/>
      <c r="L811" s="347"/>
      <c r="M811" s="312"/>
      <c r="N811" s="347"/>
      <c r="O811" s="312"/>
      <c r="P811" s="347"/>
      <c r="Q811" s="312"/>
      <c r="R811" s="347"/>
      <c r="S811" s="312"/>
      <c r="T811" s="347"/>
    </row>
    <row r="812" spans="1:20" ht="12" customHeight="1" x14ac:dyDescent="0.3">
      <c r="A812" s="340" t="s">
        <v>289</v>
      </c>
      <c r="B812" s="341">
        <v>3</v>
      </c>
      <c r="C812" s="309">
        <v>46036</v>
      </c>
      <c r="D812" s="310" t="s">
        <v>348</v>
      </c>
      <c r="E812" s="342">
        <v>8.67</v>
      </c>
      <c r="F812" s="342"/>
      <c r="G812" s="344">
        <f t="shared" si="5"/>
        <v>745.13</v>
      </c>
      <c r="H812" s="345"/>
      <c r="I812" s="346"/>
      <c r="J812" s="347"/>
      <c r="K812" s="312"/>
      <c r="L812" s="347"/>
      <c r="M812" s="312"/>
      <c r="N812" s="347"/>
      <c r="O812" s="312"/>
      <c r="P812" s="347"/>
      <c r="Q812" s="312"/>
      <c r="R812" s="347"/>
      <c r="S812" s="312"/>
      <c r="T812" s="347"/>
    </row>
    <row r="813" spans="1:20" ht="12" customHeight="1" x14ac:dyDescent="0.3">
      <c r="A813" s="340" t="s">
        <v>289</v>
      </c>
      <c r="B813" s="341">
        <v>3</v>
      </c>
      <c r="C813" s="309">
        <v>46035</v>
      </c>
      <c r="D813" s="310" t="s">
        <v>351</v>
      </c>
      <c r="E813" s="342">
        <v>25.01</v>
      </c>
      <c r="F813" s="342"/>
      <c r="G813" s="344">
        <f t="shared" si="5"/>
        <v>753.8</v>
      </c>
      <c r="H813" s="345"/>
      <c r="I813" s="346"/>
      <c r="J813" s="347"/>
      <c r="K813" s="312"/>
      <c r="L813" s="347"/>
      <c r="M813" s="312"/>
      <c r="N813" s="347"/>
      <c r="O813" s="312"/>
      <c r="P813" s="347"/>
      <c r="Q813" s="312"/>
      <c r="R813" s="347"/>
      <c r="S813" s="312"/>
      <c r="T813" s="347"/>
    </row>
    <row r="814" spans="1:20" ht="12" customHeight="1" x14ac:dyDescent="0.3">
      <c r="A814" s="340" t="s">
        <v>289</v>
      </c>
      <c r="B814" s="341">
        <v>6</v>
      </c>
      <c r="C814" s="309">
        <v>46035</v>
      </c>
      <c r="D814" s="310" t="s">
        <v>412</v>
      </c>
      <c r="E814" s="342">
        <v>-5.9</v>
      </c>
      <c r="F814" s="342"/>
      <c r="G814" s="344">
        <f t="shared" si="5"/>
        <v>778.81</v>
      </c>
      <c r="H814" s="345"/>
      <c r="I814" s="346"/>
      <c r="J814" s="347"/>
      <c r="K814" s="312"/>
      <c r="L814" s="347"/>
      <c r="M814" s="312"/>
      <c r="N814" s="347"/>
      <c r="O814" s="312"/>
      <c r="P814" s="347"/>
      <c r="Q814" s="312"/>
      <c r="R814" s="347"/>
      <c r="S814" s="312"/>
      <c r="T814" s="347"/>
    </row>
    <row r="815" spans="1:20" ht="12" customHeight="1" x14ac:dyDescent="0.3">
      <c r="A815" s="340" t="s">
        <v>289</v>
      </c>
      <c r="B815" s="341">
        <v>6</v>
      </c>
      <c r="C815" s="309">
        <v>46035</v>
      </c>
      <c r="D815" s="310" t="s">
        <v>446</v>
      </c>
      <c r="E815" s="342">
        <v>-0.03</v>
      </c>
      <c r="F815" s="342"/>
      <c r="G815" s="344">
        <f t="shared" si="5"/>
        <v>772.91</v>
      </c>
      <c r="H815" s="345"/>
      <c r="I815" s="346"/>
      <c r="J815" s="347"/>
      <c r="K815" s="312"/>
      <c r="L815" s="347"/>
      <c r="M815" s="312"/>
      <c r="N815" s="347"/>
      <c r="O815" s="312"/>
      <c r="P815" s="347"/>
      <c r="Q815" s="312"/>
      <c r="R815" s="347"/>
      <c r="S815" s="312"/>
      <c r="T815" s="347"/>
    </row>
    <row r="816" spans="1:20" ht="12" customHeight="1" x14ac:dyDescent="0.3">
      <c r="A816" s="340" t="s">
        <v>294</v>
      </c>
      <c r="B816" s="341">
        <v>43</v>
      </c>
      <c r="C816" s="309">
        <v>46035</v>
      </c>
      <c r="D816" s="310" t="s">
        <v>201</v>
      </c>
      <c r="E816" s="342">
        <v>44.18</v>
      </c>
      <c r="F816" s="342"/>
      <c r="G816" s="344">
        <f t="shared" si="5"/>
        <v>772.88</v>
      </c>
      <c r="H816" s="345"/>
      <c r="I816" s="346"/>
      <c r="J816" s="347"/>
      <c r="K816" s="312"/>
      <c r="L816" s="347"/>
      <c r="M816" s="312"/>
      <c r="N816" s="347"/>
      <c r="O816" s="312"/>
      <c r="P816" s="347"/>
      <c r="Q816" s="312"/>
      <c r="R816" s="347"/>
      <c r="S816" s="312"/>
      <c r="T816" s="347"/>
    </row>
    <row r="817" spans="1:20" ht="12" customHeight="1" x14ac:dyDescent="0.3">
      <c r="A817" s="340" t="s">
        <v>294</v>
      </c>
      <c r="B817" s="341">
        <v>42</v>
      </c>
      <c r="C817" s="309">
        <v>46035</v>
      </c>
      <c r="D817" s="310" t="s">
        <v>200</v>
      </c>
      <c r="E817" s="342">
        <v>51.19</v>
      </c>
      <c r="F817" s="342"/>
      <c r="G817" s="344">
        <f t="shared" si="5"/>
        <v>817.06</v>
      </c>
      <c r="H817" s="345"/>
      <c r="I817" s="346"/>
      <c r="J817" s="347"/>
      <c r="K817" s="312"/>
      <c r="L817" s="347"/>
      <c r="M817" s="312"/>
      <c r="N817" s="347"/>
      <c r="O817" s="312"/>
      <c r="P817" s="347"/>
      <c r="Q817" s="312"/>
      <c r="R817" s="347"/>
      <c r="S817" s="312"/>
      <c r="T817" s="347"/>
    </row>
    <row r="818" spans="1:20" ht="12" customHeight="1" x14ac:dyDescent="0.3">
      <c r="A818" s="340" t="s">
        <v>289</v>
      </c>
      <c r="B818" s="341">
        <v>4</v>
      </c>
      <c r="C818" s="309">
        <v>46035</v>
      </c>
      <c r="D818" s="310" t="s">
        <v>295</v>
      </c>
      <c r="E818" s="342">
        <v>28.15</v>
      </c>
      <c r="F818" s="342"/>
      <c r="G818" s="344">
        <f t="shared" si="5"/>
        <v>868.25</v>
      </c>
      <c r="H818" s="345"/>
      <c r="I818" s="346"/>
      <c r="J818" s="347"/>
      <c r="K818" s="312"/>
      <c r="L818" s="347"/>
      <c r="M818" s="312"/>
      <c r="N818" s="347"/>
      <c r="O818" s="312"/>
      <c r="P818" s="347"/>
      <c r="Q818" s="312"/>
      <c r="R818" s="347"/>
      <c r="S818" s="312"/>
      <c r="T818" s="347"/>
    </row>
    <row r="819" spans="1:20" ht="12" customHeight="1" x14ac:dyDescent="0.3">
      <c r="A819" s="340" t="s">
        <v>289</v>
      </c>
      <c r="B819" s="341">
        <v>3</v>
      </c>
      <c r="C819" s="309">
        <v>46035</v>
      </c>
      <c r="D819" s="310" t="s">
        <v>296</v>
      </c>
      <c r="E819" s="342">
        <v>20.85</v>
      </c>
      <c r="F819" s="342"/>
      <c r="G819" s="344">
        <f t="shared" si="5"/>
        <v>896.4</v>
      </c>
      <c r="H819" s="345"/>
      <c r="I819" s="346"/>
      <c r="J819" s="347"/>
      <c r="K819" s="312"/>
      <c r="L819" s="347"/>
      <c r="M819" s="312"/>
      <c r="N819" s="347"/>
      <c r="O819" s="312"/>
      <c r="P819" s="347"/>
      <c r="Q819" s="312"/>
      <c r="R819" s="347"/>
      <c r="S819" s="312"/>
      <c r="T819" s="347"/>
    </row>
    <row r="820" spans="1:20" ht="12" customHeight="1" x14ac:dyDescent="0.3">
      <c r="A820" s="340" t="s">
        <v>289</v>
      </c>
      <c r="B820" s="341">
        <v>1</v>
      </c>
      <c r="C820" s="309">
        <v>46034</v>
      </c>
      <c r="D820" s="310" t="s">
        <v>306</v>
      </c>
      <c r="E820" s="342">
        <v>145.81</v>
      </c>
      <c r="F820" s="342"/>
      <c r="G820" s="344">
        <f t="shared" si="5"/>
        <v>917.25</v>
      </c>
      <c r="H820" s="345"/>
      <c r="I820" s="346"/>
      <c r="J820" s="347"/>
      <c r="K820" s="312"/>
      <c r="L820" s="347"/>
      <c r="M820" s="312"/>
      <c r="N820" s="347"/>
      <c r="O820" s="312"/>
      <c r="P820" s="347"/>
      <c r="Q820" s="312"/>
      <c r="R820" s="347"/>
      <c r="S820" s="312"/>
      <c r="T820" s="347"/>
    </row>
    <row r="821" spans="1:20" ht="12" customHeight="1" x14ac:dyDescent="0.3">
      <c r="A821" s="340" t="s">
        <v>289</v>
      </c>
      <c r="B821" s="341">
        <v>2</v>
      </c>
      <c r="C821" s="309">
        <v>46034</v>
      </c>
      <c r="D821" s="310" t="s">
        <v>424</v>
      </c>
      <c r="E821" s="342">
        <v>25.22</v>
      </c>
      <c r="F821" s="342"/>
      <c r="G821" s="344">
        <f t="shared" si="5"/>
        <v>1063.06</v>
      </c>
      <c r="H821" s="345"/>
      <c r="I821" s="346"/>
      <c r="J821" s="347"/>
      <c r="K821" s="312"/>
      <c r="L821" s="347"/>
      <c r="M821" s="312"/>
      <c r="N821" s="347"/>
      <c r="O821" s="312"/>
      <c r="P821" s="347"/>
      <c r="Q821" s="312"/>
      <c r="R821" s="347"/>
      <c r="S821" s="312"/>
      <c r="T821" s="347"/>
    </row>
    <row r="822" spans="1:20" ht="12" customHeight="1" x14ac:dyDescent="0.3">
      <c r="A822" s="340" t="s">
        <v>289</v>
      </c>
      <c r="B822" s="341">
        <v>2</v>
      </c>
      <c r="C822" s="309">
        <v>46033</v>
      </c>
      <c r="D822" s="310" t="s">
        <v>326</v>
      </c>
      <c r="E822" s="342">
        <v>49.38</v>
      </c>
      <c r="F822" s="342"/>
      <c r="G822" s="344">
        <f t="shared" si="5"/>
        <v>1088.28</v>
      </c>
      <c r="H822" s="345"/>
      <c r="I822" s="346"/>
      <c r="J822" s="347"/>
      <c r="K822" s="312"/>
      <c r="L822" s="347"/>
      <c r="M822" s="312"/>
      <c r="N822" s="347"/>
      <c r="O822" s="312"/>
      <c r="P822" s="347"/>
      <c r="Q822" s="312"/>
      <c r="R822" s="347"/>
      <c r="S822" s="312"/>
      <c r="T822" s="347"/>
    </row>
    <row r="823" spans="1:20" ht="12" customHeight="1" x14ac:dyDescent="0.3">
      <c r="A823" s="340" t="s">
        <v>294</v>
      </c>
      <c r="B823" s="341">
        <v>22</v>
      </c>
      <c r="C823" s="309">
        <v>46033</v>
      </c>
      <c r="D823" s="310" t="s">
        <v>352</v>
      </c>
      <c r="E823" s="342">
        <v>19.16</v>
      </c>
      <c r="F823" s="342"/>
      <c r="G823" s="344">
        <f t="shared" si="5"/>
        <v>1137.6600000000001</v>
      </c>
      <c r="H823" s="345"/>
      <c r="I823" s="346"/>
      <c r="J823" s="347"/>
      <c r="K823" s="312"/>
      <c r="L823" s="347"/>
      <c r="M823" s="312"/>
      <c r="N823" s="347"/>
      <c r="O823" s="312"/>
      <c r="P823" s="347"/>
      <c r="Q823" s="312"/>
      <c r="R823" s="347"/>
      <c r="S823" s="312"/>
      <c r="T823" s="347"/>
    </row>
    <row r="824" spans="1:20" ht="12" customHeight="1" x14ac:dyDescent="0.3">
      <c r="A824" s="340" t="s">
        <v>289</v>
      </c>
      <c r="B824" s="341">
        <v>6</v>
      </c>
      <c r="C824" s="309">
        <v>46033</v>
      </c>
      <c r="D824" s="310" t="s">
        <v>312</v>
      </c>
      <c r="E824" s="342">
        <v>39.86</v>
      </c>
      <c r="F824" s="342"/>
      <c r="G824" s="344">
        <f t="shared" si="5"/>
        <v>1156.8200000000002</v>
      </c>
      <c r="H824" s="345"/>
      <c r="I824" s="346"/>
      <c r="J824" s="347"/>
      <c r="K824" s="312"/>
      <c r="L824" s="347"/>
      <c r="M824" s="312"/>
      <c r="N824" s="347"/>
      <c r="O824" s="312"/>
      <c r="P824" s="347"/>
      <c r="Q824" s="312"/>
      <c r="R824" s="347"/>
      <c r="S824" s="312"/>
      <c r="T824" s="347"/>
    </row>
    <row r="825" spans="1:20" ht="12" customHeight="1" x14ac:dyDescent="0.3">
      <c r="A825" s="340" t="s">
        <v>289</v>
      </c>
      <c r="B825" s="341">
        <v>7</v>
      </c>
      <c r="C825" s="309">
        <v>46033</v>
      </c>
      <c r="D825" s="310" t="s">
        <v>444</v>
      </c>
      <c r="E825" s="342">
        <v>165.05</v>
      </c>
      <c r="F825" s="342"/>
      <c r="G825" s="344">
        <f t="shared" si="5"/>
        <v>1196.68</v>
      </c>
      <c r="H825" s="345"/>
      <c r="I825" s="346"/>
      <c r="J825" s="347"/>
      <c r="K825" s="312"/>
      <c r="L825" s="347"/>
      <c r="M825" s="312"/>
      <c r="N825" s="347"/>
      <c r="O825" s="312"/>
      <c r="P825" s="347"/>
      <c r="Q825" s="312"/>
      <c r="R825" s="347"/>
      <c r="S825" s="312"/>
      <c r="T825" s="347"/>
    </row>
    <row r="826" spans="1:20" ht="12" customHeight="1" x14ac:dyDescent="0.3">
      <c r="A826" s="340" t="s">
        <v>294</v>
      </c>
      <c r="B826" s="341">
        <v>24</v>
      </c>
      <c r="C826" s="309">
        <v>46032</v>
      </c>
      <c r="D826" s="310" t="s">
        <v>861</v>
      </c>
      <c r="E826" s="342">
        <v>83.42</v>
      </c>
      <c r="F826" s="342"/>
      <c r="G826" s="344">
        <f t="shared" si="5"/>
        <v>1361.73</v>
      </c>
      <c r="H826" s="345"/>
      <c r="I826" s="346"/>
      <c r="J826" s="347"/>
      <c r="K826" s="312"/>
      <c r="L826" s="347"/>
      <c r="M826" s="312"/>
      <c r="N826" s="347"/>
      <c r="O826" s="312"/>
      <c r="P826" s="347"/>
      <c r="Q826" s="312"/>
      <c r="R826" s="347"/>
      <c r="S826" s="312"/>
      <c r="T826" s="347"/>
    </row>
    <row r="827" spans="1:20" ht="12" customHeight="1" x14ac:dyDescent="0.3">
      <c r="A827" s="340" t="s">
        <v>289</v>
      </c>
      <c r="B827" s="341">
        <v>4</v>
      </c>
      <c r="C827" s="309">
        <v>46032</v>
      </c>
      <c r="D827" s="310" t="s">
        <v>296</v>
      </c>
      <c r="E827" s="342">
        <v>30.4</v>
      </c>
      <c r="F827" s="342"/>
      <c r="G827" s="344">
        <f t="shared" si="5"/>
        <v>1445.15</v>
      </c>
      <c r="H827" s="345"/>
      <c r="I827" s="346"/>
      <c r="J827" s="347"/>
      <c r="K827" s="312"/>
      <c r="L827" s="347"/>
      <c r="M827" s="312"/>
      <c r="N827" s="347"/>
      <c r="O827" s="312"/>
      <c r="P827" s="347"/>
      <c r="Q827" s="312"/>
      <c r="R827" s="347"/>
      <c r="S827" s="312"/>
      <c r="T827" s="347"/>
    </row>
    <row r="828" spans="1:20" ht="12" customHeight="1" x14ac:dyDescent="0.3">
      <c r="A828" s="340" t="s">
        <v>289</v>
      </c>
      <c r="B828" s="341">
        <v>2</v>
      </c>
      <c r="C828" s="309">
        <v>46032</v>
      </c>
      <c r="D828" s="310" t="s">
        <v>296</v>
      </c>
      <c r="E828" s="342">
        <v>13.83</v>
      </c>
      <c r="F828" s="342"/>
      <c r="G828" s="344">
        <f t="shared" si="5"/>
        <v>1475.5500000000002</v>
      </c>
      <c r="H828" s="345"/>
      <c r="I828" s="346"/>
      <c r="J828" s="347"/>
      <c r="K828" s="312"/>
      <c r="L828" s="347"/>
      <c r="M828" s="312"/>
      <c r="N828" s="347"/>
      <c r="O828" s="312"/>
      <c r="P828" s="347"/>
      <c r="Q828" s="312"/>
      <c r="R828" s="347"/>
      <c r="S828" s="312"/>
      <c r="T828" s="347"/>
    </row>
    <row r="829" spans="1:20" ht="12" customHeight="1" x14ac:dyDescent="0.3">
      <c r="A829" s="340" t="s">
        <v>289</v>
      </c>
      <c r="B829" s="341">
        <v>2</v>
      </c>
      <c r="C829" s="309">
        <v>46032</v>
      </c>
      <c r="D829" s="310" t="s">
        <v>473</v>
      </c>
      <c r="E829" s="342">
        <v>100</v>
      </c>
      <c r="F829" s="342"/>
      <c r="G829" s="344">
        <f t="shared" si="5"/>
        <v>1489.38</v>
      </c>
      <c r="H829" s="345"/>
      <c r="I829" s="346"/>
      <c r="J829" s="347"/>
      <c r="K829" s="312"/>
      <c r="L829" s="347"/>
      <c r="M829" s="312"/>
      <c r="N829" s="347"/>
      <c r="O829" s="312"/>
      <c r="P829" s="347"/>
      <c r="Q829" s="312"/>
      <c r="R829" s="347"/>
      <c r="S829" s="312"/>
      <c r="T829" s="347"/>
    </row>
    <row r="830" spans="1:20" ht="12" customHeight="1" x14ac:dyDescent="0.3">
      <c r="A830" s="340" t="s">
        <v>289</v>
      </c>
      <c r="B830" s="341">
        <v>1</v>
      </c>
      <c r="C830" s="309">
        <v>46032</v>
      </c>
      <c r="D830" s="310" t="s">
        <v>304</v>
      </c>
      <c r="E830" s="342">
        <v>55.68</v>
      </c>
      <c r="F830" s="342"/>
      <c r="G830" s="344">
        <f t="shared" si="5"/>
        <v>1589.38</v>
      </c>
      <c r="H830" s="345"/>
      <c r="I830" s="346"/>
      <c r="J830" s="347"/>
      <c r="K830" s="312"/>
      <c r="L830" s="347"/>
      <c r="M830" s="312"/>
      <c r="N830" s="347"/>
      <c r="O830" s="312"/>
      <c r="P830" s="347"/>
      <c r="Q830" s="312"/>
      <c r="R830" s="347"/>
      <c r="S830" s="312"/>
      <c r="T830" s="347"/>
    </row>
    <row r="831" spans="1:20" ht="12" customHeight="1" x14ac:dyDescent="0.3">
      <c r="A831" s="340" t="s">
        <v>289</v>
      </c>
      <c r="B831" s="341">
        <v>2</v>
      </c>
      <c r="C831" s="309">
        <v>46031</v>
      </c>
      <c r="D831" s="310" t="s">
        <v>358</v>
      </c>
      <c r="E831" s="342">
        <v>9.4700000000000006</v>
      </c>
      <c r="F831" s="342"/>
      <c r="G831" s="344">
        <f t="shared" si="5"/>
        <v>1645.0600000000002</v>
      </c>
      <c r="H831" s="345"/>
      <c r="I831" s="346"/>
      <c r="J831" s="347"/>
      <c r="K831" s="312"/>
      <c r="L831" s="347"/>
      <c r="M831" s="312"/>
      <c r="N831" s="347"/>
      <c r="O831" s="312"/>
      <c r="P831" s="347"/>
      <c r="Q831" s="312"/>
      <c r="R831" s="347"/>
      <c r="S831" s="312"/>
      <c r="T831" s="347"/>
    </row>
    <row r="832" spans="1:20" ht="12" customHeight="1" x14ac:dyDescent="0.3">
      <c r="A832" s="340" t="s">
        <v>289</v>
      </c>
      <c r="B832" s="341">
        <v>5</v>
      </c>
      <c r="C832" s="309">
        <v>46031</v>
      </c>
      <c r="D832" s="310" t="s">
        <v>475</v>
      </c>
      <c r="E832" s="342">
        <v>50</v>
      </c>
      <c r="F832" s="342"/>
      <c r="G832" s="344">
        <f t="shared" si="5"/>
        <v>1654.5300000000002</v>
      </c>
      <c r="H832" s="345"/>
      <c r="I832" s="346"/>
      <c r="J832" s="347"/>
      <c r="K832" s="312"/>
      <c r="L832" s="347"/>
      <c r="M832" s="312"/>
      <c r="N832" s="347"/>
      <c r="O832" s="312"/>
      <c r="P832" s="347"/>
      <c r="Q832" s="312"/>
      <c r="R832" s="347"/>
      <c r="S832" s="312"/>
      <c r="T832" s="347"/>
    </row>
    <row r="833" spans="1:20" ht="12" customHeight="1" x14ac:dyDescent="0.3">
      <c r="A833" s="340" t="s">
        <v>289</v>
      </c>
      <c r="B833" s="341">
        <v>8</v>
      </c>
      <c r="C833" s="309">
        <v>46030</v>
      </c>
      <c r="D833" s="310" t="s">
        <v>476</v>
      </c>
      <c r="E833" s="342">
        <v>32.619999999999997</v>
      </c>
      <c r="F833" s="342"/>
      <c r="G833" s="344">
        <f t="shared" si="5"/>
        <v>1704.5300000000002</v>
      </c>
      <c r="H833" s="345"/>
      <c r="I833" s="346"/>
      <c r="J833" s="347"/>
      <c r="K833" s="312"/>
      <c r="L833" s="347"/>
      <c r="M833" s="312"/>
      <c r="N833" s="347"/>
      <c r="O833" s="312"/>
      <c r="P833" s="347"/>
      <c r="Q833" s="312"/>
      <c r="R833" s="347"/>
      <c r="S833" s="312"/>
      <c r="T833" s="347"/>
    </row>
    <row r="834" spans="1:20" ht="12" customHeight="1" x14ac:dyDescent="0.3">
      <c r="A834" s="340" t="s">
        <v>291</v>
      </c>
      <c r="B834" s="341">
        <v>39</v>
      </c>
      <c r="C834" s="309">
        <v>46030</v>
      </c>
      <c r="D834" s="310" t="s">
        <v>292</v>
      </c>
      <c r="E834" s="342"/>
      <c r="F834" s="342">
        <v>2729.22</v>
      </c>
      <c r="G834" s="344">
        <f t="shared" si="5"/>
        <v>1737.15</v>
      </c>
      <c r="H834" s="345"/>
      <c r="I834" s="346"/>
      <c r="J834" s="347"/>
      <c r="K834" s="312"/>
      <c r="L834" s="347"/>
      <c r="M834" s="312"/>
      <c r="N834" s="347"/>
      <c r="O834" s="312"/>
      <c r="P834" s="347"/>
      <c r="Q834" s="312"/>
      <c r="R834" s="347"/>
      <c r="S834" s="312"/>
      <c r="T834" s="347"/>
    </row>
    <row r="835" spans="1:20" ht="12" customHeight="1" x14ac:dyDescent="0.3">
      <c r="A835" s="340" t="s">
        <v>289</v>
      </c>
      <c r="B835" s="341">
        <v>2</v>
      </c>
      <c r="C835" s="309">
        <v>46030</v>
      </c>
      <c r="D835" s="310" t="s">
        <v>296</v>
      </c>
      <c r="E835" s="342">
        <v>6.37</v>
      </c>
      <c r="F835" s="342"/>
      <c r="G835" s="344">
        <f t="shared" si="5"/>
        <v>-992.06999999999971</v>
      </c>
      <c r="H835" s="345"/>
      <c r="I835" s="346"/>
      <c r="J835" s="347"/>
      <c r="K835" s="312"/>
      <c r="L835" s="347"/>
      <c r="M835" s="312"/>
      <c r="N835" s="347"/>
      <c r="O835" s="312"/>
      <c r="P835" s="347"/>
      <c r="Q835" s="312"/>
      <c r="R835" s="347"/>
      <c r="S835" s="312"/>
      <c r="T835" s="347"/>
    </row>
    <row r="836" spans="1:20" ht="12" customHeight="1" x14ac:dyDescent="0.3">
      <c r="A836" s="340" t="s">
        <v>289</v>
      </c>
      <c r="B836" s="341">
        <v>4</v>
      </c>
      <c r="C836" s="309">
        <v>46030</v>
      </c>
      <c r="D836" s="310" t="s">
        <v>296</v>
      </c>
      <c r="E836" s="342">
        <v>32.119999999999997</v>
      </c>
      <c r="F836" s="342"/>
      <c r="G836" s="344">
        <f t="shared" si="5"/>
        <v>-985.6999999999997</v>
      </c>
      <c r="H836" s="345"/>
      <c r="I836" s="346"/>
      <c r="J836" s="347"/>
      <c r="K836" s="312"/>
      <c r="L836" s="347"/>
      <c r="M836" s="312"/>
      <c r="N836" s="347"/>
      <c r="O836" s="312"/>
      <c r="P836" s="347"/>
      <c r="Q836" s="312"/>
      <c r="R836" s="347"/>
      <c r="S836" s="312"/>
      <c r="T836" s="347"/>
    </row>
    <row r="837" spans="1:20" ht="12" customHeight="1" x14ac:dyDescent="0.3">
      <c r="A837" s="340" t="s">
        <v>289</v>
      </c>
      <c r="B837" s="341">
        <v>2</v>
      </c>
      <c r="C837" s="309">
        <v>46030</v>
      </c>
      <c r="D837" s="310" t="s">
        <v>358</v>
      </c>
      <c r="E837" s="342">
        <v>9.4700000000000006</v>
      </c>
      <c r="F837" s="342"/>
      <c r="G837" s="344">
        <f t="shared" si="5"/>
        <v>-953.5799999999997</v>
      </c>
      <c r="H837" s="345"/>
      <c r="I837" s="346"/>
      <c r="J837" s="347"/>
      <c r="K837" s="312"/>
      <c r="L837" s="347"/>
      <c r="M837" s="312"/>
      <c r="N837" s="347"/>
      <c r="O837" s="312"/>
      <c r="P837" s="347"/>
      <c r="Q837" s="312"/>
      <c r="R837" s="347"/>
      <c r="S837" s="312"/>
      <c r="T837" s="347"/>
    </row>
    <row r="838" spans="1:20" ht="12" customHeight="1" x14ac:dyDescent="0.3">
      <c r="A838" s="340" t="s">
        <v>289</v>
      </c>
      <c r="B838" s="341">
        <v>2</v>
      </c>
      <c r="C838" s="309">
        <v>46030</v>
      </c>
      <c r="D838" s="310" t="s">
        <v>386</v>
      </c>
      <c r="E838" s="342">
        <v>21.18</v>
      </c>
      <c r="F838" s="342"/>
      <c r="G838" s="344">
        <f t="shared" si="5"/>
        <v>-944.10999999999967</v>
      </c>
      <c r="H838" s="345"/>
      <c r="I838" s="346"/>
      <c r="J838" s="347"/>
      <c r="K838" s="312"/>
      <c r="L838" s="347"/>
      <c r="M838" s="312"/>
      <c r="N838" s="347"/>
      <c r="O838" s="312"/>
      <c r="P838" s="347"/>
      <c r="Q838" s="312"/>
      <c r="R838" s="347"/>
      <c r="S838" s="312"/>
      <c r="T838" s="347"/>
    </row>
    <row r="839" spans="1:20" ht="12" customHeight="1" x14ac:dyDescent="0.3">
      <c r="A839" s="340" t="s">
        <v>335</v>
      </c>
      <c r="B839" s="341" t="s">
        <v>335</v>
      </c>
      <c r="C839" s="309">
        <v>46029</v>
      </c>
      <c r="D839" s="310" t="s">
        <v>447</v>
      </c>
      <c r="E839" s="342">
        <v>52.66</v>
      </c>
      <c r="F839" s="342"/>
      <c r="G839" s="344">
        <f t="shared" si="5"/>
        <v>-922.92999999999972</v>
      </c>
      <c r="H839" s="345"/>
      <c r="I839" s="346"/>
      <c r="J839" s="347"/>
      <c r="K839" s="312"/>
      <c r="L839" s="347"/>
      <c r="M839" s="312"/>
      <c r="N839" s="347"/>
      <c r="O839" s="312"/>
      <c r="P839" s="347"/>
      <c r="Q839" s="312"/>
      <c r="R839" s="347"/>
      <c r="S839" s="312"/>
      <c r="T839" s="347"/>
    </row>
    <row r="840" spans="1:20" ht="12" customHeight="1" x14ac:dyDescent="0.3">
      <c r="A840" s="340" t="s">
        <v>294</v>
      </c>
      <c r="B840" s="341">
        <v>13</v>
      </c>
      <c r="C840" s="309">
        <v>46029</v>
      </c>
      <c r="D840" s="310" t="s">
        <v>182</v>
      </c>
      <c r="E840" s="342">
        <v>167.42</v>
      </c>
      <c r="F840" s="342"/>
      <c r="G840" s="344">
        <f t="shared" si="5"/>
        <v>-870.26999999999975</v>
      </c>
      <c r="H840" s="345"/>
      <c r="I840" s="346"/>
      <c r="J840" s="347"/>
      <c r="K840" s="312"/>
      <c r="L840" s="347"/>
      <c r="M840" s="312"/>
      <c r="N840" s="347"/>
      <c r="O840" s="312"/>
      <c r="P840" s="347"/>
      <c r="Q840" s="312"/>
      <c r="R840" s="347"/>
      <c r="S840" s="312"/>
      <c r="T840" s="347"/>
    </row>
    <row r="841" spans="1:20" ht="12" customHeight="1" x14ac:dyDescent="0.3">
      <c r="A841" s="340" t="s">
        <v>289</v>
      </c>
      <c r="B841" s="341">
        <v>4</v>
      </c>
      <c r="C841" s="309">
        <v>46029</v>
      </c>
      <c r="D841" s="310" t="s">
        <v>296</v>
      </c>
      <c r="E841" s="342">
        <v>30.81</v>
      </c>
      <c r="F841" s="342"/>
      <c r="G841" s="344">
        <f t="shared" si="5"/>
        <v>-702.8499999999998</v>
      </c>
      <c r="H841" s="345"/>
      <c r="I841" s="346"/>
      <c r="J841" s="347"/>
      <c r="K841" s="312"/>
      <c r="L841" s="347"/>
      <c r="M841" s="312"/>
      <c r="N841" s="347"/>
      <c r="O841" s="312"/>
      <c r="P841" s="347"/>
      <c r="Q841" s="312"/>
      <c r="R841" s="347"/>
      <c r="S841" s="312"/>
      <c r="T841" s="347"/>
    </row>
    <row r="842" spans="1:20" ht="12" customHeight="1" x14ac:dyDescent="0.3">
      <c r="A842" s="340" t="s">
        <v>289</v>
      </c>
      <c r="B842" s="341">
        <v>2</v>
      </c>
      <c r="C842" s="309">
        <v>46029</v>
      </c>
      <c r="D842" s="310" t="s">
        <v>358</v>
      </c>
      <c r="E842" s="342">
        <v>9.4700000000000006</v>
      </c>
      <c r="F842" s="342"/>
      <c r="G842" s="344">
        <f t="shared" si="5"/>
        <v>-672.03999999999985</v>
      </c>
      <c r="H842" s="345"/>
      <c r="I842" s="346"/>
      <c r="J842" s="347"/>
      <c r="K842" s="312"/>
      <c r="L842" s="347"/>
      <c r="M842" s="312"/>
      <c r="N842" s="347"/>
      <c r="O842" s="312"/>
      <c r="P842" s="347"/>
      <c r="Q842" s="312"/>
      <c r="R842" s="347"/>
      <c r="S842" s="312"/>
      <c r="T842" s="347"/>
    </row>
    <row r="843" spans="1:20" ht="12" customHeight="1" x14ac:dyDescent="0.3">
      <c r="A843" s="340" t="s">
        <v>294</v>
      </c>
      <c r="B843" s="341">
        <v>22</v>
      </c>
      <c r="C843" s="309">
        <v>46029</v>
      </c>
      <c r="D843" s="310" t="s">
        <v>477</v>
      </c>
      <c r="E843" s="342">
        <v>148.04</v>
      </c>
      <c r="F843" s="342"/>
      <c r="G843" s="344">
        <f t="shared" si="5"/>
        <v>-662.56999999999982</v>
      </c>
      <c r="H843" s="345"/>
      <c r="I843" s="346"/>
      <c r="J843" s="347"/>
      <c r="K843" s="312"/>
      <c r="L843" s="347"/>
      <c r="M843" s="312"/>
      <c r="N843" s="347"/>
      <c r="O843" s="312"/>
      <c r="P843" s="347"/>
      <c r="Q843" s="312"/>
      <c r="R843" s="347"/>
      <c r="S843" s="312"/>
      <c r="T843" s="347"/>
    </row>
    <row r="844" spans="1:20" ht="12" customHeight="1" x14ac:dyDescent="0.3">
      <c r="A844" s="340" t="s">
        <v>294</v>
      </c>
      <c r="B844" s="341">
        <v>14</v>
      </c>
      <c r="C844" s="309">
        <v>46028</v>
      </c>
      <c r="D844" s="310" t="s">
        <v>366</v>
      </c>
      <c r="E844" s="342">
        <v>66.67</v>
      </c>
      <c r="F844" s="342"/>
      <c r="G844" s="344">
        <f t="shared" si="5"/>
        <v>-514.52999999999986</v>
      </c>
      <c r="H844" s="345"/>
      <c r="I844" s="346"/>
      <c r="J844" s="347"/>
      <c r="K844" s="312"/>
      <c r="L844" s="347"/>
      <c r="M844" s="312"/>
      <c r="N844" s="347"/>
      <c r="O844" s="312"/>
      <c r="P844" s="347"/>
      <c r="Q844" s="312"/>
      <c r="R844" s="347"/>
      <c r="S844" s="312"/>
      <c r="T844" s="347"/>
    </row>
    <row r="845" spans="1:20" ht="12" customHeight="1" x14ac:dyDescent="0.3">
      <c r="A845" s="340" t="s">
        <v>289</v>
      </c>
      <c r="B845" s="341">
        <v>3</v>
      </c>
      <c r="C845" s="309">
        <v>46028</v>
      </c>
      <c r="D845" s="310" t="s">
        <v>296</v>
      </c>
      <c r="E845" s="342">
        <v>5.7</v>
      </c>
      <c r="F845" s="342"/>
      <c r="G845" s="344">
        <f t="shared" si="5"/>
        <v>-447.8599999999999</v>
      </c>
      <c r="H845" s="345"/>
      <c r="I845" s="346"/>
      <c r="J845" s="347"/>
      <c r="K845" s="312"/>
      <c r="L845" s="347"/>
      <c r="M845" s="312"/>
      <c r="N845" s="347"/>
      <c r="O845" s="312"/>
      <c r="P845" s="347"/>
      <c r="Q845" s="312"/>
      <c r="R845" s="347"/>
      <c r="S845" s="312"/>
      <c r="T845" s="347"/>
    </row>
    <row r="846" spans="1:20" ht="12" customHeight="1" x14ac:dyDescent="0.3">
      <c r="A846" s="340" t="s">
        <v>294</v>
      </c>
      <c r="B846" s="341">
        <v>21</v>
      </c>
      <c r="C846" s="309">
        <v>46028</v>
      </c>
      <c r="D846" s="310" t="s">
        <v>194</v>
      </c>
      <c r="E846" s="342">
        <v>30.59</v>
      </c>
      <c r="F846" s="342"/>
      <c r="G846" s="344">
        <f t="shared" si="5"/>
        <v>-442.15999999999991</v>
      </c>
      <c r="H846" s="345"/>
      <c r="I846" s="346"/>
      <c r="J846" s="347"/>
      <c r="K846" s="312"/>
      <c r="L846" s="347"/>
      <c r="M846" s="312"/>
      <c r="N846" s="347"/>
      <c r="O846" s="312"/>
      <c r="P846" s="347"/>
      <c r="Q846" s="312"/>
      <c r="R846" s="347"/>
      <c r="S846" s="312"/>
      <c r="T846" s="347"/>
    </row>
    <row r="847" spans="1:20" ht="12" customHeight="1" x14ac:dyDescent="0.3">
      <c r="A847" s="340" t="s">
        <v>294</v>
      </c>
      <c r="B847" s="341">
        <v>17</v>
      </c>
      <c r="C847" s="309">
        <v>46027</v>
      </c>
      <c r="D847" s="310" t="s">
        <v>370</v>
      </c>
      <c r="E847" s="342">
        <v>133.91999999999999</v>
      </c>
      <c r="F847" s="342"/>
      <c r="G847" s="344">
        <f t="shared" si="5"/>
        <v>-411.56999999999994</v>
      </c>
      <c r="H847" s="345"/>
      <c r="I847" s="346"/>
      <c r="J847" s="347"/>
      <c r="K847" s="312"/>
      <c r="L847" s="347"/>
      <c r="M847" s="312"/>
      <c r="N847" s="347"/>
      <c r="O847" s="312"/>
      <c r="P847" s="347"/>
      <c r="Q847" s="312"/>
      <c r="R847" s="347"/>
      <c r="S847" s="312"/>
      <c r="T847" s="347"/>
    </row>
    <row r="848" spans="1:20" ht="12" customHeight="1" x14ac:dyDescent="0.3">
      <c r="A848" s="340" t="s">
        <v>294</v>
      </c>
      <c r="B848" s="341">
        <v>17</v>
      </c>
      <c r="C848" s="309">
        <v>46027</v>
      </c>
      <c r="D848" s="310" t="s">
        <v>370</v>
      </c>
      <c r="E848" s="342">
        <v>62</v>
      </c>
      <c r="F848" s="342"/>
      <c r="G848" s="344">
        <f t="shared" si="5"/>
        <v>-277.64999999999992</v>
      </c>
      <c r="H848" s="345"/>
      <c r="I848" s="346"/>
      <c r="J848" s="347"/>
      <c r="K848" s="312"/>
      <c r="L848" s="347"/>
      <c r="M848" s="312"/>
      <c r="N848" s="347"/>
      <c r="O848" s="312"/>
      <c r="P848" s="347"/>
      <c r="Q848" s="312"/>
      <c r="R848" s="347"/>
      <c r="S848" s="312"/>
      <c r="T848" s="347"/>
    </row>
    <row r="849" spans="1:20" ht="12" customHeight="1" x14ac:dyDescent="0.3">
      <c r="A849" s="340" t="s">
        <v>289</v>
      </c>
      <c r="B849" s="341">
        <v>6</v>
      </c>
      <c r="C849" s="309">
        <v>46027</v>
      </c>
      <c r="D849" s="310" t="s">
        <v>300</v>
      </c>
      <c r="E849" s="342">
        <v>10.64</v>
      </c>
      <c r="F849" s="342"/>
      <c r="G849" s="344">
        <f t="shared" si="5"/>
        <v>-215.64999999999992</v>
      </c>
      <c r="H849" s="345"/>
      <c r="I849" s="346"/>
      <c r="J849" s="347"/>
      <c r="K849" s="312"/>
      <c r="L849" s="347"/>
      <c r="M849" s="312"/>
      <c r="N849" s="347"/>
      <c r="O849" s="312"/>
      <c r="P849" s="347"/>
      <c r="Q849" s="312"/>
      <c r="R849" s="347"/>
      <c r="S849" s="312"/>
      <c r="T849" s="347"/>
    </row>
    <row r="850" spans="1:20" ht="12" customHeight="1" x14ac:dyDescent="0.3">
      <c r="A850" s="340" t="s">
        <v>289</v>
      </c>
      <c r="B850" s="341">
        <v>8</v>
      </c>
      <c r="C850" s="309">
        <v>46027</v>
      </c>
      <c r="D850" s="310" t="s">
        <v>319</v>
      </c>
      <c r="E850" s="342">
        <v>17.440000000000001</v>
      </c>
      <c r="F850" s="342"/>
      <c r="G850" s="344">
        <f t="shared" si="5"/>
        <v>-205.00999999999991</v>
      </c>
      <c r="H850" s="345"/>
      <c r="I850" s="346"/>
      <c r="J850" s="347"/>
      <c r="K850" s="312"/>
      <c r="L850" s="347"/>
      <c r="M850" s="312"/>
      <c r="N850" s="347"/>
      <c r="O850" s="312"/>
      <c r="P850" s="347"/>
      <c r="Q850" s="312"/>
      <c r="R850" s="347"/>
      <c r="S850" s="312"/>
      <c r="T850" s="347"/>
    </row>
    <row r="851" spans="1:20" ht="12" customHeight="1" x14ac:dyDescent="0.3">
      <c r="A851" s="340" t="s">
        <v>289</v>
      </c>
      <c r="B851" s="341">
        <v>1</v>
      </c>
      <c r="C851" s="309">
        <v>46027</v>
      </c>
      <c r="D851" s="310" t="s">
        <v>306</v>
      </c>
      <c r="E851" s="342">
        <v>216.19</v>
      </c>
      <c r="F851" s="342"/>
      <c r="G851" s="344">
        <f t="shared" si="5"/>
        <v>-187.56999999999991</v>
      </c>
      <c r="H851" s="345"/>
      <c r="I851" s="346"/>
      <c r="J851" s="347"/>
      <c r="K851" s="312"/>
      <c r="L851" s="347"/>
      <c r="M851" s="312"/>
      <c r="N851" s="347"/>
      <c r="O851" s="312"/>
      <c r="P851" s="347"/>
      <c r="Q851" s="312"/>
      <c r="R851" s="347"/>
      <c r="S851" s="312"/>
      <c r="T851" s="347"/>
    </row>
    <row r="852" spans="1:20" ht="12" customHeight="1" x14ac:dyDescent="0.3">
      <c r="A852" s="340" t="s">
        <v>289</v>
      </c>
      <c r="B852" s="341">
        <v>2</v>
      </c>
      <c r="C852" s="309">
        <v>46027</v>
      </c>
      <c r="D852" s="310" t="s">
        <v>478</v>
      </c>
      <c r="E852" s="342">
        <v>70</v>
      </c>
      <c r="F852" s="342"/>
      <c r="G852" s="344">
        <f t="shared" si="5"/>
        <v>28.62000000000009</v>
      </c>
      <c r="H852" s="345"/>
      <c r="I852" s="346"/>
      <c r="J852" s="347"/>
      <c r="K852" s="312"/>
      <c r="L852" s="347"/>
      <c r="M852" s="312"/>
      <c r="N852" s="347"/>
      <c r="O852" s="312"/>
      <c r="P852" s="347"/>
      <c r="Q852" s="312"/>
      <c r="R852" s="347"/>
      <c r="S852" s="312"/>
      <c r="T852" s="347"/>
    </row>
    <row r="853" spans="1:20" ht="12" customHeight="1" x14ac:dyDescent="0.3">
      <c r="A853" s="340" t="s">
        <v>289</v>
      </c>
      <c r="B853" s="341">
        <v>2</v>
      </c>
      <c r="C853" s="309">
        <v>46027</v>
      </c>
      <c r="D853" s="310" t="s">
        <v>358</v>
      </c>
      <c r="E853" s="342">
        <v>14.05</v>
      </c>
      <c r="F853" s="342"/>
      <c r="G853" s="344">
        <f t="shared" si="5"/>
        <v>98.62000000000009</v>
      </c>
      <c r="H853" s="345"/>
      <c r="I853" s="346"/>
      <c r="J853" s="347"/>
      <c r="K853" s="312"/>
      <c r="L853" s="347"/>
      <c r="M853" s="312"/>
      <c r="N853" s="347"/>
      <c r="O853" s="312"/>
      <c r="P853" s="347"/>
      <c r="Q853" s="312"/>
      <c r="R853" s="347"/>
      <c r="S853" s="312"/>
      <c r="T853" s="347"/>
    </row>
    <row r="854" spans="1:20" ht="12" customHeight="1" x14ac:dyDescent="0.3">
      <c r="A854" s="340" t="s">
        <v>294</v>
      </c>
      <c r="B854" s="341">
        <v>14</v>
      </c>
      <c r="C854" s="309">
        <v>46027</v>
      </c>
      <c r="D854" s="310" t="s">
        <v>367</v>
      </c>
      <c r="E854" s="342">
        <v>68.739999999999995</v>
      </c>
      <c r="F854" s="342"/>
      <c r="G854" s="344">
        <f t="shared" si="5"/>
        <v>112.67000000000009</v>
      </c>
      <c r="H854" s="345"/>
      <c r="I854" s="346"/>
      <c r="J854" s="347"/>
      <c r="K854" s="312"/>
      <c r="L854" s="347"/>
      <c r="M854" s="312"/>
      <c r="N854" s="347"/>
      <c r="O854" s="312"/>
      <c r="P854" s="347"/>
      <c r="Q854" s="312"/>
      <c r="R854" s="347"/>
      <c r="S854" s="312"/>
      <c r="T854" s="347"/>
    </row>
    <row r="855" spans="1:20" ht="12" customHeight="1" x14ac:dyDescent="0.3">
      <c r="A855" s="340" t="s">
        <v>289</v>
      </c>
      <c r="B855" s="341">
        <v>6</v>
      </c>
      <c r="C855" s="309">
        <v>46027</v>
      </c>
      <c r="D855" s="310" t="s">
        <v>479</v>
      </c>
      <c r="E855" s="342">
        <v>120</v>
      </c>
      <c r="F855" s="342"/>
      <c r="G855" s="344">
        <f t="shared" si="5"/>
        <v>181.41000000000008</v>
      </c>
      <c r="H855" s="345"/>
      <c r="I855" s="346"/>
      <c r="J855" s="347"/>
      <c r="K855" s="312"/>
      <c r="L855" s="347"/>
      <c r="M855" s="312"/>
      <c r="N855" s="347"/>
      <c r="O855" s="312"/>
      <c r="P855" s="347"/>
      <c r="Q855" s="312"/>
      <c r="R855" s="347"/>
      <c r="S855" s="312"/>
      <c r="T855" s="347"/>
    </row>
    <row r="856" spans="1:20" ht="12" customHeight="1" x14ac:dyDescent="0.3">
      <c r="A856" s="340" t="s">
        <v>294</v>
      </c>
      <c r="B856" s="341">
        <v>9</v>
      </c>
      <c r="C856" s="309">
        <v>46027</v>
      </c>
      <c r="D856" s="310" t="s">
        <v>58</v>
      </c>
      <c r="E856" s="342">
        <v>1281.53</v>
      </c>
      <c r="F856" s="342"/>
      <c r="G856" s="344">
        <f t="shared" si="5"/>
        <v>301.41000000000008</v>
      </c>
      <c r="H856" s="345"/>
      <c r="I856" s="346"/>
      <c r="J856" s="347"/>
      <c r="K856" s="312"/>
      <c r="L856" s="347"/>
      <c r="M856" s="312"/>
      <c r="N856" s="347"/>
      <c r="O856" s="312"/>
      <c r="P856" s="347"/>
      <c r="Q856" s="312"/>
      <c r="R856" s="347"/>
      <c r="S856" s="312"/>
      <c r="T856" s="347"/>
    </row>
    <row r="857" spans="1:20" ht="12" customHeight="1" x14ac:dyDescent="0.3">
      <c r="A857" s="340" t="s">
        <v>289</v>
      </c>
      <c r="B857" s="341">
        <v>7</v>
      </c>
      <c r="C857" s="309">
        <v>46026</v>
      </c>
      <c r="D857" s="310" t="s">
        <v>338</v>
      </c>
      <c r="E857" s="342">
        <v>18.260000000000002</v>
      </c>
      <c r="F857" s="342"/>
      <c r="G857" s="344">
        <f t="shared" si="5"/>
        <v>1582.94</v>
      </c>
      <c r="H857" s="345"/>
      <c r="I857" s="346"/>
      <c r="J857" s="347"/>
      <c r="K857" s="312"/>
      <c r="L857" s="347"/>
      <c r="M857" s="312"/>
      <c r="N857" s="347"/>
      <c r="O857" s="312"/>
      <c r="P857" s="347"/>
      <c r="Q857" s="312"/>
      <c r="R857" s="347"/>
      <c r="S857" s="312"/>
      <c r="T857" s="347"/>
    </row>
    <row r="858" spans="1:20" ht="12" customHeight="1" x14ac:dyDescent="0.3">
      <c r="A858" s="340" t="s">
        <v>287</v>
      </c>
      <c r="B858" s="341" t="s">
        <v>287</v>
      </c>
      <c r="C858" s="309">
        <v>46026</v>
      </c>
      <c r="D858" s="310" t="s">
        <v>300</v>
      </c>
      <c r="E858" s="342">
        <v>114.91</v>
      </c>
      <c r="F858" s="342">
        <v>114.91</v>
      </c>
      <c r="G858" s="344">
        <f t="shared" si="5"/>
        <v>1601.2</v>
      </c>
      <c r="H858" s="345"/>
      <c r="I858" s="346"/>
      <c r="J858" s="347"/>
      <c r="K858" s="312"/>
      <c r="L858" s="347"/>
      <c r="M858" s="312"/>
      <c r="N858" s="347"/>
      <c r="O858" s="312"/>
      <c r="P858" s="347"/>
      <c r="Q858" s="312"/>
      <c r="R858" s="347"/>
      <c r="S858" s="312"/>
      <c r="T858" s="347"/>
    </row>
    <row r="859" spans="1:20" ht="12" customHeight="1" x14ac:dyDescent="0.3">
      <c r="A859" s="340" t="s">
        <v>289</v>
      </c>
      <c r="B859" s="341">
        <v>5</v>
      </c>
      <c r="C859" s="309">
        <v>46026</v>
      </c>
      <c r="D859" s="310" t="s">
        <v>480</v>
      </c>
      <c r="E859" s="342">
        <v>42.43</v>
      </c>
      <c r="F859" s="342"/>
      <c r="G859" s="344">
        <f t="shared" si="5"/>
        <v>1601.2</v>
      </c>
      <c r="H859" s="345"/>
      <c r="I859" s="346"/>
      <c r="J859" s="347"/>
      <c r="K859" s="312"/>
      <c r="L859" s="347"/>
      <c r="M859" s="312"/>
      <c r="N859" s="347"/>
      <c r="O859" s="312"/>
      <c r="P859" s="347"/>
      <c r="Q859" s="312"/>
      <c r="R859" s="347"/>
      <c r="S859" s="312"/>
      <c r="T859" s="347"/>
    </row>
    <row r="860" spans="1:20" ht="12" customHeight="1" x14ac:dyDescent="0.3">
      <c r="A860" s="340" t="s">
        <v>289</v>
      </c>
      <c r="B860" s="341">
        <v>7</v>
      </c>
      <c r="C860" s="309">
        <v>46026</v>
      </c>
      <c r="D860" s="310" t="s">
        <v>300</v>
      </c>
      <c r="E860" s="342">
        <v>42.59</v>
      </c>
      <c r="F860" s="342"/>
      <c r="G860" s="344">
        <f t="shared" si="5"/>
        <v>1643.63</v>
      </c>
      <c r="H860" s="345"/>
      <c r="I860" s="346"/>
      <c r="J860" s="347"/>
      <c r="K860" s="312"/>
      <c r="L860" s="347"/>
      <c r="M860" s="312"/>
      <c r="N860" s="347"/>
      <c r="O860" s="312"/>
      <c r="P860" s="347"/>
      <c r="Q860" s="312"/>
      <c r="R860" s="347"/>
      <c r="S860" s="312"/>
      <c r="T860" s="347"/>
    </row>
    <row r="861" spans="1:20" ht="12" customHeight="1" x14ac:dyDescent="0.3">
      <c r="A861" s="340" t="s">
        <v>289</v>
      </c>
      <c r="B861" s="341">
        <v>3</v>
      </c>
      <c r="C861" s="309">
        <v>46025</v>
      </c>
      <c r="D861" s="310" t="s">
        <v>348</v>
      </c>
      <c r="E861" s="342">
        <v>14.57</v>
      </c>
      <c r="F861" s="342"/>
      <c r="G861" s="344">
        <f t="shared" si="5"/>
        <v>1686.22</v>
      </c>
      <c r="H861" s="345"/>
      <c r="I861" s="346"/>
      <c r="J861" s="347"/>
      <c r="K861" s="312"/>
      <c r="L861" s="347"/>
      <c r="M861" s="312"/>
      <c r="N861" s="347"/>
      <c r="O861" s="312"/>
      <c r="P861" s="347"/>
      <c r="Q861" s="312"/>
      <c r="R861" s="347"/>
      <c r="S861" s="312"/>
      <c r="T861" s="347"/>
    </row>
    <row r="862" spans="1:20" ht="12" customHeight="1" x14ac:dyDescent="0.3">
      <c r="A862" s="340" t="s">
        <v>289</v>
      </c>
      <c r="B862" s="341">
        <v>2</v>
      </c>
      <c r="C862" s="309">
        <v>46025</v>
      </c>
      <c r="D862" s="310" t="s">
        <v>481</v>
      </c>
      <c r="E862" s="342">
        <v>41.05</v>
      </c>
      <c r="F862" s="342"/>
      <c r="G862" s="344">
        <f t="shared" si="5"/>
        <v>1700.79</v>
      </c>
      <c r="H862" s="345"/>
      <c r="I862" s="346"/>
      <c r="J862" s="347"/>
      <c r="K862" s="312"/>
      <c r="L862" s="347"/>
      <c r="M862" s="312"/>
      <c r="N862" s="347"/>
      <c r="O862" s="312"/>
      <c r="P862" s="347"/>
      <c r="Q862" s="312"/>
      <c r="R862" s="347"/>
      <c r="S862" s="312"/>
      <c r="T862" s="347"/>
    </row>
    <row r="863" spans="1:20" ht="12" customHeight="1" x14ac:dyDescent="0.3">
      <c r="A863" s="340" t="s">
        <v>289</v>
      </c>
      <c r="B863" s="341">
        <v>4</v>
      </c>
      <c r="C863" s="309">
        <v>46025</v>
      </c>
      <c r="D863" s="310" t="s">
        <v>310</v>
      </c>
      <c r="E863" s="342">
        <v>26.88</v>
      </c>
      <c r="F863" s="342"/>
      <c r="G863" s="344">
        <f t="shared" si="5"/>
        <v>1741.84</v>
      </c>
      <c r="H863" s="345"/>
      <c r="I863" s="346"/>
      <c r="J863" s="347"/>
      <c r="K863" s="312"/>
      <c r="L863" s="347"/>
      <c r="M863" s="312"/>
      <c r="N863" s="347"/>
      <c r="O863" s="312"/>
      <c r="P863" s="347"/>
      <c r="Q863" s="312"/>
      <c r="R863" s="347"/>
      <c r="S863" s="312"/>
      <c r="T863" s="347"/>
    </row>
    <row r="864" spans="1:20" ht="12" customHeight="1" x14ac:dyDescent="0.3">
      <c r="A864" s="340" t="s">
        <v>289</v>
      </c>
      <c r="B864" s="341">
        <v>2</v>
      </c>
      <c r="C864" s="309">
        <v>46025</v>
      </c>
      <c r="D864" s="310" t="s">
        <v>308</v>
      </c>
      <c r="E864" s="342">
        <v>130.08000000000001</v>
      </c>
      <c r="F864" s="342"/>
      <c r="G864" s="344">
        <f t="shared" si="5"/>
        <v>1768.72</v>
      </c>
      <c r="H864" s="345"/>
      <c r="I864" s="346"/>
      <c r="J864" s="347"/>
      <c r="K864" s="312"/>
      <c r="L864" s="347"/>
      <c r="M864" s="312"/>
      <c r="N864" s="347"/>
      <c r="O864" s="312"/>
      <c r="P864" s="347"/>
      <c r="Q864" s="312"/>
      <c r="R864" s="347"/>
      <c r="S864" s="312"/>
      <c r="T864" s="347"/>
    </row>
    <row r="865" spans="1:20" ht="12" customHeight="1" x14ac:dyDescent="0.3">
      <c r="A865" s="340" t="s">
        <v>289</v>
      </c>
      <c r="B865" s="341">
        <v>7</v>
      </c>
      <c r="C865" s="309">
        <v>46025</v>
      </c>
      <c r="D865" s="310" t="s">
        <v>482</v>
      </c>
      <c r="E865" s="342">
        <v>222.49</v>
      </c>
      <c r="F865" s="342"/>
      <c r="G865" s="344">
        <f t="shared" si="5"/>
        <v>1898.8</v>
      </c>
      <c r="H865" s="345"/>
      <c r="I865" s="346"/>
      <c r="J865" s="347"/>
      <c r="K865" s="312"/>
      <c r="L865" s="347"/>
      <c r="M865" s="312"/>
      <c r="N865" s="347"/>
      <c r="O865" s="312"/>
      <c r="P865" s="347"/>
      <c r="Q865" s="312"/>
      <c r="R865" s="347"/>
      <c r="S865" s="312"/>
      <c r="T865" s="347"/>
    </row>
    <row r="866" spans="1:20" ht="12" customHeight="1" x14ac:dyDescent="0.3">
      <c r="A866" s="340" t="s">
        <v>289</v>
      </c>
      <c r="B866" s="341">
        <v>7</v>
      </c>
      <c r="C866" s="309">
        <v>46025</v>
      </c>
      <c r="D866" s="310" t="s">
        <v>482</v>
      </c>
      <c r="E866" s="342">
        <v>99.18</v>
      </c>
      <c r="F866" s="342"/>
      <c r="G866" s="344">
        <f t="shared" si="5"/>
        <v>2121.29</v>
      </c>
      <c r="H866" s="345"/>
      <c r="I866" s="346"/>
      <c r="J866" s="347"/>
      <c r="K866" s="312"/>
      <c r="L866" s="347"/>
      <c r="M866" s="312"/>
      <c r="N866" s="347"/>
      <c r="O866" s="312"/>
      <c r="P866" s="347"/>
      <c r="Q866" s="312"/>
      <c r="R866" s="347"/>
      <c r="S866" s="312"/>
      <c r="T866" s="347"/>
    </row>
    <row r="867" spans="1:20" ht="12" customHeight="1" x14ac:dyDescent="0.3">
      <c r="A867" s="340" t="s">
        <v>289</v>
      </c>
      <c r="B867" s="341">
        <v>5</v>
      </c>
      <c r="C867" s="309">
        <v>46024</v>
      </c>
      <c r="D867" s="310" t="s">
        <v>483</v>
      </c>
      <c r="E867" s="342">
        <v>35</v>
      </c>
      <c r="F867" s="342"/>
      <c r="G867" s="344">
        <f t="shared" si="5"/>
        <v>2220.4699999999998</v>
      </c>
      <c r="H867" s="345"/>
      <c r="I867" s="346"/>
      <c r="J867" s="347"/>
      <c r="K867" s="312"/>
      <c r="L867" s="347"/>
      <c r="M867" s="312"/>
      <c r="N867" s="347"/>
      <c r="O867" s="312"/>
      <c r="P867" s="347"/>
      <c r="Q867" s="312"/>
      <c r="R867" s="347"/>
      <c r="S867" s="312"/>
      <c r="T867" s="347"/>
    </row>
    <row r="868" spans="1:20" ht="12" customHeight="1" x14ac:dyDescent="0.3">
      <c r="A868" s="340" t="s">
        <v>289</v>
      </c>
      <c r="B868" s="341">
        <v>3</v>
      </c>
      <c r="C868" s="309">
        <v>46024</v>
      </c>
      <c r="D868" s="310" t="s">
        <v>296</v>
      </c>
      <c r="E868" s="342">
        <v>15.11</v>
      </c>
      <c r="F868" s="342"/>
      <c r="G868" s="344">
        <f t="shared" si="5"/>
        <v>2255.4699999999998</v>
      </c>
      <c r="H868" s="345"/>
      <c r="I868" s="346"/>
      <c r="J868" s="347"/>
      <c r="K868" s="312"/>
      <c r="L868" s="347"/>
      <c r="M868" s="312"/>
      <c r="N868" s="347"/>
      <c r="O868" s="312"/>
      <c r="P868" s="347"/>
      <c r="Q868" s="312"/>
      <c r="R868" s="347"/>
      <c r="S868" s="312"/>
      <c r="T868" s="347"/>
    </row>
    <row r="869" spans="1:20" ht="12" customHeight="1" x14ac:dyDescent="0.3">
      <c r="A869" s="340" t="s">
        <v>289</v>
      </c>
      <c r="B869" s="341">
        <v>5</v>
      </c>
      <c r="C869" s="309">
        <v>46024</v>
      </c>
      <c r="D869" s="310" t="s">
        <v>484</v>
      </c>
      <c r="E869" s="342">
        <v>29.67</v>
      </c>
      <c r="F869" s="342"/>
      <c r="G869" s="344">
        <f t="shared" si="5"/>
        <v>2270.58</v>
      </c>
      <c r="H869" s="345"/>
      <c r="I869" s="346"/>
      <c r="J869" s="347"/>
      <c r="K869" s="312"/>
      <c r="L869" s="347"/>
      <c r="M869" s="312"/>
      <c r="N869" s="347"/>
      <c r="O869" s="312"/>
      <c r="P869" s="347"/>
      <c r="Q869" s="312"/>
      <c r="R869" s="347"/>
      <c r="S869" s="312"/>
      <c r="T869" s="347"/>
    </row>
    <row r="870" spans="1:20" ht="12" customHeight="1" x14ac:dyDescent="0.3">
      <c r="A870" s="340" t="s">
        <v>287</v>
      </c>
      <c r="B870" s="341" t="s">
        <v>287</v>
      </c>
      <c r="C870" s="309">
        <v>46024</v>
      </c>
      <c r="D870" s="310" t="s">
        <v>397</v>
      </c>
      <c r="E870" s="342">
        <v>70.56</v>
      </c>
      <c r="F870" s="342">
        <v>70.56</v>
      </c>
      <c r="G870" s="344">
        <f t="shared" si="5"/>
        <v>2300.25</v>
      </c>
      <c r="H870" s="345"/>
      <c r="I870" s="346"/>
      <c r="J870" s="347"/>
      <c r="K870" s="312"/>
      <c r="L870" s="347"/>
      <c r="M870" s="312"/>
      <c r="N870" s="347"/>
      <c r="O870" s="312"/>
      <c r="P870" s="347"/>
      <c r="Q870" s="312"/>
      <c r="R870" s="347"/>
      <c r="S870" s="312"/>
      <c r="T870" s="347"/>
    </row>
    <row r="871" spans="1:20" ht="12" customHeight="1" x14ac:dyDescent="0.3">
      <c r="A871" s="340" t="s">
        <v>287</v>
      </c>
      <c r="B871" s="341" t="s">
        <v>287</v>
      </c>
      <c r="C871" s="309">
        <v>46024</v>
      </c>
      <c r="D871" s="310" t="s">
        <v>485</v>
      </c>
      <c r="E871" s="342">
        <v>113.94</v>
      </c>
      <c r="F871" s="342">
        <v>113.94</v>
      </c>
      <c r="G871" s="344">
        <f t="shared" si="5"/>
        <v>2300.25</v>
      </c>
      <c r="H871" s="345"/>
      <c r="I871" s="346"/>
      <c r="J871" s="347"/>
      <c r="K871" s="312"/>
      <c r="L871" s="347"/>
      <c r="M871" s="312"/>
      <c r="N871" s="347"/>
      <c r="O871" s="312"/>
      <c r="P871" s="347"/>
      <c r="Q871" s="312"/>
      <c r="R871" s="347"/>
      <c r="S871" s="312"/>
      <c r="T871" s="347"/>
    </row>
    <row r="872" spans="1:20" ht="12" customHeight="1" x14ac:dyDescent="0.3">
      <c r="A872" s="340" t="s">
        <v>289</v>
      </c>
      <c r="B872" s="341">
        <v>2</v>
      </c>
      <c r="C872" s="309">
        <v>46024</v>
      </c>
      <c r="D872" s="310" t="s">
        <v>371</v>
      </c>
      <c r="E872" s="342">
        <v>11.9</v>
      </c>
      <c r="F872" s="342"/>
      <c r="G872" s="344">
        <f t="shared" si="5"/>
        <v>2300.25</v>
      </c>
      <c r="H872" s="345"/>
      <c r="I872" s="346"/>
      <c r="J872" s="347"/>
      <c r="K872" s="312"/>
      <c r="L872" s="347"/>
      <c r="M872" s="312"/>
      <c r="N872" s="347"/>
      <c r="O872" s="312"/>
      <c r="P872" s="347"/>
      <c r="Q872" s="312"/>
      <c r="R872" s="347"/>
      <c r="S872" s="312"/>
      <c r="T872" s="347"/>
    </row>
    <row r="873" spans="1:20" ht="12" customHeight="1" x14ac:dyDescent="0.3">
      <c r="A873" s="340" t="s">
        <v>289</v>
      </c>
      <c r="B873" s="341">
        <v>2</v>
      </c>
      <c r="C873" s="309">
        <v>46024</v>
      </c>
      <c r="D873" s="310" t="s">
        <v>408</v>
      </c>
      <c r="E873" s="342">
        <v>23.9</v>
      </c>
      <c r="F873" s="342"/>
      <c r="G873" s="344">
        <f t="shared" si="5"/>
        <v>2312.15</v>
      </c>
      <c r="H873" s="345"/>
      <c r="I873" s="346"/>
      <c r="J873" s="347"/>
      <c r="K873" s="312"/>
      <c r="L873" s="347"/>
      <c r="M873" s="312"/>
      <c r="N873" s="347"/>
      <c r="O873" s="312"/>
      <c r="P873" s="347"/>
      <c r="Q873" s="312"/>
      <c r="R873" s="347"/>
      <c r="S873" s="312"/>
      <c r="T873" s="347"/>
    </row>
    <row r="874" spans="1:20" ht="12" customHeight="1" x14ac:dyDescent="0.3">
      <c r="A874" s="340" t="s">
        <v>289</v>
      </c>
      <c r="B874" s="341">
        <v>5</v>
      </c>
      <c r="C874" s="309">
        <v>46024</v>
      </c>
      <c r="D874" s="310" t="s">
        <v>486</v>
      </c>
      <c r="E874" s="342">
        <v>160</v>
      </c>
      <c r="F874" s="342"/>
      <c r="G874" s="344">
        <f t="shared" si="5"/>
        <v>2336.0500000000002</v>
      </c>
      <c r="H874" s="345"/>
      <c r="I874" s="346"/>
      <c r="J874" s="347"/>
      <c r="K874" s="312"/>
      <c r="L874" s="347"/>
      <c r="M874" s="312"/>
      <c r="N874" s="347"/>
      <c r="O874" s="312"/>
      <c r="P874" s="347"/>
      <c r="Q874" s="312"/>
      <c r="R874" s="347"/>
      <c r="S874" s="312"/>
      <c r="T874" s="347"/>
    </row>
    <row r="875" spans="1:20" ht="12" customHeight="1" x14ac:dyDescent="0.3">
      <c r="A875" s="340" t="s">
        <v>284</v>
      </c>
      <c r="B875" s="341">
        <v>36</v>
      </c>
      <c r="C875" s="309">
        <v>46024</v>
      </c>
      <c r="D875" s="310" t="s">
        <v>374</v>
      </c>
      <c r="E875" s="342">
        <v>50</v>
      </c>
      <c r="F875" s="342"/>
      <c r="G875" s="344">
        <f t="shared" si="5"/>
        <v>2496.0500000000002</v>
      </c>
      <c r="H875" s="345"/>
      <c r="I875" s="346"/>
      <c r="J875" s="347"/>
      <c r="K875" s="312"/>
      <c r="L875" s="347"/>
      <c r="M875" s="312"/>
      <c r="N875" s="347"/>
      <c r="O875" s="312"/>
      <c r="P875" s="347"/>
      <c r="Q875" s="312"/>
      <c r="R875" s="347"/>
      <c r="S875" s="312"/>
      <c r="T875" s="347"/>
    </row>
    <row r="876" spans="1:20" ht="12" customHeight="1" x14ac:dyDescent="0.3">
      <c r="A876" s="340" t="s">
        <v>289</v>
      </c>
      <c r="B876" s="341">
        <v>6</v>
      </c>
      <c r="C876" s="309">
        <v>46023</v>
      </c>
      <c r="D876" s="310" t="s">
        <v>312</v>
      </c>
      <c r="E876" s="342">
        <v>8</v>
      </c>
      <c r="F876" s="342"/>
      <c r="G876" s="344">
        <f t="shared" si="5"/>
        <v>2546.0500000000002</v>
      </c>
      <c r="H876" s="345"/>
      <c r="I876" s="346"/>
      <c r="J876" s="347"/>
      <c r="K876" s="312"/>
      <c r="L876" s="347"/>
      <c r="M876" s="312"/>
      <c r="N876" s="347"/>
      <c r="O876" s="312"/>
      <c r="P876" s="347"/>
      <c r="Q876" s="312"/>
      <c r="R876" s="347"/>
      <c r="S876" s="312"/>
      <c r="T876" s="347"/>
    </row>
    <row r="877" spans="1:20" ht="12" customHeight="1" x14ac:dyDescent="0.3">
      <c r="A877" s="340" t="s">
        <v>289</v>
      </c>
      <c r="B877" s="341">
        <v>2</v>
      </c>
      <c r="C877" s="309">
        <v>46023</v>
      </c>
      <c r="D877" s="310" t="s">
        <v>371</v>
      </c>
      <c r="E877" s="342">
        <v>13.06</v>
      </c>
      <c r="F877" s="342"/>
      <c r="G877" s="344">
        <f t="shared" si="5"/>
        <v>2554.0500000000002</v>
      </c>
      <c r="H877" s="345"/>
      <c r="I877" s="346"/>
      <c r="J877" s="347"/>
      <c r="K877" s="312"/>
      <c r="L877" s="347"/>
      <c r="M877" s="312"/>
      <c r="N877" s="347"/>
      <c r="O877" s="312"/>
      <c r="P877" s="347"/>
      <c r="Q877" s="312"/>
      <c r="R877" s="347"/>
      <c r="S877" s="312"/>
      <c r="T877" s="347"/>
    </row>
    <row r="878" spans="1:20" ht="12" customHeight="1" x14ac:dyDescent="0.3">
      <c r="A878" s="340" t="s">
        <v>294</v>
      </c>
      <c r="B878" s="341">
        <v>22</v>
      </c>
      <c r="C878" s="309">
        <v>46023</v>
      </c>
      <c r="D878" s="310" t="s">
        <v>375</v>
      </c>
      <c r="E878" s="342">
        <v>6.37</v>
      </c>
      <c r="F878" s="342"/>
      <c r="G878" s="344">
        <f t="shared" si="5"/>
        <v>2567.11</v>
      </c>
      <c r="H878" s="345"/>
      <c r="I878" s="346"/>
      <c r="J878" s="347"/>
      <c r="K878" s="312"/>
      <c r="L878" s="347"/>
      <c r="M878" s="312"/>
      <c r="N878" s="347"/>
      <c r="O878" s="312"/>
      <c r="P878" s="347"/>
      <c r="Q878" s="312"/>
      <c r="R878" s="347"/>
      <c r="S878" s="312"/>
      <c r="T878" s="347"/>
    </row>
    <row r="879" spans="1:20" ht="12" customHeight="1" x14ac:dyDescent="0.3">
      <c r="A879" s="340" t="s">
        <v>289</v>
      </c>
      <c r="B879" s="341">
        <v>2</v>
      </c>
      <c r="C879" s="309">
        <v>46023</v>
      </c>
      <c r="D879" s="310" t="s">
        <v>358</v>
      </c>
      <c r="E879" s="342">
        <v>10.27</v>
      </c>
      <c r="F879" s="342"/>
      <c r="G879" s="344">
        <f t="shared" si="5"/>
        <v>2573.48</v>
      </c>
      <c r="H879" s="345"/>
      <c r="I879" s="346"/>
      <c r="J879" s="347"/>
      <c r="K879" s="312"/>
      <c r="L879" s="347"/>
      <c r="M879" s="312"/>
      <c r="N879" s="347"/>
      <c r="O879" s="312"/>
      <c r="P879" s="347"/>
      <c r="Q879" s="312"/>
      <c r="R879" s="347"/>
      <c r="S879" s="312"/>
      <c r="T879" s="347"/>
    </row>
    <row r="880" spans="1:20" ht="12" customHeight="1" x14ac:dyDescent="0.3">
      <c r="A880" s="340" t="s">
        <v>289</v>
      </c>
      <c r="B880" s="341">
        <v>6</v>
      </c>
      <c r="C880" s="309">
        <v>46023</v>
      </c>
      <c r="D880" s="310" t="s">
        <v>487</v>
      </c>
      <c r="E880" s="342">
        <v>176.57</v>
      </c>
      <c r="F880" s="342"/>
      <c r="G880" s="344">
        <f t="shared" si="5"/>
        <v>2583.75</v>
      </c>
      <c r="H880" s="345"/>
      <c r="I880" s="346"/>
      <c r="J880" s="347"/>
      <c r="K880" s="312"/>
      <c r="L880" s="347"/>
      <c r="M880" s="312"/>
      <c r="N880" s="347"/>
      <c r="O880" s="312"/>
      <c r="P880" s="347"/>
      <c r="Q880" s="312"/>
      <c r="R880" s="347"/>
      <c r="S880" s="312"/>
      <c r="T880" s="347"/>
    </row>
    <row r="881" spans="1:20" ht="12" customHeight="1" x14ac:dyDescent="0.3">
      <c r="A881" s="340" t="s">
        <v>287</v>
      </c>
      <c r="B881" s="341" t="s">
        <v>287</v>
      </c>
      <c r="C881" s="309">
        <v>46023</v>
      </c>
      <c r="D881" s="310" t="s">
        <v>300</v>
      </c>
      <c r="E881" s="342">
        <v>383.39</v>
      </c>
      <c r="F881" s="342">
        <v>383.39</v>
      </c>
      <c r="G881" s="344">
        <f t="shared" si="5"/>
        <v>2760.32</v>
      </c>
      <c r="H881" s="345"/>
      <c r="I881" s="346"/>
      <c r="J881" s="347"/>
      <c r="K881" s="312"/>
      <c r="L881" s="347"/>
      <c r="M881" s="312"/>
      <c r="N881" s="347"/>
      <c r="O881" s="312"/>
      <c r="P881" s="347"/>
      <c r="Q881" s="312"/>
      <c r="R881" s="347"/>
      <c r="S881" s="312"/>
      <c r="T881" s="347"/>
    </row>
    <row r="882" spans="1:20" ht="12" customHeight="1" x14ac:dyDescent="0.3">
      <c r="A882" s="340" t="s">
        <v>287</v>
      </c>
      <c r="B882" s="341" t="s">
        <v>287</v>
      </c>
      <c r="C882" s="309">
        <v>46023</v>
      </c>
      <c r="D882" s="310" t="s">
        <v>300</v>
      </c>
      <c r="E882" s="342">
        <v>53.24</v>
      </c>
      <c r="F882" s="342">
        <v>53.24</v>
      </c>
      <c r="G882" s="344">
        <f t="shared" si="5"/>
        <v>2760.32</v>
      </c>
      <c r="H882" s="345"/>
      <c r="I882" s="346"/>
      <c r="J882" s="347"/>
      <c r="K882" s="312"/>
      <c r="L882" s="347"/>
      <c r="M882" s="312"/>
      <c r="N882" s="347"/>
      <c r="O882" s="312"/>
      <c r="P882" s="347"/>
      <c r="Q882" s="312"/>
      <c r="R882" s="347"/>
      <c r="S882" s="312"/>
      <c r="T882" s="347"/>
    </row>
    <row r="883" spans="1:20" ht="12" customHeight="1" x14ac:dyDescent="0.3">
      <c r="A883" s="340" t="s">
        <v>335</v>
      </c>
      <c r="B883" s="341" t="s">
        <v>335</v>
      </c>
      <c r="C883" s="309">
        <v>46023</v>
      </c>
      <c r="D883" s="348" t="s">
        <v>460</v>
      </c>
      <c r="E883" s="342">
        <v>239.68</v>
      </c>
      <c r="F883" s="342"/>
      <c r="G883" s="344">
        <f t="shared" si="5"/>
        <v>2760.32</v>
      </c>
      <c r="H883" s="345"/>
      <c r="I883" s="346"/>
      <c r="J883" s="347"/>
      <c r="K883" s="312"/>
      <c r="L883" s="347"/>
      <c r="M883" s="312"/>
      <c r="N883" s="347"/>
      <c r="O883" s="312"/>
      <c r="P883" s="347"/>
      <c r="Q883" s="312"/>
      <c r="R883" s="347"/>
      <c r="S883" s="312"/>
      <c r="T883" s="347"/>
    </row>
    <row r="884" spans="1:20" ht="12" customHeight="1" x14ac:dyDescent="0.3">
      <c r="A884" s="340" t="s">
        <v>488</v>
      </c>
      <c r="B884" s="341" t="s">
        <v>488</v>
      </c>
      <c r="C884" s="309">
        <v>45658</v>
      </c>
      <c r="D884" s="309" t="s">
        <v>489</v>
      </c>
      <c r="E884" s="343"/>
      <c r="F884" s="343"/>
      <c r="G884" s="344">
        <v>3000</v>
      </c>
      <c r="H884" s="345"/>
      <c r="I884" s="346"/>
      <c r="J884" s="347"/>
      <c r="K884" s="312"/>
      <c r="L884" s="347"/>
      <c r="M884" s="312"/>
      <c r="N884" s="347"/>
      <c r="O884" s="312"/>
      <c r="P884" s="347"/>
      <c r="Q884" s="312"/>
      <c r="R884" s="347"/>
      <c r="S884" s="312"/>
      <c r="T884" s="347"/>
    </row>
    <row r="885" spans="1:20" ht="15.75" customHeight="1" x14ac:dyDescent="0.3"/>
    <row r="886" spans="1:20" ht="15.75" customHeight="1" x14ac:dyDescent="0.3"/>
    <row r="887" spans="1:20" ht="15.75" customHeight="1" x14ac:dyDescent="0.3"/>
    <row r="888" spans="1:20" ht="15.75" customHeight="1" x14ac:dyDescent="0.3"/>
    <row r="889" spans="1:20" ht="15.75" customHeight="1" x14ac:dyDescent="0.3"/>
    <row r="890" spans="1:20" ht="15.75" customHeight="1" x14ac:dyDescent="0.3"/>
    <row r="891" spans="1:20" ht="15.75" customHeight="1" x14ac:dyDescent="0.3"/>
    <row r="892" spans="1:20" ht="15.75" customHeight="1" x14ac:dyDescent="0.3"/>
    <row r="893" spans="1:20" ht="15.75" customHeight="1" x14ac:dyDescent="0.3"/>
    <row r="894" spans="1:20" ht="15.75" customHeight="1" x14ac:dyDescent="0.3"/>
    <row r="895" spans="1:20" ht="15.75" customHeight="1" x14ac:dyDescent="0.3"/>
    <row r="896" spans="1:20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spans="9:9" ht="15.75" customHeight="1" x14ac:dyDescent="0.3"/>
    <row r="2610" spans="9:9" ht="15.75" customHeight="1" x14ac:dyDescent="0.3"/>
    <row r="2611" spans="9:9" ht="15.75" customHeight="1" x14ac:dyDescent="0.3"/>
    <row r="2612" spans="9:9" ht="15.75" customHeight="1" x14ac:dyDescent="0.3"/>
    <row r="2613" spans="9:9" ht="15.75" customHeight="1" x14ac:dyDescent="0.3"/>
    <row r="2614" spans="9:9" ht="12" customHeight="1" x14ac:dyDescent="0.3">
      <c r="I2614" s="346" t="s">
        <v>225</v>
      </c>
    </row>
    <row r="2615" spans="9:9" ht="12" customHeight="1" x14ac:dyDescent="0.3">
      <c r="I2615" s="346"/>
    </row>
    <row r="2616" spans="9:9" ht="12" customHeight="1" x14ac:dyDescent="0.3">
      <c r="I2616" s="346"/>
    </row>
    <row r="2617" spans="9:9" ht="12" customHeight="1" x14ac:dyDescent="0.3">
      <c r="I2617" s="346"/>
    </row>
    <row r="2618" spans="9:9" ht="12" customHeight="1" x14ac:dyDescent="0.3">
      <c r="I2618" s="346"/>
    </row>
    <row r="2619" spans="9:9" ht="12" customHeight="1" x14ac:dyDescent="0.3">
      <c r="I2619" s="346"/>
    </row>
    <row r="2620" spans="9:9" ht="12" customHeight="1" x14ac:dyDescent="0.3">
      <c r="I2620" s="346"/>
    </row>
    <row r="2621" spans="9:9" ht="12" customHeight="1" x14ac:dyDescent="0.3">
      <c r="I2621" s="346"/>
    </row>
    <row r="2622" spans="9:9" ht="12" customHeight="1" x14ac:dyDescent="0.3">
      <c r="I2622" s="346"/>
    </row>
    <row r="2623" spans="9:9" ht="12" customHeight="1" x14ac:dyDescent="0.3">
      <c r="I2623" s="346" t="s">
        <v>226</v>
      </c>
    </row>
    <row r="2624" spans="9:9" ht="15.75" customHeight="1" x14ac:dyDescent="0.3"/>
    <row r="2625" spans="9:9" ht="15.75" customHeight="1" x14ac:dyDescent="0.3"/>
    <row r="2626" spans="9:9" ht="12" customHeight="1" x14ac:dyDescent="0.3">
      <c r="I2626" s="346" t="s">
        <v>226</v>
      </c>
    </row>
    <row r="2627" spans="9:9" ht="12" customHeight="1" x14ac:dyDescent="0.3">
      <c r="I2627" s="346"/>
    </row>
    <row r="2628" spans="9:9" ht="12" customHeight="1" x14ac:dyDescent="0.3">
      <c r="I2628" s="346"/>
    </row>
    <row r="2629" spans="9:9" ht="12" customHeight="1" x14ac:dyDescent="0.3">
      <c r="I2629" s="346"/>
    </row>
    <row r="2630" spans="9:9" ht="12" customHeight="1" x14ac:dyDescent="0.3">
      <c r="I2630" s="346"/>
    </row>
    <row r="2631" spans="9:9" ht="12" customHeight="1" x14ac:dyDescent="0.3">
      <c r="I2631" s="346"/>
    </row>
    <row r="2632" spans="9:9" ht="12" customHeight="1" x14ac:dyDescent="0.3">
      <c r="I2632" s="346" t="s">
        <v>226</v>
      </c>
    </row>
    <row r="2633" spans="9:9" ht="12" customHeight="1" x14ac:dyDescent="0.3">
      <c r="I2633" s="346" t="s">
        <v>226</v>
      </c>
    </row>
    <row r="2634" spans="9:9" ht="12" customHeight="1" x14ac:dyDescent="0.3">
      <c r="I2634" s="346"/>
    </row>
    <row r="2635" spans="9:9" ht="12" customHeight="1" x14ac:dyDescent="0.3">
      <c r="I2635" s="346"/>
    </row>
    <row r="2636" spans="9:9" ht="12" customHeight="1" x14ac:dyDescent="0.3">
      <c r="I2636" s="346"/>
    </row>
    <row r="2637" spans="9:9" ht="12" customHeight="1" x14ac:dyDescent="0.3">
      <c r="I2637" s="346" t="s">
        <v>226</v>
      </c>
    </row>
    <row r="2638" spans="9:9" ht="12" customHeight="1" x14ac:dyDescent="0.3">
      <c r="I2638" s="346" t="s">
        <v>225</v>
      </c>
    </row>
    <row r="2639" spans="9:9" ht="12" customHeight="1" x14ac:dyDescent="0.3">
      <c r="I2639" s="346" t="s">
        <v>225</v>
      </c>
    </row>
    <row r="2640" spans="9:9" ht="15.75" customHeight="1" x14ac:dyDescent="0.3"/>
    <row r="2641" spans="9:9" ht="15.75" customHeight="1" x14ac:dyDescent="0.3"/>
    <row r="2642" spans="9:9" ht="12" customHeight="1" x14ac:dyDescent="0.3">
      <c r="I2642" s="346" t="s">
        <v>225</v>
      </c>
    </row>
    <row r="2643" spans="9:9" ht="12" customHeight="1" x14ac:dyDescent="0.3">
      <c r="I2643" s="346"/>
    </row>
    <row r="2644" spans="9:9" ht="12" customHeight="1" x14ac:dyDescent="0.3">
      <c r="I2644" s="346" t="s">
        <v>226</v>
      </c>
    </row>
    <row r="2645" spans="9:9" ht="12" customHeight="1" x14ac:dyDescent="0.3">
      <c r="I2645" s="346"/>
    </row>
    <row r="2646" spans="9:9" ht="12" customHeight="1" x14ac:dyDescent="0.3">
      <c r="I2646" s="346"/>
    </row>
    <row r="2647" spans="9:9" ht="12" customHeight="1" x14ac:dyDescent="0.3">
      <c r="I2647" s="346" t="s">
        <v>226</v>
      </c>
    </row>
    <row r="2648" spans="9:9" ht="12" customHeight="1" x14ac:dyDescent="0.3">
      <c r="I2648" s="346"/>
    </row>
    <row r="2649" spans="9:9" ht="12" customHeight="1" x14ac:dyDescent="0.3">
      <c r="I2649" s="346" t="s">
        <v>226</v>
      </c>
    </row>
    <row r="2650" spans="9:9" ht="15.75" customHeight="1" x14ac:dyDescent="0.3"/>
    <row r="2651" spans="9:9" ht="15.75" customHeight="1" x14ac:dyDescent="0.3"/>
    <row r="2652" spans="9:9" ht="15.75" customHeight="1" x14ac:dyDescent="0.3"/>
    <row r="2653" spans="9:9" ht="15.75" customHeight="1" x14ac:dyDescent="0.3"/>
    <row r="2654" spans="9:9" ht="15.75" customHeight="1" x14ac:dyDescent="0.3"/>
    <row r="2655" spans="9:9" ht="15.75" customHeight="1" x14ac:dyDescent="0.3"/>
    <row r="2656" spans="9:9" ht="15.75" customHeight="1" x14ac:dyDescent="0.3"/>
    <row r="2657" spans="9:9" ht="15.75" customHeight="1" x14ac:dyDescent="0.3"/>
    <row r="2658" spans="9:9" ht="12" customHeight="1" x14ac:dyDescent="0.3">
      <c r="I2658" s="346" t="s">
        <v>226</v>
      </c>
    </row>
    <row r="2659" spans="9:9" ht="12" customHeight="1" x14ac:dyDescent="0.3">
      <c r="I2659" s="346"/>
    </row>
    <row r="2660" spans="9:9" ht="12" customHeight="1" x14ac:dyDescent="0.3">
      <c r="I2660" s="346" t="s">
        <v>225</v>
      </c>
    </row>
    <row r="2661" spans="9:9" ht="12" customHeight="1" x14ac:dyDescent="0.3">
      <c r="I2661" s="346"/>
    </row>
    <row r="2662" spans="9:9" ht="12" customHeight="1" x14ac:dyDescent="0.3">
      <c r="I2662" s="346" t="s">
        <v>226</v>
      </c>
    </row>
    <row r="2663" spans="9:9" ht="12" customHeight="1" x14ac:dyDescent="0.3">
      <c r="I2663" s="346" t="s">
        <v>225</v>
      </c>
    </row>
    <row r="2664" spans="9:9" ht="15.75" customHeight="1" x14ac:dyDescent="0.3"/>
    <row r="2665" spans="9:9" ht="15.75" customHeight="1" x14ac:dyDescent="0.3"/>
    <row r="2666" spans="9:9" ht="15.75" customHeight="1" x14ac:dyDescent="0.3"/>
    <row r="2667" spans="9:9" ht="15.75" customHeight="1" x14ac:dyDescent="0.3"/>
    <row r="2668" spans="9:9" ht="15.75" customHeight="1" x14ac:dyDescent="0.3"/>
    <row r="2669" spans="9:9" ht="15.75" customHeight="1" x14ac:dyDescent="0.3"/>
    <row r="2670" spans="9:9" ht="15.75" customHeight="1" x14ac:dyDescent="0.3"/>
    <row r="2671" spans="9:9" ht="15.75" customHeight="1" x14ac:dyDescent="0.3"/>
    <row r="2672" spans="9:9" ht="15.75" customHeight="1" x14ac:dyDescent="0.3"/>
    <row r="2673" spans="9:9" ht="15.75" customHeight="1" x14ac:dyDescent="0.3"/>
    <row r="2674" spans="9:9" ht="15.75" customHeight="1" x14ac:dyDescent="0.3"/>
    <row r="2675" spans="9:9" ht="15.75" customHeight="1" x14ac:dyDescent="0.3"/>
    <row r="2676" spans="9:9" ht="15.75" customHeight="1" x14ac:dyDescent="0.3"/>
    <row r="2677" spans="9:9" ht="15.75" customHeight="1" x14ac:dyDescent="0.3"/>
    <row r="2678" spans="9:9" ht="15.75" customHeight="1" x14ac:dyDescent="0.3"/>
    <row r="2679" spans="9:9" ht="15.75" customHeight="1" x14ac:dyDescent="0.3"/>
    <row r="2680" spans="9:9" ht="15.75" customHeight="1" x14ac:dyDescent="0.3"/>
    <row r="2681" spans="9:9" ht="15.75" customHeight="1" x14ac:dyDescent="0.3"/>
    <row r="2682" spans="9:9" ht="12" customHeight="1" x14ac:dyDescent="0.3">
      <c r="I2682" s="346" t="s">
        <v>226</v>
      </c>
    </row>
  </sheetData>
  <autoFilter ref="A1:G884" xr:uid="{00000000-0009-0000-0000-000006000000}"/>
  <mergeCells count="5">
    <mergeCell ref="A1:B1"/>
    <mergeCell ref="E1:F1"/>
    <mergeCell ref="Q1:R1"/>
    <mergeCell ref="E2:F2"/>
    <mergeCell ref="E3:F3"/>
  </mergeCells>
  <conditionalFormatting sqref="I1 I4:I2682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08"/>
  <sheetViews>
    <sheetView workbookViewId="0">
      <pane ySplit="1" topLeftCell="A2" activePane="bottomLeft" state="frozen"/>
      <selection pane="bottomLeft" activeCell="C12" sqref="C12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49" t="s">
        <v>490</v>
      </c>
      <c r="B1" s="350"/>
      <c r="C1" s="351"/>
      <c r="D1" s="569" t="s">
        <v>491</v>
      </c>
      <c r="E1" s="564"/>
      <c r="F1" s="570" t="s">
        <v>492</v>
      </c>
      <c r="G1" s="564"/>
      <c r="H1" s="569" t="str">
        <f>'Proposed Budget'!C33</f>
        <v>Vehicle Maintenance</v>
      </c>
      <c r="I1" s="564"/>
      <c r="J1" s="570" t="str">
        <f>'Proposed Budget'!C34</f>
        <v>Car Insurance</v>
      </c>
      <c r="K1" s="564"/>
      <c r="L1" s="569" t="str">
        <f>'Proposed Budget'!C35</f>
        <v>Rental Garbage</v>
      </c>
      <c r="M1" s="564"/>
      <c r="N1" s="570" t="str">
        <f>'Proposed Budget'!C36</f>
        <v>Garbage</v>
      </c>
      <c r="O1" s="564"/>
      <c r="P1" s="569" t="str">
        <f>'Monthly Breakdown'!C37</f>
        <v>Sanitation - Main</v>
      </c>
      <c r="Q1" s="564"/>
      <c r="R1" s="570" t="str">
        <f>'Proposed Budget'!C38</f>
        <v>Camping/Vacation</v>
      </c>
      <c r="S1" s="564"/>
      <c r="T1" s="569" t="str">
        <f>'Proposed Budget'!C39</f>
        <v>Home Maintenance</v>
      </c>
      <c r="U1" s="564"/>
      <c r="V1" s="570" t="str">
        <f>'Proposed Budget'!C40</f>
        <v>Rental Repairs</v>
      </c>
      <c r="W1" s="564"/>
      <c r="X1" s="569" t="str">
        <f>'Proposed Budget'!C41</f>
        <v>Rental Insurance</v>
      </c>
      <c r="Y1" s="564"/>
      <c r="Z1" s="570" t="str">
        <f>'Proposed Budget'!C42</f>
        <v>Rental Property Taxes</v>
      </c>
      <c r="AA1" s="564"/>
      <c r="AB1" s="569" t="str">
        <f>'Proposed Budget'!C43</f>
        <v>Rental Sanitation</v>
      </c>
      <c r="AC1" s="564"/>
    </row>
    <row r="2" spans="1:29" ht="14.25" customHeight="1" x14ac:dyDescent="0.3">
      <c r="A2" s="352">
        <f t="shared" ref="A2:A3" si="0">SUM(G2,E2,U2,I2,S2,O2,K2,M2,Q2,W2,Y2,AA2,AC2)</f>
        <v>8105.5200000000013</v>
      </c>
      <c r="B2" s="350"/>
      <c r="C2" s="351"/>
      <c r="D2" s="353" t="s">
        <v>493</v>
      </c>
      <c r="E2" s="354">
        <f>E3-E66</f>
        <v>15926.519999999999</v>
      </c>
      <c r="F2" s="355" t="s">
        <v>493</v>
      </c>
      <c r="G2" s="356">
        <f>G3-G66</f>
        <v>552.59000000000015</v>
      </c>
      <c r="H2" s="354" t="s">
        <v>493</v>
      </c>
      <c r="I2" s="354">
        <f>I3-I66</f>
        <v>870.94999999999982</v>
      </c>
      <c r="J2" s="355" t="s">
        <v>493</v>
      </c>
      <c r="K2" s="356">
        <f>K3-K66</f>
        <v>1280</v>
      </c>
      <c r="L2" s="354" t="s">
        <v>493</v>
      </c>
      <c r="M2" s="354">
        <f>M3-M66</f>
        <v>-26.960000000000008</v>
      </c>
      <c r="N2" s="356" t="s">
        <v>493</v>
      </c>
      <c r="O2" s="356">
        <f>O3-O66</f>
        <v>-26.960000000000008</v>
      </c>
      <c r="P2" s="354" t="s">
        <v>493</v>
      </c>
      <c r="Q2" s="354">
        <f>Q3-Q66</f>
        <v>-5.6399999999999864</v>
      </c>
      <c r="R2" s="356" t="s">
        <v>493</v>
      </c>
      <c r="S2" s="356">
        <f>S3-S66</f>
        <v>-2224.7800000000002</v>
      </c>
      <c r="T2" s="357" t="s">
        <v>493</v>
      </c>
      <c r="U2" s="354">
        <f>U3-U66</f>
        <v>-8117.66</v>
      </c>
      <c r="V2" s="356" t="s">
        <v>493</v>
      </c>
      <c r="W2" s="356">
        <f>W3-W66</f>
        <v>400</v>
      </c>
      <c r="X2" s="354" t="s">
        <v>493</v>
      </c>
      <c r="Y2" s="354">
        <f>Y3-Y66</f>
        <v>-160.5</v>
      </c>
      <c r="Z2" s="356" t="s">
        <v>493</v>
      </c>
      <c r="AA2" s="356">
        <f>AA3-AA66</f>
        <v>-356.40000000000009</v>
      </c>
      <c r="AB2" s="354" t="s">
        <v>493</v>
      </c>
      <c r="AC2" s="354">
        <f>AC3-AC66</f>
        <v>-5.6399999999999864</v>
      </c>
    </row>
    <row r="3" spans="1:29" ht="14.25" customHeight="1" x14ac:dyDescent="0.3">
      <c r="A3" s="352">
        <f t="shared" si="0"/>
        <v>20346.010000000002</v>
      </c>
      <c r="B3" s="358"/>
      <c r="C3" s="351"/>
      <c r="D3" s="353" t="s">
        <v>494</v>
      </c>
      <c r="E3" s="354">
        <f>SUM(E6:E66)-SUM(D6:D66)</f>
        <v>17637.009999999998</v>
      </c>
      <c r="F3" s="356" t="s">
        <v>494</v>
      </c>
      <c r="G3" s="356">
        <f>SUM(G6:G66)-SUM(F6:F66)</f>
        <v>1052.5900000000001</v>
      </c>
      <c r="H3" s="354" t="s">
        <v>494</v>
      </c>
      <c r="I3" s="354">
        <f>SUM(I6:I66)-SUM(H6:H66)</f>
        <v>2870.95</v>
      </c>
      <c r="J3" s="356" t="s">
        <v>494</v>
      </c>
      <c r="K3" s="356">
        <f>SUM(K6:K66)-SUM(J6:J66)</f>
        <v>2280</v>
      </c>
      <c r="L3" s="354" t="s">
        <v>494</v>
      </c>
      <c r="M3" s="354">
        <f>SUM(M6:M66)-SUM(L6:L66)</f>
        <v>38.039999999999992</v>
      </c>
      <c r="N3" s="356" t="s">
        <v>494</v>
      </c>
      <c r="O3" s="356">
        <f>SUM(O6:O66)-SUM(N6:N66)</f>
        <v>38.039999999999992</v>
      </c>
      <c r="P3" s="354" t="s">
        <v>494</v>
      </c>
      <c r="Q3" s="354">
        <f>SUM(Q6:Q66)-SUM(P6:P66)</f>
        <v>94.360000000000014</v>
      </c>
      <c r="R3" s="356" t="s">
        <v>494</v>
      </c>
      <c r="S3" s="356">
        <f>SUM(S6:S66)-SUM(R6:R66)</f>
        <v>-224.7800000000002</v>
      </c>
      <c r="T3" s="354" t="s">
        <v>494</v>
      </c>
      <c r="U3" s="354">
        <f>SUM(U6:U66)-SUM(T6:T66)</f>
        <v>-5617.66</v>
      </c>
      <c r="V3" s="356" t="s">
        <v>494</v>
      </c>
      <c r="W3" s="356">
        <f>SUM(W6:W66)-SUM(V6:V66)</f>
        <v>900</v>
      </c>
      <c r="X3" s="354" t="s">
        <v>494</v>
      </c>
      <c r="Y3" s="354">
        <f>SUM(Y6:Y66)-SUM(X6:X66)</f>
        <v>39.5</v>
      </c>
      <c r="Z3" s="356" t="s">
        <v>494</v>
      </c>
      <c r="AA3" s="356">
        <f>SUM(AA6:AA66)-SUM(Z6:Z66)</f>
        <v>1143.5999999999999</v>
      </c>
      <c r="AB3" s="354" t="s">
        <v>494</v>
      </c>
      <c r="AC3" s="354">
        <f>SUM(AC6:AC66)-SUM(AB6:AB66)</f>
        <v>94.360000000000014</v>
      </c>
    </row>
    <row r="4" spans="1:29" ht="14.25" customHeight="1" x14ac:dyDescent="0.3">
      <c r="A4" s="349" t="s">
        <v>495</v>
      </c>
      <c r="B4" s="358"/>
      <c r="C4" s="351"/>
      <c r="D4" s="569" t="s">
        <v>496</v>
      </c>
      <c r="E4" s="564"/>
      <c r="F4" s="570" t="s">
        <v>496</v>
      </c>
      <c r="G4" s="564"/>
      <c r="H4" s="569" t="s">
        <v>496</v>
      </c>
      <c r="I4" s="564"/>
      <c r="J4" s="570" t="s">
        <v>496</v>
      </c>
      <c r="K4" s="564"/>
      <c r="L4" s="569" t="s">
        <v>496</v>
      </c>
      <c r="M4" s="564"/>
      <c r="N4" s="570" t="s">
        <v>496</v>
      </c>
      <c r="O4" s="564"/>
      <c r="P4" s="569" t="s">
        <v>496</v>
      </c>
      <c r="Q4" s="564"/>
      <c r="R4" s="570" t="s">
        <v>497</v>
      </c>
      <c r="S4" s="564"/>
      <c r="T4" s="569" t="s">
        <v>498</v>
      </c>
      <c r="U4" s="564"/>
      <c r="V4" s="570" t="s">
        <v>496</v>
      </c>
      <c r="W4" s="564"/>
      <c r="X4" s="569" t="s">
        <v>496</v>
      </c>
      <c r="Y4" s="564"/>
      <c r="Z4" s="570" t="s">
        <v>496</v>
      </c>
      <c r="AA4" s="564"/>
      <c r="AB4" s="569" t="s">
        <v>496</v>
      </c>
      <c r="AC4" s="564"/>
    </row>
    <row r="5" spans="1:29" ht="14.25" customHeight="1" x14ac:dyDescent="0.3">
      <c r="A5" s="349" t="s">
        <v>499</v>
      </c>
      <c r="B5" s="358"/>
      <c r="C5" s="351"/>
      <c r="D5" s="353">
        <f t="shared" ref="D5:AC5" si="1">SUM(D6:D65)</f>
        <v>2804.9300000000003</v>
      </c>
      <c r="E5" s="354">
        <f t="shared" si="1"/>
        <v>18731.449999999997</v>
      </c>
      <c r="F5" s="356">
        <f t="shared" si="1"/>
        <v>0</v>
      </c>
      <c r="G5" s="356">
        <f t="shared" si="1"/>
        <v>552.59</v>
      </c>
      <c r="H5" s="354">
        <f t="shared" si="1"/>
        <v>529.04999999999995</v>
      </c>
      <c r="I5" s="354">
        <f t="shared" si="1"/>
        <v>1400</v>
      </c>
      <c r="J5" s="356">
        <f t="shared" si="1"/>
        <v>0</v>
      </c>
      <c r="K5" s="356">
        <f t="shared" si="1"/>
        <v>1280</v>
      </c>
      <c r="L5" s="354">
        <f t="shared" si="1"/>
        <v>126.96000000000001</v>
      </c>
      <c r="M5" s="354">
        <f t="shared" si="1"/>
        <v>100</v>
      </c>
      <c r="N5" s="356">
        <f t="shared" si="1"/>
        <v>126.96000000000001</v>
      </c>
      <c r="O5" s="356">
        <f t="shared" si="1"/>
        <v>100</v>
      </c>
      <c r="P5" s="354">
        <f t="shared" si="1"/>
        <v>185.64</v>
      </c>
      <c r="Q5" s="354">
        <f t="shared" si="1"/>
        <v>180</v>
      </c>
      <c r="R5" s="356">
        <f t="shared" si="1"/>
        <v>3824.78</v>
      </c>
      <c r="S5" s="356">
        <f t="shared" si="1"/>
        <v>1600</v>
      </c>
      <c r="T5" s="354">
        <f t="shared" si="1"/>
        <v>9617.66</v>
      </c>
      <c r="U5" s="354">
        <f t="shared" si="1"/>
        <v>1500</v>
      </c>
      <c r="V5" s="356">
        <f t="shared" si="1"/>
        <v>0</v>
      </c>
      <c r="W5" s="356">
        <f t="shared" si="1"/>
        <v>400</v>
      </c>
      <c r="X5" s="354">
        <f t="shared" si="1"/>
        <v>500.5</v>
      </c>
      <c r="Y5" s="354">
        <f t="shared" si="1"/>
        <v>340</v>
      </c>
      <c r="Z5" s="356">
        <f t="shared" si="1"/>
        <v>1276.4000000000001</v>
      </c>
      <c r="AA5" s="356">
        <f t="shared" si="1"/>
        <v>920</v>
      </c>
      <c r="AB5" s="354">
        <f t="shared" si="1"/>
        <v>185.64</v>
      </c>
      <c r="AC5" s="354">
        <f t="shared" si="1"/>
        <v>180</v>
      </c>
    </row>
    <row r="6" spans="1:29" ht="14.25" customHeight="1" x14ac:dyDescent="0.3">
      <c r="A6" s="349" t="s">
        <v>500</v>
      </c>
      <c r="B6" s="358" t="s">
        <v>501</v>
      </c>
      <c r="C6" s="295" t="s">
        <v>502</v>
      </c>
      <c r="D6" s="353" t="s">
        <v>281</v>
      </c>
      <c r="E6" s="354" t="s">
        <v>282</v>
      </c>
      <c r="F6" s="356" t="s">
        <v>281</v>
      </c>
      <c r="G6" s="356" t="s">
        <v>282</v>
      </c>
      <c r="H6" s="354" t="s">
        <v>281</v>
      </c>
      <c r="I6" s="354" t="s">
        <v>282</v>
      </c>
      <c r="J6" s="356" t="s">
        <v>281</v>
      </c>
      <c r="K6" s="356" t="s">
        <v>282</v>
      </c>
      <c r="L6" s="354" t="s">
        <v>281</v>
      </c>
      <c r="M6" s="354" t="s">
        <v>282</v>
      </c>
      <c r="N6" s="356" t="s">
        <v>281</v>
      </c>
      <c r="O6" s="356" t="s">
        <v>282</v>
      </c>
      <c r="P6" s="354" t="s">
        <v>281</v>
      </c>
      <c r="Q6" s="354" t="s">
        <v>282</v>
      </c>
      <c r="R6" s="356" t="s">
        <v>281</v>
      </c>
      <c r="S6" s="356" t="s">
        <v>282</v>
      </c>
      <c r="T6" s="354" t="s">
        <v>281</v>
      </c>
      <c r="U6" s="354" t="s">
        <v>282</v>
      </c>
      <c r="V6" s="356" t="s">
        <v>281</v>
      </c>
      <c r="W6" s="356" t="s">
        <v>282</v>
      </c>
      <c r="X6" s="354" t="s">
        <v>281</v>
      </c>
      <c r="Y6" s="354" t="s">
        <v>282</v>
      </c>
      <c r="Z6" s="356" t="s">
        <v>281</v>
      </c>
      <c r="AA6" s="356" t="s">
        <v>282</v>
      </c>
      <c r="AB6" s="354" t="s">
        <v>281</v>
      </c>
      <c r="AC6" s="354" t="s">
        <v>282</v>
      </c>
    </row>
    <row r="7" spans="1:29" ht="14.25" customHeight="1" x14ac:dyDescent="0.3">
      <c r="A7" s="349">
        <v>46155</v>
      </c>
      <c r="B7" s="358">
        <f t="shared" ref="B7:B66" si="2">SUM(E7,U7,K7,G7,I7,S7,O7,M7,Q7,W7,Y7,AA7,AC7)-SUM(D7,F7,T7,H7,R7,N7,J7,L7,P7,V7,X7,Z7,AB7)</f>
        <v>-221.4</v>
      </c>
      <c r="C7" s="359" t="s">
        <v>857</v>
      </c>
      <c r="D7" s="353"/>
      <c r="E7" s="354"/>
      <c r="F7" s="356"/>
      <c r="G7" s="356"/>
      <c r="H7" s="354">
        <v>221.4</v>
      </c>
      <c r="I7" s="354"/>
      <c r="J7" s="356"/>
      <c r="K7" s="356"/>
      <c r="L7" s="354"/>
      <c r="M7" s="354"/>
      <c r="N7" s="356"/>
      <c r="O7" s="356"/>
      <c r="P7" s="354"/>
      <c r="Q7" s="354"/>
      <c r="R7" s="356"/>
      <c r="S7" s="356"/>
      <c r="T7" s="354"/>
      <c r="U7" s="354"/>
      <c r="V7" s="356"/>
      <c r="W7" s="356"/>
      <c r="X7" s="354"/>
      <c r="Y7" s="354"/>
      <c r="Z7" s="356"/>
      <c r="AA7" s="356"/>
      <c r="AB7" s="354"/>
      <c r="AC7" s="354"/>
    </row>
    <row r="8" spans="1:29" ht="14.25" customHeight="1" x14ac:dyDescent="0.3">
      <c r="A8" s="349">
        <v>46155</v>
      </c>
      <c r="B8" s="358">
        <f t="shared" si="2"/>
        <v>444.44</v>
      </c>
      <c r="C8" s="359" t="s">
        <v>519</v>
      </c>
      <c r="D8" s="353"/>
      <c r="E8" s="354">
        <v>444.44</v>
      </c>
      <c r="F8" s="356"/>
      <c r="G8" s="356"/>
      <c r="H8" s="354"/>
      <c r="I8" s="354"/>
      <c r="J8" s="356"/>
      <c r="K8" s="356"/>
      <c r="L8" s="354"/>
      <c r="M8" s="354"/>
      <c r="N8" s="356"/>
      <c r="O8" s="356"/>
      <c r="P8" s="354"/>
      <c r="Q8" s="354"/>
      <c r="R8" s="356"/>
      <c r="S8" s="356"/>
      <c r="T8" s="354"/>
      <c r="U8" s="354"/>
      <c r="V8" s="356"/>
      <c r="W8" s="356"/>
      <c r="X8" s="354"/>
      <c r="Y8" s="354"/>
      <c r="Z8" s="356"/>
      <c r="AA8" s="356"/>
      <c r="AB8" s="354"/>
      <c r="AC8" s="354"/>
    </row>
    <row r="9" spans="1:29" ht="14.25" customHeight="1" x14ac:dyDescent="0.3">
      <c r="A9" s="349">
        <v>46155</v>
      </c>
      <c r="B9" s="358">
        <f t="shared" si="2"/>
        <v>351.69</v>
      </c>
      <c r="C9" s="359" t="s">
        <v>860</v>
      </c>
      <c r="D9" s="353"/>
      <c r="E9" s="354">
        <v>351.69</v>
      </c>
      <c r="F9" s="356"/>
      <c r="G9" s="356"/>
      <c r="H9" s="354"/>
      <c r="I9" s="354"/>
      <c r="J9" s="356"/>
      <c r="K9" s="356"/>
      <c r="L9" s="354"/>
      <c r="M9" s="354"/>
      <c r="N9" s="356"/>
      <c r="O9" s="356"/>
      <c r="P9" s="354"/>
      <c r="Q9" s="354"/>
      <c r="R9" s="356"/>
      <c r="S9" s="356"/>
      <c r="T9" s="354"/>
      <c r="U9" s="354"/>
      <c r="V9" s="356"/>
      <c r="W9" s="356"/>
      <c r="X9" s="354"/>
      <c r="Y9" s="354"/>
      <c r="Z9" s="356"/>
      <c r="AA9" s="356"/>
      <c r="AB9" s="354"/>
      <c r="AC9" s="354"/>
    </row>
    <row r="10" spans="1:29" ht="14.25" customHeight="1" x14ac:dyDescent="0.3">
      <c r="A10" s="349">
        <v>46153</v>
      </c>
      <c r="B10" s="358">
        <f t="shared" si="2"/>
        <v>-1045.8699999999999</v>
      </c>
      <c r="C10" s="359" t="s">
        <v>844</v>
      </c>
      <c r="D10" s="353"/>
      <c r="E10" s="354"/>
      <c r="F10" s="356"/>
      <c r="G10" s="356"/>
      <c r="H10" s="354"/>
      <c r="I10" s="354"/>
      <c r="J10" s="356"/>
      <c r="K10" s="356"/>
      <c r="L10" s="354"/>
      <c r="M10" s="354"/>
      <c r="N10" s="356"/>
      <c r="O10" s="356"/>
      <c r="P10" s="354"/>
      <c r="Q10" s="354"/>
      <c r="R10" s="356"/>
      <c r="S10" s="356"/>
      <c r="T10" s="354">
        <v>1045.8699999999999</v>
      </c>
      <c r="U10" s="354"/>
      <c r="V10" s="356"/>
      <c r="W10" s="356"/>
      <c r="X10" s="354"/>
      <c r="Y10" s="354"/>
      <c r="Z10" s="356"/>
      <c r="AA10" s="356"/>
      <c r="AB10" s="354"/>
      <c r="AC10" s="354"/>
    </row>
    <row r="11" spans="1:29" ht="14.25" customHeight="1" x14ac:dyDescent="0.3">
      <c r="A11" s="349">
        <v>46151</v>
      </c>
      <c r="B11" s="358">
        <f t="shared" si="2"/>
        <v>-903.88</v>
      </c>
      <c r="C11" s="359" t="s">
        <v>858</v>
      </c>
      <c r="D11" s="353"/>
      <c r="E11" s="354"/>
      <c r="F11" s="356"/>
      <c r="G11" s="356"/>
      <c r="H11" s="354"/>
      <c r="I11" s="354"/>
      <c r="J11" s="356"/>
      <c r="K11" s="356"/>
      <c r="L11" s="354"/>
      <c r="M11" s="354"/>
      <c r="N11" s="356"/>
      <c r="O11" s="356"/>
      <c r="P11" s="354"/>
      <c r="Q11" s="354"/>
      <c r="R11" s="356"/>
      <c r="S11" s="356"/>
      <c r="T11" s="354">
        <v>903.88</v>
      </c>
      <c r="U11" s="354"/>
      <c r="V11" s="356"/>
      <c r="W11" s="356"/>
      <c r="X11" s="354"/>
      <c r="Y11" s="354"/>
      <c r="Z11" s="356"/>
      <c r="AA11" s="356"/>
      <c r="AB11" s="354"/>
      <c r="AC11" s="354"/>
    </row>
    <row r="12" spans="1:29" ht="14.25" customHeight="1" x14ac:dyDescent="0.3">
      <c r="A12" s="349">
        <v>46149</v>
      </c>
      <c r="B12" s="358">
        <f t="shared" si="2"/>
        <v>69.400000000000006</v>
      </c>
      <c r="C12" s="359" t="s">
        <v>509</v>
      </c>
      <c r="D12" s="353"/>
      <c r="E12" s="354"/>
      <c r="F12" s="356"/>
      <c r="G12" s="356">
        <v>69.400000000000006</v>
      </c>
      <c r="H12" s="354"/>
      <c r="I12" s="354"/>
      <c r="J12" s="356"/>
      <c r="K12" s="356"/>
      <c r="L12" s="354"/>
      <c r="M12" s="354"/>
      <c r="N12" s="356"/>
      <c r="O12" s="356"/>
      <c r="P12" s="354"/>
      <c r="Q12" s="354"/>
      <c r="R12" s="356"/>
      <c r="S12" s="356"/>
      <c r="T12" s="354"/>
      <c r="U12" s="354"/>
      <c r="V12" s="356"/>
      <c r="W12" s="356"/>
      <c r="X12" s="354"/>
      <c r="Y12" s="354"/>
      <c r="Z12" s="356"/>
      <c r="AA12" s="356"/>
      <c r="AB12" s="354"/>
      <c r="AC12" s="354"/>
    </row>
    <row r="13" spans="1:29" ht="14.25" customHeight="1" x14ac:dyDescent="0.3">
      <c r="A13" s="349">
        <v>46148</v>
      </c>
      <c r="B13" s="358">
        <f t="shared" si="2"/>
        <v>-500.5</v>
      </c>
      <c r="C13" s="359" t="s">
        <v>212</v>
      </c>
      <c r="D13" s="353"/>
      <c r="E13" s="354"/>
      <c r="F13" s="356"/>
      <c r="G13" s="356"/>
      <c r="H13" s="354"/>
      <c r="I13" s="354"/>
      <c r="J13" s="356"/>
      <c r="K13" s="356"/>
      <c r="L13" s="354"/>
      <c r="M13" s="354"/>
      <c r="N13" s="356"/>
      <c r="O13" s="356"/>
      <c r="P13" s="354"/>
      <c r="Q13" s="354"/>
      <c r="R13" s="356"/>
      <c r="S13" s="356"/>
      <c r="T13" s="354"/>
      <c r="U13" s="354"/>
      <c r="V13" s="356"/>
      <c r="W13" s="356"/>
      <c r="X13" s="354">
        <v>500.5</v>
      </c>
      <c r="Y13" s="354"/>
      <c r="Z13" s="356"/>
      <c r="AA13" s="356"/>
      <c r="AB13" s="354"/>
      <c r="AC13" s="354"/>
    </row>
    <row r="14" spans="1:29" ht="14.25" customHeight="1" x14ac:dyDescent="0.3">
      <c r="A14" s="349">
        <v>46148</v>
      </c>
      <c r="B14" s="358">
        <f t="shared" si="2"/>
        <v>-457.94</v>
      </c>
      <c r="C14" s="359" t="s">
        <v>859</v>
      </c>
      <c r="D14" s="353">
        <v>457.94</v>
      </c>
      <c r="E14" s="354"/>
      <c r="F14" s="356"/>
      <c r="G14" s="356"/>
      <c r="H14" s="354"/>
      <c r="I14" s="354"/>
      <c r="J14" s="356"/>
      <c r="K14" s="356"/>
      <c r="L14" s="354"/>
      <c r="M14" s="354"/>
      <c r="N14" s="356"/>
      <c r="O14" s="356"/>
      <c r="P14" s="354"/>
      <c r="Q14" s="354"/>
      <c r="R14" s="356"/>
      <c r="S14" s="356"/>
      <c r="T14" s="354"/>
      <c r="U14" s="354"/>
      <c r="V14" s="356"/>
      <c r="W14" s="356"/>
      <c r="X14" s="354"/>
      <c r="Y14" s="354"/>
      <c r="Z14" s="356"/>
      <c r="AA14" s="356"/>
      <c r="AB14" s="354"/>
      <c r="AC14" s="354"/>
    </row>
    <row r="15" spans="1:29" ht="14.25" customHeight="1" x14ac:dyDescent="0.3">
      <c r="A15" s="349">
        <v>46142</v>
      </c>
      <c r="B15" s="358">
        <f t="shared" si="2"/>
        <v>5616.82</v>
      </c>
      <c r="C15" s="359" t="s">
        <v>285</v>
      </c>
      <c r="D15" s="353"/>
      <c r="E15" s="354">
        <v>5616.82</v>
      </c>
      <c r="F15" s="356"/>
      <c r="G15" s="356"/>
      <c r="H15" s="354"/>
      <c r="I15" s="354"/>
      <c r="J15" s="356"/>
      <c r="K15" s="356"/>
      <c r="L15" s="354"/>
      <c r="M15" s="354"/>
      <c r="N15" s="356"/>
      <c r="O15" s="356"/>
      <c r="P15" s="354"/>
      <c r="Q15" s="354"/>
      <c r="R15" s="356"/>
      <c r="S15" s="356"/>
      <c r="T15" s="354"/>
      <c r="U15" s="354"/>
      <c r="V15" s="356"/>
      <c r="W15" s="356"/>
      <c r="X15" s="354"/>
      <c r="Y15" s="354"/>
      <c r="Z15" s="356"/>
      <c r="AA15" s="356"/>
      <c r="AB15" s="354"/>
      <c r="AC15" s="354"/>
    </row>
    <row r="16" spans="1:29" ht="14.25" customHeight="1" x14ac:dyDescent="0.3">
      <c r="A16" s="349">
        <v>46142</v>
      </c>
      <c r="B16" s="358">
        <f t="shared" si="2"/>
        <v>2000</v>
      </c>
      <c r="C16" s="359" t="s">
        <v>503</v>
      </c>
      <c r="D16" s="353"/>
      <c r="E16" s="354"/>
      <c r="F16" s="356"/>
      <c r="G16" s="356"/>
      <c r="H16" s="354"/>
      <c r="I16" s="354">
        <v>350</v>
      </c>
      <c r="J16" s="356"/>
      <c r="K16" s="356">
        <v>320</v>
      </c>
      <c r="L16" s="354"/>
      <c r="M16" s="354">
        <v>25</v>
      </c>
      <c r="N16" s="356"/>
      <c r="O16" s="356">
        <v>25</v>
      </c>
      <c r="P16" s="354"/>
      <c r="Q16" s="354">
        <v>45</v>
      </c>
      <c r="R16" s="356"/>
      <c r="S16" s="356">
        <v>400</v>
      </c>
      <c r="T16" s="354"/>
      <c r="U16" s="354">
        <v>375</v>
      </c>
      <c r="V16" s="356"/>
      <c r="W16" s="356">
        <v>100</v>
      </c>
      <c r="X16" s="354"/>
      <c r="Y16" s="354">
        <v>85</v>
      </c>
      <c r="Z16" s="356"/>
      <c r="AA16" s="356">
        <v>230</v>
      </c>
      <c r="AB16" s="354"/>
      <c r="AC16" s="354">
        <v>45</v>
      </c>
    </row>
    <row r="17" spans="1:29" ht="14.25" customHeight="1" x14ac:dyDescent="0.3">
      <c r="A17" s="349">
        <v>46142</v>
      </c>
      <c r="B17" s="358">
        <f t="shared" si="2"/>
        <v>62.26</v>
      </c>
      <c r="C17" s="359" t="s">
        <v>504</v>
      </c>
      <c r="D17" s="353"/>
      <c r="E17" s="354"/>
      <c r="F17" s="356"/>
      <c r="G17" s="356">
        <v>62.26</v>
      </c>
      <c r="H17" s="354"/>
      <c r="I17" s="354"/>
      <c r="J17" s="356"/>
      <c r="K17" s="356"/>
      <c r="L17" s="354"/>
      <c r="M17" s="354"/>
      <c r="N17" s="356"/>
      <c r="O17" s="356"/>
      <c r="P17" s="354"/>
      <c r="Q17" s="354"/>
      <c r="R17" s="356"/>
      <c r="S17" s="356"/>
      <c r="T17" s="354"/>
      <c r="U17" s="354"/>
      <c r="V17" s="356"/>
      <c r="W17" s="356"/>
      <c r="X17" s="354"/>
      <c r="Y17" s="354"/>
      <c r="Z17" s="356"/>
      <c r="AA17" s="356"/>
      <c r="AB17" s="354"/>
      <c r="AC17" s="354"/>
    </row>
    <row r="18" spans="1:29" ht="14.25" customHeight="1" x14ac:dyDescent="0.3">
      <c r="A18" s="349">
        <v>46142</v>
      </c>
      <c r="B18" s="358">
        <f t="shared" si="2"/>
        <v>-185.64</v>
      </c>
      <c r="C18" s="359" t="s">
        <v>423</v>
      </c>
      <c r="D18" s="353"/>
      <c r="E18" s="354"/>
      <c r="F18" s="356"/>
      <c r="G18" s="356"/>
      <c r="H18" s="354"/>
      <c r="I18" s="354"/>
      <c r="J18" s="356"/>
      <c r="K18" s="356"/>
      <c r="L18" s="354"/>
      <c r="M18" s="354"/>
      <c r="N18" s="356"/>
      <c r="O18" s="356"/>
      <c r="P18" s="354">
        <v>92.82</v>
      </c>
      <c r="Q18" s="354"/>
      <c r="R18" s="356"/>
      <c r="S18" s="356"/>
      <c r="T18" s="354"/>
      <c r="U18" s="354"/>
      <c r="V18" s="356"/>
      <c r="W18" s="356"/>
      <c r="X18" s="354"/>
      <c r="Y18" s="354"/>
      <c r="Z18" s="356"/>
      <c r="AA18" s="356"/>
      <c r="AB18" s="354">
        <v>92.82</v>
      </c>
      <c r="AC18" s="354"/>
    </row>
    <row r="19" spans="1:29" ht="14.25" customHeight="1" x14ac:dyDescent="0.3">
      <c r="A19" s="349">
        <v>46142</v>
      </c>
      <c r="B19" s="358">
        <f t="shared" si="2"/>
        <v>-127.68</v>
      </c>
      <c r="C19" s="359" t="s">
        <v>315</v>
      </c>
      <c r="D19" s="353"/>
      <c r="E19" s="354"/>
      <c r="F19" s="356"/>
      <c r="G19" s="356"/>
      <c r="H19" s="354"/>
      <c r="I19" s="354"/>
      <c r="J19" s="356"/>
      <c r="K19" s="356"/>
      <c r="L19" s="354">
        <v>63.84</v>
      </c>
      <c r="M19" s="354"/>
      <c r="N19" s="356">
        <v>63.84</v>
      </c>
      <c r="O19" s="356"/>
      <c r="P19" s="354"/>
      <c r="Q19" s="354"/>
      <c r="R19" s="356"/>
      <c r="S19" s="356"/>
      <c r="T19" s="354"/>
      <c r="U19" s="354"/>
      <c r="V19" s="356"/>
      <c r="W19" s="356"/>
      <c r="X19" s="354"/>
      <c r="Y19" s="354"/>
      <c r="Z19" s="356"/>
      <c r="AA19" s="356"/>
      <c r="AB19" s="354"/>
      <c r="AC19" s="354"/>
    </row>
    <row r="20" spans="1:29" ht="14.25" customHeight="1" x14ac:dyDescent="0.3">
      <c r="A20" s="349">
        <v>46142</v>
      </c>
      <c r="B20" s="358">
        <f t="shared" si="2"/>
        <v>0.52</v>
      </c>
      <c r="C20" s="359" t="s">
        <v>505</v>
      </c>
      <c r="D20" s="353"/>
      <c r="E20" s="354"/>
      <c r="F20" s="356"/>
      <c r="G20" s="356">
        <v>0.52</v>
      </c>
      <c r="H20" s="354"/>
      <c r="I20" s="354"/>
      <c r="J20" s="356"/>
      <c r="K20" s="356"/>
      <c r="L20" s="354"/>
      <c r="M20" s="354"/>
      <c r="N20" s="356"/>
      <c r="O20" s="356"/>
      <c r="P20" s="354"/>
      <c r="Q20" s="354"/>
      <c r="R20" s="356"/>
      <c r="S20" s="356"/>
      <c r="T20" s="354"/>
      <c r="U20" s="354"/>
      <c r="V20" s="356"/>
      <c r="W20" s="356"/>
      <c r="X20" s="354"/>
      <c r="Y20" s="354"/>
      <c r="Z20" s="356"/>
      <c r="AA20" s="356"/>
      <c r="AB20" s="354"/>
      <c r="AC20" s="354"/>
    </row>
    <row r="21" spans="1:29" ht="14.25" customHeight="1" x14ac:dyDescent="0.3">
      <c r="A21" s="349">
        <v>46130</v>
      </c>
      <c r="B21" s="358">
        <f t="shared" si="2"/>
        <v>-578.57000000000005</v>
      </c>
      <c r="C21" s="359" t="s">
        <v>506</v>
      </c>
      <c r="D21" s="353"/>
      <c r="E21" s="354"/>
      <c r="F21" s="356"/>
      <c r="G21" s="356"/>
      <c r="H21" s="354"/>
      <c r="I21" s="354"/>
      <c r="J21" s="356"/>
      <c r="K21" s="356"/>
      <c r="L21" s="354"/>
      <c r="M21" s="354"/>
      <c r="N21" s="356"/>
      <c r="O21" s="356"/>
      <c r="P21" s="354"/>
      <c r="Q21" s="354"/>
      <c r="R21" s="356"/>
      <c r="S21" s="356"/>
      <c r="T21" s="354">
        <v>578.57000000000005</v>
      </c>
      <c r="U21" s="354"/>
      <c r="V21" s="356"/>
      <c r="W21" s="356"/>
      <c r="X21" s="354"/>
      <c r="Y21" s="354"/>
      <c r="Z21" s="356"/>
      <c r="AA21" s="356"/>
      <c r="AB21" s="354"/>
      <c r="AC21" s="354"/>
    </row>
    <row r="22" spans="1:29" ht="14.25" customHeight="1" x14ac:dyDescent="0.3">
      <c r="A22" s="349">
        <v>46130</v>
      </c>
      <c r="B22" s="358">
        <f t="shared" si="2"/>
        <v>-93.71</v>
      </c>
      <c r="C22" s="359" t="s">
        <v>507</v>
      </c>
      <c r="D22" s="353"/>
      <c r="E22" s="354"/>
      <c r="F22" s="356"/>
      <c r="G22" s="356"/>
      <c r="H22" s="354">
        <v>93.71</v>
      </c>
      <c r="I22" s="354"/>
      <c r="J22" s="356"/>
      <c r="K22" s="356"/>
      <c r="L22" s="354"/>
      <c r="M22" s="354"/>
      <c r="N22" s="356"/>
      <c r="O22" s="356"/>
      <c r="P22" s="354"/>
      <c r="Q22" s="354"/>
      <c r="R22" s="356"/>
      <c r="S22" s="356"/>
      <c r="T22" s="354"/>
      <c r="U22" s="354"/>
      <c r="V22" s="356"/>
      <c r="W22" s="356"/>
      <c r="X22" s="354"/>
      <c r="Y22" s="354"/>
      <c r="Z22" s="356"/>
      <c r="AA22" s="356"/>
      <c r="AB22" s="354"/>
      <c r="AC22" s="354"/>
    </row>
    <row r="23" spans="1:29" ht="14.25" customHeight="1" x14ac:dyDescent="0.3">
      <c r="A23" s="349">
        <v>46130</v>
      </c>
      <c r="B23" s="358">
        <f t="shared" si="2"/>
        <v>-318.36</v>
      </c>
      <c r="C23" s="359" t="s">
        <v>508</v>
      </c>
      <c r="D23" s="353"/>
      <c r="E23" s="354"/>
      <c r="F23" s="356"/>
      <c r="G23" s="356"/>
      <c r="H23" s="354"/>
      <c r="I23" s="354"/>
      <c r="J23" s="356"/>
      <c r="K23" s="356"/>
      <c r="L23" s="354"/>
      <c r="M23" s="354"/>
      <c r="N23" s="356"/>
      <c r="O23" s="356"/>
      <c r="P23" s="354"/>
      <c r="Q23" s="354"/>
      <c r="R23" s="356">
        <v>318.36</v>
      </c>
      <c r="S23" s="356"/>
      <c r="T23" s="354"/>
      <c r="U23" s="354"/>
      <c r="V23" s="356"/>
      <c r="W23" s="356"/>
      <c r="X23" s="354"/>
      <c r="Y23" s="354"/>
      <c r="Z23" s="356"/>
      <c r="AA23" s="356"/>
      <c r="AB23" s="354"/>
      <c r="AC23" s="354"/>
    </row>
    <row r="24" spans="1:29" ht="14.25" customHeight="1" x14ac:dyDescent="0.3">
      <c r="A24" s="349">
        <v>46129</v>
      </c>
      <c r="B24" s="358">
        <f t="shared" si="2"/>
        <v>62.19</v>
      </c>
      <c r="C24" s="359" t="s">
        <v>509</v>
      </c>
      <c r="D24" s="353"/>
      <c r="E24" s="354"/>
      <c r="F24" s="356"/>
      <c r="G24" s="356">
        <v>62.19</v>
      </c>
      <c r="H24" s="354"/>
      <c r="I24" s="354"/>
      <c r="J24" s="356"/>
      <c r="K24" s="356"/>
      <c r="L24" s="354"/>
      <c r="M24" s="354"/>
      <c r="N24" s="356"/>
      <c r="O24" s="356"/>
      <c r="P24" s="354"/>
      <c r="Q24" s="354"/>
      <c r="R24" s="356"/>
      <c r="S24" s="356"/>
      <c r="T24" s="354"/>
      <c r="U24" s="354"/>
      <c r="V24" s="356"/>
      <c r="W24" s="356"/>
      <c r="X24" s="354"/>
      <c r="Y24" s="354"/>
      <c r="Z24" s="356"/>
      <c r="AA24" s="356"/>
      <c r="AB24" s="354"/>
      <c r="AC24" s="354"/>
    </row>
    <row r="25" spans="1:29" ht="14.25" customHeight="1" x14ac:dyDescent="0.3">
      <c r="A25" s="349">
        <v>46112</v>
      </c>
      <c r="B25" s="358">
        <f t="shared" si="2"/>
        <v>4309.58</v>
      </c>
      <c r="C25" s="359" t="s">
        <v>510</v>
      </c>
      <c r="D25" s="353"/>
      <c r="E25" s="354">
        <v>4309.58</v>
      </c>
      <c r="F25" s="356"/>
      <c r="G25" s="356"/>
      <c r="H25" s="354"/>
      <c r="I25" s="354"/>
      <c r="J25" s="356"/>
      <c r="K25" s="356"/>
      <c r="L25" s="354"/>
      <c r="M25" s="354"/>
      <c r="N25" s="356"/>
      <c r="O25" s="356"/>
      <c r="P25" s="354"/>
      <c r="Q25" s="354"/>
      <c r="R25" s="356"/>
      <c r="S25" s="356"/>
      <c r="T25" s="354"/>
      <c r="U25" s="354"/>
      <c r="V25" s="356"/>
      <c r="W25" s="356"/>
      <c r="X25" s="354"/>
      <c r="Y25" s="354"/>
      <c r="Z25" s="356"/>
      <c r="AA25" s="356"/>
      <c r="AB25" s="354"/>
      <c r="AC25" s="354"/>
    </row>
    <row r="26" spans="1:29" ht="14.25" customHeight="1" x14ac:dyDescent="0.3">
      <c r="A26" s="349">
        <v>46112</v>
      </c>
      <c r="B26" s="358">
        <f t="shared" si="2"/>
        <v>2000</v>
      </c>
      <c r="C26" s="359" t="s">
        <v>511</v>
      </c>
      <c r="D26" s="353"/>
      <c r="E26" s="354"/>
      <c r="F26" s="356"/>
      <c r="G26" s="356"/>
      <c r="H26" s="354"/>
      <c r="I26" s="354">
        <v>350</v>
      </c>
      <c r="J26" s="356"/>
      <c r="K26" s="356">
        <v>320</v>
      </c>
      <c r="L26" s="354"/>
      <c r="M26" s="354">
        <v>25</v>
      </c>
      <c r="N26" s="356"/>
      <c r="O26" s="356">
        <v>25</v>
      </c>
      <c r="P26" s="354"/>
      <c r="Q26" s="354">
        <v>45</v>
      </c>
      <c r="R26" s="356"/>
      <c r="S26" s="356">
        <v>400</v>
      </c>
      <c r="T26" s="354"/>
      <c r="U26" s="354">
        <v>375</v>
      </c>
      <c r="V26" s="356"/>
      <c r="W26" s="356">
        <v>100</v>
      </c>
      <c r="X26" s="354"/>
      <c r="Y26" s="354">
        <v>85</v>
      </c>
      <c r="Z26" s="356"/>
      <c r="AA26" s="356">
        <v>230</v>
      </c>
      <c r="AB26" s="354"/>
      <c r="AC26" s="354">
        <v>45</v>
      </c>
    </row>
    <row r="27" spans="1:29" ht="14.25" customHeight="1" x14ac:dyDescent="0.3">
      <c r="A27" s="349">
        <v>46112</v>
      </c>
      <c r="B27" s="358">
        <f t="shared" si="2"/>
        <v>0.34</v>
      </c>
      <c r="C27" s="359" t="s">
        <v>505</v>
      </c>
      <c r="D27" s="353"/>
      <c r="E27" s="354"/>
      <c r="F27" s="356"/>
      <c r="G27" s="356">
        <v>0.34</v>
      </c>
      <c r="H27" s="354"/>
      <c r="I27" s="354"/>
      <c r="J27" s="356"/>
      <c r="K27" s="356"/>
      <c r="L27" s="354"/>
      <c r="M27" s="354"/>
      <c r="N27" s="356"/>
      <c r="O27" s="356"/>
      <c r="P27" s="354"/>
      <c r="Q27" s="354"/>
      <c r="R27" s="356"/>
      <c r="S27" s="356"/>
      <c r="T27" s="354"/>
      <c r="U27" s="354"/>
      <c r="V27" s="356"/>
      <c r="W27" s="356"/>
      <c r="X27" s="354"/>
      <c r="Y27" s="354"/>
      <c r="Z27" s="356"/>
      <c r="AA27" s="356"/>
      <c r="AB27" s="354"/>
      <c r="AC27" s="354"/>
    </row>
    <row r="28" spans="1:29" ht="14.25" customHeight="1" x14ac:dyDescent="0.3">
      <c r="A28" s="349">
        <v>46112</v>
      </c>
      <c r="B28" s="358">
        <f t="shared" si="2"/>
        <v>-1200</v>
      </c>
      <c r="C28" s="359" t="s">
        <v>512</v>
      </c>
      <c r="D28" s="353"/>
      <c r="E28" s="354"/>
      <c r="F28" s="356"/>
      <c r="G28" s="356"/>
      <c r="H28" s="354"/>
      <c r="I28" s="354"/>
      <c r="J28" s="356"/>
      <c r="K28" s="356"/>
      <c r="L28" s="354"/>
      <c r="M28" s="354"/>
      <c r="N28" s="356"/>
      <c r="O28" s="356"/>
      <c r="P28" s="354"/>
      <c r="Q28" s="354"/>
      <c r="R28" s="356"/>
      <c r="S28" s="356"/>
      <c r="T28" s="354">
        <v>1200</v>
      </c>
      <c r="U28" s="354"/>
      <c r="V28" s="356"/>
      <c r="W28" s="356"/>
      <c r="X28" s="354"/>
      <c r="Y28" s="354"/>
      <c r="Z28" s="356"/>
      <c r="AA28" s="356"/>
      <c r="AB28" s="354"/>
      <c r="AC28" s="354"/>
    </row>
    <row r="29" spans="1:29" ht="14.25" customHeight="1" x14ac:dyDescent="0.3">
      <c r="A29" s="349">
        <v>46108</v>
      </c>
      <c r="B29" s="358">
        <f t="shared" si="2"/>
        <v>68.72</v>
      </c>
      <c r="C29" s="359" t="s">
        <v>504</v>
      </c>
      <c r="D29" s="353"/>
      <c r="E29" s="354"/>
      <c r="F29" s="356"/>
      <c r="G29" s="356">
        <v>68.72</v>
      </c>
      <c r="H29" s="354"/>
      <c r="I29" s="354"/>
      <c r="J29" s="356"/>
      <c r="K29" s="356"/>
      <c r="L29" s="354"/>
      <c r="M29" s="354"/>
      <c r="N29" s="356"/>
      <c r="O29" s="356"/>
      <c r="P29" s="354"/>
      <c r="Q29" s="354"/>
      <c r="R29" s="356"/>
      <c r="S29" s="356"/>
      <c r="T29" s="354"/>
      <c r="U29" s="354"/>
      <c r="V29" s="356"/>
      <c r="W29" s="356"/>
      <c r="X29" s="354"/>
      <c r="Y29" s="354"/>
      <c r="Z29" s="356"/>
      <c r="AA29" s="356"/>
      <c r="AB29" s="354"/>
      <c r="AC29" s="354"/>
    </row>
    <row r="30" spans="1:29" ht="14.25" customHeight="1" x14ac:dyDescent="0.3">
      <c r="A30" s="349">
        <v>46104</v>
      </c>
      <c r="B30" s="358">
        <f t="shared" si="2"/>
        <v>-6</v>
      </c>
      <c r="C30" s="359" t="s">
        <v>513</v>
      </c>
      <c r="D30" s="353">
        <v>6</v>
      </c>
      <c r="E30" s="354"/>
      <c r="F30" s="356"/>
      <c r="G30" s="356"/>
      <c r="H30" s="354"/>
      <c r="I30" s="354"/>
      <c r="J30" s="356"/>
      <c r="K30" s="356"/>
      <c r="L30" s="354"/>
      <c r="M30" s="354"/>
      <c r="N30" s="356"/>
      <c r="O30" s="356"/>
      <c r="P30" s="354"/>
      <c r="Q30" s="354"/>
      <c r="R30" s="356"/>
      <c r="S30" s="356"/>
      <c r="T30" s="354"/>
      <c r="U30" s="354"/>
      <c r="V30" s="356"/>
      <c r="W30" s="356"/>
      <c r="X30" s="354"/>
      <c r="Y30" s="354"/>
      <c r="Z30" s="356"/>
      <c r="AA30" s="356"/>
      <c r="AB30" s="354"/>
      <c r="AC30" s="354"/>
    </row>
    <row r="31" spans="1:29" ht="14.25" customHeight="1" x14ac:dyDescent="0.3">
      <c r="A31" s="349">
        <v>46103</v>
      </c>
      <c r="B31" s="358">
        <f t="shared" si="2"/>
        <v>-100</v>
      </c>
      <c r="C31" s="359" t="s">
        <v>514</v>
      </c>
      <c r="D31" s="353">
        <v>100</v>
      </c>
      <c r="E31" s="354"/>
      <c r="F31" s="356"/>
      <c r="G31" s="356"/>
      <c r="H31" s="354"/>
      <c r="I31" s="354"/>
      <c r="J31" s="356"/>
      <c r="K31" s="356"/>
      <c r="L31" s="354"/>
      <c r="M31" s="354"/>
      <c r="N31" s="356"/>
      <c r="O31" s="356"/>
      <c r="P31" s="354"/>
      <c r="Q31" s="354"/>
      <c r="R31" s="356"/>
      <c r="S31" s="356"/>
      <c r="T31" s="354"/>
      <c r="U31" s="354"/>
      <c r="V31" s="356"/>
      <c r="W31" s="356"/>
      <c r="X31" s="354"/>
      <c r="Y31" s="354"/>
      <c r="Z31" s="356"/>
      <c r="AA31" s="356"/>
      <c r="AB31" s="354"/>
      <c r="AC31" s="354"/>
    </row>
    <row r="32" spans="1:29" ht="14.25" customHeight="1" x14ac:dyDescent="0.3">
      <c r="A32" s="349">
        <v>46103</v>
      </c>
      <c r="B32" s="358">
        <f t="shared" si="2"/>
        <v>-100</v>
      </c>
      <c r="C32" s="359" t="s">
        <v>515</v>
      </c>
      <c r="D32" s="353">
        <v>100</v>
      </c>
      <c r="E32" s="354"/>
      <c r="F32" s="356"/>
      <c r="G32" s="356"/>
      <c r="H32" s="354"/>
      <c r="I32" s="354"/>
      <c r="J32" s="356"/>
      <c r="K32" s="356"/>
      <c r="L32" s="354"/>
      <c r="M32" s="354"/>
      <c r="N32" s="356"/>
      <c r="O32" s="356"/>
      <c r="P32" s="354"/>
      <c r="Q32" s="354"/>
      <c r="R32" s="356"/>
      <c r="S32" s="356"/>
      <c r="T32" s="354"/>
      <c r="U32" s="354"/>
      <c r="V32" s="356"/>
      <c r="W32" s="356"/>
      <c r="X32" s="354"/>
      <c r="Y32" s="354"/>
      <c r="Z32" s="356"/>
      <c r="AA32" s="356"/>
      <c r="AB32" s="354"/>
      <c r="AC32" s="354"/>
    </row>
    <row r="33" spans="1:29" ht="14.25" customHeight="1" x14ac:dyDescent="0.3">
      <c r="A33" s="349">
        <v>46103</v>
      </c>
      <c r="B33" s="358">
        <f t="shared" si="2"/>
        <v>-50</v>
      </c>
      <c r="C33" s="359" t="s">
        <v>516</v>
      </c>
      <c r="D33" s="353">
        <v>50</v>
      </c>
      <c r="E33" s="354"/>
      <c r="F33" s="356"/>
      <c r="G33" s="356"/>
      <c r="H33" s="354"/>
      <c r="I33" s="354"/>
      <c r="J33" s="356"/>
      <c r="K33" s="356"/>
      <c r="L33" s="354"/>
      <c r="M33" s="354"/>
      <c r="N33" s="356"/>
      <c r="O33" s="356"/>
      <c r="P33" s="354"/>
      <c r="Q33" s="354"/>
      <c r="R33" s="356"/>
      <c r="S33" s="356"/>
      <c r="T33" s="354"/>
      <c r="U33" s="354"/>
      <c r="V33" s="356"/>
      <c r="W33" s="356"/>
      <c r="X33" s="354"/>
      <c r="Y33" s="354"/>
      <c r="Z33" s="356"/>
      <c r="AA33" s="356"/>
      <c r="AB33" s="354"/>
      <c r="AC33" s="354"/>
    </row>
    <row r="34" spans="1:29" ht="14.25" customHeight="1" x14ac:dyDescent="0.3">
      <c r="A34" s="349">
        <v>46103</v>
      </c>
      <c r="B34" s="358">
        <f t="shared" si="2"/>
        <v>-100</v>
      </c>
      <c r="C34" s="359" t="s">
        <v>517</v>
      </c>
      <c r="D34" s="353">
        <v>100</v>
      </c>
      <c r="E34" s="354"/>
      <c r="F34" s="356"/>
      <c r="G34" s="356"/>
      <c r="H34" s="354"/>
      <c r="I34" s="354"/>
      <c r="J34" s="356"/>
      <c r="K34" s="356"/>
      <c r="L34" s="354"/>
      <c r="M34" s="354"/>
      <c r="N34" s="356"/>
      <c r="O34" s="356"/>
      <c r="P34" s="354"/>
      <c r="Q34" s="354"/>
      <c r="R34" s="356"/>
      <c r="S34" s="356"/>
      <c r="T34" s="354"/>
      <c r="U34" s="354"/>
      <c r="V34" s="356"/>
      <c r="W34" s="356"/>
      <c r="X34" s="354"/>
      <c r="Y34" s="354"/>
      <c r="Z34" s="356"/>
      <c r="AA34" s="356"/>
      <c r="AB34" s="354"/>
      <c r="AC34" s="354"/>
    </row>
    <row r="35" spans="1:29" ht="14.25" customHeight="1" x14ac:dyDescent="0.3">
      <c r="A35" s="349">
        <v>46103</v>
      </c>
      <c r="B35" s="358">
        <f t="shared" si="2"/>
        <v>-100</v>
      </c>
      <c r="C35" s="359" t="s">
        <v>518</v>
      </c>
      <c r="D35" s="353">
        <v>100</v>
      </c>
      <c r="E35" s="354"/>
      <c r="F35" s="356"/>
      <c r="G35" s="356"/>
      <c r="H35" s="354"/>
      <c r="I35" s="354"/>
      <c r="J35" s="356"/>
      <c r="K35" s="356"/>
      <c r="L35" s="354"/>
      <c r="M35" s="354"/>
      <c r="N35" s="356"/>
      <c r="O35" s="356"/>
      <c r="P35" s="354"/>
      <c r="Q35" s="354"/>
      <c r="R35" s="356"/>
      <c r="S35" s="356"/>
      <c r="T35" s="354"/>
      <c r="U35" s="354"/>
      <c r="V35" s="356"/>
      <c r="W35" s="356"/>
      <c r="X35" s="354"/>
      <c r="Y35" s="354"/>
      <c r="Z35" s="356"/>
      <c r="AA35" s="356"/>
      <c r="AB35" s="354"/>
      <c r="AC35" s="354"/>
    </row>
    <row r="36" spans="1:29" ht="14.25" customHeight="1" x14ac:dyDescent="0.3">
      <c r="A36" s="349">
        <v>46102</v>
      </c>
      <c r="B36" s="358">
        <f t="shared" si="2"/>
        <v>-300</v>
      </c>
      <c r="C36" s="359" t="s">
        <v>519</v>
      </c>
      <c r="D36" s="353">
        <v>300</v>
      </c>
      <c r="E36" s="354"/>
      <c r="F36" s="356"/>
      <c r="G36" s="356"/>
      <c r="H36" s="354"/>
      <c r="I36" s="354"/>
      <c r="J36" s="356"/>
      <c r="K36" s="356"/>
      <c r="L36" s="354"/>
      <c r="M36" s="354"/>
      <c r="N36" s="356"/>
      <c r="O36" s="356"/>
      <c r="P36" s="354"/>
      <c r="Q36" s="354"/>
      <c r="R36" s="356"/>
      <c r="S36" s="356"/>
      <c r="T36" s="354"/>
      <c r="U36" s="354"/>
      <c r="V36" s="356"/>
      <c r="W36" s="356"/>
      <c r="X36" s="354"/>
      <c r="Y36" s="354"/>
      <c r="Z36" s="356"/>
      <c r="AA36" s="356"/>
      <c r="AB36" s="354"/>
      <c r="AC36" s="354"/>
    </row>
    <row r="37" spans="1:29" ht="14.25" customHeight="1" x14ac:dyDescent="0.3">
      <c r="A37" s="349">
        <v>46102</v>
      </c>
      <c r="B37" s="358">
        <f t="shared" si="2"/>
        <v>1384.5</v>
      </c>
      <c r="C37" s="359" t="s">
        <v>520</v>
      </c>
      <c r="D37" s="353"/>
      <c r="E37" s="354"/>
      <c r="F37" s="356"/>
      <c r="G37" s="356"/>
      <c r="H37" s="354"/>
      <c r="I37" s="354"/>
      <c r="J37" s="356"/>
      <c r="K37" s="356"/>
      <c r="L37" s="354"/>
      <c r="M37" s="354"/>
      <c r="N37" s="356"/>
      <c r="O37" s="356"/>
      <c r="P37" s="354"/>
      <c r="Q37" s="354"/>
      <c r="R37" s="356">
        <v>-1384.5</v>
      </c>
      <c r="S37" s="356"/>
      <c r="T37" s="354"/>
      <c r="U37" s="354"/>
      <c r="V37" s="356"/>
      <c r="W37" s="356"/>
      <c r="X37" s="354"/>
      <c r="Y37" s="354"/>
      <c r="Z37" s="356"/>
      <c r="AA37" s="356"/>
      <c r="AB37" s="354"/>
      <c r="AC37" s="354"/>
    </row>
    <row r="38" spans="1:29" ht="14.25" customHeight="1" x14ac:dyDescent="0.3">
      <c r="A38" s="349">
        <v>46094</v>
      </c>
      <c r="B38" s="358">
        <f t="shared" si="2"/>
        <v>55.66</v>
      </c>
      <c r="C38" s="359" t="s">
        <v>509</v>
      </c>
      <c r="D38" s="353"/>
      <c r="E38" s="354"/>
      <c r="F38" s="356"/>
      <c r="G38" s="356">
        <v>55.66</v>
      </c>
      <c r="H38" s="354"/>
      <c r="I38" s="354"/>
      <c r="J38" s="356"/>
      <c r="K38" s="356"/>
      <c r="L38" s="354"/>
      <c r="M38" s="354"/>
      <c r="N38" s="356"/>
      <c r="O38" s="356"/>
      <c r="P38" s="354"/>
      <c r="Q38" s="354"/>
      <c r="R38" s="356"/>
      <c r="S38" s="356"/>
      <c r="T38" s="354"/>
      <c r="U38" s="354"/>
      <c r="V38" s="356"/>
      <c r="W38" s="356"/>
      <c r="X38" s="354"/>
      <c r="Y38" s="354"/>
      <c r="Z38" s="356"/>
      <c r="AA38" s="356"/>
      <c r="AB38" s="354"/>
      <c r="AC38" s="354"/>
    </row>
    <row r="39" spans="1:29" ht="14.25" customHeight="1" x14ac:dyDescent="0.3">
      <c r="A39" s="349">
        <v>46090</v>
      </c>
      <c r="B39" s="358">
        <f t="shared" si="2"/>
        <v>-380</v>
      </c>
      <c r="C39" s="359" t="s">
        <v>521</v>
      </c>
      <c r="D39" s="353"/>
      <c r="E39" s="354"/>
      <c r="F39" s="356"/>
      <c r="G39" s="356"/>
      <c r="H39" s="354"/>
      <c r="I39" s="354"/>
      <c r="J39" s="356"/>
      <c r="K39" s="356"/>
      <c r="L39" s="354"/>
      <c r="M39" s="354"/>
      <c r="N39" s="356"/>
      <c r="O39" s="356"/>
      <c r="P39" s="354"/>
      <c r="Q39" s="354"/>
      <c r="R39" s="356">
        <v>380</v>
      </c>
      <c r="S39" s="356"/>
      <c r="T39" s="354"/>
      <c r="U39" s="354"/>
      <c r="V39" s="356"/>
      <c r="W39" s="356"/>
      <c r="X39" s="354"/>
      <c r="Y39" s="354"/>
      <c r="Z39" s="356"/>
      <c r="AA39" s="356"/>
      <c r="AB39" s="354"/>
      <c r="AC39" s="354"/>
    </row>
    <row r="40" spans="1:29" ht="14.25" customHeight="1" x14ac:dyDescent="0.3">
      <c r="A40" s="349">
        <v>46083</v>
      </c>
      <c r="B40" s="358">
        <f t="shared" si="2"/>
        <v>-185.64</v>
      </c>
      <c r="C40" s="359" t="s">
        <v>423</v>
      </c>
      <c r="D40" s="353"/>
      <c r="E40" s="354"/>
      <c r="F40" s="356"/>
      <c r="G40" s="356"/>
      <c r="H40" s="354"/>
      <c r="I40" s="354"/>
      <c r="J40" s="356"/>
      <c r="K40" s="356"/>
      <c r="L40" s="354"/>
      <c r="M40" s="354"/>
      <c r="N40" s="356"/>
      <c r="O40" s="356"/>
      <c r="P40" s="354">
        <v>92.82</v>
      </c>
      <c r="Q40" s="354"/>
      <c r="R40" s="356"/>
      <c r="S40" s="356"/>
      <c r="T40" s="354"/>
      <c r="U40" s="354"/>
      <c r="V40" s="356"/>
      <c r="W40" s="356"/>
      <c r="X40" s="354"/>
      <c r="Y40" s="354"/>
      <c r="Z40" s="356"/>
      <c r="AA40" s="356"/>
      <c r="AB40" s="354">
        <v>92.82</v>
      </c>
      <c r="AC40" s="354"/>
    </row>
    <row r="41" spans="1:29" ht="14.25" customHeight="1" x14ac:dyDescent="0.3">
      <c r="A41" s="349">
        <v>46081</v>
      </c>
      <c r="B41" s="358">
        <f t="shared" si="2"/>
        <v>3764.91</v>
      </c>
      <c r="C41" s="359" t="s">
        <v>425</v>
      </c>
      <c r="D41" s="353"/>
      <c r="E41" s="354">
        <v>3764.91</v>
      </c>
      <c r="F41" s="356"/>
      <c r="G41" s="356"/>
      <c r="H41" s="354"/>
      <c r="I41" s="354"/>
      <c r="J41" s="356"/>
      <c r="K41" s="356"/>
      <c r="L41" s="354"/>
      <c r="M41" s="354"/>
      <c r="N41" s="356"/>
      <c r="O41" s="356"/>
      <c r="P41" s="354"/>
      <c r="Q41" s="354"/>
      <c r="R41" s="356"/>
      <c r="S41" s="356"/>
      <c r="T41" s="354"/>
      <c r="U41" s="354"/>
      <c r="V41" s="356"/>
      <c r="W41" s="356"/>
      <c r="X41" s="354"/>
      <c r="Y41" s="354"/>
      <c r="Z41" s="356"/>
      <c r="AA41" s="356"/>
      <c r="AB41" s="354"/>
      <c r="AC41" s="354"/>
    </row>
    <row r="42" spans="1:29" ht="14.25" customHeight="1" x14ac:dyDescent="0.3">
      <c r="A42" s="349">
        <v>46081</v>
      </c>
      <c r="B42" s="358">
        <f t="shared" si="2"/>
        <v>2000</v>
      </c>
      <c r="C42" s="359" t="s">
        <v>522</v>
      </c>
      <c r="D42" s="353"/>
      <c r="E42" s="354"/>
      <c r="F42" s="356"/>
      <c r="G42" s="356"/>
      <c r="H42" s="354"/>
      <c r="I42" s="354">
        <v>350</v>
      </c>
      <c r="J42" s="356"/>
      <c r="K42" s="356">
        <v>320</v>
      </c>
      <c r="L42" s="354"/>
      <c r="M42" s="354">
        <v>25</v>
      </c>
      <c r="N42" s="356"/>
      <c r="O42" s="356">
        <v>25</v>
      </c>
      <c r="P42" s="354"/>
      <c r="Q42" s="354">
        <v>45</v>
      </c>
      <c r="R42" s="356"/>
      <c r="S42" s="356">
        <v>400</v>
      </c>
      <c r="T42" s="354"/>
      <c r="U42" s="354">
        <v>375</v>
      </c>
      <c r="V42" s="356"/>
      <c r="W42" s="356">
        <v>100</v>
      </c>
      <c r="X42" s="354"/>
      <c r="Y42" s="354">
        <v>85</v>
      </c>
      <c r="Z42" s="356"/>
      <c r="AA42" s="356">
        <v>230</v>
      </c>
      <c r="AB42" s="354"/>
      <c r="AC42" s="354">
        <v>45</v>
      </c>
    </row>
    <row r="43" spans="1:29" ht="14.25" customHeight="1" x14ac:dyDescent="0.3">
      <c r="A43" s="349">
        <v>46081</v>
      </c>
      <c r="B43" s="358">
        <f t="shared" si="2"/>
        <v>0.23</v>
      </c>
      <c r="C43" s="359" t="s">
        <v>505</v>
      </c>
      <c r="D43" s="353"/>
      <c r="E43" s="354"/>
      <c r="F43" s="356"/>
      <c r="G43" s="356">
        <v>0.23</v>
      </c>
      <c r="H43" s="354"/>
      <c r="I43" s="354"/>
      <c r="J43" s="356"/>
      <c r="K43" s="356"/>
      <c r="L43" s="354"/>
      <c r="M43" s="354"/>
      <c r="N43" s="356"/>
      <c r="O43" s="356"/>
      <c r="P43" s="354"/>
      <c r="Q43" s="354"/>
      <c r="R43" s="356"/>
      <c r="S43" s="356"/>
      <c r="T43" s="354"/>
      <c r="U43" s="354"/>
      <c r="V43" s="356"/>
      <c r="W43" s="356"/>
      <c r="X43" s="354"/>
      <c r="Y43" s="354"/>
      <c r="Z43" s="356"/>
      <c r="AA43" s="356"/>
      <c r="AB43" s="354"/>
      <c r="AC43" s="354"/>
    </row>
    <row r="44" spans="1:29" ht="14.25" customHeight="1" x14ac:dyDescent="0.3">
      <c r="A44" s="349">
        <v>46070</v>
      </c>
      <c r="B44" s="358">
        <f t="shared" si="2"/>
        <v>-1920</v>
      </c>
      <c r="C44" s="359" t="s">
        <v>523</v>
      </c>
      <c r="D44" s="353"/>
      <c r="E44" s="354"/>
      <c r="F44" s="356"/>
      <c r="G44" s="356"/>
      <c r="H44" s="354"/>
      <c r="I44" s="354"/>
      <c r="J44" s="356"/>
      <c r="K44" s="356"/>
      <c r="L44" s="354"/>
      <c r="M44" s="354"/>
      <c r="N44" s="356"/>
      <c r="O44" s="356"/>
      <c r="P44" s="354"/>
      <c r="Q44" s="354"/>
      <c r="R44" s="356"/>
      <c r="S44" s="356"/>
      <c r="T44" s="354">
        <v>1920</v>
      </c>
      <c r="U44" s="354"/>
      <c r="V44" s="356"/>
      <c r="W44" s="356"/>
      <c r="X44" s="354"/>
      <c r="Y44" s="354"/>
      <c r="Z44" s="356"/>
      <c r="AA44" s="356"/>
      <c r="AB44" s="354"/>
      <c r="AC44" s="354"/>
    </row>
    <row r="45" spans="1:29" ht="14.25" customHeight="1" x14ac:dyDescent="0.3">
      <c r="A45" s="349">
        <v>46069</v>
      </c>
      <c r="B45" s="358">
        <f t="shared" si="2"/>
        <v>-243.8</v>
      </c>
      <c r="C45" s="359" t="s">
        <v>523</v>
      </c>
      <c r="D45" s="353"/>
      <c r="E45" s="354"/>
      <c r="F45" s="356"/>
      <c r="G45" s="356"/>
      <c r="H45" s="354"/>
      <c r="I45" s="354"/>
      <c r="J45" s="356"/>
      <c r="K45" s="356"/>
      <c r="L45" s="354"/>
      <c r="M45" s="354"/>
      <c r="N45" s="356"/>
      <c r="O45" s="356"/>
      <c r="P45" s="354"/>
      <c r="Q45" s="354"/>
      <c r="R45" s="356"/>
      <c r="S45" s="356"/>
      <c r="T45" s="354">
        <v>243.8</v>
      </c>
      <c r="U45" s="354"/>
      <c r="V45" s="356"/>
      <c r="W45" s="356"/>
      <c r="X45" s="354"/>
      <c r="Y45" s="354"/>
      <c r="Z45" s="356"/>
      <c r="AA45" s="356"/>
      <c r="AB45" s="354"/>
      <c r="AC45" s="354"/>
    </row>
    <row r="46" spans="1:29" ht="14.25" customHeight="1" x14ac:dyDescent="0.3">
      <c r="A46" s="349">
        <v>46068</v>
      </c>
      <c r="B46" s="358">
        <f t="shared" si="2"/>
        <v>63.46</v>
      </c>
      <c r="C46" s="359" t="s">
        <v>509</v>
      </c>
      <c r="D46" s="353"/>
      <c r="E46" s="354"/>
      <c r="F46" s="356"/>
      <c r="G46" s="356">
        <v>63.46</v>
      </c>
      <c r="H46" s="354"/>
      <c r="I46" s="354"/>
      <c r="J46" s="356"/>
      <c r="K46" s="356"/>
      <c r="L46" s="354"/>
      <c r="M46" s="354"/>
      <c r="N46" s="356"/>
      <c r="O46" s="356"/>
      <c r="P46" s="354"/>
      <c r="Q46" s="354"/>
      <c r="R46" s="356"/>
      <c r="S46" s="356"/>
      <c r="T46" s="354"/>
      <c r="U46" s="354"/>
      <c r="V46" s="356"/>
      <c r="W46" s="356"/>
      <c r="X46" s="354"/>
      <c r="Y46" s="354"/>
      <c r="Z46" s="356"/>
      <c r="AA46" s="356"/>
      <c r="AB46" s="354"/>
      <c r="AC46" s="354"/>
    </row>
    <row r="47" spans="1:29" ht="14.25" customHeight="1" x14ac:dyDescent="0.3">
      <c r="A47" s="349">
        <v>46067</v>
      </c>
      <c r="B47" s="358">
        <f t="shared" si="2"/>
        <v>-1007.99</v>
      </c>
      <c r="C47" s="359" t="s">
        <v>524</v>
      </c>
      <c r="D47" s="353">
        <v>1007.99</v>
      </c>
      <c r="E47" s="354"/>
      <c r="F47" s="356"/>
      <c r="G47" s="356"/>
      <c r="H47" s="354"/>
      <c r="I47" s="354"/>
      <c r="J47" s="356"/>
      <c r="K47" s="356"/>
      <c r="L47" s="354"/>
      <c r="M47" s="354"/>
      <c r="N47" s="356"/>
      <c r="O47" s="356"/>
      <c r="P47" s="354"/>
      <c r="Q47" s="354"/>
      <c r="R47" s="356"/>
      <c r="S47" s="356"/>
      <c r="T47" s="354"/>
      <c r="U47" s="354"/>
      <c r="V47" s="356"/>
      <c r="W47" s="356"/>
      <c r="X47" s="354"/>
      <c r="Y47" s="354"/>
      <c r="Z47" s="356"/>
      <c r="AA47" s="356"/>
      <c r="AB47" s="354"/>
      <c r="AC47" s="354"/>
    </row>
    <row r="48" spans="1:29" ht="14.25" customHeight="1" x14ac:dyDescent="0.3">
      <c r="A48" s="349">
        <v>46063</v>
      </c>
      <c r="B48" s="358">
        <f t="shared" si="2"/>
        <v>-1276.4000000000001</v>
      </c>
      <c r="C48" s="359" t="s">
        <v>525</v>
      </c>
      <c r="D48" s="353"/>
      <c r="E48" s="354"/>
      <c r="F48" s="356"/>
      <c r="G48" s="356"/>
      <c r="H48" s="354"/>
      <c r="I48" s="354"/>
      <c r="J48" s="356"/>
      <c r="K48" s="356"/>
      <c r="L48" s="354"/>
      <c r="M48" s="354"/>
      <c r="N48" s="356"/>
      <c r="O48" s="356"/>
      <c r="P48" s="354"/>
      <c r="Q48" s="354"/>
      <c r="R48" s="356"/>
      <c r="S48" s="356"/>
      <c r="T48" s="354"/>
      <c r="U48" s="354"/>
      <c r="V48" s="356"/>
      <c r="W48" s="356"/>
      <c r="X48" s="354"/>
      <c r="Y48" s="354"/>
      <c r="Z48" s="356">
        <v>1276.4000000000001</v>
      </c>
      <c r="AA48" s="356"/>
      <c r="AB48" s="354"/>
      <c r="AC48" s="354"/>
    </row>
    <row r="49" spans="1:29" ht="14.25" customHeight="1" x14ac:dyDescent="0.3">
      <c r="A49" s="349">
        <v>46063</v>
      </c>
      <c r="B49" s="358">
        <f t="shared" si="2"/>
        <v>-955</v>
      </c>
      <c r="C49" s="359" t="s">
        <v>526</v>
      </c>
      <c r="D49" s="353"/>
      <c r="E49" s="354"/>
      <c r="F49" s="356"/>
      <c r="G49" s="356"/>
      <c r="H49" s="354"/>
      <c r="I49" s="354"/>
      <c r="J49" s="356"/>
      <c r="K49" s="356"/>
      <c r="L49" s="354"/>
      <c r="M49" s="354"/>
      <c r="N49" s="356"/>
      <c r="O49" s="356"/>
      <c r="P49" s="354"/>
      <c r="Q49" s="354"/>
      <c r="R49" s="356">
        <v>955</v>
      </c>
      <c r="S49" s="356"/>
      <c r="T49" s="354"/>
      <c r="U49" s="354"/>
      <c r="V49" s="356"/>
      <c r="W49" s="356"/>
      <c r="X49" s="354"/>
      <c r="Y49" s="354"/>
      <c r="Z49" s="356"/>
      <c r="AA49" s="356"/>
      <c r="AB49" s="354"/>
      <c r="AC49" s="354"/>
    </row>
    <row r="50" spans="1:29" ht="14.25" customHeight="1" x14ac:dyDescent="0.3">
      <c r="A50" s="349">
        <v>46063</v>
      </c>
      <c r="B50" s="358">
        <f t="shared" si="2"/>
        <v>59.19</v>
      </c>
      <c r="C50" s="359" t="s">
        <v>504</v>
      </c>
      <c r="D50" s="353"/>
      <c r="E50" s="354"/>
      <c r="F50" s="356"/>
      <c r="G50" s="356">
        <v>59.19</v>
      </c>
      <c r="H50" s="354"/>
      <c r="I50" s="354"/>
      <c r="J50" s="356"/>
      <c r="K50" s="356"/>
      <c r="L50" s="354"/>
      <c r="M50" s="354"/>
      <c r="N50" s="356"/>
      <c r="O50" s="356"/>
      <c r="P50" s="354"/>
      <c r="Q50" s="354"/>
      <c r="R50" s="356"/>
      <c r="S50" s="356"/>
      <c r="T50" s="354"/>
      <c r="U50" s="354"/>
      <c r="V50" s="356"/>
      <c r="W50" s="356"/>
      <c r="X50" s="354"/>
      <c r="Y50" s="354"/>
      <c r="Z50" s="356"/>
      <c r="AA50" s="356"/>
      <c r="AB50" s="354"/>
      <c r="AC50" s="354"/>
    </row>
    <row r="51" spans="1:29" ht="14.25" customHeight="1" x14ac:dyDescent="0.3">
      <c r="A51" s="349">
        <v>46061</v>
      </c>
      <c r="B51" s="358">
        <f t="shared" si="2"/>
        <v>-2203.44</v>
      </c>
      <c r="C51" s="359" t="s">
        <v>523</v>
      </c>
      <c r="D51" s="353"/>
      <c r="E51" s="354"/>
      <c r="F51" s="356"/>
      <c r="G51" s="356"/>
      <c r="H51" s="354"/>
      <c r="I51" s="354"/>
      <c r="J51" s="356"/>
      <c r="K51" s="356"/>
      <c r="L51" s="354"/>
      <c r="M51" s="354"/>
      <c r="N51" s="356"/>
      <c r="O51" s="356"/>
      <c r="P51" s="354"/>
      <c r="Q51" s="354"/>
      <c r="R51" s="356"/>
      <c r="S51" s="356"/>
      <c r="T51" s="354">
        <v>2203.44</v>
      </c>
      <c r="U51" s="354"/>
      <c r="V51" s="356"/>
      <c r="W51" s="356"/>
      <c r="X51" s="354"/>
      <c r="Y51" s="354"/>
      <c r="Z51" s="356"/>
      <c r="AA51" s="356"/>
      <c r="AB51" s="354"/>
      <c r="AC51" s="354"/>
    </row>
    <row r="52" spans="1:29" ht="14.25" customHeight="1" x14ac:dyDescent="0.3">
      <c r="A52" s="349">
        <v>46061</v>
      </c>
      <c r="B52" s="358">
        <f t="shared" si="2"/>
        <v>-831.92</v>
      </c>
      <c r="C52" s="359" t="s">
        <v>527</v>
      </c>
      <c r="D52" s="353"/>
      <c r="E52" s="354"/>
      <c r="F52" s="356"/>
      <c r="G52" s="356"/>
      <c r="H52" s="354"/>
      <c r="I52" s="354"/>
      <c r="J52" s="356"/>
      <c r="K52" s="356"/>
      <c r="L52" s="354"/>
      <c r="M52" s="354"/>
      <c r="N52" s="356"/>
      <c r="O52" s="356"/>
      <c r="P52" s="354"/>
      <c r="Q52" s="354"/>
      <c r="R52" s="356">
        <v>831.92</v>
      </c>
      <c r="S52" s="356"/>
      <c r="T52" s="354"/>
      <c r="U52" s="354"/>
      <c r="V52" s="356"/>
      <c r="W52" s="356"/>
      <c r="X52" s="354"/>
      <c r="Y52" s="354"/>
      <c r="Z52" s="356"/>
      <c r="AA52" s="356"/>
      <c r="AB52" s="354"/>
      <c r="AC52" s="354"/>
    </row>
    <row r="53" spans="1:29" ht="14.25" customHeight="1" x14ac:dyDescent="0.3">
      <c r="A53" s="349">
        <v>46055</v>
      </c>
      <c r="B53" s="358">
        <f t="shared" si="2"/>
        <v>-900</v>
      </c>
      <c r="C53" s="359" t="s">
        <v>512</v>
      </c>
      <c r="D53" s="353"/>
      <c r="E53" s="354"/>
      <c r="F53" s="356"/>
      <c r="G53" s="356"/>
      <c r="H53" s="354"/>
      <c r="I53" s="354"/>
      <c r="J53" s="356"/>
      <c r="K53" s="356"/>
      <c r="L53" s="354"/>
      <c r="M53" s="354"/>
      <c r="N53" s="356"/>
      <c r="O53" s="356"/>
      <c r="P53" s="354"/>
      <c r="Q53" s="354"/>
      <c r="R53" s="356"/>
      <c r="S53" s="356"/>
      <c r="T53" s="354">
        <v>900</v>
      </c>
      <c r="U53" s="354"/>
      <c r="V53" s="356"/>
      <c r="W53" s="356"/>
      <c r="X53" s="354"/>
      <c r="Y53" s="354"/>
      <c r="Z53" s="356"/>
      <c r="AA53" s="356"/>
      <c r="AB53" s="354"/>
      <c r="AC53" s="354"/>
    </row>
    <row r="54" spans="1:29" ht="14.25" customHeight="1" x14ac:dyDescent="0.3">
      <c r="A54" s="349">
        <v>46053</v>
      </c>
      <c r="B54" s="358">
        <f t="shared" si="2"/>
        <v>3194.64</v>
      </c>
      <c r="C54" s="359" t="s">
        <v>459</v>
      </c>
      <c r="D54" s="353"/>
      <c r="E54" s="354">
        <v>3194.64</v>
      </c>
      <c r="F54" s="356"/>
      <c r="G54" s="356"/>
      <c r="H54" s="354"/>
      <c r="I54" s="354"/>
      <c r="J54" s="356"/>
      <c r="K54" s="356"/>
      <c r="L54" s="354"/>
      <c r="M54" s="354"/>
      <c r="N54" s="356"/>
      <c r="O54" s="356"/>
      <c r="P54" s="354"/>
      <c r="Q54" s="354"/>
      <c r="R54" s="356"/>
      <c r="S54" s="356"/>
      <c r="T54" s="354"/>
      <c r="U54" s="354"/>
      <c r="V54" s="356"/>
      <c r="W54" s="356"/>
      <c r="X54" s="354"/>
      <c r="Y54" s="354"/>
      <c r="Z54" s="356"/>
      <c r="AA54" s="356"/>
      <c r="AB54" s="354"/>
      <c r="AC54" s="354"/>
    </row>
    <row r="55" spans="1:29" ht="14.25" customHeight="1" x14ac:dyDescent="0.3">
      <c r="A55" s="349">
        <v>46053</v>
      </c>
      <c r="B55" s="358">
        <f t="shared" si="2"/>
        <v>2000</v>
      </c>
      <c r="C55" s="359" t="s">
        <v>528</v>
      </c>
      <c r="D55" s="353"/>
      <c r="E55" s="354"/>
      <c r="F55" s="356"/>
      <c r="G55" s="356"/>
      <c r="H55" s="354"/>
      <c r="I55" s="354">
        <v>350</v>
      </c>
      <c r="J55" s="356"/>
      <c r="K55" s="356">
        <v>320</v>
      </c>
      <c r="L55" s="354"/>
      <c r="M55" s="354">
        <v>25</v>
      </c>
      <c r="N55" s="356"/>
      <c r="O55" s="356">
        <v>25</v>
      </c>
      <c r="P55" s="354"/>
      <c r="Q55" s="354">
        <v>45</v>
      </c>
      <c r="R55" s="356"/>
      <c r="S55" s="356">
        <v>400</v>
      </c>
      <c r="T55" s="354"/>
      <c r="U55" s="354">
        <v>375</v>
      </c>
      <c r="V55" s="356"/>
      <c r="W55" s="356">
        <v>100</v>
      </c>
      <c r="X55" s="354"/>
      <c r="Y55" s="354">
        <v>85</v>
      </c>
      <c r="Z55" s="356"/>
      <c r="AA55" s="356">
        <v>230</v>
      </c>
      <c r="AB55" s="354"/>
      <c r="AC55" s="354">
        <v>45</v>
      </c>
    </row>
    <row r="56" spans="1:29" ht="14.25" customHeight="1" x14ac:dyDescent="0.3">
      <c r="A56" s="349">
        <v>46053</v>
      </c>
      <c r="B56" s="358">
        <f t="shared" si="2"/>
        <v>0.38</v>
      </c>
      <c r="C56" s="359" t="s">
        <v>505</v>
      </c>
      <c r="D56" s="353"/>
      <c r="E56" s="354"/>
      <c r="F56" s="356"/>
      <c r="G56" s="356">
        <v>0.38</v>
      </c>
      <c r="H56" s="354"/>
      <c r="I56" s="354"/>
      <c r="J56" s="356"/>
      <c r="K56" s="356"/>
      <c r="L56" s="354"/>
      <c r="M56" s="354"/>
      <c r="N56" s="356"/>
      <c r="O56" s="356"/>
      <c r="P56" s="354"/>
      <c r="Q56" s="354"/>
      <c r="R56" s="356"/>
      <c r="S56" s="356"/>
      <c r="T56" s="354"/>
      <c r="U56" s="354"/>
      <c r="V56" s="356"/>
      <c r="W56" s="356"/>
      <c r="X56" s="354"/>
      <c r="Y56" s="354"/>
      <c r="Z56" s="356"/>
      <c r="AA56" s="356"/>
      <c r="AB56" s="354"/>
      <c r="AC56" s="354"/>
    </row>
    <row r="57" spans="1:29" ht="14.25" customHeight="1" x14ac:dyDescent="0.3">
      <c r="A57" s="349">
        <v>46053</v>
      </c>
      <c r="B57" s="358">
        <f t="shared" si="2"/>
        <v>54.55</v>
      </c>
      <c r="C57" s="359" t="s">
        <v>509</v>
      </c>
      <c r="D57" s="353"/>
      <c r="E57" s="354"/>
      <c r="F57" s="356"/>
      <c r="G57" s="356">
        <v>54.55</v>
      </c>
      <c r="H57" s="354"/>
      <c r="I57" s="354"/>
      <c r="J57" s="356"/>
      <c r="K57" s="356"/>
      <c r="L57" s="354"/>
      <c r="M57" s="354"/>
      <c r="N57" s="356"/>
      <c r="O57" s="356"/>
      <c r="P57" s="354"/>
      <c r="Q57" s="354"/>
      <c r="R57" s="356"/>
      <c r="S57" s="356"/>
      <c r="T57" s="354"/>
      <c r="U57" s="354"/>
      <c r="V57" s="356"/>
      <c r="W57" s="356"/>
      <c r="X57" s="354"/>
      <c r="Y57" s="354"/>
      <c r="Z57" s="356"/>
      <c r="AA57" s="356"/>
      <c r="AB57" s="354"/>
      <c r="AC57" s="354"/>
    </row>
    <row r="58" spans="1:29" ht="14.25" customHeight="1" x14ac:dyDescent="0.3">
      <c r="A58" s="349">
        <v>46048</v>
      </c>
      <c r="B58" s="358">
        <f t="shared" si="2"/>
        <v>-583</v>
      </c>
      <c r="C58" s="359" t="s">
        <v>529</v>
      </c>
      <c r="D58" s="353">
        <v>583</v>
      </c>
      <c r="E58" s="354"/>
      <c r="F58" s="356"/>
      <c r="G58" s="356"/>
      <c r="H58" s="354"/>
      <c r="I58" s="354"/>
      <c r="J58" s="356"/>
      <c r="K58" s="356"/>
      <c r="L58" s="354"/>
      <c r="M58" s="354"/>
      <c r="N58" s="356"/>
      <c r="O58" s="356"/>
      <c r="P58" s="354"/>
      <c r="Q58" s="354"/>
      <c r="R58" s="356"/>
      <c r="S58" s="356"/>
      <c r="T58" s="354"/>
      <c r="U58" s="354"/>
      <c r="V58" s="356"/>
      <c r="W58" s="356"/>
      <c r="X58" s="354"/>
      <c r="Y58" s="354"/>
      <c r="Z58" s="356"/>
      <c r="AA58" s="356"/>
      <c r="AB58" s="354"/>
      <c r="AC58" s="354"/>
    </row>
    <row r="59" spans="1:29" ht="14.25" customHeight="1" x14ac:dyDescent="0.3">
      <c r="A59" s="349">
        <v>46044</v>
      </c>
      <c r="B59" s="358">
        <f t="shared" si="2"/>
        <v>-126.24</v>
      </c>
      <c r="C59" s="359" t="s">
        <v>315</v>
      </c>
      <c r="D59" s="353"/>
      <c r="E59" s="354"/>
      <c r="F59" s="356"/>
      <c r="G59" s="356"/>
      <c r="H59" s="354"/>
      <c r="I59" s="354"/>
      <c r="J59" s="356"/>
      <c r="K59" s="356"/>
      <c r="L59" s="354">
        <v>63.12</v>
      </c>
      <c r="M59" s="354"/>
      <c r="N59" s="356">
        <v>63.12</v>
      </c>
      <c r="O59" s="356"/>
      <c r="P59" s="354"/>
      <c r="Q59" s="354"/>
      <c r="R59" s="356"/>
      <c r="S59" s="356"/>
      <c r="T59" s="354"/>
      <c r="U59" s="354"/>
      <c r="V59" s="356"/>
      <c r="W59" s="356"/>
      <c r="X59" s="354"/>
      <c r="Y59" s="354"/>
      <c r="Z59" s="356"/>
      <c r="AA59" s="356"/>
      <c r="AB59" s="354"/>
      <c r="AC59" s="354"/>
    </row>
    <row r="60" spans="1:29" ht="14.25" customHeight="1" x14ac:dyDescent="0.3">
      <c r="A60" s="349">
        <v>46043</v>
      </c>
      <c r="B60" s="358">
        <f t="shared" si="2"/>
        <v>-100</v>
      </c>
      <c r="C60" s="359" t="s">
        <v>530</v>
      </c>
      <c r="D60" s="353"/>
      <c r="E60" s="354"/>
      <c r="F60" s="356"/>
      <c r="G60" s="356"/>
      <c r="H60" s="354">
        <v>100</v>
      </c>
      <c r="I60" s="354"/>
      <c r="J60" s="356"/>
      <c r="K60" s="356"/>
      <c r="L60" s="354"/>
      <c r="M60" s="354"/>
      <c r="N60" s="356"/>
      <c r="O60" s="356"/>
      <c r="P60" s="354"/>
      <c r="Q60" s="354"/>
      <c r="R60" s="356"/>
      <c r="S60" s="356"/>
      <c r="T60" s="354"/>
      <c r="U60" s="354"/>
      <c r="V60" s="356"/>
      <c r="W60" s="356"/>
      <c r="X60" s="354"/>
      <c r="Y60" s="354"/>
      <c r="Z60" s="356"/>
      <c r="AA60" s="356"/>
      <c r="AB60" s="354"/>
      <c r="AC60" s="354"/>
    </row>
    <row r="61" spans="1:29" ht="14.25" customHeight="1" x14ac:dyDescent="0.3">
      <c r="A61" s="349">
        <v>46043</v>
      </c>
      <c r="B61" s="358">
        <f t="shared" si="2"/>
        <v>-2724</v>
      </c>
      <c r="C61" s="359" t="s">
        <v>531</v>
      </c>
      <c r="D61" s="353"/>
      <c r="E61" s="354"/>
      <c r="F61" s="356"/>
      <c r="G61" s="356"/>
      <c r="H61" s="354"/>
      <c r="I61" s="354"/>
      <c r="J61" s="356"/>
      <c r="K61" s="356"/>
      <c r="L61" s="354"/>
      <c r="M61" s="354"/>
      <c r="N61" s="356"/>
      <c r="O61" s="356"/>
      <c r="P61" s="354"/>
      <c r="Q61" s="354"/>
      <c r="R61" s="356">
        <v>2724</v>
      </c>
      <c r="S61" s="356"/>
      <c r="T61" s="354"/>
      <c r="U61" s="354"/>
      <c r="V61" s="356"/>
      <c r="W61" s="356"/>
      <c r="X61" s="354"/>
      <c r="Y61" s="354"/>
      <c r="Z61" s="356"/>
      <c r="AA61" s="356"/>
      <c r="AB61" s="354"/>
      <c r="AC61" s="354"/>
    </row>
    <row r="62" spans="1:29" ht="14.25" customHeight="1" x14ac:dyDescent="0.3">
      <c r="A62" s="349">
        <v>46038</v>
      </c>
      <c r="B62" s="358">
        <f t="shared" si="2"/>
        <v>55.69</v>
      </c>
      <c r="C62" s="359" t="s">
        <v>509</v>
      </c>
      <c r="D62" s="353"/>
      <c r="E62" s="354"/>
      <c r="F62" s="356"/>
      <c r="G62" s="356">
        <v>55.69</v>
      </c>
      <c r="H62" s="354"/>
      <c r="I62" s="354"/>
      <c r="J62" s="356"/>
      <c r="K62" s="356"/>
      <c r="L62" s="354"/>
      <c r="M62" s="354"/>
      <c r="N62" s="356"/>
      <c r="O62" s="356"/>
      <c r="P62" s="354"/>
      <c r="Q62" s="354"/>
      <c r="R62" s="356"/>
      <c r="S62" s="356"/>
      <c r="T62" s="354"/>
      <c r="U62" s="354"/>
      <c r="V62" s="356"/>
      <c r="W62" s="356"/>
      <c r="X62" s="354"/>
      <c r="Y62" s="354"/>
      <c r="Z62" s="356"/>
      <c r="AA62" s="356"/>
      <c r="AB62" s="354"/>
      <c r="AC62" s="354"/>
    </row>
    <row r="63" spans="1:29" ht="14.25" customHeight="1" x14ac:dyDescent="0.3">
      <c r="A63" s="349">
        <v>46030</v>
      </c>
      <c r="B63" s="358">
        <f t="shared" si="2"/>
        <v>1049.3699999999999</v>
      </c>
      <c r="C63" s="351" t="s">
        <v>532</v>
      </c>
      <c r="D63" s="353"/>
      <c r="E63" s="354">
        <v>1049.3699999999999</v>
      </c>
      <c r="F63" s="356"/>
      <c r="G63" s="356"/>
      <c r="H63" s="354"/>
      <c r="I63" s="354"/>
      <c r="J63" s="356"/>
      <c r="K63" s="356"/>
      <c r="L63" s="354"/>
      <c r="M63" s="354"/>
      <c r="N63" s="356"/>
      <c r="O63" s="356"/>
      <c r="P63" s="354"/>
      <c r="Q63" s="354"/>
      <c r="R63" s="356"/>
      <c r="S63" s="356"/>
      <c r="T63" s="354"/>
      <c r="U63" s="354"/>
      <c r="V63" s="356"/>
      <c r="W63" s="356"/>
      <c r="X63" s="354"/>
      <c r="Y63" s="354"/>
      <c r="Z63" s="356"/>
      <c r="AA63" s="356"/>
      <c r="AB63" s="354"/>
      <c r="AC63" s="354"/>
    </row>
    <row r="64" spans="1:29" ht="14.25" customHeight="1" x14ac:dyDescent="0.3">
      <c r="A64" s="349">
        <v>46027</v>
      </c>
      <c r="B64" s="358">
        <f t="shared" si="2"/>
        <v>-113.94</v>
      </c>
      <c r="C64" s="359" t="s">
        <v>533</v>
      </c>
      <c r="D64" s="353"/>
      <c r="E64" s="354"/>
      <c r="F64" s="356"/>
      <c r="G64" s="356"/>
      <c r="H64" s="354">
        <v>113.94</v>
      </c>
      <c r="I64" s="354"/>
      <c r="J64" s="356"/>
      <c r="K64" s="356"/>
      <c r="L64" s="354"/>
      <c r="M64" s="354"/>
      <c r="N64" s="356"/>
      <c r="O64" s="356"/>
      <c r="P64" s="354"/>
      <c r="Q64" s="354"/>
      <c r="R64" s="356"/>
      <c r="S64" s="356"/>
      <c r="T64" s="354"/>
      <c r="U64" s="354"/>
      <c r="V64" s="356"/>
      <c r="W64" s="356"/>
      <c r="X64" s="354"/>
      <c r="Y64" s="354"/>
      <c r="Z64" s="356"/>
      <c r="AA64" s="356"/>
      <c r="AB64" s="354"/>
      <c r="AC64" s="354"/>
    </row>
    <row r="65" spans="1:29" ht="14.25" customHeight="1" x14ac:dyDescent="0.3">
      <c r="A65" s="349">
        <v>46027</v>
      </c>
      <c r="B65" s="358">
        <f t="shared" si="2"/>
        <v>-622.1</v>
      </c>
      <c r="C65" s="359" t="s">
        <v>523</v>
      </c>
      <c r="D65" s="353"/>
      <c r="E65" s="354"/>
      <c r="F65" s="356"/>
      <c r="G65" s="356"/>
      <c r="H65" s="354"/>
      <c r="I65" s="354"/>
      <c r="J65" s="356"/>
      <c r="K65" s="356"/>
      <c r="L65" s="354"/>
      <c r="M65" s="354"/>
      <c r="N65" s="356"/>
      <c r="O65" s="356"/>
      <c r="P65" s="354"/>
      <c r="Q65" s="354"/>
      <c r="R65" s="356"/>
      <c r="S65" s="356"/>
      <c r="T65" s="354">
        <v>622.1</v>
      </c>
      <c r="U65" s="354"/>
      <c r="V65" s="356"/>
      <c r="W65" s="356"/>
      <c r="X65" s="354"/>
      <c r="Y65" s="354"/>
      <c r="Z65" s="356"/>
      <c r="AA65" s="356"/>
      <c r="AB65" s="354"/>
      <c r="AC65" s="354"/>
    </row>
    <row r="66" spans="1:29" ht="14.25" customHeight="1" x14ac:dyDescent="0.3">
      <c r="A66" s="349">
        <v>44562</v>
      </c>
      <c r="B66" s="358">
        <f t="shared" si="2"/>
        <v>12240.49</v>
      </c>
      <c r="C66" s="359" t="s">
        <v>534</v>
      </c>
      <c r="D66" s="353"/>
      <c r="E66" s="354">
        <v>1710.49</v>
      </c>
      <c r="F66" s="356"/>
      <c r="G66" s="356">
        <v>500</v>
      </c>
      <c r="H66" s="354"/>
      <c r="I66" s="354">
        <v>2000</v>
      </c>
      <c r="J66" s="356"/>
      <c r="K66" s="356">
        <v>1000</v>
      </c>
      <c r="L66" s="354"/>
      <c r="M66" s="354">
        <v>65</v>
      </c>
      <c r="N66" s="356"/>
      <c r="O66" s="356">
        <v>65</v>
      </c>
      <c r="P66" s="354"/>
      <c r="Q66" s="354">
        <v>100</v>
      </c>
      <c r="R66" s="356"/>
      <c r="S66" s="356">
        <v>2000</v>
      </c>
      <c r="T66" s="354"/>
      <c r="U66" s="354">
        <v>2500</v>
      </c>
      <c r="V66" s="356"/>
      <c r="W66" s="356">
        <v>500</v>
      </c>
      <c r="X66" s="354"/>
      <c r="Y66" s="354">
        <v>200</v>
      </c>
      <c r="Z66" s="356"/>
      <c r="AA66" s="356">
        <v>1500</v>
      </c>
      <c r="AB66" s="354"/>
      <c r="AC66" s="354">
        <v>100</v>
      </c>
    </row>
    <row r="67" spans="1:29" ht="14.25" customHeight="1" x14ac:dyDescent="0.3"/>
    <row r="68" spans="1:29" ht="14.25" customHeight="1" x14ac:dyDescent="0.3"/>
    <row r="69" spans="1:29" ht="14.25" customHeight="1" x14ac:dyDescent="0.3"/>
    <row r="70" spans="1:29" ht="14.25" customHeight="1" x14ac:dyDescent="0.3"/>
    <row r="71" spans="1:29" ht="14.25" customHeight="1" x14ac:dyDescent="0.3"/>
    <row r="72" spans="1:29" ht="14.25" customHeight="1" x14ac:dyDescent="0.3"/>
    <row r="73" spans="1:29" ht="14.25" customHeight="1" x14ac:dyDescent="0.3"/>
    <row r="74" spans="1:29" ht="14.25" customHeight="1" x14ac:dyDescent="0.3"/>
    <row r="75" spans="1:29" ht="14.25" customHeight="1" x14ac:dyDescent="0.3"/>
    <row r="76" spans="1:29" ht="14.25" customHeight="1" x14ac:dyDescent="0.3"/>
    <row r="77" spans="1:29" ht="14.25" customHeight="1" x14ac:dyDescent="0.3"/>
    <row r="78" spans="1:29" ht="14.25" customHeight="1" x14ac:dyDescent="0.3"/>
    <row r="79" spans="1:29" ht="14.25" customHeight="1" x14ac:dyDescent="0.3"/>
    <row r="80" spans="1:29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22"/>
      <c r="O1" s="122"/>
      <c r="P1" s="122"/>
      <c r="Q1" s="122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22"/>
      <c r="O2" s="122"/>
      <c r="P2" s="122"/>
      <c r="Q2" s="122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22"/>
      <c r="O3" s="122"/>
      <c r="P3" s="122"/>
      <c r="Q3" s="122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22"/>
      <c r="O4" s="122"/>
      <c r="P4" s="122"/>
      <c r="Q4" s="122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22"/>
      <c r="O5" s="122"/>
      <c r="P5" s="122"/>
      <c r="Q5" s="122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22"/>
      <c r="O6" s="122"/>
      <c r="P6" s="122"/>
      <c r="Q6" s="122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22"/>
      <c r="O7" s="122"/>
      <c r="P7" s="122"/>
      <c r="Q7" s="122"/>
    </row>
    <row r="8" spans="1:17" ht="14.25" customHeight="1" x14ac:dyDescent="0.3">
      <c r="B8" s="23"/>
      <c r="D8" s="25"/>
      <c r="E8" s="25"/>
      <c r="M8" s="12"/>
      <c r="N8" s="122"/>
      <c r="O8" s="122"/>
      <c r="P8" s="122"/>
      <c r="Q8" s="122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22"/>
      <c r="O9" s="122"/>
      <c r="P9" s="122"/>
      <c r="Q9" s="122"/>
    </row>
    <row r="10" spans="1:17" ht="14.25" customHeight="1" x14ac:dyDescent="0.3">
      <c r="B10" s="23"/>
      <c r="D10" s="25"/>
      <c r="E10" s="25"/>
      <c r="M10" s="12"/>
      <c r="N10" s="122"/>
      <c r="O10" s="122"/>
      <c r="P10" s="122"/>
      <c r="Q10" s="122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22"/>
      <c r="O11" s="122"/>
      <c r="P11" s="122"/>
      <c r="Q11" s="122"/>
    </row>
    <row r="12" spans="1:17" ht="14.25" customHeight="1" x14ac:dyDescent="0.3">
      <c r="B12" s="23"/>
      <c r="D12" s="25"/>
      <c r="E12" s="25"/>
      <c r="M12" s="12"/>
      <c r="N12" s="122"/>
      <c r="O12" s="122"/>
      <c r="P12" s="122"/>
      <c r="Q12" s="122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22"/>
      <c r="O13" s="122"/>
      <c r="P13" s="122"/>
      <c r="Q13" s="122"/>
    </row>
    <row r="14" spans="1:17" ht="14.25" customHeight="1" x14ac:dyDescent="0.3">
      <c r="B14" s="23"/>
      <c r="D14" s="25"/>
      <c r="E14" s="25"/>
      <c r="M14" s="12"/>
      <c r="N14" s="122"/>
      <c r="O14" s="122"/>
      <c r="P14" s="122"/>
      <c r="Q14" s="122"/>
    </row>
    <row r="15" spans="1:17" ht="14.25" customHeight="1" x14ac:dyDescent="0.3">
      <c r="B15" s="23"/>
      <c r="D15" s="25"/>
      <c r="E15" s="25"/>
      <c r="M15" s="12"/>
      <c r="N15" s="122"/>
      <c r="O15" s="122"/>
      <c r="P15" s="122"/>
      <c r="Q15" s="122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22"/>
      <c r="O16" s="122"/>
      <c r="P16" s="122"/>
      <c r="Q16" s="122"/>
    </row>
    <row r="17" spans="1:17" ht="14.25" customHeight="1" x14ac:dyDescent="0.3">
      <c r="B17" s="23"/>
      <c r="D17" s="25"/>
      <c r="E17" s="25"/>
      <c r="M17" s="12"/>
      <c r="N17" s="122"/>
      <c r="O17" s="122"/>
      <c r="P17" s="122"/>
      <c r="Q17" s="122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22"/>
      <c r="O18" s="122"/>
      <c r="P18" s="122"/>
      <c r="Q18" s="122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22"/>
      <c r="O19" s="122"/>
      <c r="P19" s="122"/>
      <c r="Q19" s="122"/>
    </row>
    <row r="20" spans="1:17" ht="14.25" customHeight="1" x14ac:dyDescent="0.3">
      <c r="B20" s="23"/>
      <c r="D20" s="25"/>
      <c r="E20" s="25"/>
      <c r="M20" s="12"/>
      <c r="N20" s="122"/>
      <c r="O20" s="122"/>
      <c r="P20" s="122"/>
      <c r="Q20" s="122"/>
    </row>
    <row r="21" spans="1:17" ht="14.25" customHeight="1" x14ac:dyDescent="0.3">
      <c r="B21" s="23"/>
      <c r="D21" s="25"/>
      <c r="E21" s="25"/>
      <c r="M21" s="12"/>
      <c r="N21" s="122"/>
      <c r="O21" s="122"/>
      <c r="P21" s="122"/>
      <c r="Q21" s="122"/>
    </row>
    <row r="22" spans="1:17" ht="14.25" customHeight="1" x14ac:dyDescent="0.3">
      <c r="B22" s="23"/>
      <c r="D22" s="25"/>
      <c r="E22" s="25"/>
      <c r="M22" s="12"/>
      <c r="N22" s="122"/>
      <c r="O22" s="122"/>
      <c r="P22" s="122"/>
      <c r="Q22" s="122"/>
    </row>
    <row r="23" spans="1:17" ht="14.25" customHeight="1" x14ac:dyDescent="0.3">
      <c r="B23" s="23"/>
      <c r="D23" s="25"/>
      <c r="E23" s="25"/>
      <c r="M23" s="12"/>
      <c r="N23" s="122"/>
      <c r="O23" s="122"/>
      <c r="P23" s="122"/>
      <c r="Q23" s="122"/>
    </row>
    <row r="24" spans="1:17" ht="14.25" customHeight="1" x14ac:dyDescent="0.3">
      <c r="B24" s="23"/>
      <c r="D24" s="25"/>
      <c r="E24" s="25"/>
      <c r="M24" s="12"/>
      <c r="N24" s="122"/>
      <c r="O24" s="122"/>
      <c r="P24" s="122"/>
      <c r="Q24" s="122"/>
    </row>
    <row r="25" spans="1:17" ht="14.25" customHeight="1" x14ac:dyDescent="0.3">
      <c r="B25" s="23"/>
      <c r="D25" s="25"/>
      <c r="E25" s="25"/>
      <c r="M25" s="12"/>
      <c r="N25" s="122"/>
      <c r="O25" s="122"/>
      <c r="P25" s="122"/>
      <c r="Q25" s="122"/>
    </row>
    <row r="26" spans="1:17" ht="14.25" customHeight="1" x14ac:dyDescent="0.3">
      <c r="B26" s="23"/>
      <c r="D26" s="25"/>
      <c r="E26" s="25"/>
      <c r="M26" s="12"/>
      <c r="N26" s="122"/>
      <c r="O26" s="122"/>
      <c r="P26" s="122"/>
      <c r="Q26" s="122"/>
    </row>
    <row r="27" spans="1:17" ht="14.25" customHeight="1" x14ac:dyDescent="0.3">
      <c r="B27" s="23"/>
      <c r="D27" s="25"/>
      <c r="E27" s="25"/>
      <c r="M27" s="12"/>
      <c r="N27" s="122"/>
      <c r="O27" s="122"/>
      <c r="P27" s="122"/>
      <c r="Q27" s="122"/>
    </row>
    <row r="28" spans="1:17" ht="14.25" customHeight="1" x14ac:dyDescent="0.3">
      <c r="B28" s="23"/>
      <c r="D28" s="25"/>
      <c r="E28" s="25"/>
      <c r="M28" s="12"/>
      <c r="N28" s="122"/>
      <c r="O28" s="122"/>
      <c r="P28" s="122"/>
      <c r="Q28" s="122"/>
    </row>
    <row r="29" spans="1:17" ht="14.25" customHeight="1" x14ac:dyDescent="0.3">
      <c r="B29" s="23"/>
      <c r="D29" s="25"/>
      <c r="E29" s="25"/>
      <c r="M29" s="12"/>
      <c r="N29" s="122"/>
      <c r="O29" s="122"/>
      <c r="P29" s="122"/>
      <c r="Q29" s="122"/>
    </row>
    <row r="30" spans="1:17" ht="14.25" customHeight="1" x14ac:dyDescent="0.3">
      <c r="B30" s="23"/>
      <c r="D30" s="25"/>
      <c r="E30" s="25"/>
      <c r="M30" s="12"/>
      <c r="N30" s="122"/>
      <c r="O30" s="122"/>
      <c r="P30" s="122"/>
      <c r="Q30" s="122"/>
    </row>
    <row r="31" spans="1:17" ht="14.25" customHeight="1" x14ac:dyDescent="0.3">
      <c r="B31" s="23"/>
      <c r="D31" s="25"/>
      <c r="E31" s="25"/>
      <c r="M31" s="12"/>
      <c r="N31" s="122"/>
      <c r="O31" s="122"/>
      <c r="P31" s="122"/>
      <c r="Q31" s="122"/>
    </row>
    <row r="32" spans="1:17" ht="14.25" customHeight="1" x14ac:dyDescent="0.3">
      <c r="B32" s="23"/>
      <c r="D32" s="25"/>
      <c r="E32" s="25"/>
      <c r="M32" s="12"/>
      <c r="N32" s="122"/>
      <c r="O32" s="122"/>
      <c r="P32" s="122"/>
      <c r="Q32" s="122"/>
    </row>
    <row r="33" spans="2:17" ht="14.25" customHeight="1" x14ac:dyDescent="0.3">
      <c r="B33" s="23"/>
      <c r="D33" s="25"/>
      <c r="E33" s="25"/>
      <c r="M33" s="12"/>
      <c r="N33" s="122"/>
      <c r="O33" s="122"/>
      <c r="P33" s="122"/>
      <c r="Q33" s="122"/>
    </row>
    <row r="34" spans="2:17" ht="14.25" customHeight="1" x14ac:dyDescent="0.3">
      <c r="B34" s="23"/>
      <c r="D34" s="25"/>
      <c r="E34" s="25"/>
      <c r="M34" s="12"/>
      <c r="N34" s="122"/>
      <c r="O34" s="122"/>
      <c r="P34" s="122"/>
      <c r="Q34" s="122"/>
    </row>
    <row r="35" spans="2:17" ht="14.25" customHeight="1" x14ac:dyDescent="0.3">
      <c r="B35" s="23"/>
      <c r="D35" s="25"/>
      <c r="E35" s="25"/>
      <c r="M35" s="12"/>
      <c r="N35" s="122"/>
      <c r="O35" s="122"/>
      <c r="P35" s="122"/>
      <c r="Q35" s="122"/>
    </row>
    <row r="36" spans="2:17" ht="14.25" customHeight="1" x14ac:dyDescent="0.3">
      <c r="B36" s="23"/>
      <c r="D36" s="25"/>
      <c r="E36" s="25"/>
      <c r="M36" s="12"/>
      <c r="N36" s="122"/>
      <c r="O36" s="122"/>
      <c r="P36" s="122"/>
      <c r="Q36" s="122"/>
    </row>
    <row r="37" spans="2:17" ht="14.25" customHeight="1" x14ac:dyDescent="0.3">
      <c r="B37" s="23"/>
      <c r="D37" s="25"/>
      <c r="E37" s="25"/>
      <c r="M37" s="12"/>
      <c r="N37" s="122"/>
      <c r="O37" s="122"/>
      <c r="P37" s="122"/>
      <c r="Q37" s="122"/>
    </row>
    <row r="38" spans="2:17" ht="14.25" customHeight="1" x14ac:dyDescent="0.3">
      <c r="B38" s="23"/>
      <c r="D38" s="25"/>
      <c r="E38" s="25"/>
      <c r="M38" s="12"/>
      <c r="N38" s="122"/>
      <c r="O38" s="122"/>
      <c r="P38" s="122"/>
      <c r="Q38" s="122"/>
    </row>
    <row r="39" spans="2:17" ht="14.25" customHeight="1" x14ac:dyDescent="0.3">
      <c r="B39" s="23"/>
      <c r="D39" s="25"/>
      <c r="E39" s="25"/>
      <c r="M39" s="12"/>
      <c r="N39" s="122"/>
      <c r="O39" s="122"/>
      <c r="P39" s="122"/>
      <c r="Q39" s="122"/>
    </row>
    <row r="40" spans="2:17" ht="14.25" customHeight="1" x14ac:dyDescent="0.3">
      <c r="B40" s="23"/>
      <c r="D40" s="25"/>
      <c r="E40" s="25"/>
      <c r="M40" s="12"/>
      <c r="N40" s="122"/>
      <c r="O40" s="122"/>
      <c r="P40" s="122"/>
      <c r="Q40" s="122"/>
    </row>
    <row r="41" spans="2:17" ht="14.25" customHeight="1" x14ac:dyDescent="0.3">
      <c r="B41" s="23"/>
      <c r="D41" s="25"/>
      <c r="E41" s="25"/>
      <c r="M41" s="12"/>
      <c r="N41" s="122"/>
      <c r="O41" s="122"/>
      <c r="P41" s="122"/>
      <c r="Q41" s="122"/>
    </row>
    <row r="42" spans="2:17" ht="14.25" customHeight="1" x14ac:dyDescent="0.3">
      <c r="B42" s="23"/>
      <c r="D42" s="25"/>
      <c r="E42" s="25"/>
      <c r="M42" s="12"/>
      <c r="N42" s="122"/>
      <c r="O42" s="122"/>
      <c r="P42" s="122"/>
      <c r="Q42" s="122"/>
    </row>
    <row r="43" spans="2:17" ht="14.25" customHeight="1" x14ac:dyDescent="0.3">
      <c r="B43" s="23"/>
      <c r="D43" s="25"/>
      <c r="E43" s="25"/>
      <c r="M43" s="12"/>
      <c r="N43" s="122"/>
      <c r="O43" s="122"/>
      <c r="P43" s="122"/>
      <c r="Q43" s="122"/>
    </row>
    <row r="44" spans="2:17" ht="14.25" customHeight="1" x14ac:dyDescent="0.3">
      <c r="B44" s="23"/>
      <c r="D44" s="25"/>
      <c r="E44" s="25"/>
      <c r="M44" s="12"/>
      <c r="N44" s="122"/>
      <c r="O44" s="122"/>
      <c r="P44" s="122"/>
      <c r="Q44" s="122"/>
    </row>
    <row r="45" spans="2:17" ht="14.25" customHeight="1" x14ac:dyDescent="0.3">
      <c r="B45" s="23"/>
      <c r="D45" s="25"/>
      <c r="E45" s="25"/>
      <c r="M45" s="12"/>
      <c r="N45" s="122"/>
      <c r="O45" s="122"/>
      <c r="P45" s="122"/>
      <c r="Q45" s="122"/>
    </row>
    <row r="46" spans="2:17" ht="14.25" customHeight="1" x14ac:dyDescent="0.3">
      <c r="B46" s="23"/>
      <c r="D46" s="25"/>
      <c r="E46" s="25"/>
      <c r="M46" s="12"/>
      <c r="N46" s="122"/>
      <c r="O46" s="122"/>
      <c r="P46" s="122"/>
      <c r="Q46" s="122"/>
    </row>
    <row r="47" spans="2:17" ht="14.25" customHeight="1" x14ac:dyDescent="0.3">
      <c r="B47" s="23"/>
      <c r="D47" s="25"/>
      <c r="E47" s="25"/>
      <c r="M47" s="12"/>
      <c r="N47" s="122"/>
      <c r="O47" s="122"/>
      <c r="P47" s="122"/>
      <c r="Q47" s="122"/>
    </row>
    <row r="48" spans="2:17" ht="14.25" customHeight="1" x14ac:dyDescent="0.3">
      <c r="B48" s="23"/>
      <c r="D48" s="25"/>
      <c r="E48" s="25"/>
      <c r="M48" s="12"/>
      <c r="N48" s="122"/>
      <c r="O48" s="122"/>
      <c r="P48" s="122"/>
      <c r="Q48" s="122"/>
    </row>
    <row r="49" spans="2:17" ht="14.25" customHeight="1" x14ac:dyDescent="0.3">
      <c r="B49" s="23"/>
      <c r="D49" s="25"/>
      <c r="E49" s="25"/>
      <c r="M49" s="12"/>
      <c r="N49" s="122"/>
      <c r="O49" s="122"/>
      <c r="P49" s="122"/>
      <c r="Q49" s="122"/>
    </row>
    <row r="50" spans="2:17" ht="14.25" customHeight="1" x14ac:dyDescent="0.3">
      <c r="B50" s="23"/>
      <c r="D50" s="25"/>
      <c r="E50" s="25"/>
      <c r="M50" s="12"/>
      <c r="N50" s="122"/>
      <c r="O50" s="122"/>
      <c r="P50" s="122"/>
      <c r="Q50" s="122"/>
    </row>
    <row r="51" spans="2:17" ht="14.25" customHeight="1" x14ac:dyDescent="0.3">
      <c r="B51" s="23"/>
      <c r="D51" s="25"/>
      <c r="E51" s="25"/>
      <c r="M51" s="12"/>
      <c r="N51" s="122"/>
      <c r="O51" s="122"/>
      <c r="P51" s="122"/>
      <c r="Q51" s="122"/>
    </row>
    <row r="52" spans="2:17" ht="14.25" customHeight="1" x14ac:dyDescent="0.3">
      <c r="B52" s="23"/>
      <c r="D52" s="25"/>
      <c r="E52" s="25"/>
      <c r="M52" s="12"/>
      <c r="N52" s="122"/>
      <c r="O52" s="122"/>
      <c r="P52" s="122"/>
      <c r="Q52" s="122"/>
    </row>
    <row r="53" spans="2:17" ht="14.25" customHeight="1" x14ac:dyDescent="0.3">
      <c r="B53" s="23"/>
      <c r="D53" s="25"/>
      <c r="E53" s="25"/>
      <c r="M53" s="12"/>
      <c r="N53" s="122"/>
      <c r="O53" s="122"/>
      <c r="P53" s="122"/>
      <c r="Q53" s="122"/>
    </row>
    <row r="54" spans="2:17" ht="14.25" customHeight="1" x14ac:dyDescent="0.3">
      <c r="B54" s="23"/>
      <c r="D54" s="25"/>
      <c r="E54" s="25"/>
      <c r="M54" s="12"/>
      <c r="N54" s="122"/>
      <c r="O54" s="122"/>
      <c r="P54" s="122"/>
      <c r="Q54" s="122"/>
    </row>
    <row r="55" spans="2:17" ht="14.25" customHeight="1" x14ac:dyDescent="0.3">
      <c r="B55" s="23"/>
      <c r="D55" s="25"/>
      <c r="E55" s="25"/>
      <c r="M55" s="12"/>
      <c r="N55" s="122"/>
      <c r="O55" s="122"/>
      <c r="P55" s="122"/>
      <c r="Q55" s="122"/>
    </row>
    <row r="56" spans="2:17" ht="14.25" customHeight="1" x14ac:dyDescent="0.3">
      <c r="B56" s="23"/>
      <c r="D56" s="25"/>
      <c r="E56" s="25"/>
      <c r="M56" s="12"/>
      <c r="N56" s="122"/>
      <c r="O56" s="122"/>
      <c r="P56" s="122"/>
      <c r="Q56" s="122"/>
    </row>
    <row r="57" spans="2:17" ht="14.25" customHeight="1" x14ac:dyDescent="0.3">
      <c r="B57" s="23"/>
      <c r="D57" s="25"/>
      <c r="E57" s="25"/>
      <c r="M57" s="12"/>
      <c r="N57" s="122"/>
      <c r="O57" s="122"/>
      <c r="P57" s="122"/>
      <c r="Q57" s="122"/>
    </row>
    <row r="58" spans="2:17" ht="14.25" customHeight="1" x14ac:dyDescent="0.3">
      <c r="B58" s="23"/>
      <c r="D58" s="25"/>
      <c r="E58" s="25"/>
      <c r="M58" s="12"/>
      <c r="N58" s="122"/>
      <c r="O58" s="122"/>
      <c r="P58" s="122"/>
      <c r="Q58" s="122"/>
    </row>
    <row r="59" spans="2:17" ht="14.25" customHeight="1" x14ac:dyDescent="0.3">
      <c r="B59" s="23"/>
      <c r="D59" s="25"/>
      <c r="E59" s="25"/>
      <c r="M59" s="12"/>
      <c r="N59" s="122"/>
      <c r="O59" s="122"/>
      <c r="P59" s="122"/>
      <c r="Q59" s="122"/>
    </row>
    <row r="60" spans="2:17" ht="14.25" customHeight="1" x14ac:dyDescent="0.3">
      <c r="B60" s="23"/>
      <c r="D60" s="25"/>
      <c r="E60" s="25"/>
      <c r="M60" s="12"/>
      <c r="N60" s="122"/>
      <c r="O60" s="122"/>
      <c r="P60" s="122"/>
      <c r="Q60" s="122"/>
    </row>
    <row r="61" spans="2:17" ht="14.25" customHeight="1" x14ac:dyDescent="0.3">
      <c r="B61" s="23"/>
      <c r="D61" s="25"/>
      <c r="E61" s="25"/>
      <c r="M61" s="12"/>
      <c r="N61" s="122"/>
      <c r="O61" s="122"/>
      <c r="P61" s="122"/>
      <c r="Q61" s="122"/>
    </row>
    <row r="62" spans="2:17" ht="14.25" customHeight="1" x14ac:dyDescent="0.3">
      <c r="B62" s="23"/>
      <c r="D62" s="25"/>
      <c r="E62" s="25"/>
      <c r="M62" s="12"/>
      <c r="N62" s="122"/>
      <c r="O62" s="122"/>
      <c r="P62" s="122"/>
      <c r="Q62" s="122"/>
    </row>
    <row r="63" spans="2:17" ht="14.25" customHeight="1" x14ac:dyDescent="0.3">
      <c r="B63" s="23"/>
      <c r="D63" s="25"/>
      <c r="E63" s="25"/>
      <c r="M63" s="12"/>
      <c r="N63" s="122"/>
      <c r="O63" s="122"/>
      <c r="P63" s="122"/>
      <c r="Q63" s="122"/>
    </row>
    <row r="64" spans="2:17" ht="14.25" customHeight="1" x14ac:dyDescent="0.3">
      <c r="B64" s="23"/>
      <c r="D64" s="25"/>
      <c r="E64" s="25"/>
      <c r="M64" s="12"/>
      <c r="N64" s="122"/>
      <c r="O64" s="122"/>
      <c r="P64" s="122"/>
      <c r="Q64" s="122"/>
    </row>
    <row r="65" spans="2:17" ht="14.25" customHeight="1" x14ac:dyDescent="0.3">
      <c r="B65" s="23"/>
      <c r="D65" s="25"/>
      <c r="E65" s="25"/>
      <c r="M65" s="12"/>
      <c r="N65" s="122"/>
      <c r="O65" s="122"/>
      <c r="P65" s="122"/>
      <c r="Q65" s="122"/>
    </row>
    <row r="66" spans="2:17" ht="14.25" customHeight="1" x14ac:dyDescent="0.3">
      <c r="B66" s="23"/>
      <c r="D66" s="25"/>
      <c r="E66" s="25"/>
      <c r="M66" s="12"/>
      <c r="N66" s="122"/>
      <c r="O66" s="122"/>
      <c r="P66" s="122"/>
      <c r="Q66" s="122"/>
    </row>
    <row r="67" spans="2:17" ht="14.25" customHeight="1" x14ac:dyDescent="0.3">
      <c r="B67" s="23"/>
      <c r="D67" s="25"/>
      <c r="E67" s="25"/>
      <c r="M67" s="12"/>
      <c r="N67" s="122"/>
      <c r="O67" s="122"/>
      <c r="P67" s="122"/>
      <c r="Q67" s="122"/>
    </row>
    <row r="68" spans="2:17" ht="14.25" customHeight="1" x14ac:dyDescent="0.3">
      <c r="B68" s="23"/>
      <c r="D68" s="25"/>
      <c r="E68" s="25"/>
      <c r="M68" s="12"/>
      <c r="N68" s="122"/>
      <c r="O68" s="122"/>
      <c r="P68" s="122"/>
      <c r="Q68" s="122"/>
    </row>
    <row r="69" spans="2:17" ht="14.25" customHeight="1" x14ac:dyDescent="0.3">
      <c r="B69" s="23"/>
      <c r="D69" s="25"/>
      <c r="E69" s="25"/>
      <c r="M69" s="12"/>
      <c r="N69" s="122"/>
      <c r="O69" s="122"/>
      <c r="P69" s="122"/>
      <c r="Q69" s="122"/>
    </row>
    <row r="70" spans="2:17" ht="14.25" customHeight="1" x14ac:dyDescent="0.3">
      <c r="B70" s="23"/>
      <c r="D70" s="25"/>
      <c r="E70" s="25"/>
      <c r="M70" s="12"/>
      <c r="N70" s="122"/>
      <c r="O70" s="122"/>
      <c r="P70" s="122"/>
      <c r="Q70" s="122"/>
    </row>
    <row r="71" spans="2:17" ht="14.25" customHeight="1" x14ac:dyDescent="0.3">
      <c r="B71" s="23"/>
      <c r="D71" s="25"/>
      <c r="E71" s="25"/>
      <c r="M71" s="12"/>
      <c r="N71" s="122"/>
      <c r="O71" s="122"/>
      <c r="P71" s="122"/>
      <c r="Q71" s="122"/>
    </row>
    <row r="72" spans="2:17" ht="14.25" customHeight="1" x14ac:dyDescent="0.3">
      <c r="B72" s="23"/>
      <c r="D72" s="25"/>
      <c r="E72" s="25"/>
      <c r="M72" s="12"/>
      <c r="N72" s="122"/>
      <c r="O72" s="122"/>
      <c r="P72" s="122"/>
      <c r="Q72" s="122"/>
    </row>
    <row r="73" spans="2:17" ht="14.25" customHeight="1" x14ac:dyDescent="0.3">
      <c r="B73" s="23"/>
      <c r="D73" s="25"/>
      <c r="E73" s="25"/>
      <c r="M73" s="12"/>
      <c r="N73" s="122"/>
      <c r="O73" s="122"/>
      <c r="P73" s="122"/>
      <c r="Q73" s="122"/>
    </row>
    <row r="74" spans="2:17" ht="14.25" customHeight="1" x14ac:dyDescent="0.3">
      <c r="B74" s="23"/>
      <c r="D74" s="25"/>
      <c r="E74" s="25"/>
      <c r="M74" s="12"/>
      <c r="N74" s="122"/>
      <c r="O74" s="122"/>
      <c r="P74" s="122"/>
      <c r="Q74" s="122"/>
    </row>
    <row r="75" spans="2:17" ht="14.25" customHeight="1" x14ac:dyDescent="0.3">
      <c r="B75" s="23"/>
      <c r="D75" s="25"/>
      <c r="E75" s="25"/>
      <c r="M75" s="12"/>
      <c r="N75" s="122"/>
      <c r="O75" s="122"/>
      <c r="P75" s="122"/>
      <c r="Q75" s="122"/>
    </row>
    <row r="76" spans="2:17" ht="14.25" customHeight="1" x14ac:dyDescent="0.3">
      <c r="B76" s="23"/>
      <c r="D76" s="25"/>
      <c r="E76" s="25"/>
      <c r="M76" s="12"/>
      <c r="N76" s="122"/>
      <c r="O76" s="122"/>
      <c r="P76" s="122"/>
      <c r="Q76" s="122"/>
    </row>
    <row r="77" spans="2:17" ht="14.25" customHeight="1" x14ac:dyDescent="0.3">
      <c r="B77" s="23"/>
      <c r="D77" s="25"/>
      <c r="E77" s="25"/>
      <c r="M77" s="12"/>
      <c r="N77" s="122"/>
      <c r="O77" s="122"/>
      <c r="P77" s="122"/>
      <c r="Q77" s="122"/>
    </row>
    <row r="78" spans="2:17" ht="14.25" customHeight="1" x14ac:dyDescent="0.3">
      <c r="B78" s="23"/>
      <c r="D78" s="25"/>
      <c r="E78" s="25"/>
      <c r="M78" s="12"/>
      <c r="N78" s="122"/>
      <c r="O78" s="122"/>
      <c r="P78" s="122"/>
      <c r="Q78" s="122"/>
    </row>
    <row r="79" spans="2:17" ht="14.25" customHeight="1" x14ac:dyDescent="0.3">
      <c r="B79" s="23"/>
      <c r="D79" s="25"/>
      <c r="E79" s="25"/>
      <c r="M79" s="12"/>
      <c r="N79" s="122"/>
      <c r="O79" s="122"/>
      <c r="P79" s="122"/>
      <c r="Q79" s="122"/>
    </row>
    <row r="80" spans="2:17" ht="14.25" customHeight="1" x14ac:dyDescent="0.3">
      <c r="B80" s="23"/>
      <c r="D80" s="25"/>
      <c r="E80" s="25"/>
      <c r="M80" s="12"/>
      <c r="N80" s="122"/>
      <c r="O80" s="122"/>
      <c r="P80" s="122"/>
      <c r="Q80" s="122"/>
    </row>
    <row r="81" spans="2:17" ht="14.25" customHeight="1" x14ac:dyDescent="0.3">
      <c r="B81" s="23"/>
      <c r="D81" s="25"/>
      <c r="E81" s="25"/>
      <c r="M81" s="12"/>
      <c r="N81" s="122"/>
      <c r="O81" s="122"/>
      <c r="P81" s="122"/>
      <c r="Q81" s="122"/>
    </row>
    <row r="82" spans="2:17" ht="14.25" customHeight="1" x14ac:dyDescent="0.3">
      <c r="B82" s="23"/>
      <c r="D82" s="25"/>
      <c r="E82" s="25"/>
      <c r="M82" s="12"/>
      <c r="N82" s="122"/>
      <c r="O82" s="122"/>
      <c r="P82" s="122"/>
      <c r="Q82" s="122"/>
    </row>
    <row r="83" spans="2:17" ht="14.25" customHeight="1" x14ac:dyDescent="0.3">
      <c r="B83" s="23"/>
      <c r="D83" s="25"/>
      <c r="E83" s="25"/>
      <c r="M83" s="12"/>
      <c r="N83" s="122"/>
      <c r="O83" s="122"/>
      <c r="P83" s="122"/>
      <c r="Q83" s="122"/>
    </row>
    <row r="84" spans="2:17" ht="14.25" customHeight="1" x14ac:dyDescent="0.3">
      <c r="B84" s="23"/>
      <c r="D84" s="25"/>
      <c r="E84" s="25"/>
      <c r="M84" s="12"/>
      <c r="N84" s="122"/>
      <c r="O84" s="122"/>
      <c r="P84" s="122"/>
      <c r="Q84" s="122"/>
    </row>
    <row r="85" spans="2:17" ht="14.25" customHeight="1" x14ac:dyDescent="0.3">
      <c r="B85" s="23"/>
      <c r="D85" s="25"/>
      <c r="E85" s="25"/>
      <c r="M85" s="12"/>
      <c r="N85" s="122"/>
      <c r="O85" s="122"/>
      <c r="P85" s="122"/>
      <c r="Q85" s="122"/>
    </row>
    <row r="86" spans="2:17" ht="14.25" customHeight="1" x14ac:dyDescent="0.3">
      <c r="B86" s="23"/>
      <c r="D86" s="25"/>
      <c r="E86" s="25"/>
      <c r="M86" s="12"/>
      <c r="N86" s="122"/>
      <c r="O86" s="122"/>
      <c r="P86" s="122"/>
      <c r="Q86" s="122"/>
    </row>
    <row r="87" spans="2:17" ht="14.25" customHeight="1" x14ac:dyDescent="0.3">
      <c r="B87" s="23"/>
      <c r="D87" s="25"/>
      <c r="E87" s="25"/>
      <c r="M87" s="12"/>
      <c r="N87" s="122"/>
      <c r="O87" s="122"/>
      <c r="P87" s="122"/>
      <c r="Q87" s="122"/>
    </row>
    <row r="88" spans="2:17" ht="14.25" customHeight="1" x14ac:dyDescent="0.3">
      <c r="B88" s="23"/>
      <c r="D88" s="25"/>
      <c r="E88" s="25"/>
      <c r="M88" s="12"/>
      <c r="N88" s="122"/>
      <c r="O88" s="122"/>
      <c r="P88" s="122"/>
      <c r="Q88" s="122"/>
    </row>
    <row r="89" spans="2:17" ht="14.25" customHeight="1" x14ac:dyDescent="0.3">
      <c r="B89" s="23"/>
      <c r="D89" s="25"/>
      <c r="E89" s="25"/>
      <c r="M89" s="12"/>
      <c r="N89" s="122"/>
      <c r="O89" s="122"/>
      <c r="P89" s="122"/>
      <c r="Q89" s="122"/>
    </row>
    <row r="90" spans="2:17" ht="14.25" customHeight="1" x14ac:dyDescent="0.3">
      <c r="B90" s="23"/>
      <c r="D90" s="25"/>
      <c r="E90" s="25"/>
      <c r="M90" s="12"/>
      <c r="N90" s="122"/>
      <c r="O90" s="122"/>
      <c r="P90" s="122"/>
      <c r="Q90" s="122"/>
    </row>
    <row r="91" spans="2:17" ht="14.25" customHeight="1" x14ac:dyDescent="0.3">
      <c r="B91" s="23"/>
      <c r="D91" s="25"/>
      <c r="E91" s="25"/>
      <c r="M91" s="12"/>
      <c r="N91" s="122"/>
      <c r="O91" s="122"/>
      <c r="P91" s="122"/>
      <c r="Q91" s="122"/>
    </row>
    <row r="92" spans="2:17" ht="14.25" customHeight="1" x14ac:dyDescent="0.3">
      <c r="B92" s="23"/>
      <c r="D92" s="25"/>
      <c r="E92" s="25"/>
      <c r="M92" s="12"/>
      <c r="N92" s="122"/>
      <c r="O92" s="122"/>
      <c r="P92" s="122"/>
      <c r="Q92" s="122"/>
    </row>
    <row r="93" spans="2:17" ht="14.25" customHeight="1" x14ac:dyDescent="0.3">
      <c r="B93" s="23"/>
      <c r="D93" s="25"/>
      <c r="E93" s="25"/>
      <c r="M93" s="12"/>
      <c r="N93" s="122"/>
      <c r="O93" s="122"/>
      <c r="P93" s="122"/>
      <c r="Q93" s="122"/>
    </row>
    <row r="94" spans="2:17" ht="14.25" customHeight="1" x14ac:dyDescent="0.3">
      <c r="B94" s="23"/>
      <c r="D94" s="25"/>
      <c r="E94" s="25"/>
      <c r="M94" s="12"/>
      <c r="N94" s="122"/>
      <c r="O94" s="122"/>
      <c r="P94" s="122"/>
      <c r="Q94" s="122"/>
    </row>
    <row r="95" spans="2:17" ht="14.25" customHeight="1" x14ac:dyDescent="0.3">
      <c r="B95" s="23"/>
      <c r="D95" s="25"/>
      <c r="E95" s="25"/>
      <c r="M95" s="12"/>
      <c r="N95" s="122"/>
      <c r="O95" s="122"/>
      <c r="P95" s="122"/>
      <c r="Q95" s="122"/>
    </row>
    <row r="96" spans="2:17" ht="14.25" customHeight="1" x14ac:dyDescent="0.3">
      <c r="B96" s="23"/>
      <c r="D96" s="25"/>
      <c r="E96" s="25"/>
      <c r="M96" s="12"/>
      <c r="N96" s="122"/>
      <c r="O96" s="122"/>
      <c r="P96" s="122"/>
      <c r="Q96" s="122"/>
    </row>
    <row r="97" spans="2:17" ht="14.25" customHeight="1" x14ac:dyDescent="0.3">
      <c r="B97" s="23"/>
      <c r="D97" s="25"/>
      <c r="E97" s="25"/>
      <c r="M97" s="12"/>
      <c r="N97" s="122"/>
      <c r="O97" s="122"/>
      <c r="P97" s="122"/>
      <c r="Q97" s="122"/>
    </row>
    <row r="98" spans="2:17" ht="14.25" customHeight="1" x14ac:dyDescent="0.3">
      <c r="B98" s="23"/>
      <c r="D98" s="25"/>
      <c r="E98" s="25"/>
      <c r="M98" s="12"/>
      <c r="N98" s="122"/>
      <c r="O98" s="122"/>
      <c r="P98" s="122"/>
      <c r="Q98" s="122"/>
    </row>
    <row r="99" spans="2:17" ht="14.25" customHeight="1" x14ac:dyDescent="0.3">
      <c r="B99" s="23"/>
      <c r="D99" s="25"/>
      <c r="E99" s="25"/>
      <c r="M99" s="12"/>
      <c r="N99" s="122"/>
      <c r="O99" s="122"/>
      <c r="P99" s="122"/>
      <c r="Q99" s="122"/>
    </row>
    <row r="100" spans="2:17" ht="14.25" customHeight="1" x14ac:dyDescent="0.3">
      <c r="B100" s="23"/>
      <c r="D100" s="25"/>
      <c r="E100" s="25"/>
      <c r="M100" s="12"/>
      <c r="N100" s="122"/>
      <c r="O100" s="122"/>
      <c r="P100" s="122"/>
      <c r="Q100" s="122"/>
    </row>
    <row r="101" spans="2:17" ht="14.25" customHeight="1" x14ac:dyDescent="0.3">
      <c r="B101" s="23"/>
      <c r="D101" s="25"/>
      <c r="E101" s="25"/>
      <c r="M101" s="12"/>
      <c r="N101" s="122"/>
      <c r="O101" s="122"/>
      <c r="P101" s="122"/>
      <c r="Q101" s="122"/>
    </row>
    <row r="102" spans="2:17" ht="14.25" customHeight="1" x14ac:dyDescent="0.3">
      <c r="B102" s="23"/>
      <c r="D102" s="25"/>
      <c r="E102" s="25"/>
      <c r="M102" s="12"/>
      <c r="N102" s="122"/>
      <c r="O102" s="122"/>
      <c r="P102" s="122"/>
      <c r="Q102" s="122"/>
    </row>
    <row r="103" spans="2:17" ht="14.25" customHeight="1" x14ac:dyDescent="0.3">
      <c r="B103" s="23"/>
      <c r="D103" s="25"/>
      <c r="E103" s="25"/>
      <c r="M103" s="12"/>
      <c r="N103" s="122"/>
      <c r="O103" s="122"/>
      <c r="P103" s="122"/>
      <c r="Q103" s="122"/>
    </row>
    <row r="104" spans="2:17" ht="14.25" customHeight="1" x14ac:dyDescent="0.3">
      <c r="B104" s="23"/>
      <c r="D104" s="25"/>
      <c r="E104" s="25"/>
      <c r="M104" s="12"/>
      <c r="N104" s="122"/>
      <c r="O104" s="122"/>
      <c r="P104" s="122"/>
      <c r="Q104" s="122"/>
    </row>
    <row r="105" spans="2:17" ht="14.25" customHeight="1" x14ac:dyDescent="0.3">
      <c r="B105" s="23"/>
      <c r="D105" s="25"/>
      <c r="E105" s="25"/>
      <c r="M105" s="12"/>
      <c r="N105" s="122"/>
      <c r="O105" s="122"/>
      <c r="P105" s="122"/>
      <c r="Q105" s="122"/>
    </row>
    <row r="106" spans="2:17" ht="14.25" customHeight="1" x14ac:dyDescent="0.3">
      <c r="B106" s="23"/>
      <c r="D106" s="25"/>
      <c r="E106" s="25"/>
      <c r="M106" s="12"/>
      <c r="N106" s="122"/>
      <c r="O106" s="122"/>
      <c r="P106" s="122"/>
      <c r="Q106" s="122"/>
    </row>
    <row r="107" spans="2:17" ht="14.25" customHeight="1" x14ac:dyDescent="0.3">
      <c r="B107" s="23"/>
      <c r="D107" s="25"/>
      <c r="E107" s="25"/>
      <c r="M107" s="12"/>
      <c r="N107" s="122"/>
      <c r="O107" s="122"/>
      <c r="P107" s="122"/>
      <c r="Q107" s="122"/>
    </row>
    <row r="108" spans="2:17" ht="14.25" customHeight="1" x14ac:dyDescent="0.3">
      <c r="B108" s="23"/>
      <c r="D108" s="25"/>
      <c r="E108" s="25"/>
      <c r="M108" s="12"/>
      <c r="N108" s="122"/>
      <c r="O108" s="122"/>
      <c r="P108" s="122"/>
      <c r="Q108" s="122"/>
    </row>
    <row r="109" spans="2:17" ht="14.25" customHeight="1" x14ac:dyDescent="0.3">
      <c r="B109" s="23"/>
      <c r="D109" s="25"/>
      <c r="E109" s="25"/>
      <c r="M109" s="12"/>
      <c r="N109" s="122"/>
      <c r="O109" s="122"/>
      <c r="P109" s="122"/>
      <c r="Q109" s="122"/>
    </row>
    <row r="110" spans="2:17" ht="14.25" customHeight="1" x14ac:dyDescent="0.3">
      <c r="B110" s="23"/>
      <c r="D110" s="25"/>
      <c r="E110" s="25"/>
      <c r="M110" s="12"/>
      <c r="N110" s="122"/>
      <c r="O110" s="122"/>
      <c r="P110" s="122"/>
      <c r="Q110" s="122"/>
    </row>
    <row r="111" spans="2:17" ht="14.25" customHeight="1" x14ac:dyDescent="0.3">
      <c r="B111" s="23"/>
      <c r="D111" s="25"/>
      <c r="E111" s="25"/>
      <c r="M111" s="12"/>
      <c r="N111" s="122"/>
      <c r="O111" s="122"/>
      <c r="P111" s="122"/>
      <c r="Q111" s="122"/>
    </row>
    <row r="112" spans="2:17" ht="14.25" customHeight="1" x14ac:dyDescent="0.3">
      <c r="B112" s="23"/>
      <c r="D112" s="25"/>
      <c r="E112" s="25"/>
      <c r="M112" s="12"/>
      <c r="N112" s="122"/>
      <c r="O112" s="122"/>
      <c r="P112" s="122"/>
      <c r="Q112" s="122"/>
    </row>
    <row r="113" spans="2:17" ht="14.25" customHeight="1" x14ac:dyDescent="0.3">
      <c r="B113" s="23"/>
      <c r="D113" s="25"/>
      <c r="E113" s="25"/>
      <c r="M113" s="12"/>
      <c r="N113" s="122"/>
      <c r="O113" s="122"/>
      <c r="P113" s="122"/>
      <c r="Q113" s="122"/>
    </row>
    <row r="114" spans="2:17" ht="14.25" customHeight="1" x14ac:dyDescent="0.3">
      <c r="B114" s="23"/>
      <c r="D114" s="25"/>
      <c r="E114" s="25"/>
      <c r="M114" s="12"/>
      <c r="N114" s="122"/>
      <c r="O114" s="122"/>
      <c r="P114" s="122"/>
      <c r="Q114" s="122"/>
    </row>
    <row r="115" spans="2:17" ht="14.25" customHeight="1" x14ac:dyDescent="0.3">
      <c r="B115" s="23"/>
      <c r="D115" s="25"/>
      <c r="E115" s="25"/>
      <c r="M115" s="12"/>
      <c r="N115" s="122"/>
      <c r="O115" s="122"/>
      <c r="P115" s="122"/>
      <c r="Q115" s="122"/>
    </row>
    <row r="116" spans="2:17" ht="14.25" customHeight="1" x14ac:dyDescent="0.3">
      <c r="B116" s="23"/>
      <c r="D116" s="25"/>
      <c r="E116" s="25"/>
      <c r="M116" s="12"/>
      <c r="N116" s="122"/>
      <c r="O116" s="122"/>
      <c r="P116" s="122"/>
      <c r="Q116" s="122"/>
    </row>
    <row r="117" spans="2:17" ht="14.25" customHeight="1" x14ac:dyDescent="0.3">
      <c r="B117" s="23"/>
      <c r="D117" s="25"/>
      <c r="E117" s="25"/>
      <c r="M117" s="12"/>
      <c r="N117" s="122"/>
      <c r="O117" s="122"/>
      <c r="P117" s="122"/>
      <c r="Q117" s="122"/>
    </row>
    <row r="118" spans="2:17" ht="14.25" customHeight="1" x14ac:dyDescent="0.3">
      <c r="B118" s="23"/>
      <c r="D118" s="25"/>
      <c r="E118" s="25"/>
      <c r="M118" s="12"/>
      <c r="N118" s="122"/>
      <c r="O118" s="122"/>
      <c r="P118" s="122"/>
      <c r="Q118" s="122"/>
    </row>
    <row r="119" spans="2:17" ht="14.25" customHeight="1" x14ac:dyDescent="0.3">
      <c r="B119" s="23"/>
      <c r="D119" s="25"/>
      <c r="E119" s="25"/>
      <c r="M119" s="12"/>
      <c r="N119" s="122"/>
      <c r="O119" s="122"/>
      <c r="P119" s="122"/>
      <c r="Q119" s="122"/>
    </row>
    <row r="120" spans="2:17" ht="14.25" customHeight="1" x14ac:dyDescent="0.3">
      <c r="B120" s="23"/>
      <c r="D120" s="25"/>
      <c r="E120" s="25"/>
      <c r="M120" s="12"/>
      <c r="N120" s="122"/>
      <c r="O120" s="122"/>
      <c r="P120" s="122"/>
      <c r="Q120" s="122"/>
    </row>
    <row r="121" spans="2:17" ht="14.25" customHeight="1" x14ac:dyDescent="0.3">
      <c r="B121" s="23"/>
      <c r="D121" s="25"/>
      <c r="E121" s="25"/>
      <c r="M121" s="12"/>
      <c r="N121" s="122"/>
      <c r="O121" s="122"/>
      <c r="P121" s="122"/>
      <c r="Q121" s="122"/>
    </row>
    <row r="122" spans="2:17" ht="14.25" customHeight="1" x14ac:dyDescent="0.3">
      <c r="B122" s="23"/>
      <c r="D122" s="25"/>
      <c r="E122" s="25"/>
      <c r="M122" s="12"/>
      <c r="N122" s="122"/>
      <c r="O122" s="122"/>
      <c r="P122" s="122"/>
      <c r="Q122" s="122"/>
    </row>
    <row r="123" spans="2:17" ht="14.25" customHeight="1" x14ac:dyDescent="0.3">
      <c r="B123" s="23"/>
      <c r="D123" s="25"/>
      <c r="E123" s="25"/>
      <c r="M123" s="12"/>
      <c r="N123" s="122"/>
      <c r="O123" s="122"/>
      <c r="P123" s="122"/>
      <c r="Q123" s="122"/>
    </row>
    <row r="124" spans="2:17" ht="14.25" customHeight="1" x14ac:dyDescent="0.3">
      <c r="B124" s="23"/>
      <c r="D124" s="25"/>
      <c r="E124" s="25"/>
      <c r="M124" s="12"/>
      <c r="N124" s="122"/>
      <c r="O124" s="122"/>
      <c r="P124" s="122"/>
      <c r="Q124" s="122"/>
    </row>
    <row r="125" spans="2:17" ht="14.25" customHeight="1" x14ac:dyDescent="0.3">
      <c r="B125" s="23"/>
      <c r="D125" s="25"/>
      <c r="E125" s="25"/>
      <c r="M125" s="12"/>
      <c r="N125" s="122"/>
      <c r="O125" s="122"/>
      <c r="P125" s="122"/>
      <c r="Q125" s="122"/>
    </row>
    <row r="126" spans="2:17" ht="14.25" customHeight="1" x14ac:dyDescent="0.3">
      <c r="B126" s="23"/>
      <c r="D126" s="25"/>
      <c r="E126" s="25"/>
      <c r="M126" s="12"/>
      <c r="N126" s="122"/>
      <c r="O126" s="122"/>
      <c r="P126" s="122"/>
      <c r="Q126" s="122"/>
    </row>
    <row r="127" spans="2:17" ht="14.25" customHeight="1" x14ac:dyDescent="0.3">
      <c r="B127" s="23"/>
      <c r="D127" s="25"/>
      <c r="E127" s="25"/>
      <c r="M127" s="12"/>
      <c r="N127" s="122"/>
      <c r="O127" s="122"/>
      <c r="P127" s="122"/>
      <c r="Q127" s="122"/>
    </row>
    <row r="128" spans="2:17" ht="14.25" customHeight="1" x14ac:dyDescent="0.3">
      <c r="B128" s="23"/>
      <c r="D128" s="25"/>
      <c r="E128" s="25"/>
      <c r="M128" s="12"/>
      <c r="N128" s="122"/>
      <c r="O128" s="122"/>
      <c r="P128" s="122"/>
      <c r="Q128" s="122"/>
    </row>
    <row r="129" spans="2:17" ht="14.25" customHeight="1" x14ac:dyDescent="0.3">
      <c r="B129" s="23"/>
      <c r="D129" s="25"/>
      <c r="E129" s="25"/>
      <c r="M129" s="12"/>
      <c r="N129" s="122"/>
      <c r="O129" s="122"/>
      <c r="P129" s="122"/>
      <c r="Q129" s="122"/>
    </row>
    <row r="130" spans="2:17" ht="14.25" customHeight="1" x14ac:dyDescent="0.3">
      <c r="B130" s="23"/>
      <c r="D130" s="25"/>
      <c r="E130" s="25"/>
      <c r="M130" s="12"/>
      <c r="N130" s="122"/>
      <c r="O130" s="122"/>
      <c r="P130" s="122"/>
      <c r="Q130" s="122"/>
    </row>
    <row r="131" spans="2:17" ht="14.25" customHeight="1" x14ac:dyDescent="0.3">
      <c r="B131" s="23"/>
      <c r="D131" s="25"/>
      <c r="E131" s="25"/>
      <c r="M131" s="12"/>
      <c r="N131" s="122"/>
      <c r="O131" s="122"/>
      <c r="P131" s="122"/>
      <c r="Q131" s="122"/>
    </row>
    <row r="132" spans="2:17" ht="14.25" customHeight="1" x14ac:dyDescent="0.3">
      <c r="B132" s="23"/>
      <c r="D132" s="25"/>
      <c r="E132" s="25"/>
      <c r="M132" s="12"/>
      <c r="N132" s="122"/>
      <c r="O132" s="122"/>
      <c r="P132" s="122"/>
      <c r="Q132" s="122"/>
    </row>
    <row r="133" spans="2:17" ht="14.25" customHeight="1" x14ac:dyDescent="0.3">
      <c r="B133" s="23"/>
      <c r="D133" s="25"/>
      <c r="E133" s="25"/>
      <c r="M133" s="12"/>
      <c r="N133" s="122"/>
      <c r="O133" s="122"/>
      <c r="P133" s="122"/>
      <c r="Q133" s="122"/>
    </row>
    <row r="134" spans="2:17" ht="14.25" customHeight="1" x14ac:dyDescent="0.3">
      <c r="B134" s="23"/>
      <c r="D134" s="25"/>
      <c r="E134" s="25"/>
      <c r="M134" s="12"/>
      <c r="N134" s="122"/>
      <c r="O134" s="122"/>
      <c r="P134" s="122"/>
      <c r="Q134" s="122"/>
    </row>
    <row r="135" spans="2:17" ht="14.25" customHeight="1" x14ac:dyDescent="0.3">
      <c r="B135" s="23"/>
      <c r="D135" s="25"/>
      <c r="E135" s="25"/>
      <c r="M135" s="12"/>
      <c r="N135" s="122"/>
      <c r="O135" s="122"/>
      <c r="P135" s="122"/>
      <c r="Q135" s="122"/>
    </row>
    <row r="136" spans="2:17" ht="14.25" customHeight="1" x14ac:dyDescent="0.3">
      <c r="B136" s="23"/>
      <c r="D136" s="25"/>
      <c r="E136" s="25"/>
      <c r="M136" s="12"/>
      <c r="N136" s="122"/>
      <c r="O136" s="122"/>
      <c r="P136" s="122"/>
      <c r="Q136" s="122"/>
    </row>
    <row r="137" spans="2:17" ht="14.25" customHeight="1" x14ac:dyDescent="0.3">
      <c r="B137" s="23"/>
      <c r="D137" s="25"/>
      <c r="E137" s="25"/>
      <c r="M137" s="12"/>
      <c r="N137" s="122"/>
      <c r="O137" s="122"/>
      <c r="P137" s="122"/>
      <c r="Q137" s="122"/>
    </row>
    <row r="138" spans="2:17" ht="14.25" customHeight="1" x14ac:dyDescent="0.3">
      <c r="B138" s="23"/>
      <c r="D138" s="25"/>
      <c r="E138" s="25"/>
      <c r="M138" s="12"/>
      <c r="N138" s="122"/>
      <c r="O138" s="122"/>
      <c r="P138" s="122"/>
      <c r="Q138" s="122"/>
    </row>
    <row r="139" spans="2:17" ht="14.25" customHeight="1" x14ac:dyDescent="0.3">
      <c r="B139" s="23"/>
      <c r="D139" s="25"/>
      <c r="E139" s="25"/>
      <c r="M139" s="12"/>
      <c r="N139" s="122"/>
      <c r="O139" s="122"/>
      <c r="P139" s="122"/>
      <c r="Q139" s="122"/>
    </row>
    <row r="140" spans="2:17" ht="14.25" customHeight="1" x14ac:dyDescent="0.3">
      <c r="B140" s="23"/>
      <c r="D140" s="25"/>
      <c r="E140" s="25"/>
      <c r="M140" s="12"/>
      <c r="N140" s="122"/>
      <c r="O140" s="122"/>
      <c r="P140" s="122"/>
      <c r="Q140" s="122"/>
    </row>
    <row r="141" spans="2:17" ht="14.25" customHeight="1" x14ac:dyDescent="0.3">
      <c r="B141" s="23"/>
      <c r="D141" s="25"/>
      <c r="E141" s="25"/>
      <c r="M141" s="12"/>
      <c r="N141" s="122"/>
      <c r="O141" s="122"/>
      <c r="P141" s="122"/>
      <c r="Q141" s="122"/>
    </row>
    <row r="142" spans="2:17" ht="14.25" customHeight="1" x14ac:dyDescent="0.3">
      <c r="B142" s="23"/>
      <c r="D142" s="25"/>
      <c r="E142" s="25"/>
      <c r="M142" s="12"/>
      <c r="N142" s="122"/>
      <c r="O142" s="122"/>
      <c r="P142" s="122"/>
      <c r="Q142" s="122"/>
    </row>
    <row r="143" spans="2:17" ht="14.25" customHeight="1" x14ac:dyDescent="0.3">
      <c r="B143" s="23"/>
      <c r="D143" s="25"/>
      <c r="E143" s="25"/>
      <c r="M143" s="12"/>
      <c r="N143" s="122"/>
      <c r="O143" s="122"/>
      <c r="P143" s="122"/>
      <c r="Q143" s="122"/>
    </row>
    <row r="144" spans="2:17" ht="14.25" customHeight="1" x14ac:dyDescent="0.3">
      <c r="B144" s="23"/>
      <c r="D144" s="25"/>
      <c r="E144" s="25"/>
      <c r="M144" s="12"/>
      <c r="N144" s="122"/>
      <c r="O144" s="122"/>
      <c r="P144" s="122"/>
      <c r="Q144" s="122"/>
    </row>
    <row r="145" spans="2:17" ht="14.25" customHeight="1" x14ac:dyDescent="0.3">
      <c r="B145" s="23"/>
      <c r="D145" s="25"/>
      <c r="E145" s="25"/>
      <c r="M145" s="12"/>
      <c r="N145" s="122"/>
      <c r="O145" s="122"/>
      <c r="P145" s="122"/>
      <c r="Q145" s="122"/>
    </row>
    <row r="146" spans="2:17" ht="14.25" customHeight="1" x14ac:dyDescent="0.3">
      <c r="B146" s="23"/>
      <c r="D146" s="25"/>
      <c r="E146" s="25"/>
      <c r="M146" s="12"/>
      <c r="N146" s="122"/>
      <c r="O146" s="122"/>
      <c r="P146" s="122"/>
      <c r="Q146" s="122"/>
    </row>
    <row r="147" spans="2:17" ht="14.25" customHeight="1" x14ac:dyDescent="0.3">
      <c r="B147" s="23"/>
      <c r="D147" s="25"/>
      <c r="E147" s="25"/>
      <c r="M147" s="12"/>
      <c r="N147" s="122"/>
      <c r="O147" s="122"/>
      <c r="P147" s="122"/>
      <c r="Q147" s="122"/>
    </row>
    <row r="148" spans="2:17" ht="14.25" customHeight="1" x14ac:dyDescent="0.3">
      <c r="B148" s="23"/>
      <c r="D148" s="25"/>
      <c r="E148" s="25"/>
      <c r="M148" s="12"/>
      <c r="N148" s="122"/>
      <c r="O148" s="122"/>
      <c r="P148" s="122"/>
      <c r="Q148" s="122"/>
    </row>
    <row r="149" spans="2:17" ht="14.25" customHeight="1" x14ac:dyDescent="0.3">
      <c r="B149" s="23"/>
      <c r="D149" s="25"/>
      <c r="E149" s="25"/>
      <c r="M149" s="12"/>
      <c r="N149" s="122"/>
      <c r="O149" s="122"/>
      <c r="P149" s="122"/>
      <c r="Q149" s="122"/>
    </row>
    <row r="150" spans="2:17" ht="14.25" customHeight="1" x14ac:dyDescent="0.3">
      <c r="B150" s="23"/>
      <c r="D150" s="25"/>
      <c r="E150" s="25"/>
      <c r="M150" s="12"/>
      <c r="N150" s="122"/>
      <c r="O150" s="122"/>
      <c r="P150" s="122"/>
      <c r="Q150" s="122"/>
    </row>
    <row r="151" spans="2:17" ht="14.25" customHeight="1" x14ac:dyDescent="0.3">
      <c r="B151" s="23"/>
      <c r="D151" s="25"/>
      <c r="E151" s="25"/>
      <c r="M151" s="12"/>
      <c r="N151" s="122"/>
      <c r="O151" s="122"/>
      <c r="P151" s="122"/>
      <c r="Q151" s="122"/>
    </row>
    <row r="152" spans="2:17" ht="14.25" customHeight="1" x14ac:dyDescent="0.3">
      <c r="B152" s="23"/>
      <c r="D152" s="25"/>
      <c r="E152" s="25"/>
      <c r="M152" s="12"/>
      <c r="N152" s="122"/>
      <c r="O152" s="122"/>
      <c r="P152" s="122"/>
      <c r="Q152" s="122"/>
    </row>
    <row r="153" spans="2:17" ht="14.25" customHeight="1" x14ac:dyDescent="0.3">
      <c r="B153" s="23"/>
      <c r="D153" s="25"/>
      <c r="E153" s="25"/>
      <c r="M153" s="12"/>
      <c r="N153" s="122"/>
      <c r="O153" s="122"/>
      <c r="P153" s="122"/>
      <c r="Q153" s="122"/>
    </row>
    <row r="154" spans="2:17" ht="14.25" customHeight="1" x14ac:dyDescent="0.3">
      <c r="B154" s="23"/>
      <c r="D154" s="25"/>
      <c r="E154" s="25"/>
      <c r="M154" s="12"/>
      <c r="N154" s="122"/>
      <c r="O154" s="122"/>
      <c r="P154" s="122"/>
      <c r="Q154" s="122"/>
    </row>
    <row r="155" spans="2:17" ht="14.25" customHeight="1" x14ac:dyDescent="0.3">
      <c r="B155" s="23"/>
      <c r="D155" s="25"/>
      <c r="E155" s="25"/>
      <c r="M155" s="12"/>
      <c r="N155" s="122"/>
      <c r="O155" s="122"/>
      <c r="P155" s="122"/>
      <c r="Q155" s="122"/>
    </row>
    <row r="156" spans="2:17" ht="14.25" customHeight="1" x14ac:dyDescent="0.3">
      <c r="B156" s="23"/>
      <c r="D156" s="25"/>
      <c r="E156" s="25"/>
      <c r="M156" s="12"/>
      <c r="N156" s="122"/>
      <c r="O156" s="122"/>
      <c r="P156" s="122"/>
      <c r="Q156" s="122"/>
    </row>
    <row r="157" spans="2:17" ht="14.25" customHeight="1" x14ac:dyDescent="0.3">
      <c r="B157" s="23"/>
      <c r="D157" s="25"/>
      <c r="E157" s="25"/>
      <c r="M157" s="12"/>
      <c r="N157" s="122"/>
      <c r="O157" s="122"/>
      <c r="P157" s="122"/>
      <c r="Q157" s="122"/>
    </row>
    <row r="158" spans="2:17" ht="14.25" customHeight="1" x14ac:dyDescent="0.3">
      <c r="B158" s="23"/>
      <c r="D158" s="25"/>
      <c r="E158" s="25"/>
      <c r="M158" s="12"/>
      <c r="N158" s="122"/>
      <c r="O158" s="122"/>
      <c r="P158" s="122"/>
      <c r="Q158" s="122"/>
    </row>
    <row r="159" spans="2:17" ht="14.25" customHeight="1" x14ac:dyDescent="0.3">
      <c r="B159" s="23"/>
      <c r="D159" s="25"/>
      <c r="E159" s="25"/>
      <c r="M159" s="12"/>
      <c r="N159" s="122"/>
      <c r="O159" s="122"/>
      <c r="P159" s="122"/>
      <c r="Q159" s="122"/>
    </row>
    <row r="160" spans="2:17" ht="14.25" customHeight="1" x14ac:dyDescent="0.3">
      <c r="B160" s="23"/>
      <c r="D160" s="25"/>
      <c r="E160" s="25"/>
      <c r="M160" s="12"/>
      <c r="N160" s="122"/>
      <c r="O160" s="122"/>
      <c r="P160" s="122"/>
      <c r="Q160" s="122"/>
    </row>
    <row r="161" spans="2:17" ht="14.25" customHeight="1" x14ac:dyDescent="0.3">
      <c r="B161" s="23"/>
      <c r="D161" s="25"/>
      <c r="E161" s="25"/>
      <c r="M161" s="12"/>
      <c r="N161" s="122"/>
      <c r="O161" s="122"/>
      <c r="P161" s="122"/>
      <c r="Q161" s="122"/>
    </row>
    <row r="162" spans="2:17" ht="14.25" customHeight="1" x14ac:dyDescent="0.3">
      <c r="B162" s="23"/>
      <c r="D162" s="25"/>
      <c r="E162" s="25"/>
      <c r="M162" s="12"/>
      <c r="N162" s="122"/>
      <c r="O162" s="122"/>
      <c r="P162" s="122"/>
      <c r="Q162" s="122"/>
    </row>
    <row r="163" spans="2:17" ht="14.25" customHeight="1" x14ac:dyDescent="0.3">
      <c r="B163" s="23"/>
      <c r="D163" s="25"/>
      <c r="E163" s="25"/>
      <c r="M163" s="12"/>
      <c r="N163" s="122"/>
      <c r="O163" s="122"/>
      <c r="P163" s="122"/>
      <c r="Q163" s="122"/>
    </row>
    <row r="164" spans="2:17" ht="14.25" customHeight="1" x14ac:dyDescent="0.3">
      <c r="B164" s="23"/>
      <c r="D164" s="25"/>
      <c r="E164" s="25"/>
      <c r="M164" s="12"/>
      <c r="N164" s="122"/>
      <c r="O164" s="122"/>
      <c r="P164" s="122"/>
      <c r="Q164" s="122"/>
    </row>
    <row r="165" spans="2:17" ht="14.25" customHeight="1" x14ac:dyDescent="0.3">
      <c r="B165" s="23"/>
      <c r="D165" s="25"/>
      <c r="E165" s="25"/>
      <c r="M165" s="12"/>
      <c r="N165" s="122"/>
      <c r="O165" s="122"/>
      <c r="P165" s="122"/>
      <c r="Q165" s="122"/>
    </row>
    <row r="166" spans="2:17" ht="14.25" customHeight="1" x14ac:dyDescent="0.3">
      <c r="B166" s="23"/>
      <c r="D166" s="25"/>
      <c r="E166" s="25"/>
      <c r="M166" s="12"/>
      <c r="N166" s="122"/>
      <c r="O166" s="122"/>
      <c r="P166" s="122"/>
      <c r="Q166" s="122"/>
    </row>
    <row r="167" spans="2:17" ht="14.25" customHeight="1" x14ac:dyDescent="0.3">
      <c r="B167" s="23"/>
      <c r="D167" s="25"/>
      <c r="E167" s="25"/>
      <c r="M167" s="12"/>
      <c r="N167" s="122"/>
      <c r="O167" s="122"/>
      <c r="P167" s="122"/>
      <c r="Q167" s="122"/>
    </row>
    <row r="168" spans="2:17" ht="14.25" customHeight="1" x14ac:dyDescent="0.3">
      <c r="B168" s="23"/>
      <c r="D168" s="25"/>
      <c r="E168" s="25"/>
      <c r="M168" s="12"/>
      <c r="N168" s="122"/>
      <c r="O168" s="122"/>
      <c r="P168" s="122"/>
      <c r="Q168" s="122"/>
    </row>
    <row r="169" spans="2:17" ht="14.25" customHeight="1" x14ac:dyDescent="0.3">
      <c r="B169" s="23"/>
      <c r="D169" s="25"/>
      <c r="E169" s="25"/>
      <c r="M169" s="12"/>
      <c r="N169" s="122"/>
      <c r="O169" s="122"/>
      <c r="P169" s="122"/>
      <c r="Q169" s="122"/>
    </row>
    <row r="170" spans="2:17" ht="14.25" customHeight="1" x14ac:dyDescent="0.3">
      <c r="B170" s="23"/>
      <c r="D170" s="25"/>
      <c r="E170" s="25"/>
      <c r="M170" s="12"/>
      <c r="N170" s="122"/>
      <c r="O170" s="122"/>
      <c r="P170" s="122"/>
      <c r="Q170" s="122"/>
    </row>
    <row r="171" spans="2:17" ht="14.25" customHeight="1" x14ac:dyDescent="0.3">
      <c r="B171" s="23"/>
      <c r="D171" s="25"/>
      <c r="E171" s="25"/>
      <c r="M171" s="12"/>
      <c r="N171" s="122"/>
      <c r="O171" s="122"/>
      <c r="P171" s="122"/>
      <c r="Q171" s="122"/>
    </row>
    <row r="172" spans="2:17" ht="14.25" customHeight="1" x14ac:dyDescent="0.3">
      <c r="B172" s="23"/>
      <c r="D172" s="25"/>
      <c r="E172" s="25"/>
      <c r="M172" s="12"/>
      <c r="N172" s="122"/>
      <c r="O172" s="122"/>
      <c r="P172" s="122"/>
      <c r="Q172" s="122"/>
    </row>
    <row r="173" spans="2:17" ht="14.25" customHeight="1" x14ac:dyDescent="0.3">
      <c r="B173" s="23"/>
      <c r="D173" s="25"/>
      <c r="E173" s="25"/>
      <c r="M173" s="12"/>
      <c r="N173" s="122"/>
      <c r="O173" s="122"/>
      <c r="P173" s="122"/>
      <c r="Q173" s="122"/>
    </row>
    <row r="174" spans="2:17" ht="14.25" customHeight="1" x14ac:dyDescent="0.3">
      <c r="B174" s="23"/>
      <c r="D174" s="25"/>
      <c r="E174" s="25"/>
      <c r="M174" s="12"/>
      <c r="N174" s="122"/>
      <c r="O174" s="122"/>
      <c r="P174" s="122"/>
      <c r="Q174" s="122"/>
    </row>
    <row r="175" spans="2:17" ht="14.25" customHeight="1" x14ac:dyDescent="0.3">
      <c r="B175" s="23"/>
      <c r="D175" s="25"/>
      <c r="E175" s="25"/>
      <c r="M175" s="12"/>
      <c r="N175" s="122"/>
      <c r="O175" s="122"/>
      <c r="P175" s="122"/>
      <c r="Q175" s="122"/>
    </row>
    <row r="176" spans="2:17" ht="14.25" customHeight="1" x14ac:dyDescent="0.3">
      <c r="B176" s="23"/>
      <c r="D176" s="25"/>
      <c r="E176" s="25"/>
      <c r="M176" s="12"/>
      <c r="N176" s="122"/>
      <c r="O176" s="122"/>
      <c r="P176" s="122"/>
      <c r="Q176" s="122"/>
    </row>
    <row r="177" spans="2:17" ht="14.25" customHeight="1" x14ac:dyDescent="0.3">
      <c r="B177" s="23"/>
      <c r="D177" s="25"/>
      <c r="E177" s="25"/>
      <c r="M177" s="12"/>
      <c r="N177" s="122"/>
      <c r="O177" s="122"/>
      <c r="P177" s="122"/>
      <c r="Q177" s="122"/>
    </row>
    <row r="178" spans="2:17" ht="14.25" customHeight="1" x14ac:dyDescent="0.3">
      <c r="B178" s="23"/>
      <c r="D178" s="25"/>
      <c r="E178" s="25"/>
      <c r="M178" s="12"/>
      <c r="N178" s="122"/>
      <c r="O178" s="122"/>
      <c r="P178" s="122"/>
      <c r="Q178" s="122"/>
    </row>
    <row r="179" spans="2:17" ht="14.25" customHeight="1" x14ac:dyDescent="0.3">
      <c r="B179" s="23"/>
      <c r="D179" s="25"/>
      <c r="E179" s="25"/>
      <c r="M179" s="12"/>
      <c r="N179" s="122"/>
      <c r="O179" s="122"/>
      <c r="P179" s="122"/>
      <c r="Q179" s="122"/>
    </row>
    <row r="180" spans="2:17" ht="14.25" customHeight="1" x14ac:dyDescent="0.3">
      <c r="B180" s="23"/>
      <c r="D180" s="25"/>
      <c r="E180" s="25"/>
      <c r="M180" s="12"/>
      <c r="N180" s="122"/>
      <c r="O180" s="122"/>
      <c r="P180" s="122"/>
      <c r="Q180" s="122"/>
    </row>
    <row r="181" spans="2:17" ht="14.25" customHeight="1" x14ac:dyDescent="0.3">
      <c r="B181" s="23"/>
      <c r="D181" s="25"/>
      <c r="E181" s="25"/>
      <c r="M181" s="12"/>
      <c r="N181" s="122"/>
      <c r="O181" s="122"/>
      <c r="P181" s="122"/>
      <c r="Q181" s="122"/>
    </row>
    <row r="182" spans="2:17" ht="14.25" customHeight="1" x14ac:dyDescent="0.3">
      <c r="B182" s="23"/>
      <c r="D182" s="25"/>
      <c r="E182" s="25"/>
      <c r="M182" s="12"/>
      <c r="N182" s="122"/>
      <c r="O182" s="122"/>
      <c r="P182" s="122"/>
      <c r="Q182" s="122"/>
    </row>
    <row r="183" spans="2:17" ht="14.25" customHeight="1" x14ac:dyDescent="0.3">
      <c r="B183" s="23"/>
      <c r="D183" s="25"/>
      <c r="E183" s="25"/>
      <c r="M183" s="12"/>
      <c r="N183" s="122"/>
      <c r="O183" s="122"/>
      <c r="P183" s="122"/>
      <c r="Q183" s="122"/>
    </row>
    <row r="184" spans="2:17" ht="14.25" customHeight="1" x14ac:dyDescent="0.3">
      <c r="B184" s="23"/>
      <c r="D184" s="25"/>
      <c r="E184" s="25"/>
      <c r="M184" s="12"/>
      <c r="N184" s="122"/>
      <c r="O184" s="122"/>
      <c r="P184" s="122"/>
      <c r="Q184" s="122"/>
    </row>
    <row r="185" spans="2:17" ht="14.25" customHeight="1" x14ac:dyDescent="0.3">
      <c r="B185" s="23"/>
      <c r="D185" s="25"/>
      <c r="E185" s="25"/>
      <c r="M185" s="12"/>
      <c r="N185" s="122"/>
      <c r="O185" s="122"/>
      <c r="P185" s="122"/>
      <c r="Q185" s="122"/>
    </row>
    <row r="186" spans="2:17" ht="14.25" customHeight="1" x14ac:dyDescent="0.3">
      <c r="B186" s="23"/>
      <c r="D186" s="25"/>
      <c r="E186" s="25"/>
      <c r="M186" s="12"/>
      <c r="N186" s="122"/>
      <c r="O186" s="122"/>
      <c r="P186" s="122"/>
      <c r="Q186" s="122"/>
    </row>
    <row r="187" spans="2:17" ht="14.25" customHeight="1" x14ac:dyDescent="0.3">
      <c r="B187" s="23"/>
      <c r="D187" s="25"/>
      <c r="E187" s="25"/>
      <c r="M187" s="12"/>
      <c r="N187" s="122"/>
      <c r="O187" s="122"/>
      <c r="P187" s="122"/>
      <c r="Q187" s="122"/>
    </row>
    <row r="188" spans="2:17" ht="14.25" customHeight="1" x14ac:dyDescent="0.3">
      <c r="B188" s="23"/>
      <c r="D188" s="25"/>
      <c r="E188" s="25"/>
      <c r="M188" s="12"/>
      <c r="N188" s="122"/>
      <c r="O188" s="122"/>
      <c r="P188" s="122"/>
      <c r="Q188" s="122"/>
    </row>
    <row r="189" spans="2:17" ht="14.25" customHeight="1" x14ac:dyDescent="0.3">
      <c r="B189" s="23"/>
      <c r="D189" s="25"/>
      <c r="E189" s="25"/>
      <c r="M189" s="12"/>
      <c r="N189" s="122"/>
      <c r="O189" s="122"/>
      <c r="P189" s="122"/>
      <c r="Q189" s="122"/>
    </row>
    <row r="190" spans="2:17" ht="14.25" customHeight="1" x14ac:dyDescent="0.3">
      <c r="B190" s="23"/>
      <c r="D190" s="25"/>
      <c r="E190" s="25"/>
      <c r="M190" s="12"/>
      <c r="N190" s="122"/>
      <c r="O190" s="122"/>
      <c r="P190" s="122"/>
      <c r="Q190" s="122"/>
    </row>
    <row r="191" spans="2:17" ht="14.25" customHeight="1" x14ac:dyDescent="0.3">
      <c r="B191" s="23"/>
      <c r="D191" s="25"/>
      <c r="E191" s="25"/>
      <c r="M191" s="12"/>
      <c r="N191" s="122"/>
      <c r="O191" s="122"/>
      <c r="P191" s="122"/>
      <c r="Q191" s="122"/>
    </row>
    <row r="192" spans="2:17" ht="14.25" customHeight="1" x14ac:dyDescent="0.3">
      <c r="B192" s="23"/>
      <c r="D192" s="25"/>
      <c r="E192" s="25"/>
      <c r="M192" s="12"/>
      <c r="N192" s="122"/>
      <c r="O192" s="122"/>
      <c r="P192" s="122"/>
      <c r="Q192" s="122"/>
    </row>
    <row r="193" spans="2:17" ht="14.25" customHeight="1" x14ac:dyDescent="0.3">
      <c r="B193" s="23"/>
      <c r="D193" s="25"/>
      <c r="E193" s="25"/>
      <c r="M193" s="12"/>
      <c r="N193" s="122"/>
      <c r="O193" s="122"/>
      <c r="P193" s="122"/>
      <c r="Q193" s="122"/>
    </row>
    <row r="194" spans="2:17" ht="14.25" customHeight="1" x14ac:dyDescent="0.3">
      <c r="B194" s="23"/>
      <c r="D194" s="25"/>
      <c r="E194" s="25"/>
      <c r="M194" s="12"/>
      <c r="N194" s="122"/>
      <c r="O194" s="122"/>
      <c r="P194" s="122"/>
      <c r="Q194" s="122"/>
    </row>
    <row r="195" spans="2:17" ht="14.25" customHeight="1" x14ac:dyDescent="0.3">
      <c r="B195" s="23"/>
      <c r="D195" s="25"/>
      <c r="E195" s="25"/>
      <c r="M195" s="12"/>
      <c r="N195" s="122"/>
      <c r="O195" s="122"/>
      <c r="P195" s="122"/>
      <c r="Q195" s="122"/>
    </row>
    <row r="196" spans="2:17" ht="14.25" customHeight="1" x14ac:dyDescent="0.3">
      <c r="B196" s="23"/>
      <c r="D196" s="25"/>
      <c r="E196" s="25"/>
      <c r="M196" s="12"/>
      <c r="N196" s="122"/>
      <c r="O196" s="122"/>
      <c r="P196" s="122"/>
      <c r="Q196" s="122"/>
    </row>
    <row r="197" spans="2:17" ht="14.25" customHeight="1" x14ac:dyDescent="0.3">
      <c r="B197" s="23"/>
      <c r="D197" s="25"/>
      <c r="E197" s="25"/>
      <c r="M197" s="12"/>
      <c r="N197" s="122"/>
      <c r="O197" s="122"/>
      <c r="P197" s="122"/>
      <c r="Q197" s="122"/>
    </row>
    <row r="198" spans="2:17" ht="14.25" customHeight="1" x14ac:dyDescent="0.3">
      <c r="B198" s="23"/>
      <c r="D198" s="25"/>
      <c r="E198" s="25"/>
      <c r="M198" s="12"/>
      <c r="N198" s="122"/>
      <c r="O198" s="122"/>
      <c r="P198" s="122"/>
      <c r="Q198" s="122"/>
    </row>
    <row r="199" spans="2:17" ht="14.25" customHeight="1" x14ac:dyDescent="0.3">
      <c r="B199" s="23"/>
      <c r="D199" s="25"/>
      <c r="E199" s="25"/>
      <c r="M199" s="12"/>
      <c r="N199" s="122"/>
      <c r="O199" s="122"/>
      <c r="P199" s="122"/>
      <c r="Q199" s="122"/>
    </row>
    <row r="200" spans="2:17" ht="14.25" customHeight="1" x14ac:dyDescent="0.3">
      <c r="B200" s="23"/>
      <c r="D200" s="25"/>
      <c r="E200" s="25"/>
      <c r="M200" s="12"/>
      <c r="N200" s="122"/>
      <c r="O200" s="122"/>
      <c r="P200" s="122"/>
      <c r="Q200" s="122"/>
    </row>
    <row r="201" spans="2:17" ht="14.25" customHeight="1" x14ac:dyDescent="0.3">
      <c r="B201" s="23"/>
      <c r="D201" s="25"/>
      <c r="E201" s="25"/>
      <c r="M201" s="12"/>
      <c r="N201" s="122"/>
      <c r="O201" s="122"/>
      <c r="P201" s="122"/>
      <c r="Q201" s="122"/>
    </row>
    <row r="202" spans="2:17" ht="14.25" customHeight="1" x14ac:dyDescent="0.3">
      <c r="B202" s="23"/>
      <c r="D202" s="25"/>
      <c r="E202" s="25"/>
      <c r="M202" s="12"/>
      <c r="N202" s="122"/>
      <c r="O202" s="122"/>
      <c r="P202" s="122"/>
      <c r="Q202" s="122"/>
    </row>
    <row r="203" spans="2:17" ht="14.25" customHeight="1" x14ac:dyDescent="0.3">
      <c r="B203" s="23"/>
      <c r="D203" s="25"/>
      <c r="E203" s="25"/>
      <c r="M203" s="12"/>
      <c r="N203" s="122"/>
      <c r="O203" s="122"/>
      <c r="P203" s="122"/>
      <c r="Q203" s="122"/>
    </row>
    <row r="204" spans="2:17" ht="14.25" customHeight="1" x14ac:dyDescent="0.3">
      <c r="B204" s="23"/>
      <c r="D204" s="25"/>
      <c r="E204" s="25"/>
      <c r="M204" s="12"/>
      <c r="N204" s="122"/>
      <c r="O204" s="122"/>
      <c r="P204" s="122"/>
      <c r="Q204" s="122"/>
    </row>
    <row r="205" spans="2:17" ht="14.25" customHeight="1" x14ac:dyDescent="0.3">
      <c r="B205" s="23"/>
      <c r="D205" s="25"/>
      <c r="E205" s="25"/>
      <c r="M205" s="12"/>
      <c r="N205" s="122"/>
      <c r="O205" s="122"/>
      <c r="P205" s="122"/>
      <c r="Q205" s="122"/>
    </row>
    <row r="206" spans="2:17" ht="14.25" customHeight="1" x14ac:dyDescent="0.3">
      <c r="B206" s="23"/>
      <c r="D206" s="25"/>
      <c r="E206" s="25"/>
      <c r="M206" s="12"/>
      <c r="N206" s="122"/>
      <c r="O206" s="122"/>
      <c r="P206" s="122"/>
      <c r="Q206" s="122"/>
    </row>
    <row r="207" spans="2:17" ht="14.25" customHeight="1" x14ac:dyDescent="0.3">
      <c r="B207" s="23"/>
      <c r="D207" s="25"/>
      <c r="E207" s="25"/>
      <c r="M207" s="12"/>
      <c r="N207" s="122"/>
      <c r="O207" s="122"/>
      <c r="P207" s="122"/>
      <c r="Q207" s="122"/>
    </row>
    <row r="208" spans="2:17" ht="14.25" customHeight="1" x14ac:dyDescent="0.3">
      <c r="B208" s="23"/>
      <c r="D208" s="25"/>
      <c r="E208" s="25"/>
      <c r="M208" s="12"/>
      <c r="N208" s="122"/>
      <c r="O208" s="122"/>
      <c r="P208" s="122"/>
      <c r="Q208" s="122"/>
    </row>
    <row r="209" spans="2:17" ht="14.25" customHeight="1" x14ac:dyDescent="0.3">
      <c r="B209" s="23"/>
      <c r="D209" s="25"/>
      <c r="E209" s="25"/>
      <c r="M209" s="12"/>
      <c r="N209" s="122"/>
      <c r="O209" s="122"/>
      <c r="P209" s="122"/>
      <c r="Q209" s="122"/>
    </row>
    <row r="210" spans="2:17" ht="14.25" customHeight="1" x14ac:dyDescent="0.3">
      <c r="B210" s="23"/>
      <c r="D210" s="25"/>
      <c r="E210" s="25"/>
      <c r="M210" s="12"/>
      <c r="N210" s="122"/>
      <c r="O210" s="122"/>
      <c r="P210" s="122"/>
      <c r="Q210" s="122"/>
    </row>
    <row r="211" spans="2:17" ht="14.25" customHeight="1" x14ac:dyDescent="0.3">
      <c r="B211" s="23"/>
      <c r="D211" s="25"/>
      <c r="E211" s="25"/>
      <c r="M211" s="12"/>
      <c r="N211" s="122"/>
      <c r="O211" s="122"/>
      <c r="P211" s="122"/>
      <c r="Q211" s="122"/>
    </row>
    <row r="212" spans="2:17" ht="14.25" customHeight="1" x14ac:dyDescent="0.3">
      <c r="B212" s="23"/>
      <c r="D212" s="25"/>
      <c r="E212" s="25"/>
      <c r="M212" s="12"/>
      <c r="N212" s="122"/>
      <c r="O212" s="122"/>
      <c r="P212" s="122"/>
      <c r="Q212" s="122"/>
    </row>
    <row r="213" spans="2:17" ht="14.25" customHeight="1" x14ac:dyDescent="0.3">
      <c r="B213" s="23"/>
      <c r="D213" s="25"/>
      <c r="E213" s="25"/>
      <c r="M213" s="12"/>
      <c r="N213" s="122"/>
      <c r="O213" s="122"/>
      <c r="P213" s="122"/>
      <c r="Q213" s="122"/>
    </row>
    <row r="214" spans="2:17" ht="14.25" customHeight="1" x14ac:dyDescent="0.3">
      <c r="B214" s="23"/>
      <c r="D214" s="25"/>
      <c r="E214" s="25"/>
      <c r="M214" s="12"/>
      <c r="N214" s="122"/>
      <c r="O214" s="122"/>
      <c r="P214" s="122"/>
      <c r="Q214" s="122"/>
    </row>
    <row r="215" spans="2:17" ht="14.25" customHeight="1" x14ac:dyDescent="0.3">
      <c r="B215" s="23"/>
      <c r="D215" s="25"/>
      <c r="E215" s="25"/>
      <c r="M215" s="12"/>
      <c r="N215" s="122"/>
      <c r="O215" s="122"/>
      <c r="P215" s="122"/>
      <c r="Q215" s="122"/>
    </row>
    <row r="216" spans="2:17" ht="14.25" customHeight="1" x14ac:dyDescent="0.3">
      <c r="B216" s="23"/>
      <c r="D216" s="25"/>
      <c r="E216" s="25"/>
      <c r="M216" s="12"/>
      <c r="N216" s="122"/>
      <c r="O216" s="122"/>
      <c r="P216" s="122"/>
      <c r="Q216" s="122"/>
    </row>
    <row r="217" spans="2:17" ht="14.25" customHeight="1" x14ac:dyDescent="0.3">
      <c r="B217" s="23"/>
      <c r="D217" s="25"/>
      <c r="E217" s="25"/>
      <c r="M217" s="12"/>
      <c r="N217" s="122"/>
      <c r="O217" s="122"/>
      <c r="P217" s="122"/>
      <c r="Q217" s="122"/>
    </row>
    <row r="218" spans="2:17" ht="14.25" customHeight="1" x14ac:dyDescent="0.3">
      <c r="B218" s="23"/>
      <c r="D218" s="25"/>
      <c r="E218" s="25"/>
      <c r="M218" s="12"/>
      <c r="N218" s="122"/>
      <c r="O218" s="122"/>
      <c r="P218" s="122"/>
      <c r="Q218" s="122"/>
    </row>
    <row r="219" spans="2:17" ht="14.25" customHeight="1" x14ac:dyDescent="0.3">
      <c r="B219" s="23"/>
      <c r="D219" s="25"/>
      <c r="E219" s="25"/>
      <c r="M219" s="12"/>
      <c r="N219" s="122"/>
      <c r="O219" s="122"/>
      <c r="P219" s="122"/>
      <c r="Q219" s="122"/>
    </row>
    <row r="220" spans="2:17" ht="14.25" customHeight="1" x14ac:dyDescent="0.3">
      <c r="B220" s="23"/>
      <c r="D220" s="25"/>
      <c r="E220" s="25"/>
      <c r="M220" s="12"/>
      <c r="N220" s="122"/>
      <c r="O220" s="122"/>
      <c r="P220" s="122"/>
      <c r="Q220" s="122"/>
    </row>
    <row r="221" spans="2:17" ht="14.25" customHeight="1" x14ac:dyDescent="0.3">
      <c r="B221" s="23"/>
      <c r="D221" s="25"/>
      <c r="E221" s="25"/>
      <c r="M221" s="12"/>
      <c r="N221" s="122"/>
      <c r="O221" s="122"/>
      <c r="P221" s="122"/>
      <c r="Q221" s="122"/>
    </row>
    <row r="222" spans="2:17" ht="14.25" customHeight="1" x14ac:dyDescent="0.3">
      <c r="B222" s="23"/>
      <c r="D222" s="25"/>
      <c r="E222" s="25"/>
      <c r="M222" s="12"/>
      <c r="N222" s="122"/>
      <c r="O222" s="122"/>
      <c r="P222" s="122"/>
      <c r="Q222" s="122"/>
    </row>
    <row r="223" spans="2:17" ht="14.25" customHeight="1" x14ac:dyDescent="0.3">
      <c r="B223" s="23"/>
      <c r="D223" s="25"/>
      <c r="E223" s="25"/>
      <c r="M223" s="12"/>
      <c r="N223" s="122"/>
      <c r="O223" s="122"/>
      <c r="P223" s="122"/>
      <c r="Q223" s="122"/>
    </row>
    <row r="224" spans="2:17" ht="14.25" customHeight="1" x14ac:dyDescent="0.3">
      <c r="B224" s="23"/>
      <c r="D224" s="25"/>
      <c r="E224" s="25"/>
      <c r="M224" s="12"/>
      <c r="N224" s="122"/>
      <c r="O224" s="122"/>
      <c r="P224" s="122"/>
      <c r="Q224" s="122"/>
    </row>
    <row r="225" spans="2:17" ht="14.25" customHeight="1" x14ac:dyDescent="0.3">
      <c r="B225" s="23"/>
      <c r="D225" s="25"/>
      <c r="E225" s="25"/>
      <c r="M225" s="12"/>
      <c r="N225" s="122"/>
      <c r="O225" s="122"/>
      <c r="P225" s="122"/>
      <c r="Q225" s="122"/>
    </row>
    <row r="226" spans="2:17" ht="14.25" customHeight="1" x14ac:dyDescent="0.3">
      <c r="B226" s="23"/>
      <c r="D226" s="25"/>
      <c r="E226" s="25"/>
      <c r="M226" s="12"/>
      <c r="N226" s="122"/>
      <c r="O226" s="122"/>
      <c r="P226" s="122"/>
      <c r="Q226" s="122"/>
    </row>
    <row r="227" spans="2:17" ht="14.25" customHeight="1" x14ac:dyDescent="0.3">
      <c r="B227" s="23"/>
      <c r="D227" s="25"/>
      <c r="E227" s="25"/>
      <c r="M227" s="12"/>
      <c r="N227" s="122"/>
      <c r="O227" s="122"/>
      <c r="P227" s="122"/>
      <c r="Q227" s="122"/>
    </row>
    <row r="228" spans="2:17" ht="14.25" customHeight="1" x14ac:dyDescent="0.3">
      <c r="B228" s="23"/>
      <c r="D228" s="25"/>
      <c r="E228" s="25"/>
      <c r="M228" s="12"/>
      <c r="N228" s="122"/>
      <c r="O228" s="122"/>
      <c r="P228" s="122"/>
      <c r="Q228" s="122"/>
    </row>
    <row r="229" spans="2:17" ht="14.25" customHeight="1" x14ac:dyDescent="0.3">
      <c r="B229" s="23"/>
      <c r="D229" s="25"/>
      <c r="E229" s="25"/>
      <c r="M229" s="12"/>
      <c r="N229" s="122"/>
      <c r="O229" s="122"/>
      <c r="P229" s="122"/>
      <c r="Q229" s="122"/>
    </row>
    <row r="230" spans="2:17" ht="14.25" customHeight="1" x14ac:dyDescent="0.3">
      <c r="B230" s="23"/>
      <c r="D230" s="25"/>
      <c r="E230" s="25"/>
      <c r="M230" s="12"/>
      <c r="N230" s="122"/>
      <c r="O230" s="122"/>
      <c r="P230" s="122"/>
      <c r="Q230" s="122"/>
    </row>
    <row r="231" spans="2:17" ht="14.25" customHeight="1" x14ac:dyDescent="0.3">
      <c r="B231" s="23"/>
      <c r="D231" s="25"/>
      <c r="E231" s="25"/>
      <c r="M231" s="12"/>
      <c r="N231" s="122"/>
      <c r="O231" s="122"/>
      <c r="P231" s="122"/>
      <c r="Q231" s="122"/>
    </row>
    <row r="232" spans="2:17" ht="14.25" customHeight="1" x14ac:dyDescent="0.3">
      <c r="B232" s="23"/>
      <c r="D232" s="25"/>
      <c r="E232" s="25"/>
      <c r="M232" s="12"/>
      <c r="N232" s="122"/>
      <c r="O232" s="122"/>
      <c r="P232" s="122"/>
      <c r="Q232" s="122"/>
    </row>
    <row r="233" spans="2:17" ht="14.25" customHeight="1" x14ac:dyDescent="0.3">
      <c r="B233" s="23"/>
      <c r="D233" s="25"/>
      <c r="E233" s="25"/>
      <c r="M233" s="12"/>
      <c r="N233" s="122"/>
      <c r="O233" s="122"/>
      <c r="P233" s="122"/>
      <c r="Q233" s="122"/>
    </row>
    <row r="234" spans="2:17" ht="14.25" customHeight="1" x14ac:dyDescent="0.3">
      <c r="B234" s="23"/>
      <c r="D234" s="25"/>
      <c r="E234" s="25"/>
      <c r="M234" s="12"/>
      <c r="N234" s="122"/>
      <c r="O234" s="122"/>
      <c r="P234" s="122"/>
      <c r="Q234" s="122"/>
    </row>
    <row r="235" spans="2:17" ht="14.25" customHeight="1" x14ac:dyDescent="0.3">
      <c r="B235" s="23"/>
      <c r="D235" s="25"/>
      <c r="E235" s="25"/>
      <c r="M235" s="12"/>
      <c r="N235" s="122"/>
      <c r="O235" s="122"/>
      <c r="P235" s="122"/>
      <c r="Q235" s="122"/>
    </row>
    <row r="236" spans="2:17" ht="14.25" customHeight="1" x14ac:dyDescent="0.3">
      <c r="B236" s="23"/>
      <c r="D236" s="25"/>
      <c r="E236" s="25"/>
      <c r="M236" s="12"/>
      <c r="N236" s="122"/>
      <c r="O236" s="122"/>
      <c r="P236" s="122"/>
      <c r="Q236" s="122"/>
    </row>
    <row r="237" spans="2:17" ht="14.25" customHeight="1" x14ac:dyDescent="0.3">
      <c r="B237" s="23"/>
      <c r="D237" s="25"/>
      <c r="E237" s="25"/>
      <c r="M237" s="12"/>
      <c r="N237" s="122"/>
      <c r="O237" s="122"/>
      <c r="P237" s="122"/>
      <c r="Q237" s="122"/>
    </row>
    <row r="238" spans="2:17" ht="14.25" customHeight="1" x14ac:dyDescent="0.3">
      <c r="B238" s="23"/>
      <c r="D238" s="25"/>
      <c r="E238" s="25"/>
      <c r="M238" s="12"/>
      <c r="N238" s="122"/>
      <c r="O238" s="122"/>
      <c r="P238" s="122"/>
      <c r="Q238" s="122"/>
    </row>
    <row r="239" spans="2:17" ht="14.25" customHeight="1" x14ac:dyDescent="0.3">
      <c r="B239" s="23"/>
      <c r="D239" s="25"/>
      <c r="E239" s="25"/>
      <c r="M239" s="12"/>
      <c r="N239" s="122"/>
      <c r="O239" s="122"/>
      <c r="P239" s="122"/>
      <c r="Q239" s="122"/>
    </row>
    <row r="240" spans="2:17" ht="14.25" customHeight="1" x14ac:dyDescent="0.3">
      <c r="B240" s="23"/>
      <c r="D240" s="25"/>
      <c r="E240" s="25"/>
      <c r="M240" s="12"/>
      <c r="N240" s="122"/>
      <c r="O240" s="122"/>
      <c r="P240" s="122"/>
      <c r="Q240" s="122"/>
    </row>
    <row r="241" spans="2:17" ht="14.25" customHeight="1" x14ac:dyDescent="0.3">
      <c r="B241" s="23"/>
      <c r="D241" s="25"/>
      <c r="E241" s="25"/>
      <c r="M241" s="12"/>
      <c r="N241" s="122"/>
      <c r="O241" s="122"/>
      <c r="P241" s="122"/>
      <c r="Q241" s="122"/>
    </row>
    <row r="242" spans="2:17" ht="14.25" customHeight="1" x14ac:dyDescent="0.3">
      <c r="B242" s="23"/>
      <c r="D242" s="25"/>
      <c r="E242" s="25"/>
      <c r="M242" s="12"/>
      <c r="N242" s="122"/>
      <c r="O242" s="122"/>
      <c r="P242" s="122"/>
      <c r="Q242" s="122"/>
    </row>
    <row r="243" spans="2:17" ht="14.25" customHeight="1" x14ac:dyDescent="0.3">
      <c r="B243" s="23"/>
      <c r="D243" s="25"/>
      <c r="E243" s="25"/>
      <c r="M243" s="12"/>
      <c r="N243" s="122"/>
      <c r="O243" s="122"/>
      <c r="P243" s="122"/>
      <c r="Q243" s="122"/>
    </row>
    <row r="244" spans="2:17" ht="14.25" customHeight="1" x14ac:dyDescent="0.3">
      <c r="B244" s="23"/>
      <c r="D244" s="25"/>
      <c r="E244" s="25"/>
      <c r="M244" s="12"/>
      <c r="N244" s="122"/>
      <c r="O244" s="122"/>
      <c r="P244" s="122"/>
      <c r="Q244" s="122"/>
    </row>
    <row r="245" spans="2:17" ht="14.25" customHeight="1" x14ac:dyDescent="0.3">
      <c r="B245" s="23"/>
      <c r="D245" s="25"/>
      <c r="E245" s="25"/>
      <c r="M245" s="12"/>
      <c r="N245" s="122"/>
      <c r="O245" s="122"/>
      <c r="P245" s="122"/>
      <c r="Q245" s="122"/>
    </row>
    <row r="246" spans="2:17" ht="14.25" customHeight="1" x14ac:dyDescent="0.3">
      <c r="B246" s="23"/>
      <c r="D246" s="25"/>
      <c r="E246" s="25"/>
      <c r="M246" s="12"/>
      <c r="N246" s="122"/>
      <c r="O246" s="122"/>
      <c r="P246" s="122"/>
      <c r="Q246" s="122"/>
    </row>
    <row r="247" spans="2:17" ht="14.25" customHeight="1" x14ac:dyDescent="0.3">
      <c r="B247" s="23"/>
      <c r="D247" s="25"/>
      <c r="E247" s="25"/>
      <c r="M247" s="12"/>
      <c r="N247" s="122"/>
      <c r="O247" s="122"/>
      <c r="P247" s="122"/>
      <c r="Q247" s="122"/>
    </row>
    <row r="248" spans="2:17" ht="14.25" customHeight="1" x14ac:dyDescent="0.3">
      <c r="B248" s="23"/>
      <c r="D248" s="25"/>
      <c r="E248" s="25"/>
      <c r="M248" s="12"/>
      <c r="N248" s="122"/>
      <c r="O248" s="122"/>
      <c r="P248" s="122"/>
      <c r="Q248" s="122"/>
    </row>
    <row r="249" spans="2:17" ht="14.25" customHeight="1" x14ac:dyDescent="0.3">
      <c r="B249" s="23"/>
      <c r="D249" s="25"/>
      <c r="E249" s="25"/>
      <c r="M249" s="12"/>
      <c r="N249" s="122"/>
      <c r="O249" s="122"/>
      <c r="P249" s="122"/>
      <c r="Q249" s="122"/>
    </row>
    <row r="250" spans="2:17" ht="14.25" customHeight="1" x14ac:dyDescent="0.3">
      <c r="B250" s="23"/>
      <c r="D250" s="25"/>
      <c r="E250" s="25"/>
      <c r="M250" s="12"/>
      <c r="N250" s="122"/>
      <c r="O250" s="122"/>
      <c r="P250" s="122"/>
      <c r="Q250" s="122"/>
    </row>
    <row r="251" spans="2:17" ht="14.25" customHeight="1" x14ac:dyDescent="0.3">
      <c r="B251" s="23"/>
      <c r="D251" s="25"/>
      <c r="E251" s="25"/>
      <c r="M251" s="12"/>
      <c r="N251" s="122"/>
      <c r="O251" s="122"/>
      <c r="P251" s="122"/>
      <c r="Q251" s="122"/>
    </row>
    <row r="252" spans="2:17" ht="14.25" customHeight="1" x14ac:dyDescent="0.3">
      <c r="B252" s="23"/>
      <c r="D252" s="25"/>
      <c r="E252" s="25"/>
      <c r="M252" s="12"/>
      <c r="N252" s="122"/>
      <c r="O252" s="122"/>
      <c r="P252" s="122"/>
      <c r="Q252" s="122"/>
    </row>
    <row r="253" spans="2:17" ht="14.25" customHeight="1" x14ac:dyDescent="0.3">
      <c r="B253" s="23"/>
      <c r="D253" s="25"/>
      <c r="E253" s="25"/>
      <c r="M253" s="12"/>
      <c r="N253" s="122"/>
      <c r="O253" s="122"/>
      <c r="P253" s="122"/>
      <c r="Q253" s="122"/>
    </row>
    <row r="254" spans="2:17" ht="14.25" customHeight="1" x14ac:dyDescent="0.3">
      <c r="B254" s="23"/>
      <c r="D254" s="25"/>
      <c r="E254" s="25"/>
      <c r="M254" s="12"/>
      <c r="N254" s="122"/>
      <c r="O254" s="122"/>
      <c r="P254" s="122"/>
      <c r="Q254" s="122"/>
    </row>
    <row r="255" spans="2:17" ht="14.25" customHeight="1" x14ac:dyDescent="0.3">
      <c r="B255" s="23"/>
      <c r="D255" s="25"/>
      <c r="E255" s="25"/>
      <c r="M255" s="12"/>
      <c r="N255" s="122"/>
      <c r="O255" s="122"/>
      <c r="P255" s="122"/>
      <c r="Q255" s="122"/>
    </row>
    <row r="256" spans="2:17" ht="14.25" customHeight="1" x14ac:dyDescent="0.3">
      <c r="B256" s="23"/>
      <c r="D256" s="25"/>
      <c r="E256" s="25"/>
      <c r="M256" s="12"/>
      <c r="N256" s="122"/>
      <c r="O256" s="122"/>
      <c r="P256" s="122"/>
      <c r="Q256" s="122"/>
    </row>
    <row r="257" spans="2:17" ht="14.25" customHeight="1" x14ac:dyDescent="0.3">
      <c r="B257" s="23"/>
      <c r="D257" s="25"/>
      <c r="E257" s="25"/>
      <c r="M257" s="12"/>
      <c r="N257" s="122"/>
      <c r="O257" s="122"/>
      <c r="P257" s="122"/>
      <c r="Q257" s="122"/>
    </row>
    <row r="258" spans="2:17" ht="14.25" customHeight="1" x14ac:dyDescent="0.3">
      <c r="B258" s="23"/>
      <c r="D258" s="25"/>
      <c r="E258" s="25"/>
      <c r="M258" s="12"/>
      <c r="N258" s="122"/>
      <c r="O258" s="122"/>
      <c r="P258" s="122"/>
      <c r="Q258" s="122"/>
    </row>
    <row r="259" spans="2:17" ht="14.25" customHeight="1" x14ac:dyDescent="0.3">
      <c r="B259" s="23"/>
      <c r="D259" s="25"/>
      <c r="E259" s="25"/>
      <c r="M259" s="12"/>
      <c r="N259" s="122"/>
      <c r="O259" s="122"/>
      <c r="P259" s="122"/>
      <c r="Q259" s="122"/>
    </row>
    <row r="260" spans="2:17" ht="14.25" customHeight="1" x14ac:dyDescent="0.3">
      <c r="B260" s="23"/>
      <c r="D260" s="25"/>
      <c r="E260" s="25"/>
      <c r="M260" s="12"/>
      <c r="N260" s="122"/>
      <c r="O260" s="122"/>
      <c r="P260" s="122"/>
      <c r="Q260" s="122"/>
    </row>
    <row r="261" spans="2:17" ht="14.25" customHeight="1" x14ac:dyDescent="0.3">
      <c r="B261" s="23"/>
      <c r="D261" s="25"/>
      <c r="E261" s="25"/>
      <c r="M261" s="12"/>
      <c r="N261" s="122"/>
      <c r="O261" s="122"/>
      <c r="P261" s="122"/>
      <c r="Q261" s="122"/>
    </row>
    <row r="262" spans="2:17" ht="14.25" customHeight="1" x14ac:dyDescent="0.3">
      <c r="B262" s="23"/>
      <c r="D262" s="25"/>
      <c r="E262" s="25"/>
      <c r="M262" s="12"/>
      <c r="N262" s="122"/>
      <c r="O262" s="122"/>
      <c r="P262" s="122"/>
      <c r="Q262" s="122"/>
    </row>
    <row r="263" spans="2:17" ht="14.25" customHeight="1" x14ac:dyDescent="0.3">
      <c r="B263" s="23"/>
      <c r="D263" s="25"/>
      <c r="E263" s="25"/>
      <c r="M263" s="12"/>
      <c r="N263" s="122"/>
      <c r="O263" s="122"/>
      <c r="P263" s="122"/>
      <c r="Q263" s="122"/>
    </row>
    <row r="264" spans="2:17" ht="14.25" customHeight="1" x14ac:dyDescent="0.3">
      <c r="B264" s="23"/>
      <c r="D264" s="25"/>
      <c r="E264" s="25"/>
      <c r="M264" s="12"/>
      <c r="N264" s="122"/>
      <c r="O264" s="122"/>
      <c r="P264" s="122"/>
      <c r="Q264" s="122"/>
    </row>
    <row r="265" spans="2:17" ht="14.25" customHeight="1" x14ac:dyDescent="0.3">
      <c r="B265" s="23"/>
      <c r="D265" s="25"/>
      <c r="E265" s="25"/>
      <c r="M265" s="12"/>
      <c r="N265" s="122"/>
      <c r="O265" s="122"/>
      <c r="P265" s="122"/>
      <c r="Q265" s="122"/>
    </row>
    <row r="266" spans="2:17" ht="14.25" customHeight="1" x14ac:dyDescent="0.3">
      <c r="B266" s="23"/>
      <c r="D266" s="25"/>
      <c r="E266" s="25"/>
      <c r="M266" s="12"/>
      <c r="N266" s="122"/>
      <c r="O266" s="122"/>
      <c r="P266" s="122"/>
      <c r="Q266" s="122"/>
    </row>
    <row r="267" spans="2:17" ht="14.25" customHeight="1" x14ac:dyDescent="0.3">
      <c r="B267" s="23"/>
      <c r="D267" s="25"/>
      <c r="E267" s="25"/>
      <c r="M267" s="12"/>
      <c r="N267" s="122"/>
      <c r="O267" s="122"/>
      <c r="P267" s="122"/>
      <c r="Q267" s="122"/>
    </row>
    <row r="268" spans="2:17" ht="14.25" customHeight="1" x14ac:dyDescent="0.3">
      <c r="B268" s="23"/>
      <c r="D268" s="25"/>
      <c r="E268" s="25"/>
      <c r="M268" s="12"/>
      <c r="N268" s="122"/>
      <c r="O268" s="122"/>
      <c r="P268" s="122"/>
      <c r="Q268" s="122"/>
    </row>
    <row r="269" spans="2:17" ht="14.25" customHeight="1" x14ac:dyDescent="0.3">
      <c r="B269" s="23"/>
      <c r="D269" s="25"/>
      <c r="E269" s="25"/>
      <c r="M269" s="12"/>
      <c r="N269" s="122"/>
      <c r="O269" s="122"/>
      <c r="P269" s="122"/>
      <c r="Q269" s="122"/>
    </row>
    <row r="270" spans="2:17" ht="14.25" customHeight="1" x14ac:dyDescent="0.3">
      <c r="B270" s="23"/>
      <c r="D270" s="25"/>
      <c r="E270" s="25"/>
      <c r="M270" s="12"/>
      <c r="N270" s="122"/>
      <c r="O270" s="122"/>
      <c r="P270" s="122"/>
      <c r="Q270" s="122"/>
    </row>
    <row r="271" spans="2:17" ht="14.25" customHeight="1" x14ac:dyDescent="0.3">
      <c r="B271" s="23"/>
      <c r="D271" s="25"/>
      <c r="E271" s="25"/>
      <c r="M271" s="12"/>
      <c r="N271" s="122"/>
      <c r="O271" s="122"/>
      <c r="P271" s="122"/>
      <c r="Q271" s="122"/>
    </row>
    <row r="272" spans="2:17" ht="14.25" customHeight="1" x14ac:dyDescent="0.3">
      <c r="B272" s="23"/>
      <c r="D272" s="25"/>
      <c r="E272" s="25"/>
      <c r="M272" s="12"/>
      <c r="N272" s="122"/>
      <c r="O272" s="122"/>
      <c r="P272" s="122"/>
      <c r="Q272" s="122"/>
    </row>
    <row r="273" spans="2:17" ht="14.25" customHeight="1" x14ac:dyDescent="0.3">
      <c r="B273" s="23"/>
      <c r="D273" s="25"/>
      <c r="E273" s="25"/>
      <c r="M273" s="12"/>
      <c r="N273" s="122"/>
      <c r="O273" s="122"/>
      <c r="P273" s="122"/>
      <c r="Q273" s="122"/>
    </row>
    <row r="274" spans="2:17" ht="14.25" customHeight="1" x14ac:dyDescent="0.3">
      <c r="B274" s="23"/>
      <c r="D274" s="25"/>
      <c r="E274" s="25"/>
      <c r="M274" s="12"/>
      <c r="N274" s="122"/>
      <c r="O274" s="122"/>
      <c r="P274" s="122"/>
      <c r="Q274" s="122"/>
    </row>
    <row r="275" spans="2:17" ht="14.25" customHeight="1" x14ac:dyDescent="0.3">
      <c r="B275" s="23"/>
      <c r="D275" s="25"/>
      <c r="E275" s="25"/>
      <c r="M275" s="12"/>
      <c r="N275" s="122"/>
      <c r="O275" s="122"/>
      <c r="P275" s="122"/>
      <c r="Q275" s="122"/>
    </row>
    <row r="276" spans="2:17" ht="14.25" customHeight="1" x14ac:dyDescent="0.3">
      <c r="B276" s="23"/>
      <c r="D276" s="25"/>
      <c r="E276" s="25"/>
      <c r="M276" s="12"/>
      <c r="N276" s="122"/>
      <c r="O276" s="122"/>
      <c r="P276" s="122"/>
      <c r="Q276" s="122"/>
    </row>
    <row r="277" spans="2:17" ht="14.25" customHeight="1" x14ac:dyDescent="0.3">
      <c r="B277" s="23"/>
      <c r="D277" s="25"/>
      <c r="E277" s="25"/>
      <c r="M277" s="12"/>
      <c r="N277" s="122"/>
      <c r="O277" s="122"/>
      <c r="P277" s="122"/>
      <c r="Q277" s="122"/>
    </row>
    <row r="278" spans="2:17" ht="14.25" customHeight="1" x14ac:dyDescent="0.3">
      <c r="B278" s="23"/>
      <c r="D278" s="25"/>
      <c r="E278" s="25"/>
      <c r="M278" s="12"/>
      <c r="N278" s="122"/>
      <c r="O278" s="122"/>
      <c r="P278" s="122"/>
      <c r="Q278" s="122"/>
    </row>
    <row r="279" spans="2:17" ht="14.25" customHeight="1" x14ac:dyDescent="0.3">
      <c r="B279" s="23"/>
      <c r="D279" s="25"/>
      <c r="E279" s="25"/>
      <c r="M279" s="12"/>
      <c r="N279" s="122"/>
      <c r="O279" s="122"/>
      <c r="P279" s="122"/>
      <c r="Q279" s="122"/>
    </row>
    <row r="280" spans="2:17" ht="14.25" customHeight="1" x14ac:dyDescent="0.3">
      <c r="B280" s="23"/>
      <c r="D280" s="25"/>
      <c r="E280" s="25"/>
      <c r="M280" s="12"/>
      <c r="N280" s="122"/>
      <c r="O280" s="122"/>
      <c r="P280" s="122"/>
      <c r="Q280" s="122"/>
    </row>
    <row r="281" spans="2:17" ht="14.25" customHeight="1" x14ac:dyDescent="0.3">
      <c r="B281" s="23"/>
      <c r="D281" s="25"/>
      <c r="E281" s="25"/>
      <c r="M281" s="12"/>
      <c r="N281" s="122"/>
      <c r="O281" s="122"/>
      <c r="P281" s="122"/>
      <c r="Q281" s="122"/>
    </row>
    <row r="282" spans="2:17" ht="14.25" customHeight="1" x14ac:dyDescent="0.3">
      <c r="B282" s="23"/>
      <c r="D282" s="25"/>
      <c r="E282" s="25"/>
      <c r="M282" s="12"/>
      <c r="N282" s="122"/>
      <c r="O282" s="122"/>
      <c r="P282" s="122"/>
      <c r="Q282" s="122"/>
    </row>
    <row r="283" spans="2:17" ht="14.25" customHeight="1" x14ac:dyDescent="0.3">
      <c r="B283" s="23"/>
      <c r="D283" s="25"/>
      <c r="E283" s="25"/>
      <c r="M283" s="12"/>
      <c r="N283" s="122"/>
      <c r="O283" s="122"/>
      <c r="P283" s="122"/>
      <c r="Q283" s="122"/>
    </row>
    <row r="284" spans="2:17" ht="14.25" customHeight="1" x14ac:dyDescent="0.3">
      <c r="B284" s="23"/>
      <c r="D284" s="25"/>
      <c r="E284" s="25"/>
      <c r="M284" s="12"/>
      <c r="N284" s="122"/>
      <c r="O284" s="122"/>
      <c r="P284" s="122"/>
      <c r="Q284" s="122"/>
    </row>
    <row r="285" spans="2:17" ht="14.25" customHeight="1" x14ac:dyDescent="0.3">
      <c r="B285" s="23"/>
      <c r="D285" s="25"/>
      <c r="E285" s="25"/>
      <c r="M285" s="12"/>
      <c r="N285" s="122"/>
      <c r="O285" s="122"/>
      <c r="P285" s="122"/>
      <c r="Q285" s="122"/>
    </row>
    <row r="286" spans="2:17" ht="14.25" customHeight="1" x14ac:dyDescent="0.3">
      <c r="B286" s="23"/>
      <c r="D286" s="25"/>
      <c r="E286" s="25"/>
      <c r="M286" s="12"/>
      <c r="N286" s="122"/>
      <c r="O286" s="122"/>
      <c r="P286" s="122"/>
      <c r="Q286" s="122"/>
    </row>
    <row r="287" spans="2:17" ht="14.25" customHeight="1" x14ac:dyDescent="0.3">
      <c r="B287" s="23"/>
      <c r="D287" s="25"/>
      <c r="E287" s="25"/>
      <c r="M287" s="12"/>
      <c r="N287" s="122"/>
      <c r="O287" s="122"/>
      <c r="P287" s="122"/>
      <c r="Q287" s="122"/>
    </row>
    <row r="288" spans="2:17" ht="14.25" customHeight="1" x14ac:dyDescent="0.3">
      <c r="B288" s="23"/>
      <c r="D288" s="25"/>
      <c r="E288" s="25"/>
      <c r="M288" s="12"/>
      <c r="N288" s="122"/>
      <c r="O288" s="122"/>
      <c r="P288" s="122"/>
      <c r="Q288" s="122"/>
    </row>
    <row r="289" spans="2:17" ht="14.25" customHeight="1" x14ac:dyDescent="0.3">
      <c r="B289" s="23"/>
      <c r="D289" s="25"/>
      <c r="E289" s="25"/>
      <c r="M289" s="12"/>
      <c r="N289" s="122"/>
      <c r="O289" s="122"/>
      <c r="P289" s="122"/>
      <c r="Q289" s="122"/>
    </row>
    <row r="290" spans="2:17" ht="14.25" customHeight="1" x14ac:dyDescent="0.3">
      <c r="B290" s="23"/>
      <c r="D290" s="25"/>
      <c r="E290" s="25"/>
      <c r="M290" s="12"/>
      <c r="N290" s="122"/>
      <c r="O290" s="122"/>
      <c r="P290" s="122"/>
      <c r="Q290" s="122"/>
    </row>
    <row r="291" spans="2:17" ht="14.25" customHeight="1" x14ac:dyDescent="0.3">
      <c r="B291" s="23"/>
      <c r="D291" s="25"/>
      <c r="E291" s="25"/>
      <c r="M291" s="12"/>
      <c r="N291" s="122"/>
      <c r="O291" s="122"/>
      <c r="P291" s="122"/>
      <c r="Q291" s="122"/>
    </row>
    <row r="292" spans="2:17" ht="14.25" customHeight="1" x14ac:dyDescent="0.3">
      <c r="B292" s="23"/>
      <c r="D292" s="25"/>
      <c r="E292" s="25"/>
      <c r="M292" s="12"/>
      <c r="N292" s="122"/>
      <c r="O292" s="122"/>
      <c r="P292" s="122"/>
      <c r="Q292" s="122"/>
    </row>
    <row r="293" spans="2:17" ht="14.25" customHeight="1" x14ac:dyDescent="0.3">
      <c r="B293" s="23"/>
      <c r="D293" s="25"/>
      <c r="E293" s="25"/>
      <c r="M293" s="12"/>
      <c r="N293" s="122"/>
      <c r="O293" s="122"/>
      <c r="P293" s="122"/>
      <c r="Q293" s="122"/>
    </row>
    <row r="294" spans="2:17" ht="14.25" customHeight="1" x14ac:dyDescent="0.3">
      <c r="B294" s="23"/>
      <c r="D294" s="25"/>
      <c r="E294" s="25"/>
      <c r="M294" s="12"/>
      <c r="N294" s="122"/>
      <c r="O294" s="122"/>
      <c r="P294" s="122"/>
      <c r="Q294" s="122"/>
    </row>
    <row r="295" spans="2:17" ht="14.25" customHeight="1" x14ac:dyDescent="0.3">
      <c r="B295" s="23"/>
      <c r="D295" s="25"/>
      <c r="E295" s="25"/>
      <c r="M295" s="12"/>
      <c r="N295" s="122"/>
      <c r="O295" s="122"/>
      <c r="P295" s="122"/>
      <c r="Q295" s="122"/>
    </row>
    <row r="296" spans="2:17" ht="14.25" customHeight="1" x14ac:dyDescent="0.3">
      <c r="B296" s="23"/>
      <c r="D296" s="25"/>
      <c r="E296" s="25"/>
      <c r="M296" s="12"/>
      <c r="N296" s="122"/>
      <c r="O296" s="122"/>
      <c r="P296" s="122"/>
      <c r="Q296" s="122"/>
    </row>
    <row r="297" spans="2:17" ht="14.25" customHeight="1" x14ac:dyDescent="0.3">
      <c r="B297" s="23"/>
      <c r="D297" s="25"/>
      <c r="E297" s="25"/>
      <c r="M297" s="12"/>
      <c r="N297" s="122"/>
      <c r="O297" s="122"/>
      <c r="P297" s="122"/>
      <c r="Q297" s="122"/>
    </row>
    <row r="298" spans="2:17" ht="14.25" customHeight="1" x14ac:dyDescent="0.3">
      <c r="B298" s="23"/>
      <c r="D298" s="25"/>
      <c r="E298" s="25"/>
      <c r="M298" s="12"/>
      <c r="N298" s="122"/>
      <c r="O298" s="122"/>
      <c r="P298" s="122"/>
      <c r="Q298" s="122"/>
    </row>
    <row r="299" spans="2:17" ht="14.25" customHeight="1" x14ac:dyDescent="0.3">
      <c r="B299" s="23"/>
      <c r="D299" s="25"/>
      <c r="E299" s="25"/>
      <c r="M299" s="12"/>
      <c r="N299" s="122"/>
      <c r="O299" s="122"/>
      <c r="P299" s="122"/>
      <c r="Q299" s="122"/>
    </row>
    <row r="300" spans="2:17" ht="14.25" customHeight="1" x14ac:dyDescent="0.3">
      <c r="B300" s="23"/>
      <c r="D300" s="25"/>
      <c r="E300" s="25"/>
      <c r="M300" s="12"/>
      <c r="N300" s="122"/>
      <c r="O300" s="122"/>
      <c r="P300" s="122"/>
      <c r="Q300" s="122"/>
    </row>
    <row r="301" spans="2:17" ht="14.25" customHeight="1" x14ac:dyDescent="0.3">
      <c r="B301" s="23"/>
      <c r="D301" s="25"/>
      <c r="E301" s="25"/>
      <c r="M301" s="12"/>
      <c r="N301" s="122"/>
      <c r="O301" s="122"/>
      <c r="P301" s="122"/>
      <c r="Q301" s="122"/>
    </row>
    <row r="302" spans="2:17" ht="14.25" customHeight="1" x14ac:dyDescent="0.3">
      <c r="B302" s="23"/>
      <c r="D302" s="25"/>
      <c r="E302" s="25"/>
      <c r="M302" s="12"/>
      <c r="N302" s="122"/>
      <c r="O302" s="122"/>
      <c r="P302" s="122"/>
      <c r="Q302" s="122"/>
    </row>
    <row r="303" spans="2:17" ht="14.25" customHeight="1" x14ac:dyDescent="0.3">
      <c r="B303" s="23"/>
      <c r="D303" s="25"/>
      <c r="E303" s="25"/>
      <c r="M303" s="12"/>
      <c r="N303" s="122"/>
      <c r="O303" s="122"/>
      <c r="P303" s="122"/>
      <c r="Q303" s="122"/>
    </row>
    <row r="304" spans="2:17" ht="14.25" customHeight="1" x14ac:dyDescent="0.3">
      <c r="B304" s="23"/>
      <c r="D304" s="25"/>
      <c r="E304" s="25"/>
      <c r="M304" s="12"/>
      <c r="N304" s="122"/>
      <c r="O304" s="122"/>
      <c r="P304" s="122"/>
      <c r="Q304" s="122"/>
    </row>
    <row r="305" spans="2:17" ht="14.25" customHeight="1" x14ac:dyDescent="0.3">
      <c r="B305" s="23"/>
      <c r="D305" s="25"/>
      <c r="E305" s="25"/>
      <c r="M305" s="12"/>
      <c r="N305" s="122"/>
      <c r="O305" s="122"/>
      <c r="P305" s="122"/>
      <c r="Q305" s="122"/>
    </row>
    <row r="306" spans="2:17" ht="14.25" customHeight="1" x14ac:dyDescent="0.3">
      <c r="B306" s="23"/>
      <c r="D306" s="25"/>
      <c r="E306" s="25"/>
      <c r="M306" s="12"/>
      <c r="N306" s="122"/>
      <c r="O306" s="122"/>
      <c r="P306" s="122"/>
      <c r="Q306" s="122"/>
    </row>
    <row r="307" spans="2:17" ht="14.25" customHeight="1" x14ac:dyDescent="0.3">
      <c r="B307" s="23"/>
      <c r="D307" s="25"/>
      <c r="E307" s="25"/>
      <c r="M307" s="12"/>
      <c r="N307" s="122"/>
      <c r="O307" s="122"/>
      <c r="P307" s="122"/>
      <c r="Q307" s="122"/>
    </row>
    <row r="308" spans="2:17" ht="14.25" customHeight="1" x14ac:dyDescent="0.3">
      <c r="B308" s="23"/>
      <c r="D308" s="25"/>
      <c r="E308" s="25"/>
      <c r="M308" s="12"/>
      <c r="N308" s="122"/>
      <c r="O308" s="122"/>
      <c r="P308" s="122"/>
      <c r="Q308" s="122"/>
    </row>
    <row r="309" spans="2:17" ht="14.25" customHeight="1" x14ac:dyDescent="0.3">
      <c r="B309" s="23"/>
      <c r="D309" s="25"/>
      <c r="E309" s="25"/>
      <c r="M309" s="12"/>
      <c r="N309" s="122"/>
      <c r="O309" s="122"/>
      <c r="P309" s="122"/>
      <c r="Q309" s="122"/>
    </row>
    <row r="310" spans="2:17" ht="14.25" customHeight="1" x14ac:dyDescent="0.3">
      <c r="B310" s="23"/>
      <c r="D310" s="25"/>
      <c r="E310" s="25"/>
      <c r="M310" s="12"/>
      <c r="N310" s="122"/>
      <c r="O310" s="122"/>
      <c r="P310" s="122"/>
      <c r="Q310" s="122"/>
    </row>
    <row r="311" spans="2:17" ht="14.25" customHeight="1" x14ac:dyDescent="0.3">
      <c r="B311" s="23"/>
      <c r="D311" s="25"/>
      <c r="E311" s="25"/>
      <c r="M311" s="12"/>
      <c r="N311" s="122"/>
      <c r="O311" s="122"/>
      <c r="P311" s="122"/>
      <c r="Q311" s="122"/>
    </row>
    <row r="312" spans="2:17" ht="14.25" customHeight="1" x14ac:dyDescent="0.3">
      <c r="B312" s="23"/>
      <c r="D312" s="25"/>
      <c r="E312" s="25"/>
      <c r="M312" s="12"/>
      <c r="N312" s="122"/>
      <c r="O312" s="122"/>
      <c r="P312" s="122"/>
      <c r="Q312" s="122"/>
    </row>
    <row r="313" spans="2:17" ht="14.25" customHeight="1" x14ac:dyDescent="0.3">
      <c r="B313" s="23"/>
      <c r="D313" s="25"/>
      <c r="E313" s="25"/>
      <c r="M313" s="12"/>
      <c r="N313" s="122"/>
      <c r="O313" s="122"/>
      <c r="P313" s="122"/>
      <c r="Q313" s="122"/>
    </row>
    <row r="314" spans="2:17" ht="14.25" customHeight="1" x14ac:dyDescent="0.3">
      <c r="B314" s="23"/>
      <c r="D314" s="25"/>
      <c r="E314" s="25"/>
      <c r="M314" s="12"/>
      <c r="N314" s="122"/>
      <c r="O314" s="122"/>
      <c r="P314" s="122"/>
      <c r="Q314" s="122"/>
    </row>
    <row r="315" spans="2:17" ht="14.25" customHeight="1" x14ac:dyDescent="0.3">
      <c r="B315" s="23"/>
      <c r="D315" s="25"/>
      <c r="E315" s="25"/>
      <c r="M315" s="12"/>
      <c r="N315" s="122"/>
      <c r="O315" s="122"/>
      <c r="P315" s="122"/>
      <c r="Q315" s="122"/>
    </row>
    <row r="316" spans="2:17" ht="14.25" customHeight="1" x14ac:dyDescent="0.3">
      <c r="B316" s="23"/>
      <c r="D316" s="25"/>
      <c r="E316" s="25"/>
      <c r="M316" s="12"/>
      <c r="N316" s="122"/>
      <c r="O316" s="122"/>
      <c r="P316" s="122"/>
      <c r="Q316" s="122"/>
    </row>
    <row r="317" spans="2:17" ht="14.25" customHeight="1" x14ac:dyDescent="0.3">
      <c r="B317" s="23"/>
      <c r="D317" s="25"/>
      <c r="E317" s="25"/>
      <c r="M317" s="12"/>
      <c r="N317" s="122"/>
      <c r="O317" s="122"/>
      <c r="P317" s="122"/>
      <c r="Q317" s="122"/>
    </row>
    <row r="318" spans="2:17" ht="14.25" customHeight="1" x14ac:dyDescent="0.3">
      <c r="B318" s="23"/>
      <c r="D318" s="25"/>
      <c r="E318" s="25"/>
      <c r="M318" s="12"/>
      <c r="N318" s="122"/>
      <c r="O318" s="122"/>
      <c r="P318" s="122"/>
      <c r="Q318" s="122"/>
    </row>
    <row r="319" spans="2:17" ht="14.25" customHeight="1" x14ac:dyDescent="0.3">
      <c r="B319" s="23"/>
      <c r="D319" s="25"/>
      <c r="E319" s="25"/>
      <c r="M319" s="12"/>
      <c r="N319" s="122"/>
      <c r="O319" s="122"/>
      <c r="P319" s="122"/>
      <c r="Q319" s="122"/>
    </row>
    <row r="320" spans="2:17" ht="14.25" customHeight="1" x14ac:dyDescent="0.3">
      <c r="B320" s="23"/>
      <c r="D320" s="25"/>
      <c r="E320" s="25"/>
      <c r="M320" s="12"/>
      <c r="N320" s="122"/>
      <c r="O320" s="122"/>
      <c r="P320" s="122"/>
      <c r="Q320" s="122"/>
    </row>
    <row r="321" spans="2:17" ht="14.25" customHeight="1" x14ac:dyDescent="0.3">
      <c r="B321" s="23"/>
      <c r="D321" s="25"/>
      <c r="E321" s="25"/>
      <c r="M321" s="12"/>
      <c r="N321" s="122"/>
      <c r="O321" s="122"/>
      <c r="P321" s="122"/>
      <c r="Q321" s="122"/>
    </row>
    <row r="322" spans="2:17" ht="14.25" customHeight="1" x14ac:dyDescent="0.3">
      <c r="B322" s="23"/>
      <c r="D322" s="25"/>
      <c r="E322" s="25"/>
      <c r="M322" s="12"/>
      <c r="N322" s="122"/>
      <c r="O322" s="122"/>
      <c r="P322" s="122"/>
      <c r="Q322" s="122"/>
    </row>
    <row r="323" spans="2:17" ht="14.25" customHeight="1" x14ac:dyDescent="0.3">
      <c r="B323" s="23"/>
      <c r="D323" s="25"/>
      <c r="E323" s="25"/>
      <c r="M323" s="12"/>
      <c r="N323" s="122"/>
      <c r="O323" s="122"/>
      <c r="P323" s="122"/>
      <c r="Q323" s="122"/>
    </row>
    <row r="324" spans="2:17" ht="14.25" customHeight="1" x14ac:dyDescent="0.3">
      <c r="B324" s="23"/>
      <c r="D324" s="25"/>
      <c r="E324" s="25"/>
      <c r="M324" s="12"/>
      <c r="N324" s="122"/>
      <c r="O324" s="122"/>
      <c r="P324" s="122"/>
      <c r="Q324" s="122"/>
    </row>
    <row r="325" spans="2:17" ht="14.25" customHeight="1" x14ac:dyDescent="0.3">
      <c r="B325" s="23"/>
      <c r="D325" s="25"/>
      <c r="E325" s="25"/>
      <c r="M325" s="12"/>
      <c r="N325" s="122"/>
      <c r="O325" s="122"/>
      <c r="P325" s="122"/>
      <c r="Q325" s="122"/>
    </row>
    <row r="326" spans="2:17" ht="14.25" customHeight="1" x14ac:dyDescent="0.3">
      <c r="B326" s="23"/>
      <c r="D326" s="25"/>
      <c r="E326" s="25"/>
      <c r="M326" s="12"/>
      <c r="N326" s="122"/>
      <c r="O326" s="122"/>
      <c r="P326" s="122"/>
      <c r="Q326" s="122"/>
    </row>
    <row r="327" spans="2:17" ht="14.25" customHeight="1" x14ac:dyDescent="0.3">
      <c r="B327" s="23"/>
      <c r="D327" s="25"/>
      <c r="E327" s="25"/>
      <c r="M327" s="12"/>
      <c r="N327" s="122"/>
      <c r="O327" s="122"/>
      <c r="P327" s="122"/>
      <c r="Q327" s="122"/>
    </row>
    <row r="328" spans="2:17" ht="14.25" customHeight="1" x14ac:dyDescent="0.3">
      <c r="B328" s="23"/>
      <c r="D328" s="25"/>
      <c r="E328" s="25"/>
      <c r="M328" s="12"/>
      <c r="N328" s="122"/>
      <c r="O328" s="122"/>
      <c r="P328" s="122"/>
      <c r="Q328" s="122"/>
    </row>
    <row r="329" spans="2:17" ht="14.25" customHeight="1" x14ac:dyDescent="0.3">
      <c r="B329" s="23"/>
      <c r="D329" s="25"/>
      <c r="E329" s="25"/>
      <c r="M329" s="12"/>
      <c r="N329" s="122"/>
      <c r="O329" s="122"/>
      <c r="P329" s="122"/>
      <c r="Q329" s="122"/>
    </row>
    <row r="330" spans="2:17" ht="14.25" customHeight="1" x14ac:dyDescent="0.3">
      <c r="B330" s="23"/>
      <c r="D330" s="25"/>
      <c r="E330" s="25"/>
      <c r="M330" s="12"/>
      <c r="N330" s="122"/>
      <c r="O330" s="122"/>
      <c r="P330" s="122"/>
      <c r="Q330" s="122"/>
    </row>
    <row r="331" spans="2:17" ht="14.25" customHeight="1" x14ac:dyDescent="0.3">
      <c r="B331" s="23"/>
      <c r="D331" s="25"/>
      <c r="E331" s="25"/>
      <c r="M331" s="12"/>
      <c r="N331" s="122"/>
      <c r="O331" s="122"/>
      <c r="P331" s="122"/>
      <c r="Q331" s="122"/>
    </row>
    <row r="332" spans="2:17" ht="14.25" customHeight="1" x14ac:dyDescent="0.3">
      <c r="B332" s="23"/>
      <c r="D332" s="25"/>
      <c r="E332" s="25"/>
      <c r="M332" s="12"/>
      <c r="N332" s="122"/>
      <c r="O332" s="122"/>
      <c r="P332" s="122"/>
      <c r="Q332" s="122"/>
    </row>
    <row r="333" spans="2:17" ht="14.25" customHeight="1" x14ac:dyDescent="0.3">
      <c r="B333" s="23"/>
      <c r="D333" s="25"/>
      <c r="E333" s="25"/>
      <c r="M333" s="12"/>
      <c r="N333" s="122"/>
      <c r="O333" s="122"/>
      <c r="P333" s="122"/>
      <c r="Q333" s="122"/>
    </row>
    <row r="334" spans="2:17" ht="14.25" customHeight="1" x14ac:dyDescent="0.3">
      <c r="B334" s="23"/>
      <c r="D334" s="25"/>
      <c r="E334" s="25"/>
      <c r="M334" s="12"/>
      <c r="N334" s="122"/>
      <c r="O334" s="122"/>
      <c r="P334" s="122"/>
      <c r="Q334" s="122"/>
    </row>
    <row r="335" spans="2:17" ht="14.25" customHeight="1" x14ac:dyDescent="0.3">
      <c r="B335" s="23"/>
      <c r="D335" s="25"/>
      <c r="E335" s="25"/>
      <c r="M335" s="12"/>
      <c r="N335" s="122"/>
      <c r="O335" s="122"/>
      <c r="P335" s="122"/>
      <c r="Q335" s="122"/>
    </row>
    <row r="336" spans="2:17" ht="14.25" customHeight="1" x14ac:dyDescent="0.3">
      <c r="B336" s="23"/>
      <c r="D336" s="25"/>
      <c r="E336" s="25"/>
      <c r="M336" s="12"/>
      <c r="N336" s="122"/>
      <c r="O336" s="122"/>
      <c r="P336" s="122"/>
      <c r="Q336" s="122"/>
    </row>
    <row r="337" spans="2:17" ht="14.25" customHeight="1" x14ac:dyDescent="0.3">
      <c r="B337" s="23"/>
      <c r="D337" s="25"/>
      <c r="E337" s="25"/>
      <c r="M337" s="12"/>
      <c r="N337" s="122"/>
      <c r="O337" s="122"/>
      <c r="P337" s="122"/>
      <c r="Q337" s="122"/>
    </row>
    <row r="338" spans="2:17" ht="14.25" customHeight="1" x14ac:dyDescent="0.3">
      <c r="B338" s="23"/>
      <c r="D338" s="25"/>
      <c r="E338" s="25"/>
      <c r="M338" s="12"/>
      <c r="N338" s="122"/>
      <c r="O338" s="122"/>
      <c r="P338" s="122"/>
      <c r="Q338" s="122"/>
    </row>
    <row r="339" spans="2:17" ht="14.25" customHeight="1" x14ac:dyDescent="0.3">
      <c r="B339" s="23"/>
      <c r="D339" s="25"/>
      <c r="E339" s="25"/>
      <c r="M339" s="12"/>
      <c r="N339" s="122"/>
      <c r="O339" s="122"/>
      <c r="P339" s="122"/>
      <c r="Q339" s="122"/>
    </row>
    <row r="340" spans="2:17" ht="14.25" customHeight="1" x14ac:dyDescent="0.3">
      <c r="B340" s="23"/>
      <c r="D340" s="25"/>
      <c r="E340" s="25"/>
      <c r="M340" s="12"/>
      <c r="N340" s="122"/>
      <c r="O340" s="122"/>
      <c r="P340" s="122"/>
      <c r="Q340" s="122"/>
    </row>
    <row r="341" spans="2:17" ht="14.25" customHeight="1" x14ac:dyDescent="0.3">
      <c r="B341" s="23"/>
      <c r="D341" s="25"/>
      <c r="E341" s="25"/>
      <c r="M341" s="12"/>
      <c r="N341" s="122"/>
      <c r="O341" s="122"/>
      <c r="P341" s="122"/>
      <c r="Q341" s="122"/>
    </row>
    <row r="342" spans="2:17" ht="14.25" customHeight="1" x14ac:dyDescent="0.3">
      <c r="B342" s="23"/>
      <c r="D342" s="25"/>
      <c r="E342" s="25"/>
      <c r="M342" s="12"/>
      <c r="N342" s="122"/>
      <c r="O342" s="122"/>
      <c r="P342" s="122"/>
      <c r="Q342" s="122"/>
    </row>
    <row r="343" spans="2:17" ht="14.25" customHeight="1" x14ac:dyDescent="0.3">
      <c r="B343" s="23"/>
      <c r="D343" s="25"/>
      <c r="E343" s="25"/>
      <c r="M343" s="12"/>
      <c r="N343" s="122"/>
      <c r="O343" s="122"/>
      <c r="P343" s="122"/>
      <c r="Q343" s="122"/>
    </row>
    <row r="344" spans="2:17" ht="14.25" customHeight="1" x14ac:dyDescent="0.3">
      <c r="B344" s="23"/>
      <c r="D344" s="25"/>
      <c r="E344" s="25"/>
      <c r="M344" s="12"/>
      <c r="N344" s="122"/>
      <c r="O344" s="122"/>
      <c r="P344" s="122"/>
      <c r="Q344" s="122"/>
    </row>
    <row r="345" spans="2:17" ht="14.25" customHeight="1" x14ac:dyDescent="0.3">
      <c r="B345" s="23"/>
      <c r="D345" s="25"/>
      <c r="E345" s="25"/>
      <c r="M345" s="12"/>
      <c r="N345" s="122"/>
      <c r="O345" s="122"/>
      <c r="P345" s="122"/>
      <c r="Q345" s="122"/>
    </row>
    <row r="346" spans="2:17" ht="14.25" customHeight="1" x14ac:dyDescent="0.3">
      <c r="B346" s="23"/>
      <c r="D346" s="25"/>
      <c r="E346" s="25"/>
      <c r="M346" s="12"/>
      <c r="N346" s="122"/>
      <c r="O346" s="122"/>
      <c r="P346" s="122"/>
      <c r="Q346" s="122"/>
    </row>
    <row r="347" spans="2:17" ht="14.25" customHeight="1" x14ac:dyDescent="0.3">
      <c r="B347" s="23"/>
      <c r="D347" s="25"/>
      <c r="E347" s="25"/>
      <c r="M347" s="12"/>
      <c r="N347" s="122"/>
      <c r="O347" s="122"/>
      <c r="P347" s="122"/>
      <c r="Q347" s="122"/>
    </row>
    <row r="348" spans="2:17" ht="14.25" customHeight="1" x14ac:dyDescent="0.3">
      <c r="B348" s="23"/>
      <c r="D348" s="25"/>
      <c r="E348" s="25"/>
      <c r="M348" s="12"/>
      <c r="N348" s="122"/>
      <c r="O348" s="122"/>
      <c r="P348" s="122"/>
      <c r="Q348" s="122"/>
    </row>
    <row r="349" spans="2:17" ht="14.25" customHeight="1" x14ac:dyDescent="0.3">
      <c r="B349" s="23"/>
      <c r="D349" s="25"/>
      <c r="E349" s="25"/>
      <c r="M349" s="12"/>
      <c r="N349" s="122"/>
      <c r="O349" s="122"/>
      <c r="P349" s="122"/>
      <c r="Q349" s="122"/>
    </row>
    <row r="350" spans="2:17" ht="14.25" customHeight="1" x14ac:dyDescent="0.3">
      <c r="B350" s="23"/>
      <c r="D350" s="25"/>
      <c r="E350" s="25"/>
      <c r="M350" s="12"/>
      <c r="N350" s="122"/>
      <c r="O350" s="122"/>
      <c r="P350" s="122"/>
      <c r="Q350" s="122"/>
    </row>
    <row r="351" spans="2:17" ht="14.25" customHeight="1" x14ac:dyDescent="0.3">
      <c r="B351" s="23"/>
      <c r="D351" s="25"/>
      <c r="E351" s="25"/>
      <c r="M351" s="12"/>
      <c r="N351" s="122"/>
      <c r="O351" s="122"/>
      <c r="P351" s="122"/>
      <c r="Q351" s="122"/>
    </row>
    <row r="352" spans="2:17" ht="14.25" customHeight="1" x14ac:dyDescent="0.3">
      <c r="B352" s="23"/>
      <c r="D352" s="25"/>
      <c r="E352" s="25"/>
      <c r="M352" s="12"/>
      <c r="N352" s="122"/>
      <c r="O352" s="122"/>
      <c r="P352" s="122"/>
      <c r="Q352" s="122"/>
    </row>
    <row r="353" spans="2:17" ht="14.25" customHeight="1" x14ac:dyDescent="0.3">
      <c r="B353" s="23"/>
      <c r="D353" s="25"/>
      <c r="E353" s="25"/>
      <c r="M353" s="12"/>
      <c r="N353" s="122"/>
      <c r="O353" s="122"/>
      <c r="P353" s="122"/>
      <c r="Q353" s="122"/>
    </row>
    <row r="354" spans="2:17" ht="14.25" customHeight="1" x14ac:dyDescent="0.3">
      <c r="B354" s="23"/>
      <c r="D354" s="25"/>
      <c r="E354" s="25"/>
      <c r="M354" s="12"/>
      <c r="N354" s="122"/>
      <c r="O354" s="122"/>
      <c r="P354" s="122"/>
      <c r="Q354" s="122"/>
    </row>
    <row r="355" spans="2:17" ht="14.25" customHeight="1" x14ac:dyDescent="0.3">
      <c r="B355" s="23"/>
      <c r="D355" s="25"/>
      <c r="E355" s="25"/>
      <c r="M355" s="12"/>
      <c r="N355" s="122"/>
      <c r="O355" s="122"/>
      <c r="P355" s="122"/>
      <c r="Q355" s="122"/>
    </row>
    <row r="356" spans="2:17" ht="14.25" customHeight="1" x14ac:dyDescent="0.3">
      <c r="B356" s="23"/>
      <c r="D356" s="25"/>
      <c r="E356" s="25"/>
      <c r="M356" s="12"/>
      <c r="N356" s="122"/>
      <c r="O356" s="122"/>
      <c r="P356" s="122"/>
      <c r="Q356" s="122"/>
    </row>
    <row r="357" spans="2:17" ht="14.25" customHeight="1" x14ac:dyDescent="0.3">
      <c r="B357" s="23"/>
      <c r="D357" s="25"/>
      <c r="E357" s="25"/>
      <c r="M357" s="12"/>
      <c r="N357" s="122"/>
      <c r="O357" s="122"/>
      <c r="P357" s="122"/>
      <c r="Q357" s="122"/>
    </row>
    <row r="358" spans="2:17" ht="14.25" customHeight="1" x14ac:dyDescent="0.3">
      <c r="B358" s="23"/>
      <c r="D358" s="25"/>
      <c r="E358" s="25"/>
      <c r="M358" s="12"/>
      <c r="N358" s="122"/>
      <c r="O358" s="122"/>
      <c r="P358" s="122"/>
      <c r="Q358" s="122"/>
    </row>
    <row r="359" spans="2:17" ht="14.25" customHeight="1" x14ac:dyDescent="0.3">
      <c r="B359" s="23"/>
      <c r="D359" s="25"/>
      <c r="E359" s="25"/>
      <c r="M359" s="12"/>
      <c r="N359" s="122"/>
      <c r="O359" s="122"/>
      <c r="P359" s="122"/>
      <c r="Q359" s="122"/>
    </row>
    <row r="360" spans="2:17" ht="14.25" customHeight="1" x14ac:dyDescent="0.3">
      <c r="B360" s="23"/>
      <c r="D360" s="25"/>
      <c r="E360" s="25"/>
      <c r="M360" s="12"/>
      <c r="N360" s="122"/>
      <c r="O360" s="122"/>
      <c r="P360" s="122"/>
      <c r="Q360" s="122"/>
    </row>
    <row r="361" spans="2:17" ht="14.25" customHeight="1" x14ac:dyDescent="0.3">
      <c r="B361" s="23"/>
      <c r="D361" s="25"/>
      <c r="E361" s="25"/>
      <c r="M361" s="12"/>
      <c r="N361" s="122"/>
      <c r="O361" s="122"/>
      <c r="P361" s="122"/>
      <c r="Q361" s="122"/>
    </row>
    <row r="362" spans="2:17" ht="14.25" customHeight="1" x14ac:dyDescent="0.3">
      <c r="B362" s="23"/>
      <c r="D362" s="25"/>
      <c r="E362" s="25"/>
      <c r="M362" s="12"/>
      <c r="N362" s="122"/>
      <c r="O362" s="122"/>
      <c r="P362" s="122"/>
      <c r="Q362" s="122"/>
    </row>
    <row r="363" spans="2:17" ht="14.25" customHeight="1" x14ac:dyDescent="0.3">
      <c r="B363" s="23"/>
      <c r="D363" s="25"/>
      <c r="E363" s="25"/>
      <c r="M363" s="12"/>
      <c r="N363" s="122"/>
      <c r="O363" s="122"/>
      <c r="P363" s="122"/>
      <c r="Q363" s="122"/>
    </row>
    <row r="364" spans="2:17" ht="14.25" customHeight="1" x14ac:dyDescent="0.3">
      <c r="B364" s="23"/>
      <c r="D364" s="25"/>
      <c r="E364" s="25"/>
      <c r="M364" s="12"/>
      <c r="N364" s="122"/>
      <c r="O364" s="122"/>
      <c r="P364" s="122"/>
      <c r="Q364" s="122"/>
    </row>
    <row r="365" spans="2:17" ht="14.25" customHeight="1" x14ac:dyDescent="0.3">
      <c r="B365" s="23"/>
      <c r="D365" s="25"/>
      <c r="E365" s="25"/>
      <c r="M365" s="12"/>
      <c r="N365" s="122"/>
      <c r="O365" s="122"/>
      <c r="P365" s="122"/>
      <c r="Q365" s="122"/>
    </row>
    <row r="366" spans="2:17" ht="14.25" customHeight="1" x14ac:dyDescent="0.3">
      <c r="B366" s="23"/>
      <c r="D366" s="25"/>
      <c r="E366" s="25"/>
      <c r="M366" s="12"/>
      <c r="N366" s="122"/>
      <c r="O366" s="122"/>
      <c r="P366" s="122"/>
      <c r="Q366" s="122"/>
    </row>
    <row r="367" spans="2:17" ht="14.25" customHeight="1" x14ac:dyDescent="0.3">
      <c r="B367" s="23"/>
      <c r="D367" s="25"/>
      <c r="E367" s="25"/>
      <c r="M367" s="12"/>
      <c r="N367" s="122"/>
      <c r="O367" s="122"/>
      <c r="P367" s="122"/>
      <c r="Q367" s="122"/>
    </row>
    <row r="368" spans="2:17" ht="14.25" customHeight="1" x14ac:dyDescent="0.3">
      <c r="B368" s="23"/>
      <c r="D368" s="25"/>
      <c r="E368" s="25"/>
      <c r="M368" s="12"/>
      <c r="N368" s="122"/>
      <c r="O368" s="122"/>
      <c r="P368" s="122"/>
      <c r="Q368" s="122"/>
    </row>
    <row r="369" spans="2:17" ht="14.25" customHeight="1" x14ac:dyDescent="0.3">
      <c r="B369" s="23"/>
      <c r="D369" s="25"/>
      <c r="E369" s="25"/>
      <c r="M369" s="12"/>
      <c r="N369" s="122"/>
      <c r="O369" s="122"/>
      <c r="P369" s="122"/>
      <c r="Q369" s="122"/>
    </row>
    <row r="370" spans="2:17" ht="14.25" customHeight="1" x14ac:dyDescent="0.3">
      <c r="B370" s="23"/>
      <c r="D370" s="25"/>
      <c r="E370" s="25"/>
      <c r="M370" s="12"/>
      <c r="N370" s="122"/>
      <c r="O370" s="122"/>
      <c r="P370" s="122"/>
      <c r="Q370" s="122"/>
    </row>
    <row r="371" spans="2:17" ht="14.25" customHeight="1" x14ac:dyDescent="0.3">
      <c r="B371" s="23"/>
      <c r="D371" s="25"/>
      <c r="E371" s="25"/>
      <c r="M371" s="12"/>
      <c r="N371" s="122"/>
      <c r="O371" s="122"/>
      <c r="P371" s="122"/>
      <c r="Q371" s="122"/>
    </row>
    <row r="372" spans="2:17" ht="14.25" customHeight="1" x14ac:dyDescent="0.3">
      <c r="B372" s="23"/>
      <c r="D372" s="25"/>
      <c r="E372" s="25"/>
      <c r="M372" s="12"/>
      <c r="N372" s="122"/>
      <c r="O372" s="122"/>
      <c r="P372" s="122"/>
      <c r="Q372" s="122"/>
    </row>
    <row r="373" spans="2:17" ht="14.25" customHeight="1" x14ac:dyDescent="0.3">
      <c r="B373" s="23"/>
      <c r="D373" s="25"/>
      <c r="E373" s="25"/>
      <c r="M373" s="12"/>
      <c r="N373" s="122"/>
      <c r="O373" s="122"/>
      <c r="P373" s="122"/>
      <c r="Q373" s="122"/>
    </row>
    <row r="374" spans="2:17" ht="14.25" customHeight="1" x14ac:dyDescent="0.3">
      <c r="B374" s="23"/>
      <c r="D374" s="25"/>
      <c r="E374" s="25"/>
      <c r="M374" s="12"/>
      <c r="N374" s="122"/>
      <c r="O374" s="122"/>
      <c r="P374" s="122"/>
      <c r="Q374" s="122"/>
    </row>
    <row r="375" spans="2:17" ht="14.25" customHeight="1" x14ac:dyDescent="0.3">
      <c r="B375" s="23"/>
      <c r="D375" s="25"/>
      <c r="E375" s="25"/>
      <c r="M375" s="12"/>
      <c r="N375" s="122"/>
      <c r="O375" s="122"/>
      <c r="P375" s="122"/>
      <c r="Q375" s="122"/>
    </row>
    <row r="376" spans="2:17" ht="14.25" customHeight="1" x14ac:dyDescent="0.3">
      <c r="B376" s="23"/>
      <c r="D376" s="25"/>
      <c r="E376" s="25"/>
      <c r="M376" s="12"/>
      <c r="N376" s="122"/>
      <c r="O376" s="122"/>
      <c r="P376" s="122"/>
      <c r="Q376" s="122"/>
    </row>
    <row r="377" spans="2:17" ht="14.25" customHeight="1" x14ac:dyDescent="0.3">
      <c r="B377" s="23"/>
      <c r="D377" s="25"/>
      <c r="E377" s="25"/>
      <c r="M377" s="12"/>
      <c r="N377" s="122"/>
      <c r="O377" s="122"/>
      <c r="P377" s="122"/>
      <c r="Q377" s="122"/>
    </row>
    <row r="378" spans="2:17" ht="14.25" customHeight="1" x14ac:dyDescent="0.3">
      <c r="B378" s="23"/>
      <c r="D378" s="25"/>
      <c r="E378" s="25"/>
      <c r="M378" s="12"/>
      <c r="N378" s="122"/>
      <c r="O378" s="122"/>
      <c r="P378" s="122"/>
      <c r="Q378" s="122"/>
    </row>
    <row r="379" spans="2:17" ht="14.25" customHeight="1" x14ac:dyDescent="0.3">
      <c r="B379" s="23"/>
      <c r="D379" s="25"/>
      <c r="E379" s="25"/>
      <c r="M379" s="12"/>
      <c r="N379" s="122"/>
      <c r="O379" s="122"/>
      <c r="P379" s="122"/>
      <c r="Q379" s="122"/>
    </row>
    <row r="380" spans="2:17" ht="14.25" customHeight="1" x14ac:dyDescent="0.3">
      <c r="B380" s="23"/>
      <c r="D380" s="25"/>
      <c r="E380" s="25"/>
      <c r="M380" s="12"/>
      <c r="N380" s="122"/>
      <c r="O380" s="122"/>
      <c r="P380" s="122"/>
      <c r="Q380" s="122"/>
    </row>
    <row r="381" spans="2:17" ht="14.25" customHeight="1" x14ac:dyDescent="0.3">
      <c r="B381" s="23"/>
      <c r="D381" s="25"/>
      <c r="E381" s="25"/>
      <c r="M381" s="12"/>
      <c r="N381" s="122"/>
      <c r="O381" s="122"/>
      <c r="P381" s="122"/>
      <c r="Q381" s="122"/>
    </row>
    <row r="382" spans="2:17" ht="14.25" customHeight="1" x14ac:dyDescent="0.3">
      <c r="B382" s="23"/>
      <c r="D382" s="25"/>
      <c r="E382" s="25"/>
      <c r="M382" s="12"/>
      <c r="N382" s="122"/>
      <c r="O382" s="122"/>
      <c r="P382" s="122"/>
      <c r="Q382" s="122"/>
    </row>
    <row r="383" spans="2:17" ht="14.25" customHeight="1" x14ac:dyDescent="0.3">
      <c r="B383" s="23"/>
      <c r="D383" s="25"/>
      <c r="E383" s="25"/>
      <c r="M383" s="12"/>
      <c r="N383" s="122"/>
      <c r="O383" s="122"/>
      <c r="P383" s="122"/>
      <c r="Q383" s="122"/>
    </row>
    <row r="384" spans="2:17" ht="14.25" customHeight="1" x14ac:dyDescent="0.3">
      <c r="B384" s="23"/>
      <c r="D384" s="25"/>
      <c r="E384" s="25"/>
      <c r="M384" s="12"/>
      <c r="N384" s="122"/>
      <c r="O384" s="122"/>
      <c r="P384" s="122"/>
      <c r="Q384" s="122"/>
    </row>
    <row r="385" spans="2:17" ht="14.25" customHeight="1" x14ac:dyDescent="0.3">
      <c r="B385" s="23"/>
      <c r="D385" s="25"/>
      <c r="E385" s="25"/>
      <c r="M385" s="12"/>
      <c r="N385" s="122"/>
      <c r="O385" s="122"/>
      <c r="P385" s="122"/>
      <c r="Q385" s="122"/>
    </row>
    <row r="386" spans="2:17" ht="14.25" customHeight="1" x14ac:dyDescent="0.3">
      <c r="B386" s="23"/>
      <c r="D386" s="25"/>
      <c r="E386" s="25"/>
      <c r="M386" s="12"/>
      <c r="N386" s="122"/>
      <c r="O386" s="122"/>
      <c r="P386" s="122"/>
      <c r="Q386" s="122"/>
    </row>
    <row r="387" spans="2:17" ht="14.25" customHeight="1" x14ac:dyDescent="0.3">
      <c r="B387" s="23"/>
      <c r="D387" s="25"/>
      <c r="E387" s="25"/>
      <c r="M387" s="12"/>
      <c r="N387" s="122"/>
      <c r="O387" s="122"/>
      <c r="P387" s="122"/>
      <c r="Q387" s="122"/>
    </row>
    <row r="388" spans="2:17" ht="14.25" customHeight="1" x14ac:dyDescent="0.3">
      <c r="B388" s="23"/>
      <c r="D388" s="25"/>
      <c r="E388" s="25"/>
      <c r="M388" s="12"/>
      <c r="N388" s="122"/>
      <c r="O388" s="122"/>
      <c r="P388" s="122"/>
      <c r="Q388" s="122"/>
    </row>
    <row r="389" spans="2:17" ht="14.25" customHeight="1" x14ac:dyDescent="0.3">
      <c r="B389" s="23"/>
      <c r="D389" s="25"/>
      <c r="E389" s="25"/>
      <c r="M389" s="12"/>
      <c r="N389" s="122"/>
      <c r="O389" s="122"/>
      <c r="P389" s="122"/>
      <c r="Q389" s="122"/>
    </row>
    <row r="390" spans="2:17" ht="14.25" customHeight="1" x14ac:dyDescent="0.3">
      <c r="B390" s="23"/>
      <c r="D390" s="25"/>
      <c r="E390" s="25"/>
      <c r="M390" s="12"/>
      <c r="N390" s="122"/>
      <c r="O390" s="122"/>
      <c r="P390" s="122"/>
      <c r="Q390" s="122"/>
    </row>
    <row r="391" spans="2:17" ht="14.25" customHeight="1" x14ac:dyDescent="0.3">
      <c r="B391" s="23"/>
      <c r="D391" s="25"/>
      <c r="E391" s="25"/>
      <c r="M391" s="12"/>
      <c r="N391" s="122"/>
      <c r="O391" s="122"/>
      <c r="P391" s="122"/>
      <c r="Q391" s="122"/>
    </row>
    <row r="392" spans="2:17" ht="14.25" customHeight="1" x14ac:dyDescent="0.3">
      <c r="B392" s="23"/>
      <c r="D392" s="25"/>
      <c r="E392" s="25"/>
      <c r="M392" s="12"/>
      <c r="N392" s="122"/>
      <c r="O392" s="122"/>
      <c r="P392" s="122"/>
      <c r="Q392" s="122"/>
    </row>
    <row r="393" spans="2:17" ht="14.25" customHeight="1" x14ac:dyDescent="0.3">
      <c r="B393" s="23"/>
      <c r="D393" s="25"/>
      <c r="E393" s="25"/>
      <c r="M393" s="12"/>
      <c r="N393" s="122"/>
      <c r="O393" s="122"/>
      <c r="P393" s="122"/>
      <c r="Q393" s="122"/>
    </row>
    <row r="394" spans="2:17" ht="14.25" customHeight="1" x14ac:dyDescent="0.3">
      <c r="B394" s="23"/>
      <c r="D394" s="25"/>
      <c r="E394" s="25"/>
      <c r="M394" s="12"/>
      <c r="N394" s="122"/>
      <c r="O394" s="122"/>
      <c r="P394" s="122"/>
      <c r="Q394" s="122"/>
    </row>
    <row r="395" spans="2:17" ht="14.25" customHeight="1" x14ac:dyDescent="0.3">
      <c r="B395" s="23"/>
      <c r="D395" s="25"/>
      <c r="E395" s="25"/>
      <c r="M395" s="12"/>
      <c r="N395" s="122"/>
      <c r="O395" s="122"/>
      <c r="P395" s="122"/>
      <c r="Q395" s="122"/>
    </row>
    <row r="396" spans="2:17" ht="14.25" customHeight="1" x14ac:dyDescent="0.3">
      <c r="B396" s="23"/>
      <c r="D396" s="25"/>
      <c r="E396" s="25"/>
      <c r="M396" s="12"/>
      <c r="N396" s="122"/>
      <c r="O396" s="122"/>
      <c r="P396" s="122"/>
      <c r="Q396" s="122"/>
    </row>
    <row r="397" spans="2:17" ht="14.25" customHeight="1" x14ac:dyDescent="0.3">
      <c r="B397" s="23"/>
      <c r="D397" s="25"/>
      <c r="E397" s="25"/>
      <c r="M397" s="12"/>
      <c r="N397" s="122"/>
      <c r="O397" s="122"/>
      <c r="P397" s="122"/>
      <c r="Q397" s="122"/>
    </row>
    <row r="398" spans="2:17" ht="14.25" customHeight="1" x14ac:dyDescent="0.3">
      <c r="B398" s="23"/>
      <c r="D398" s="25"/>
      <c r="E398" s="25"/>
      <c r="M398" s="12"/>
      <c r="N398" s="122"/>
      <c r="O398" s="122"/>
      <c r="P398" s="122"/>
      <c r="Q398" s="122"/>
    </row>
    <row r="399" spans="2:17" ht="14.25" customHeight="1" x14ac:dyDescent="0.3">
      <c r="B399" s="23"/>
      <c r="D399" s="25"/>
      <c r="E399" s="25"/>
      <c r="M399" s="12"/>
      <c r="N399" s="122"/>
      <c r="O399" s="122"/>
      <c r="P399" s="122"/>
      <c r="Q399" s="122"/>
    </row>
    <row r="400" spans="2:17" ht="14.25" customHeight="1" x14ac:dyDescent="0.3">
      <c r="B400" s="23"/>
      <c r="D400" s="25"/>
      <c r="E400" s="25"/>
      <c r="M400" s="12"/>
      <c r="N400" s="122"/>
      <c r="O400" s="122"/>
      <c r="P400" s="122"/>
      <c r="Q400" s="122"/>
    </row>
    <row r="401" spans="2:17" ht="14.25" customHeight="1" x14ac:dyDescent="0.3">
      <c r="B401" s="23"/>
      <c r="D401" s="25"/>
      <c r="E401" s="25"/>
      <c r="M401" s="12"/>
      <c r="N401" s="122"/>
      <c r="O401" s="122"/>
      <c r="P401" s="122"/>
      <c r="Q401" s="122"/>
    </row>
    <row r="402" spans="2:17" ht="14.25" customHeight="1" x14ac:dyDescent="0.3">
      <c r="B402" s="23"/>
      <c r="D402" s="25"/>
      <c r="E402" s="25"/>
      <c r="M402" s="12"/>
      <c r="N402" s="122"/>
      <c r="O402" s="122"/>
      <c r="P402" s="122"/>
      <c r="Q402" s="122"/>
    </row>
    <row r="403" spans="2:17" ht="14.25" customHeight="1" x14ac:dyDescent="0.3">
      <c r="B403" s="23"/>
      <c r="D403" s="25"/>
      <c r="E403" s="25"/>
      <c r="M403" s="12"/>
      <c r="N403" s="122"/>
      <c r="O403" s="122"/>
      <c r="P403" s="122"/>
      <c r="Q403" s="122"/>
    </row>
    <row r="404" spans="2:17" ht="14.25" customHeight="1" x14ac:dyDescent="0.3">
      <c r="B404" s="23"/>
      <c r="D404" s="25"/>
      <c r="E404" s="25"/>
      <c r="M404" s="12"/>
      <c r="N404" s="122"/>
      <c r="O404" s="122"/>
      <c r="P404" s="122"/>
      <c r="Q404" s="122"/>
    </row>
    <row r="405" spans="2:17" ht="14.25" customHeight="1" x14ac:dyDescent="0.3">
      <c r="B405" s="23"/>
      <c r="D405" s="25"/>
      <c r="E405" s="25"/>
      <c r="M405" s="12"/>
      <c r="N405" s="122"/>
      <c r="O405" s="122"/>
      <c r="P405" s="122"/>
      <c r="Q405" s="122"/>
    </row>
    <row r="406" spans="2:17" ht="14.25" customHeight="1" x14ac:dyDescent="0.3">
      <c r="B406" s="23"/>
      <c r="D406" s="25"/>
      <c r="E406" s="25"/>
      <c r="M406" s="12"/>
      <c r="N406" s="122"/>
      <c r="O406" s="122"/>
      <c r="P406" s="122"/>
      <c r="Q406" s="122"/>
    </row>
    <row r="407" spans="2:17" ht="14.25" customHeight="1" x14ac:dyDescent="0.3">
      <c r="B407" s="23"/>
      <c r="D407" s="25"/>
      <c r="E407" s="25"/>
      <c r="M407" s="12"/>
      <c r="N407" s="122"/>
      <c r="O407" s="122"/>
      <c r="P407" s="122"/>
      <c r="Q407" s="122"/>
    </row>
    <row r="408" spans="2:17" ht="14.25" customHeight="1" x14ac:dyDescent="0.3">
      <c r="B408" s="23"/>
      <c r="D408" s="25"/>
      <c r="E408" s="25"/>
      <c r="M408" s="12"/>
      <c r="N408" s="122"/>
      <c r="O408" s="122"/>
      <c r="P408" s="122"/>
      <c r="Q408" s="122"/>
    </row>
    <row r="409" spans="2:17" ht="14.25" customHeight="1" x14ac:dyDescent="0.3">
      <c r="B409" s="23"/>
      <c r="D409" s="25"/>
      <c r="E409" s="25"/>
      <c r="M409" s="12"/>
      <c r="N409" s="122"/>
      <c r="O409" s="122"/>
      <c r="P409" s="122"/>
      <c r="Q409" s="122"/>
    </row>
    <row r="410" spans="2:17" ht="14.25" customHeight="1" x14ac:dyDescent="0.3">
      <c r="B410" s="23"/>
      <c r="D410" s="25"/>
      <c r="E410" s="25"/>
      <c r="M410" s="12"/>
      <c r="N410" s="122"/>
      <c r="O410" s="122"/>
      <c r="P410" s="122"/>
      <c r="Q410" s="122"/>
    </row>
    <row r="411" spans="2:17" ht="14.25" customHeight="1" x14ac:dyDescent="0.3">
      <c r="B411" s="23"/>
      <c r="D411" s="25"/>
      <c r="E411" s="25"/>
      <c r="M411" s="12"/>
      <c r="N411" s="122"/>
      <c r="O411" s="122"/>
      <c r="P411" s="122"/>
      <c r="Q411" s="122"/>
    </row>
    <row r="412" spans="2:17" ht="14.25" customHeight="1" x14ac:dyDescent="0.3">
      <c r="B412" s="23"/>
      <c r="D412" s="25"/>
      <c r="E412" s="25"/>
      <c r="M412" s="12"/>
      <c r="N412" s="122"/>
      <c r="O412" s="122"/>
      <c r="P412" s="122"/>
      <c r="Q412" s="122"/>
    </row>
    <row r="413" spans="2:17" ht="14.25" customHeight="1" x14ac:dyDescent="0.3">
      <c r="B413" s="23"/>
      <c r="D413" s="25"/>
      <c r="E413" s="25"/>
      <c r="M413" s="12"/>
      <c r="N413" s="122"/>
      <c r="O413" s="122"/>
      <c r="P413" s="122"/>
      <c r="Q413" s="122"/>
    </row>
    <row r="414" spans="2:17" ht="14.25" customHeight="1" x14ac:dyDescent="0.3">
      <c r="B414" s="23"/>
      <c r="D414" s="25"/>
      <c r="E414" s="25"/>
      <c r="M414" s="12"/>
      <c r="N414" s="122"/>
      <c r="O414" s="122"/>
      <c r="P414" s="122"/>
      <c r="Q414" s="122"/>
    </row>
    <row r="415" spans="2:17" ht="14.25" customHeight="1" x14ac:dyDescent="0.3">
      <c r="B415" s="23"/>
      <c r="D415" s="25"/>
      <c r="E415" s="25"/>
      <c r="M415" s="12"/>
      <c r="N415" s="122"/>
      <c r="O415" s="122"/>
      <c r="P415" s="122"/>
      <c r="Q415" s="122"/>
    </row>
    <row r="416" spans="2:17" ht="14.25" customHeight="1" x14ac:dyDescent="0.3">
      <c r="B416" s="23"/>
      <c r="D416" s="25"/>
      <c r="E416" s="25"/>
      <c r="M416" s="12"/>
      <c r="N416" s="122"/>
      <c r="O416" s="122"/>
      <c r="P416" s="122"/>
      <c r="Q416" s="122"/>
    </row>
    <row r="417" spans="2:17" ht="14.25" customHeight="1" x14ac:dyDescent="0.3">
      <c r="B417" s="23"/>
      <c r="D417" s="25"/>
      <c r="E417" s="25"/>
      <c r="M417" s="12"/>
      <c r="N417" s="122"/>
      <c r="O417" s="122"/>
      <c r="P417" s="122"/>
      <c r="Q417" s="122"/>
    </row>
    <row r="418" spans="2:17" ht="14.25" customHeight="1" x14ac:dyDescent="0.3">
      <c r="B418" s="23"/>
      <c r="D418" s="25"/>
      <c r="E418" s="25"/>
      <c r="M418" s="12"/>
      <c r="N418" s="122"/>
      <c r="O418" s="122"/>
      <c r="P418" s="122"/>
      <c r="Q418" s="122"/>
    </row>
    <row r="419" spans="2:17" ht="14.25" customHeight="1" x14ac:dyDescent="0.3">
      <c r="B419" s="23"/>
      <c r="D419" s="25"/>
      <c r="E419" s="25"/>
      <c r="M419" s="12"/>
      <c r="N419" s="122"/>
      <c r="O419" s="122"/>
      <c r="P419" s="122"/>
      <c r="Q419" s="122"/>
    </row>
    <row r="420" spans="2:17" ht="14.25" customHeight="1" x14ac:dyDescent="0.3">
      <c r="B420" s="23"/>
      <c r="D420" s="25"/>
      <c r="E420" s="25"/>
      <c r="M420" s="12"/>
      <c r="N420" s="122"/>
      <c r="O420" s="122"/>
      <c r="P420" s="122"/>
      <c r="Q420" s="122"/>
    </row>
    <row r="421" spans="2:17" ht="14.25" customHeight="1" x14ac:dyDescent="0.3">
      <c r="B421" s="23"/>
      <c r="D421" s="25"/>
      <c r="E421" s="25"/>
      <c r="M421" s="12"/>
      <c r="N421" s="122"/>
      <c r="O421" s="122"/>
      <c r="P421" s="122"/>
      <c r="Q421" s="122"/>
    </row>
    <row r="422" spans="2:17" ht="14.25" customHeight="1" x14ac:dyDescent="0.3">
      <c r="B422" s="23"/>
      <c r="D422" s="25"/>
      <c r="E422" s="25"/>
      <c r="M422" s="12"/>
      <c r="N422" s="122"/>
      <c r="O422" s="122"/>
      <c r="P422" s="122"/>
      <c r="Q422" s="122"/>
    </row>
    <row r="423" spans="2:17" ht="14.25" customHeight="1" x14ac:dyDescent="0.3">
      <c r="B423" s="23"/>
      <c r="D423" s="25"/>
      <c r="E423" s="25"/>
      <c r="M423" s="12"/>
      <c r="N423" s="122"/>
      <c r="O423" s="122"/>
      <c r="P423" s="122"/>
      <c r="Q423" s="122"/>
    </row>
    <row r="424" spans="2:17" ht="14.25" customHeight="1" x14ac:dyDescent="0.3">
      <c r="B424" s="23"/>
      <c r="D424" s="25"/>
      <c r="E424" s="25"/>
      <c r="M424" s="12"/>
      <c r="N424" s="122"/>
      <c r="O424" s="122"/>
      <c r="P424" s="122"/>
      <c r="Q424" s="122"/>
    </row>
    <row r="425" spans="2:17" ht="14.25" customHeight="1" x14ac:dyDescent="0.3">
      <c r="B425" s="23"/>
      <c r="D425" s="25"/>
      <c r="E425" s="25"/>
      <c r="M425" s="12"/>
      <c r="N425" s="122"/>
      <c r="O425" s="122"/>
      <c r="P425" s="122"/>
      <c r="Q425" s="122"/>
    </row>
    <row r="426" spans="2:17" ht="14.25" customHeight="1" x14ac:dyDescent="0.3">
      <c r="B426" s="23"/>
      <c r="D426" s="25"/>
      <c r="E426" s="25"/>
      <c r="M426" s="12"/>
      <c r="N426" s="122"/>
      <c r="O426" s="122"/>
      <c r="P426" s="122"/>
      <c r="Q426" s="122"/>
    </row>
    <row r="427" spans="2:17" ht="14.25" customHeight="1" x14ac:dyDescent="0.3">
      <c r="B427" s="23"/>
      <c r="D427" s="25"/>
      <c r="E427" s="25"/>
      <c r="M427" s="12"/>
      <c r="N427" s="122"/>
      <c r="O427" s="122"/>
      <c r="P427" s="122"/>
      <c r="Q427" s="122"/>
    </row>
    <row r="428" spans="2:17" ht="14.25" customHeight="1" x14ac:dyDescent="0.3">
      <c r="B428" s="23"/>
      <c r="D428" s="25"/>
      <c r="E428" s="25"/>
      <c r="M428" s="12"/>
      <c r="N428" s="122"/>
      <c r="O428" s="122"/>
      <c r="P428" s="122"/>
      <c r="Q428" s="122"/>
    </row>
    <row r="429" spans="2:17" ht="14.25" customHeight="1" x14ac:dyDescent="0.3">
      <c r="B429" s="23"/>
      <c r="D429" s="25"/>
      <c r="E429" s="25"/>
      <c r="M429" s="12"/>
      <c r="N429" s="122"/>
      <c r="O429" s="122"/>
      <c r="P429" s="122"/>
      <c r="Q429" s="122"/>
    </row>
    <row r="430" spans="2:17" ht="14.25" customHeight="1" x14ac:dyDescent="0.3">
      <c r="B430" s="23"/>
      <c r="D430" s="25"/>
      <c r="E430" s="25"/>
      <c r="M430" s="12"/>
      <c r="N430" s="122"/>
      <c r="O430" s="122"/>
      <c r="P430" s="122"/>
      <c r="Q430" s="122"/>
    </row>
    <row r="431" spans="2:17" ht="14.25" customHeight="1" x14ac:dyDescent="0.3">
      <c r="B431" s="23"/>
      <c r="D431" s="25"/>
      <c r="E431" s="25"/>
      <c r="M431" s="12"/>
      <c r="N431" s="122"/>
      <c r="O431" s="122"/>
      <c r="P431" s="122"/>
      <c r="Q431" s="122"/>
    </row>
    <row r="432" spans="2:17" ht="14.25" customHeight="1" x14ac:dyDescent="0.3">
      <c r="B432" s="23"/>
      <c r="D432" s="25"/>
      <c r="E432" s="25"/>
      <c r="M432" s="12"/>
      <c r="N432" s="122"/>
      <c r="O432" s="122"/>
      <c r="P432" s="122"/>
      <c r="Q432" s="122"/>
    </row>
    <row r="433" spans="2:17" ht="14.25" customHeight="1" x14ac:dyDescent="0.3">
      <c r="B433" s="23"/>
      <c r="D433" s="25"/>
      <c r="E433" s="25"/>
      <c r="M433" s="12"/>
      <c r="N433" s="122"/>
      <c r="O433" s="122"/>
      <c r="P433" s="122"/>
      <c r="Q433" s="122"/>
    </row>
    <row r="434" spans="2:17" ht="14.25" customHeight="1" x14ac:dyDescent="0.3">
      <c r="B434" s="23"/>
      <c r="D434" s="25"/>
      <c r="E434" s="25"/>
      <c r="M434" s="12"/>
      <c r="N434" s="122"/>
      <c r="O434" s="122"/>
      <c r="P434" s="122"/>
      <c r="Q434" s="122"/>
    </row>
    <row r="435" spans="2:17" ht="14.25" customHeight="1" x14ac:dyDescent="0.3">
      <c r="B435" s="23"/>
      <c r="D435" s="25"/>
      <c r="E435" s="25"/>
      <c r="M435" s="12"/>
      <c r="N435" s="122"/>
      <c r="O435" s="122"/>
      <c r="P435" s="122"/>
      <c r="Q435" s="122"/>
    </row>
    <row r="436" spans="2:17" ht="14.25" customHeight="1" x14ac:dyDescent="0.3">
      <c r="B436" s="23"/>
      <c r="D436" s="25"/>
      <c r="E436" s="25"/>
      <c r="M436" s="12"/>
      <c r="N436" s="122"/>
      <c r="O436" s="122"/>
      <c r="P436" s="122"/>
      <c r="Q436" s="122"/>
    </row>
    <row r="437" spans="2:17" ht="14.25" customHeight="1" x14ac:dyDescent="0.3">
      <c r="B437" s="23"/>
      <c r="D437" s="25"/>
      <c r="E437" s="25"/>
      <c r="M437" s="12"/>
      <c r="N437" s="122"/>
      <c r="O437" s="122"/>
      <c r="P437" s="122"/>
      <c r="Q437" s="122"/>
    </row>
    <row r="438" spans="2:17" ht="14.25" customHeight="1" x14ac:dyDescent="0.3">
      <c r="B438" s="23"/>
      <c r="D438" s="25"/>
      <c r="E438" s="25"/>
      <c r="M438" s="12"/>
      <c r="N438" s="122"/>
      <c r="O438" s="122"/>
      <c r="P438" s="122"/>
      <c r="Q438" s="122"/>
    </row>
    <row r="439" spans="2:17" ht="14.25" customHeight="1" x14ac:dyDescent="0.3">
      <c r="B439" s="23"/>
      <c r="D439" s="25"/>
      <c r="E439" s="25"/>
      <c r="M439" s="12"/>
      <c r="N439" s="122"/>
      <c r="O439" s="122"/>
      <c r="P439" s="122"/>
      <c r="Q439" s="122"/>
    </row>
    <row r="440" spans="2:17" ht="14.25" customHeight="1" x14ac:dyDescent="0.3">
      <c r="B440" s="23"/>
      <c r="D440" s="25"/>
      <c r="E440" s="25"/>
      <c r="M440" s="12"/>
      <c r="N440" s="122"/>
      <c r="O440" s="122"/>
      <c r="P440" s="122"/>
      <c r="Q440" s="122"/>
    </row>
    <row r="441" spans="2:17" ht="14.25" customHeight="1" x14ac:dyDescent="0.3">
      <c r="B441" s="23"/>
      <c r="D441" s="25"/>
      <c r="E441" s="25"/>
      <c r="M441" s="12"/>
      <c r="N441" s="122"/>
      <c r="O441" s="122"/>
      <c r="P441" s="122"/>
      <c r="Q441" s="122"/>
    </row>
    <row r="442" spans="2:17" ht="14.25" customHeight="1" x14ac:dyDescent="0.3">
      <c r="B442" s="23"/>
      <c r="D442" s="25"/>
      <c r="E442" s="25"/>
      <c r="M442" s="12"/>
      <c r="N442" s="122"/>
      <c r="O442" s="122"/>
      <c r="P442" s="122"/>
      <c r="Q442" s="122"/>
    </row>
    <row r="443" spans="2:17" ht="14.25" customHeight="1" x14ac:dyDescent="0.3">
      <c r="B443" s="23"/>
      <c r="D443" s="25"/>
      <c r="E443" s="25"/>
      <c r="M443" s="12"/>
      <c r="N443" s="122"/>
      <c r="O443" s="122"/>
      <c r="P443" s="122"/>
      <c r="Q443" s="122"/>
    </row>
    <row r="444" spans="2:17" ht="14.25" customHeight="1" x14ac:dyDescent="0.3">
      <c r="B444" s="23"/>
      <c r="D444" s="25"/>
      <c r="E444" s="25"/>
      <c r="M444" s="12"/>
      <c r="N444" s="122"/>
      <c r="O444" s="122"/>
      <c r="P444" s="122"/>
      <c r="Q444" s="122"/>
    </row>
    <row r="445" spans="2:17" ht="14.25" customHeight="1" x14ac:dyDescent="0.3">
      <c r="B445" s="23"/>
      <c r="D445" s="25"/>
      <c r="E445" s="25"/>
      <c r="M445" s="12"/>
      <c r="N445" s="122"/>
      <c r="O445" s="122"/>
      <c r="P445" s="122"/>
      <c r="Q445" s="122"/>
    </row>
    <row r="446" spans="2:17" ht="14.25" customHeight="1" x14ac:dyDescent="0.3">
      <c r="B446" s="23"/>
      <c r="D446" s="25"/>
      <c r="E446" s="25"/>
      <c r="M446" s="12"/>
      <c r="N446" s="122"/>
      <c r="O446" s="122"/>
      <c r="P446" s="122"/>
      <c r="Q446" s="122"/>
    </row>
    <row r="447" spans="2:17" ht="14.25" customHeight="1" x14ac:dyDescent="0.3">
      <c r="B447" s="23"/>
      <c r="D447" s="25"/>
      <c r="E447" s="25"/>
      <c r="M447" s="12"/>
      <c r="N447" s="122"/>
      <c r="O447" s="122"/>
      <c r="P447" s="122"/>
      <c r="Q447" s="122"/>
    </row>
    <row r="448" spans="2:17" ht="14.25" customHeight="1" x14ac:dyDescent="0.3">
      <c r="B448" s="23"/>
      <c r="D448" s="25"/>
      <c r="E448" s="25"/>
      <c r="M448" s="12"/>
      <c r="N448" s="122"/>
      <c r="O448" s="122"/>
      <c r="P448" s="122"/>
      <c r="Q448" s="122"/>
    </row>
    <row r="449" spans="2:17" ht="14.25" customHeight="1" x14ac:dyDescent="0.3">
      <c r="B449" s="23"/>
      <c r="D449" s="25"/>
      <c r="E449" s="25"/>
      <c r="M449" s="12"/>
      <c r="N449" s="122"/>
      <c r="O449" s="122"/>
      <c r="P449" s="122"/>
      <c r="Q449" s="122"/>
    </row>
    <row r="450" spans="2:17" ht="14.25" customHeight="1" x14ac:dyDescent="0.3">
      <c r="B450" s="23"/>
      <c r="D450" s="25"/>
      <c r="E450" s="25"/>
      <c r="M450" s="12"/>
      <c r="N450" s="122"/>
      <c r="O450" s="122"/>
      <c r="P450" s="122"/>
      <c r="Q450" s="122"/>
    </row>
    <row r="451" spans="2:17" ht="14.25" customHeight="1" x14ac:dyDescent="0.3">
      <c r="B451" s="23"/>
      <c r="D451" s="25"/>
      <c r="E451" s="25"/>
      <c r="M451" s="12"/>
      <c r="N451" s="122"/>
      <c r="O451" s="122"/>
      <c r="P451" s="122"/>
      <c r="Q451" s="122"/>
    </row>
    <row r="452" spans="2:17" ht="14.25" customHeight="1" x14ac:dyDescent="0.3">
      <c r="B452" s="23"/>
      <c r="D452" s="25"/>
      <c r="E452" s="25"/>
      <c r="M452" s="12"/>
      <c r="N452" s="122"/>
      <c r="O452" s="122"/>
      <c r="P452" s="122"/>
      <c r="Q452" s="122"/>
    </row>
    <row r="453" spans="2:17" ht="14.25" customHeight="1" x14ac:dyDescent="0.3">
      <c r="B453" s="23"/>
      <c r="D453" s="25"/>
      <c r="E453" s="25"/>
      <c r="M453" s="12"/>
      <c r="N453" s="122"/>
      <c r="O453" s="122"/>
      <c r="P453" s="122"/>
      <c r="Q453" s="122"/>
    </row>
    <row r="454" spans="2:17" ht="14.25" customHeight="1" x14ac:dyDescent="0.3">
      <c r="B454" s="23"/>
      <c r="D454" s="25"/>
      <c r="E454" s="25"/>
      <c r="M454" s="12"/>
      <c r="N454" s="122"/>
      <c r="O454" s="122"/>
      <c r="P454" s="122"/>
      <c r="Q454" s="122"/>
    </row>
    <row r="455" spans="2:17" ht="14.25" customHeight="1" x14ac:dyDescent="0.3">
      <c r="B455" s="23"/>
      <c r="D455" s="25"/>
      <c r="E455" s="25"/>
      <c r="M455" s="12"/>
      <c r="N455" s="122"/>
      <c r="O455" s="122"/>
      <c r="P455" s="122"/>
      <c r="Q455" s="122"/>
    </row>
    <row r="456" spans="2:17" ht="14.25" customHeight="1" x14ac:dyDescent="0.3">
      <c r="B456" s="23"/>
      <c r="D456" s="25"/>
      <c r="E456" s="25"/>
      <c r="M456" s="12"/>
      <c r="N456" s="122"/>
      <c r="O456" s="122"/>
      <c r="P456" s="122"/>
      <c r="Q456" s="122"/>
    </row>
    <row r="457" spans="2:17" ht="14.25" customHeight="1" x14ac:dyDescent="0.3">
      <c r="B457" s="23"/>
      <c r="D457" s="25"/>
      <c r="E457" s="25"/>
      <c r="M457" s="12"/>
      <c r="N457" s="122"/>
      <c r="O457" s="122"/>
      <c r="P457" s="122"/>
      <c r="Q457" s="122"/>
    </row>
    <row r="458" spans="2:17" ht="14.25" customHeight="1" x14ac:dyDescent="0.3">
      <c r="B458" s="23"/>
      <c r="D458" s="25"/>
      <c r="E458" s="25"/>
      <c r="M458" s="12"/>
      <c r="N458" s="122"/>
      <c r="O458" s="122"/>
      <c r="P458" s="122"/>
      <c r="Q458" s="122"/>
    </row>
    <row r="459" spans="2:17" ht="14.25" customHeight="1" x14ac:dyDescent="0.3">
      <c r="B459" s="23"/>
      <c r="D459" s="25"/>
      <c r="E459" s="25"/>
      <c r="M459" s="12"/>
      <c r="N459" s="122"/>
      <c r="O459" s="122"/>
      <c r="P459" s="122"/>
      <c r="Q459" s="122"/>
    </row>
    <row r="460" spans="2:17" ht="14.25" customHeight="1" x14ac:dyDescent="0.3">
      <c r="B460" s="23"/>
      <c r="D460" s="25"/>
      <c r="E460" s="25"/>
      <c r="M460" s="12"/>
      <c r="N460" s="122"/>
      <c r="O460" s="122"/>
      <c r="P460" s="122"/>
      <c r="Q460" s="122"/>
    </row>
    <row r="461" spans="2:17" ht="14.25" customHeight="1" x14ac:dyDescent="0.3">
      <c r="B461" s="23"/>
      <c r="D461" s="25"/>
      <c r="E461" s="25"/>
      <c r="M461" s="12"/>
      <c r="N461" s="122"/>
      <c r="O461" s="122"/>
      <c r="P461" s="122"/>
      <c r="Q461" s="122"/>
    </row>
    <row r="462" spans="2:17" ht="14.25" customHeight="1" x14ac:dyDescent="0.3">
      <c r="B462" s="23"/>
      <c r="D462" s="25"/>
      <c r="E462" s="25"/>
      <c r="M462" s="12"/>
      <c r="N462" s="122"/>
      <c r="O462" s="122"/>
      <c r="P462" s="122"/>
      <c r="Q462" s="122"/>
    </row>
    <row r="463" spans="2:17" ht="14.25" customHeight="1" x14ac:dyDescent="0.3">
      <c r="B463" s="23"/>
      <c r="D463" s="25"/>
      <c r="E463" s="25"/>
      <c r="M463" s="12"/>
      <c r="N463" s="122"/>
      <c r="O463" s="122"/>
      <c r="P463" s="122"/>
      <c r="Q463" s="122"/>
    </row>
    <row r="464" spans="2:17" ht="14.25" customHeight="1" x14ac:dyDescent="0.3">
      <c r="B464" s="23"/>
      <c r="D464" s="25"/>
      <c r="E464" s="25"/>
      <c r="M464" s="12"/>
      <c r="N464" s="122"/>
      <c r="O464" s="122"/>
      <c r="P464" s="122"/>
      <c r="Q464" s="122"/>
    </row>
    <row r="465" spans="2:17" ht="14.25" customHeight="1" x14ac:dyDescent="0.3">
      <c r="B465" s="23"/>
      <c r="D465" s="25"/>
      <c r="E465" s="25"/>
      <c r="M465" s="12"/>
      <c r="N465" s="122"/>
      <c r="O465" s="122"/>
      <c r="P465" s="122"/>
      <c r="Q465" s="122"/>
    </row>
    <row r="466" spans="2:17" ht="14.25" customHeight="1" x14ac:dyDescent="0.3">
      <c r="B466" s="23"/>
      <c r="D466" s="25"/>
      <c r="E466" s="25"/>
      <c r="M466" s="12"/>
      <c r="N466" s="122"/>
      <c r="O466" s="122"/>
      <c r="P466" s="122"/>
      <c r="Q466" s="122"/>
    </row>
    <row r="467" spans="2:17" ht="14.25" customHeight="1" x14ac:dyDescent="0.3">
      <c r="B467" s="23"/>
      <c r="D467" s="25"/>
      <c r="E467" s="25"/>
      <c r="M467" s="12"/>
      <c r="N467" s="122"/>
      <c r="O467" s="122"/>
      <c r="P467" s="122"/>
      <c r="Q467" s="122"/>
    </row>
    <row r="468" spans="2:17" ht="14.25" customHeight="1" x14ac:dyDescent="0.3">
      <c r="B468" s="23"/>
      <c r="D468" s="25"/>
      <c r="E468" s="25"/>
      <c r="M468" s="12"/>
      <c r="N468" s="122"/>
      <c r="O468" s="122"/>
      <c r="P468" s="122"/>
      <c r="Q468" s="122"/>
    </row>
    <row r="469" spans="2:17" ht="14.25" customHeight="1" x14ac:dyDescent="0.3">
      <c r="B469" s="23"/>
      <c r="D469" s="25"/>
      <c r="E469" s="25"/>
      <c r="M469" s="12"/>
      <c r="N469" s="122"/>
      <c r="O469" s="122"/>
      <c r="P469" s="122"/>
      <c r="Q469" s="122"/>
    </row>
    <row r="470" spans="2:17" ht="14.25" customHeight="1" x14ac:dyDescent="0.3">
      <c r="B470" s="23"/>
      <c r="D470" s="25"/>
      <c r="E470" s="25"/>
      <c r="M470" s="12"/>
      <c r="N470" s="122"/>
      <c r="O470" s="122"/>
      <c r="P470" s="122"/>
      <c r="Q470" s="122"/>
    </row>
    <row r="471" spans="2:17" ht="14.25" customHeight="1" x14ac:dyDescent="0.3">
      <c r="B471" s="23"/>
      <c r="D471" s="25"/>
      <c r="E471" s="25"/>
      <c r="M471" s="12"/>
      <c r="N471" s="122"/>
      <c r="O471" s="122"/>
      <c r="P471" s="122"/>
      <c r="Q471" s="122"/>
    </row>
    <row r="472" spans="2:17" ht="14.25" customHeight="1" x14ac:dyDescent="0.3">
      <c r="B472" s="23"/>
      <c r="D472" s="25"/>
      <c r="E472" s="25"/>
      <c r="M472" s="12"/>
      <c r="N472" s="122"/>
      <c r="O472" s="122"/>
      <c r="P472" s="122"/>
      <c r="Q472" s="122"/>
    </row>
    <row r="473" spans="2:17" ht="14.25" customHeight="1" x14ac:dyDescent="0.3">
      <c r="B473" s="23"/>
      <c r="D473" s="25"/>
      <c r="E473" s="25"/>
      <c r="M473" s="12"/>
      <c r="N473" s="122"/>
      <c r="O473" s="122"/>
      <c r="P473" s="122"/>
      <c r="Q473" s="122"/>
    </row>
    <row r="474" spans="2:17" ht="14.25" customHeight="1" x14ac:dyDescent="0.3">
      <c r="B474" s="23"/>
      <c r="D474" s="25"/>
      <c r="E474" s="25"/>
      <c r="M474" s="12"/>
      <c r="N474" s="122"/>
      <c r="O474" s="122"/>
      <c r="P474" s="122"/>
      <c r="Q474" s="122"/>
    </row>
    <row r="475" spans="2:17" ht="14.25" customHeight="1" x14ac:dyDescent="0.3">
      <c r="B475" s="23"/>
      <c r="D475" s="25"/>
      <c r="E475" s="25"/>
      <c r="M475" s="12"/>
      <c r="N475" s="122"/>
      <c r="O475" s="122"/>
      <c r="P475" s="122"/>
      <c r="Q475" s="122"/>
    </row>
    <row r="476" spans="2:17" ht="14.25" customHeight="1" x14ac:dyDescent="0.3">
      <c r="B476" s="23"/>
      <c r="D476" s="25"/>
      <c r="E476" s="25"/>
      <c r="M476" s="12"/>
      <c r="N476" s="122"/>
      <c r="O476" s="122"/>
      <c r="P476" s="122"/>
      <c r="Q476" s="122"/>
    </row>
    <row r="477" spans="2:17" ht="14.25" customHeight="1" x14ac:dyDescent="0.3">
      <c r="B477" s="23"/>
      <c r="D477" s="25"/>
      <c r="E477" s="25"/>
      <c r="M477" s="12"/>
      <c r="N477" s="122"/>
      <c r="O477" s="122"/>
      <c r="P477" s="122"/>
      <c r="Q477" s="122"/>
    </row>
    <row r="478" spans="2:17" ht="14.25" customHeight="1" x14ac:dyDescent="0.3">
      <c r="B478" s="23"/>
      <c r="D478" s="25"/>
      <c r="E478" s="25"/>
      <c r="M478" s="12"/>
      <c r="N478" s="122"/>
      <c r="O478" s="122"/>
      <c r="P478" s="122"/>
      <c r="Q478" s="122"/>
    </row>
    <row r="479" spans="2:17" ht="14.25" customHeight="1" x14ac:dyDescent="0.3">
      <c r="B479" s="23"/>
      <c r="D479" s="25"/>
      <c r="E479" s="25"/>
      <c r="M479" s="12"/>
      <c r="N479" s="122"/>
      <c r="O479" s="122"/>
      <c r="P479" s="122"/>
      <c r="Q479" s="122"/>
    </row>
    <row r="480" spans="2:17" ht="14.25" customHeight="1" x14ac:dyDescent="0.3">
      <c r="B480" s="23"/>
      <c r="D480" s="25"/>
      <c r="E480" s="25"/>
      <c r="M480" s="12"/>
      <c r="N480" s="122"/>
      <c r="O480" s="122"/>
      <c r="P480" s="122"/>
      <c r="Q480" s="122"/>
    </row>
    <row r="481" spans="2:17" ht="14.25" customHeight="1" x14ac:dyDescent="0.3">
      <c r="B481" s="23"/>
      <c r="D481" s="25"/>
      <c r="E481" s="25"/>
      <c r="M481" s="12"/>
      <c r="N481" s="122"/>
      <c r="O481" s="122"/>
      <c r="P481" s="122"/>
      <c r="Q481" s="122"/>
    </row>
    <row r="482" spans="2:17" ht="14.25" customHeight="1" x14ac:dyDescent="0.3">
      <c r="B482" s="23"/>
      <c r="D482" s="25"/>
      <c r="E482" s="25"/>
      <c r="M482" s="12"/>
      <c r="N482" s="122"/>
      <c r="O482" s="122"/>
      <c r="P482" s="122"/>
      <c r="Q482" s="122"/>
    </row>
    <row r="483" spans="2:17" ht="14.25" customHeight="1" x14ac:dyDescent="0.3">
      <c r="B483" s="23"/>
      <c r="D483" s="25"/>
      <c r="E483" s="25"/>
      <c r="M483" s="12"/>
      <c r="N483" s="122"/>
      <c r="O483" s="122"/>
      <c r="P483" s="122"/>
      <c r="Q483" s="122"/>
    </row>
    <row r="484" spans="2:17" ht="14.25" customHeight="1" x14ac:dyDescent="0.3">
      <c r="B484" s="23"/>
      <c r="D484" s="25"/>
      <c r="E484" s="25"/>
      <c r="M484" s="12"/>
      <c r="N484" s="122"/>
      <c r="O484" s="122"/>
      <c r="P484" s="122"/>
      <c r="Q484" s="122"/>
    </row>
    <row r="485" spans="2:17" ht="14.25" customHeight="1" x14ac:dyDescent="0.3">
      <c r="B485" s="23"/>
      <c r="D485" s="25"/>
      <c r="E485" s="25"/>
      <c r="M485" s="12"/>
      <c r="N485" s="122"/>
      <c r="O485" s="122"/>
      <c r="P485" s="122"/>
      <c r="Q485" s="122"/>
    </row>
    <row r="486" spans="2:17" ht="14.25" customHeight="1" x14ac:dyDescent="0.3">
      <c r="B486" s="23"/>
      <c r="D486" s="25"/>
      <c r="E486" s="25"/>
      <c r="M486" s="12"/>
      <c r="N486" s="122"/>
      <c r="O486" s="122"/>
      <c r="P486" s="122"/>
      <c r="Q486" s="122"/>
    </row>
    <row r="487" spans="2:17" ht="14.25" customHeight="1" x14ac:dyDescent="0.3">
      <c r="B487" s="23"/>
      <c r="D487" s="25"/>
      <c r="E487" s="25"/>
      <c r="M487" s="12"/>
      <c r="N487" s="122"/>
      <c r="O487" s="122"/>
      <c r="P487" s="122"/>
      <c r="Q487" s="122"/>
    </row>
    <row r="488" spans="2:17" ht="14.25" customHeight="1" x14ac:dyDescent="0.3">
      <c r="B488" s="23"/>
      <c r="D488" s="25"/>
      <c r="E488" s="25"/>
      <c r="M488" s="12"/>
      <c r="N488" s="122"/>
      <c r="O488" s="122"/>
      <c r="P488" s="122"/>
      <c r="Q488" s="122"/>
    </row>
    <row r="489" spans="2:17" ht="14.25" customHeight="1" x14ac:dyDescent="0.3">
      <c r="B489" s="23"/>
      <c r="D489" s="25"/>
      <c r="E489" s="25"/>
      <c r="M489" s="12"/>
      <c r="N489" s="122"/>
      <c r="O489" s="122"/>
      <c r="P489" s="122"/>
      <c r="Q489" s="122"/>
    </row>
    <row r="490" spans="2:17" ht="14.25" customHeight="1" x14ac:dyDescent="0.3">
      <c r="B490" s="23"/>
      <c r="D490" s="25"/>
      <c r="E490" s="25"/>
      <c r="M490" s="12"/>
      <c r="N490" s="122"/>
      <c r="O490" s="122"/>
      <c r="P490" s="122"/>
      <c r="Q490" s="122"/>
    </row>
    <row r="491" spans="2:17" ht="14.25" customHeight="1" x14ac:dyDescent="0.3">
      <c r="B491" s="23"/>
      <c r="D491" s="25"/>
      <c r="E491" s="25"/>
      <c r="M491" s="12"/>
      <c r="N491" s="122"/>
      <c r="O491" s="122"/>
      <c r="P491" s="122"/>
      <c r="Q491" s="122"/>
    </row>
    <row r="492" spans="2:17" ht="14.25" customHeight="1" x14ac:dyDescent="0.3">
      <c r="B492" s="23"/>
      <c r="D492" s="25"/>
      <c r="E492" s="25"/>
      <c r="M492" s="12"/>
      <c r="N492" s="122"/>
      <c r="O492" s="122"/>
      <c r="P492" s="122"/>
      <c r="Q492" s="122"/>
    </row>
    <row r="493" spans="2:17" ht="14.25" customHeight="1" x14ac:dyDescent="0.3">
      <c r="B493" s="23"/>
      <c r="D493" s="25"/>
      <c r="E493" s="25"/>
      <c r="M493" s="12"/>
      <c r="N493" s="122"/>
      <c r="O493" s="122"/>
      <c r="P493" s="122"/>
      <c r="Q493" s="122"/>
    </row>
    <row r="494" spans="2:17" ht="14.25" customHeight="1" x14ac:dyDescent="0.3">
      <c r="B494" s="23"/>
      <c r="D494" s="25"/>
      <c r="E494" s="25"/>
      <c r="M494" s="12"/>
      <c r="N494" s="122"/>
      <c r="O494" s="122"/>
      <c r="P494" s="122"/>
      <c r="Q494" s="122"/>
    </row>
    <row r="495" spans="2:17" ht="14.25" customHeight="1" x14ac:dyDescent="0.3">
      <c r="B495" s="23"/>
      <c r="D495" s="25"/>
      <c r="E495" s="25"/>
      <c r="M495" s="12"/>
      <c r="N495" s="122"/>
      <c r="O495" s="122"/>
      <c r="P495" s="122"/>
      <c r="Q495" s="122"/>
    </row>
    <row r="496" spans="2:17" ht="14.25" customHeight="1" x14ac:dyDescent="0.3">
      <c r="B496" s="23"/>
      <c r="D496" s="25"/>
      <c r="E496" s="25"/>
      <c r="M496" s="12"/>
      <c r="N496" s="122"/>
      <c r="O496" s="122"/>
      <c r="P496" s="122"/>
      <c r="Q496" s="122"/>
    </row>
    <row r="497" spans="2:17" ht="14.25" customHeight="1" x14ac:dyDescent="0.3">
      <c r="B497" s="23"/>
      <c r="D497" s="25"/>
      <c r="E497" s="25"/>
      <c r="M497" s="12"/>
      <c r="N497" s="122"/>
      <c r="O497" s="122"/>
      <c r="P497" s="122"/>
      <c r="Q497" s="122"/>
    </row>
    <row r="498" spans="2:17" ht="14.25" customHeight="1" x14ac:dyDescent="0.3">
      <c r="B498" s="23"/>
      <c r="D498" s="25"/>
      <c r="E498" s="25"/>
      <c r="M498" s="12"/>
      <c r="N498" s="122"/>
      <c r="O498" s="122"/>
      <c r="P498" s="122"/>
      <c r="Q498" s="122"/>
    </row>
    <row r="499" spans="2:17" ht="14.25" customHeight="1" x14ac:dyDescent="0.3">
      <c r="B499" s="23"/>
      <c r="D499" s="25"/>
      <c r="E499" s="25"/>
      <c r="M499" s="12"/>
      <c r="N499" s="122"/>
      <c r="O499" s="122"/>
      <c r="P499" s="122"/>
      <c r="Q499" s="122"/>
    </row>
    <row r="500" spans="2:17" ht="14.25" customHeight="1" x14ac:dyDescent="0.3">
      <c r="B500" s="23"/>
      <c r="D500" s="25"/>
      <c r="E500" s="25"/>
      <c r="M500" s="12"/>
      <c r="N500" s="122"/>
      <c r="O500" s="122"/>
      <c r="P500" s="122"/>
      <c r="Q500" s="122"/>
    </row>
    <row r="501" spans="2:17" ht="14.25" customHeight="1" x14ac:dyDescent="0.3">
      <c r="B501" s="23"/>
      <c r="D501" s="25"/>
      <c r="E501" s="25"/>
      <c r="M501" s="12"/>
      <c r="N501" s="122"/>
      <c r="O501" s="122"/>
      <c r="P501" s="122"/>
      <c r="Q501" s="122"/>
    </row>
    <row r="502" spans="2:17" ht="14.25" customHeight="1" x14ac:dyDescent="0.3">
      <c r="B502" s="23"/>
      <c r="D502" s="25"/>
      <c r="E502" s="25"/>
      <c r="M502" s="12"/>
      <c r="N502" s="122"/>
      <c r="O502" s="122"/>
      <c r="P502" s="122"/>
      <c r="Q502" s="122"/>
    </row>
    <row r="503" spans="2:17" ht="14.25" customHeight="1" x14ac:dyDescent="0.3">
      <c r="B503" s="23"/>
      <c r="D503" s="25"/>
      <c r="E503" s="25"/>
      <c r="M503" s="12"/>
      <c r="N503" s="122"/>
      <c r="O503" s="122"/>
      <c r="P503" s="122"/>
      <c r="Q503" s="122"/>
    </row>
    <row r="504" spans="2:17" ht="14.25" customHeight="1" x14ac:dyDescent="0.3">
      <c r="B504" s="23"/>
      <c r="D504" s="25"/>
      <c r="E504" s="25"/>
      <c r="M504" s="12"/>
      <c r="N504" s="122"/>
      <c r="O504" s="122"/>
      <c r="P504" s="122"/>
      <c r="Q504" s="122"/>
    </row>
    <row r="505" spans="2:17" ht="14.25" customHeight="1" x14ac:dyDescent="0.3">
      <c r="B505" s="23"/>
      <c r="D505" s="25"/>
      <c r="E505" s="25"/>
      <c r="M505" s="12"/>
      <c r="N505" s="122"/>
      <c r="O505" s="122"/>
      <c r="P505" s="122"/>
      <c r="Q505" s="122"/>
    </row>
    <row r="506" spans="2:17" ht="14.25" customHeight="1" x14ac:dyDescent="0.3">
      <c r="B506" s="23"/>
      <c r="D506" s="25"/>
      <c r="E506" s="25"/>
      <c r="M506" s="12"/>
      <c r="N506" s="122"/>
      <c r="O506" s="122"/>
      <c r="P506" s="122"/>
      <c r="Q506" s="122"/>
    </row>
    <row r="507" spans="2:17" ht="14.25" customHeight="1" x14ac:dyDescent="0.3">
      <c r="B507" s="23"/>
      <c r="D507" s="25"/>
      <c r="E507" s="25"/>
      <c r="M507" s="12"/>
      <c r="N507" s="122"/>
      <c r="O507" s="122"/>
      <c r="P507" s="122"/>
      <c r="Q507" s="122"/>
    </row>
    <row r="508" spans="2:17" ht="14.25" customHeight="1" x14ac:dyDescent="0.3">
      <c r="B508" s="23"/>
      <c r="D508" s="25"/>
      <c r="E508" s="25"/>
      <c r="M508" s="12"/>
      <c r="N508" s="122"/>
      <c r="O508" s="122"/>
      <c r="P508" s="122"/>
      <c r="Q508" s="122"/>
    </row>
    <row r="509" spans="2:17" ht="14.25" customHeight="1" x14ac:dyDescent="0.3">
      <c r="B509" s="23"/>
      <c r="D509" s="25"/>
      <c r="E509" s="25"/>
      <c r="M509" s="12"/>
      <c r="N509" s="122"/>
      <c r="O509" s="122"/>
      <c r="P509" s="122"/>
      <c r="Q509" s="122"/>
    </row>
    <row r="510" spans="2:17" ht="14.25" customHeight="1" x14ac:dyDescent="0.3">
      <c r="B510" s="23"/>
      <c r="D510" s="25"/>
      <c r="E510" s="25"/>
      <c r="M510" s="12"/>
      <c r="N510" s="122"/>
      <c r="O510" s="122"/>
      <c r="P510" s="122"/>
      <c r="Q510" s="122"/>
    </row>
    <row r="511" spans="2:17" ht="14.25" customHeight="1" x14ac:dyDescent="0.3">
      <c r="B511" s="23"/>
      <c r="D511" s="25"/>
      <c r="E511" s="25"/>
      <c r="M511" s="12"/>
      <c r="N511" s="122"/>
      <c r="O511" s="122"/>
      <c r="P511" s="122"/>
      <c r="Q511" s="122"/>
    </row>
    <row r="512" spans="2:17" ht="14.25" customHeight="1" x14ac:dyDescent="0.3">
      <c r="B512" s="23"/>
      <c r="D512" s="25"/>
      <c r="E512" s="25"/>
      <c r="M512" s="12"/>
      <c r="N512" s="122"/>
      <c r="O512" s="122"/>
      <c r="P512" s="122"/>
      <c r="Q512" s="122"/>
    </row>
    <row r="513" spans="2:17" ht="14.25" customHeight="1" x14ac:dyDescent="0.3">
      <c r="B513" s="23"/>
      <c r="D513" s="25"/>
      <c r="E513" s="25"/>
      <c r="M513" s="12"/>
      <c r="N513" s="122"/>
      <c r="O513" s="122"/>
      <c r="P513" s="122"/>
      <c r="Q513" s="122"/>
    </row>
    <row r="514" spans="2:17" ht="14.25" customHeight="1" x14ac:dyDescent="0.3">
      <c r="B514" s="23"/>
      <c r="D514" s="25"/>
      <c r="E514" s="25"/>
      <c r="M514" s="12"/>
      <c r="N514" s="122"/>
      <c r="O514" s="122"/>
      <c r="P514" s="122"/>
      <c r="Q514" s="122"/>
    </row>
    <row r="515" spans="2:17" ht="14.25" customHeight="1" x14ac:dyDescent="0.3">
      <c r="B515" s="23"/>
      <c r="D515" s="25"/>
      <c r="E515" s="25"/>
      <c r="M515" s="12"/>
      <c r="N515" s="122"/>
      <c r="O515" s="122"/>
      <c r="P515" s="122"/>
      <c r="Q515" s="122"/>
    </row>
    <row r="516" spans="2:17" ht="14.25" customHeight="1" x14ac:dyDescent="0.3">
      <c r="B516" s="23"/>
      <c r="D516" s="25"/>
      <c r="E516" s="25"/>
      <c r="M516" s="12"/>
      <c r="N516" s="122"/>
      <c r="O516" s="122"/>
      <c r="P516" s="122"/>
      <c r="Q516" s="122"/>
    </row>
    <row r="517" spans="2:17" ht="14.25" customHeight="1" x14ac:dyDescent="0.3">
      <c r="B517" s="23"/>
      <c r="D517" s="25"/>
      <c r="E517" s="25"/>
      <c r="M517" s="12"/>
      <c r="N517" s="122"/>
      <c r="O517" s="122"/>
      <c r="P517" s="122"/>
      <c r="Q517" s="122"/>
    </row>
    <row r="518" spans="2:17" ht="14.25" customHeight="1" x14ac:dyDescent="0.3">
      <c r="B518" s="23"/>
      <c r="D518" s="25"/>
      <c r="E518" s="25"/>
      <c r="M518" s="12"/>
      <c r="N518" s="122"/>
      <c r="O518" s="122"/>
      <c r="P518" s="122"/>
      <c r="Q518" s="122"/>
    </row>
    <row r="519" spans="2:17" ht="14.25" customHeight="1" x14ac:dyDescent="0.3">
      <c r="B519" s="23"/>
      <c r="D519" s="25"/>
      <c r="E519" s="25"/>
      <c r="M519" s="12"/>
      <c r="N519" s="122"/>
      <c r="O519" s="122"/>
      <c r="P519" s="122"/>
      <c r="Q519" s="122"/>
    </row>
    <row r="520" spans="2:17" ht="14.25" customHeight="1" x14ac:dyDescent="0.3">
      <c r="B520" s="23"/>
      <c r="D520" s="25"/>
      <c r="E520" s="25"/>
      <c r="M520" s="12"/>
      <c r="N520" s="122"/>
      <c r="O520" s="122"/>
      <c r="P520" s="122"/>
      <c r="Q520" s="122"/>
    </row>
    <row r="521" spans="2:17" ht="14.25" customHeight="1" x14ac:dyDescent="0.3">
      <c r="B521" s="23"/>
      <c r="D521" s="25"/>
      <c r="E521" s="25"/>
      <c r="M521" s="12"/>
      <c r="N521" s="122"/>
      <c r="O521" s="122"/>
      <c r="P521" s="122"/>
      <c r="Q521" s="122"/>
    </row>
    <row r="522" spans="2:17" ht="14.25" customHeight="1" x14ac:dyDescent="0.3">
      <c r="B522" s="23"/>
      <c r="D522" s="25"/>
      <c r="E522" s="25"/>
      <c r="M522" s="12"/>
      <c r="N522" s="122"/>
      <c r="O522" s="122"/>
      <c r="P522" s="122"/>
      <c r="Q522" s="122"/>
    </row>
    <row r="523" spans="2:17" ht="14.25" customHeight="1" x14ac:dyDescent="0.3">
      <c r="B523" s="23"/>
      <c r="D523" s="25"/>
      <c r="E523" s="25"/>
      <c r="M523" s="12"/>
      <c r="N523" s="122"/>
      <c r="O523" s="122"/>
      <c r="P523" s="122"/>
      <c r="Q523" s="122"/>
    </row>
    <row r="524" spans="2:17" ht="14.25" customHeight="1" x14ac:dyDescent="0.3">
      <c r="B524" s="23"/>
      <c r="D524" s="25"/>
      <c r="E524" s="25"/>
      <c r="M524" s="12"/>
      <c r="N524" s="122"/>
      <c r="O524" s="122"/>
      <c r="P524" s="122"/>
      <c r="Q524" s="122"/>
    </row>
    <row r="525" spans="2:17" ht="14.25" customHeight="1" x14ac:dyDescent="0.3">
      <c r="B525" s="23"/>
      <c r="D525" s="25"/>
      <c r="E525" s="25"/>
      <c r="M525" s="12"/>
      <c r="N525" s="122"/>
      <c r="O525" s="122"/>
      <c r="P525" s="122"/>
      <c r="Q525" s="122"/>
    </row>
    <row r="526" spans="2:17" ht="14.25" customHeight="1" x14ac:dyDescent="0.3">
      <c r="B526" s="23"/>
      <c r="D526" s="25"/>
      <c r="E526" s="25"/>
      <c r="M526" s="12"/>
      <c r="N526" s="122"/>
      <c r="O526" s="122"/>
      <c r="P526" s="122"/>
      <c r="Q526" s="122"/>
    </row>
    <row r="527" spans="2:17" ht="14.25" customHeight="1" x14ac:dyDescent="0.3">
      <c r="B527" s="23"/>
      <c r="D527" s="25"/>
      <c r="E527" s="25"/>
      <c r="M527" s="12"/>
      <c r="N527" s="122"/>
      <c r="O527" s="122"/>
      <c r="P527" s="122"/>
      <c r="Q527" s="122"/>
    </row>
    <row r="528" spans="2:17" ht="14.25" customHeight="1" x14ac:dyDescent="0.3">
      <c r="B528" s="23"/>
      <c r="D528" s="25"/>
      <c r="E528" s="25"/>
      <c r="M528" s="12"/>
      <c r="N528" s="122"/>
      <c r="O528" s="122"/>
      <c r="P528" s="122"/>
      <c r="Q528" s="122"/>
    </row>
    <row r="529" spans="2:17" ht="14.25" customHeight="1" x14ac:dyDescent="0.3">
      <c r="B529" s="23"/>
      <c r="D529" s="25"/>
      <c r="E529" s="25"/>
      <c r="M529" s="12"/>
      <c r="N529" s="122"/>
      <c r="O529" s="122"/>
      <c r="P529" s="122"/>
      <c r="Q529" s="122"/>
    </row>
    <row r="530" spans="2:17" ht="14.25" customHeight="1" x14ac:dyDescent="0.3">
      <c r="B530" s="23"/>
      <c r="D530" s="25"/>
      <c r="E530" s="25"/>
      <c r="M530" s="12"/>
      <c r="N530" s="122"/>
      <c r="O530" s="122"/>
      <c r="P530" s="122"/>
      <c r="Q530" s="122"/>
    </row>
    <row r="531" spans="2:17" ht="14.25" customHeight="1" x14ac:dyDescent="0.3">
      <c r="B531" s="23"/>
      <c r="D531" s="25"/>
      <c r="E531" s="25"/>
      <c r="M531" s="12"/>
      <c r="N531" s="122"/>
      <c r="O531" s="122"/>
      <c r="P531" s="122"/>
      <c r="Q531" s="122"/>
    </row>
    <row r="532" spans="2:17" ht="14.25" customHeight="1" x14ac:dyDescent="0.3">
      <c r="B532" s="23"/>
      <c r="D532" s="25"/>
      <c r="E532" s="25"/>
      <c r="M532" s="12"/>
      <c r="N532" s="122"/>
      <c r="O532" s="122"/>
      <c r="P532" s="122"/>
      <c r="Q532" s="122"/>
    </row>
    <row r="533" spans="2:17" ht="14.25" customHeight="1" x14ac:dyDescent="0.3">
      <c r="B533" s="23"/>
      <c r="D533" s="25"/>
      <c r="E533" s="25"/>
      <c r="M533" s="12"/>
      <c r="N533" s="122"/>
      <c r="O533" s="122"/>
      <c r="P533" s="122"/>
      <c r="Q533" s="122"/>
    </row>
    <row r="534" spans="2:17" ht="14.25" customHeight="1" x14ac:dyDescent="0.3">
      <c r="B534" s="23"/>
      <c r="D534" s="25"/>
      <c r="E534" s="25"/>
      <c r="M534" s="12"/>
      <c r="N534" s="122"/>
      <c r="O534" s="122"/>
      <c r="P534" s="122"/>
      <c r="Q534" s="122"/>
    </row>
    <row r="535" spans="2:17" ht="14.25" customHeight="1" x14ac:dyDescent="0.3">
      <c r="B535" s="23"/>
      <c r="D535" s="25"/>
      <c r="E535" s="25"/>
      <c r="M535" s="12"/>
      <c r="N535" s="122"/>
      <c r="O535" s="122"/>
      <c r="P535" s="122"/>
      <c r="Q535" s="122"/>
    </row>
    <row r="536" spans="2:17" ht="14.25" customHeight="1" x14ac:dyDescent="0.3">
      <c r="B536" s="23"/>
      <c r="D536" s="25"/>
      <c r="E536" s="25"/>
      <c r="M536" s="12"/>
      <c r="N536" s="122"/>
      <c r="O536" s="122"/>
      <c r="P536" s="122"/>
      <c r="Q536" s="122"/>
    </row>
    <row r="537" spans="2:17" ht="14.25" customHeight="1" x14ac:dyDescent="0.3">
      <c r="B537" s="23"/>
      <c r="D537" s="25"/>
      <c r="E537" s="25"/>
      <c r="M537" s="12"/>
      <c r="N537" s="122"/>
      <c r="O537" s="122"/>
      <c r="P537" s="122"/>
      <c r="Q537" s="122"/>
    </row>
    <row r="538" spans="2:17" ht="14.25" customHeight="1" x14ac:dyDescent="0.3">
      <c r="B538" s="23"/>
      <c r="D538" s="25"/>
      <c r="E538" s="25"/>
      <c r="M538" s="12"/>
      <c r="N538" s="122"/>
      <c r="O538" s="122"/>
      <c r="P538" s="122"/>
      <c r="Q538" s="122"/>
    </row>
    <row r="539" spans="2:17" ht="14.25" customHeight="1" x14ac:dyDescent="0.3">
      <c r="B539" s="23"/>
      <c r="D539" s="25"/>
      <c r="E539" s="25"/>
      <c r="M539" s="12"/>
      <c r="N539" s="122"/>
      <c r="O539" s="122"/>
      <c r="P539" s="122"/>
      <c r="Q539" s="122"/>
    </row>
    <row r="540" spans="2:17" ht="14.25" customHeight="1" x14ac:dyDescent="0.3">
      <c r="B540" s="23"/>
      <c r="D540" s="25"/>
      <c r="E540" s="25"/>
      <c r="M540" s="12"/>
      <c r="N540" s="122"/>
      <c r="O540" s="122"/>
      <c r="P540" s="122"/>
      <c r="Q540" s="122"/>
    </row>
    <row r="541" spans="2:17" ht="14.25" customHeight="1" x14ac:dyDescent="0.3">
      <c r="B541" s="23"/>
      <c r="D541" s="25"/>
      <c r="E541" s="25"/>
      <c r="M541" s="12"/>
      <c r="N541" s="122"/>
      <c r="O541" s="122"/>
      <c r="P541" s="122"/>
      <c r="Q541" s="122"/>
    </row>
    <row r="542" spans="2:17" ht="14.25" customHeight="1" x14ac:dyDescent="0.3">
      <c r="B542" s="23"/>
      <c r="D542" s="25"/>
      <c r="E542" s="25"/>
      <c r="M542" s="12"/>
      <c r="N542" s="122"/>
      <c r="O542" s="122"/>
      <c r="P542" s="122"/>
      <c r="Q542" s="122"/>
    </row>
    <row r="543" spans="2:17" ht="14.25" customHeight="1" x14ac:dyDescent="0.3">
      <c r="B543" s="23"/>
      <c r="D543" s="25"/>
      <c r="E543" s="25"/>
      <c r="M543" s="12"/>
      <c r="N543" s="122"/>
      <c r="O543" s="122"/>
      <c r="P543" s="122"/>
      <c r="Q543" s="122"/>
    </row>
    <row r="544" spans="2:17" ht="14.25" customHeight="1" x14ac:dyDescent="0.3">
      <c r="B544" s="23"/>
      <c r="D544" s="25"/>
      <c r="E544" s="25"/>
      <c r="M544" s="12"/>
      <c r="N544" s="122"/>
      <c r="O544" s="122"/>
      <c r="P544" s="122"/>
      <c r="Q544" s="122"/>
    </row>
    <row r="545" spans="2:17" ht="14.25" customHeight="1" x14ac:dyDescent="0.3">
      <c r="B545" s="23"/>
      <c r="D545" s="25"/>
      <c r="E545" s="25"/>
      <c r="M545" s="12"/>
      <c r="N545" s="122"/>
      <c r="O545" s="122"/>
      <c r="P545" s="122"/>
      <c r="Q545" s="122"/>
    </row>
    <row r="546" spans="2:17" ht="14.25" customHeight="1" x14ac:dyDescent="0.3">
      <c r="B546" s="23"/>
      <c r="D546" s="25"/>
      <c r="E546" s="25"/>
      <c r="M546" s="12"/>
      <c r="N546" s="122"/>
      <c r="O546" s="122"/>
      <c r="P546" s="122"/>
      <c r="Q546" s="122"/>
    </row>
    <row r="547" spans="2:17" ht="14.25" customHeight="1" x14ac:dyDescent="0.3">
      <c r="B547" s="23"/>
      <c r="D547" s="25"/>
      <c r="E547" s="25"/>
      <c r="M547" s="12"/>
      <c r="N547" s="122"/>
      <c r="O547" s="122"/>
      <c r="P547" s="122"/>
      <c r="Q547" s="122"/>
    </row>
    <row r="548" spans="2:17" ht="14.25" customHeight="1" x14ac:dyDescent="0.3">
      <c r="B548" s="23"/>
      <c r="D548" s="25"/>
      <c r="E548" s="25"/>
      <c r="M548" s="12"/>
      <c r="N548" s="122"/>
      <c r="O548" s="122"/>
      <c r="P548" s="122"/>
      <c r="Q548" s="122"/>
    </row>
    <row r="549" spans="2:17" ht="14.25" customHeight="1" x14ac:dyDescent="0.3">
      <c r="B549" s="23"/>
      <c r="D549" s="25"/>
      <c r="E549" s="25"/>
      <c r="M549" s="12"/>
      <c r="N549" s="122"/>
      <c r="O549" s="122"/>
      <c r="P549" s="122"/>
      <c r="Q549" s="122"/>
    </row>
    <row r="550" spans="2:17" ht="14.25" customHeight="1" x14ac:dyDescent="0.3">
      <c r="B550" s="23"/>
      <c r="D550" s="25"/>
      <c r="E550" s="25"/>
      <c r="M550" s="12"/>
      <c r="N550" s="122"/>
      <c r="O550" s="122"/>
      <c r="P550" s="122"/>
      <c r="Q550" s="122"/>
    </row>
    <row r="551" spans="2:17" ht="14.25" customHeight="1" x14ac:dyDescent="0.3">
      <c r="B551" s="23"/>
      <c r="D551" s="25"/>
      <c r="E551" s="25"/>
      <c r="M551" s="12"/>
      <c r="N551" s="122"/>
      <c r="O551" s="122"/>
      <c r="P551" s="122"/>
      <c r="Q551" s="122"/>
    </row>
    <row r="552" spans="2:17" ht="14.25" customHeight="1" x14ac:dyDescent="0.3">
      <c r="B552" s="23"/>
      <c r="D552" s="25"/>
      <c r="E552" s="25"/>
      <c r="M552" s="12"/>
      <c r="N552" s="122"/>
      <c r="O552" s="122"/>
      <c r="P552" s="122"/>
      <c r="Q552" s="122"/>
    </row>
    <row r="553" spans="2:17" ht="14.25" customHeight="1" x14ac:dyDescent="0.3">
      <c r="B553" s="23"/>
      <c r="D553" s="25"/>
      <c r="E553" s="25"/>
      <c r="M553" s="12"/>
      <c r="N553" s="122"/>
      <c r="O553" s="122"/>
      <c r="P553" s="122"/>
      <c r="Q553" s="122"/>
    </row>
    <row r="554" spans="2:17" ht="14.25" customHeight="1" x14ac:dyDescent="0.3">
      <c r="B554" s="23"/>
      <c r="D554" s="25"/>
      <c r="E554" s="25"/>
      <c r="M554" s="12"/>
      <c r="N554" s="122"/>
      <c r="O554" s="122"/>
      <c r="P554" s="122"/>
      <c r="Q554" s="122"/>
    </row>
    <row r="555" spans="2:17" ht="14.25" customHeight="1" x14ac:dyDescent="0.3">
      <c r="B555" s="23"/>
      <c r="D555" s="25"/>
      <c r="E555" s="25"/>
      <c r="M555" s="12"/>
      <c r="N555" s="122"/>
      <c r="O555" s="122"/>
      <c r="P555" s="122"/>
      <c r="Q555" s="122"/>
    </row>
    <row r="556" spans="2:17" ht="14.25" customHeight="1" x14ac:dyDescent="0.3">
      <c r="B556" s="23"/>
      <c r="D556" s="25"/>
      <c r="E556" s="25"/>
      <c r="M556" s="12"/>
      <c r="N556" s="122"/>
      <c r="O556" s="122"/>
      <c r="P556" s="122"/>
      <c r="Q556" s="122"/>
    </row>
    <row r="557" spans="2:17" ht="14.25" customHeight="1" x14ac:dyDescent="0.3">
      <c r="B557" s="23"/>
      <c r="D557" s="25"/>
      <c r="E557" s="25"/>
      <c r="M557" s="12"/>
      <c r="N557" s="122"/>
      <c r="O557" s="122"/>
      <c r="P557" s="122"/>
      <c r="Q557" s="122"/>
    </row>
    <row r="558" spans="2:17" ht="14.25" customHeight="1" x14ac:dyDescent="0.3">
      <c r="B558" s="23"/>
      <c r="D558" s="25"/>
      <c r="E558" s="25"/>
      <c r="M558" s="12"/>
      <c r="N558" s="122"/>
      <c r="O558" s="122"/>
      <c r="P558" s="122"/>
      <c r="Q558" s="122"/>
    </row>
    <row r="559" spans="2:17" ht="14.25" customHeight="1" x14ac:dyDescent="0.3">
      <c r="B559" s="23"/>
      <c r="D559" s="25"/>
      <c r="E559" s="25"/>
      <c r="M559" s="12"/>
      <c r="N559" s="122"/>
      <c r="O559" s="122"/>
      <c r="P559" s="122"/>
      <c r="Q559" s="122"/>
    </row>
    <row r="560" spans="2:17" ht="14.25" customHeight="1" x14ac:dyDescent="0.3">
      <c r="B560" s="23"/>
      <c r="D560" s="25"/>
      <c r="E560" s="25"/>
      <c r="M560" s="12"/>
      <c r="N560" s="122"/>
      <c r="O560" s="122"/>
      <c r="P560" s="122"/>
      <c r="Q560" s="122"/>
    </row>
    <row r="561" spans="2:17" ht="14.25" customHeight="1" x14ac:dyDescent="0.3">
      <c r="B561" s="23"/>
      <c r="D561" s="25"/>
      <c r="E561" s="25"/>
      <c r="M561" s="12"/>
      <c r="N561" s="122"/>
      <c r="O561" s="122"/>
      <c r="P561" s="122"/>
      <c r="Q561" s="122"/>
    </row>
    <row r="562" spans="2:17" ht="14.25" customHeight="1" x14ac:dyDescent="0.3">
      <c r="B562" s="23"/>
      <c r="D562" s="25"/>
      <c r="E562" s="25"/>
      <c r="M562" s="12"/>
      <c r="N562" s="122"/>
      <c r="O562" s="122"/>
      <c r="P562" s="122"/>
      <c r="Q562" s="122"/>
    </row>
    <row r="563" spans="2:17" ht="14.25" customHeight="1" x14ac:dyDescent="0.3">
      <c r="B563" s="23"/>
      <c r="D563" s="25"/>
      <c r="E563" s="25"/>
      <c r="M563" s="12"/>
      <c r="N563" s="122"/>
      <c r="O563" s="122"/>
      <c r="P563" s="122"/>
      <c r="Q563" s="122"/>
    </row>
    <row r="564" spans="2:17" ht="14.25" customHeight="1" x14ac:dyDescent="0.3">
      <c r="B564" s="23"/>
      <c r="D564" s="25"/>
      <c r="E564" s="25"/>
      <c r="M564" s="12"/>
      <c r="N564" s="122"/>
      <c r="O564" s="122"/>
      <c r="P564" s="122"/>
      <c r="Q564" s="122"/>
    </row>
    <row r="565" spans="2:17" ht="14.25" customHeight="1" x14ac:dyDescent="0.3">
      <c r="B565" s="23"/>
      <c r="D565" s="25"/>
      <c r="E565" s="25"/>
      <c r="M565" s="12"/>
      <c r="N565" s="122"/>
      <c r="O565" s="122"/>
      <c r="P565" s="122"/>
      <c r="Q565" s="122"/>
    </row>
    <row r="566" spans="2:17" ht="14.25" customHeight="1" x14ac:dyDescent="0.3">
      <c r="B566" s="23"/>
      <c r="D566" s="25"/>
      <c r="E566" s="25"/>
      <c r="M566" s="12"/>
      <c r="N566" s="122"/>
      <c r="O566" s="122"/>
      <c r="P566" s="122"/>
      <c r="Q566" s="122"/>
    </row>
    <row r="567" spans="2:17" ht="14.25" customHeight="1" x14ac:dyDescent="0.3">
      <c r="B567" s="23"/>
      <c r="D567" s="25"/>
      <c r="E567" s="25"/>
      <c r="M567" s="12"/>
      <c r="N567" s="122"/>
      <c r="O567" s="122"/>
      <c r="P567" s="122"/>
      <c r="Q567" s="122"/>
    </row>
    <row r="568" spans="2:17" ht="14.25" customHeight="1" x14ac:dyDescent="0.3">
      <c r="B568" s="23"/>
      <c r="D568" s="25"/>
      <c r="E568" s="25"/>
      <c r="M568" s="12"/>
      <c r="N568" s="122"/>
      <c r="O568" s="122"/>
      <c r="P568" s="122"/>
      <c r="Q568" s="122"/>
    </row>
    <row r="569" spans="2:17" ht="14.25" customHeight="1" x14ac:dyDescent="0.3">
      <c r="B569" s="23"/>
      <c r="D569" s="25"/>
      <c r="E569" s="25"/>
      <c r="M569" s="12"/>
      <c r="N569" s="122"/>
      <c r="O569" s="122"/>
      <c r="P569" s="122"/>
      <c r="Q569" s="122"/>
    </row>
    <row r="570" spans="2:17" ht="14.25" customHeight="1" x14ac:dyDescent="0.3">
      <c r="B570" s="23"/>
      <c r="D570" s="25"/>
      <c r="E570" s="25"/>
      <c r="M570" s="12"/>
      <c r="N570" s="122"/>
      <c r="O570" s="122"/>
      <c r="P570" s="122"/>
      <c r="Q570" s="122"/>
    </row>
    <row r="571" spans="2:17" ht="14.25" customHeight="1" x14ac:dyDescent="0.3">
      <c r="B571" s="23"/>
      <c r="D571" s="25"/>
      <c r="E571" s="25"/>
      <c r="M571" s="12"/>
      <c r="N571" s="122"/>
      <c r="O571" s="122"/>
      <c r="P571" s="122"/>
      <c r="Q571" s="122"/>
    </row>
    <row r="572" spans="2:17" ht="14.25" customHeight="1" x14ac:dyDescent="0.3">
      <c r="B572" s="23"/>
      <c r="D572" s="25"/>
      <c r="E572" s="25"/>
      <c r="M572" s="12"/>
      <c r="N572" s="122"/>
      <c r="O572" s="122"/>
      <c r="P572" s="122"/>
      <c r="Q572" s="122"/>
    </row>
    <row r="573" spans="2:17" ht="14.25" customHeight="1" x14ac:dyDescent="0.3">
      <c r="B573" s="23"/>
      <c r="D573" s="25"/>
      <c r="E573" s="25"/>
      <c r="M573" s="12"/>
      <c r="N573" s="122"/>
      <c r="O573" s="122"/>
      <c r="P573" s="122"/>
      <c r="Q573" s="122"/>
    </row>
    <row r="574" spans="2:17" ht="14.25" customHeight="1" x14ac:dyDescent="0.3">
      <c r="B574" s="23"/>
      <c r="D574" s="25"/>
      <c r="E574" s="25"/>
      <c r="M574" s="12"/>
      <c r="N574" s="122"/>
      <c r="O574" s="122"/>
      <c r="P574" s="122"/>
      <c r="Q574" s="122"/>
    </row>
    <row r="575" spans="2:17" ht="14.25" customHeight="1" x14ac:dyDescent="0.3">
      <c r="B575" s="23"/>
      <c r="D575" s="25"/>
      <c r="E575" s="25"/>
      <c r="M575" s="12"/>
      <c r="N575" s="122"/>
      <c r="O575" s="122"/>
      <c r="P575" s="122"/>
      <c r="Q575" s="122"/>
    </row>
    <row r="576" spans="2:17" ht="14.25" customHeight="1" x14ac:dyDescent="0.3">
      <c r="B576" s="23"/>
      <c r="D576" s="25"/>
      <c r="E576" s="25"/>
      <c r="M576" s="12"/>
      <c r="N576" s="122"/>
      <c r="O576" s="122"/>
      <c r="P576" s="122"/>
      <c r="Q576" s="122"/>
    </row>
    <row r="577" spans="2:17" ht="14.25" customHeight="1" x14ac:dyDescent="0.3">
      <c r="B577" s="23"/>
      <c r="D577" s="25"/>
      <c r="E577" s="25"/>
      <c r="M577" s="12"/>
      <c r="N577" s="122"/>
      <c r="O577" s="122"/>
      <c r="P577" s="122"/>
      <c r="Q577" s="122"/>
    </row>
    <row r="578" spans="2:17" ht="14.25" customHeight="1" x14ac:dyDescent="0.3">
      <c r="B578" s="23"/>
      <c r="D578" s="25"/>
      <c r="E578" s="25"/>
      <c r="M578" s="12"/>
      <c r="N578" s="122"/>
      <c r="O578" s="122"/>
      <c r="P578" s="122"/>
      <c r="Q578" s="122"/>
    </row>
    <row r="579" spans="2:17" ht="14.25" customHeight="1" x14ac:dyDescent="0.3">
      <c r="B579" s="23"/>
      <c r="D579" s="25"/>
      <c r="E579" s="25"/>
      <c r="M579" s="12"/>
      <c r="N579" s="122"/>
      <c r="O579" s="122"/>
      <c r="P579" s="122"/>
      <c r="Q579" s="122"/>
    </row>
    <row r="580" spans="2:17" ht="14.25" customHeight="1" x14ac:dyDescent="0.3">
      <c r="B580" s="23"/>
      <c r="D580" s="25"/>
      <c r="E580" s="25"/>
      <c r="M580" s="12"/>
      <c r="N580" s="122"/>
      <c r="O580" s="122"/>
      <c r="P580" s="122"/>
      <c r="Q580" s="122"/>
    </row>
    <row r="581" spans="2:17" ht="14.25" customHeight="1" x14ac:dyDescent="0.3">
      <c r="B581" s="23"/>
      <c r="D581" s="25"/>
      <c r="E581" s="25"/>
      <c r="M581" s="12"/>
      <c r="N581" s="122"/>
      <c r="O581" s="122"/>
      <c r="P581" s="122"/>
      <c r="Q581" s="122"/>
    </row>
    <row r="582" spans="2:17" ht="14.25" customHeight="1" x14ac:dyDescent="0.3">
      <c r="B582" s="23"/>
      <c r="D582" s="25"/>
      <c r="E582" s="25"/>
      <c r="M582" s="12"/>
      <c r="N582" s="122"/>
      <c r="O582" s="122"/>
      <c r="P582" s="122"/>
      <c r="Q582" s="122"/>
    </row>
    <row r="583" spans="2:17" ht="14.25" customHeight="1" x14ac:dyDescent="0.3">
      <c r="B583" s="23"/>
      <c r="D583" s="25"/>
      <c r="E583" s="25"/>
      <c r="M583" s="12"/>
      <c r="N583" s="122"/>
      <c r="O583" s="122"/>
      <c r="P583" s="122"/>
      <c r="Q583" s="122"/>
    </row>
    <row r="584" spans="2:17" ht="14.25" customHeight="1" x14ac:dyDescent="0.3">
      <c r="B584" s="23"/>
      <c r="D584" s="25"/>
      <c r="E584" s="25"/>
      <c r="M584" s="12"/>
      <c r="N584" s="122"/>
      <c r="O584" s="122"/>
      <c r="P584" s="122"/>
      <c r="Q584" s="122"/>
    </row>
    <row r="585" spans="2:17" ht="14.25" customHeight="1" x14ac:dyDescent="0.3">
      <c r="B585" s="23"/>
      <c r="D585" s="25"/>
      <c r="E585" s="25"/>
      <c r="M585" s="12"/>
      <c r="N585" s="122"/>
      <c r="O585" s="122"/>
      <c r="P585" s="122"/>
      <c r="Q585" s="122"/>
    </row>
    <row r="586" spans="2:17" ht="14.25" customHeight="1" x14ac:dyDescent="0.3">
      <c r="B586" s="23"/>
      <c r="D586" s="25"/>
      <c r="E586" s="25"/>
      <c r="M586" s="12"/>
      <c r="N586" s="122"/>
      <c r="O586" s="122"/>
      <c r="P586" s="122"/>
      <c r="Q586" s="122"/>
    </row>
    <row r="587" spans="2:17" ht="14.25" customHeight="1" x14ac:dyDescent="0.3">
      <c r="B587" s="23"/>
      <c r="D587" s="25"/>
      <c r="E587" s="25"/>
      <c r="M587" s="12"/>
      <c r="N587" s="122"/>
      <c r="O587" s="122"/>
      <c r="P587" s="122"/>
      <c r="Q587" s="122"/>
    </row>
    <row r="588" spans="2:17" ht="14.25" customHeight="1" x14ac:dyDescent="0.3">
      <c r="B588" s="23"/>
      <c r="D588" s="25"/>
      <c r="E588" s="25"/>
      <c r="M588" s="12"/>
      <c r="N588" s="122"/>
      <c r="O588" s="122"/>
      <c r="P588" s="122"/>
      <c r="Q588" s="122"/>
    </row>
    <row r="589" spans="2:17" ht="14.25" customHeight="1" x14ac:dyDescent="0.3">
      <c r="B589" s="23"/>
      <c r="D589" s="25"/>
      <c r="E589" s="25"/>
      <c r="M589" s="12"/>
      <c r="N589" s="122"/>
      <c r="O589" s="122"/>
      <c r="P589" s="122"/>
      <c r="Q589" s="122"/>
    </row>
    <row r="590" spans="2:17" ht="14.25" customHeight="1" x14ac:dyDescent="0.3">
      <c r="B590" s="23"/>
      <c r="D590" s="25"/>
      <c r="E590" s="25"/>
      <c r="M590" s="12"/>
      <c r="N590" s="122"/>
      <c r="O590" s="122"/>
      <c r="P590" s="122"/>
      <c r="Q590" s="122"/>
    </row>
    <row r="591" spans="2:17" ht="14.25" customHeight="1" x14ac:dyDescent="0.3">
      <c r="B591" s="23"/>
      <c r="D591" s="25"/>
      <c r="E591" s="25"/>
      <c r="M591" s="12"/>
      <c r="N591" s="122"/>
      <c r="O591" s="122"/>
      <c r="P591" s="122"/>
      <c r="Q591" s="122"/>
    </row>
    <row r="592" spans="2:17" ht="14.25" customHeight="1" x14ac:dyDescent="0.3">
      <c r="B592" s="23"/>
      <c r="D592" s="25"/>
      <c r="E592" s="25"/>
      <c r="M592" s="12"/>
      <c r="N592" s="122"/>
      <c r="O592" s="122"/>
      <c r="P592" s="122"/>
      <c r="Q592" s="122"/>
    </row>
    <row r="593" spans="2:17" ht="14.25" customHeight="1" x14ac:dyDescent="0.3">
      <c r="B593" s="23"/>
      <c r="D593" s="25"/>
      <c r="E593" s="25"/>
      <c r="M593" s="12"/>
      <c r="N593" s="122"/>
      <c r="O593" s="122"/>
      <c r="P593" s="122"/>
      <c r="Q593" s="122"/>
    </row>
    <row r="594" spans="2:17" ht="14.25" customHeight="1" x14ac:dyDescent="0.3">
      <c r="B594" s="23"/>
      <c r="D594" s="25"/>
      <c r="E594" s="25"/>
      <c r="M594" s="12"/>
      <c r="N594" s="122"/>
      <c r="O594" s="122"/>
      <c r="P594" s="122"/>
      <c r="Q594" s="122"/>
    </row>
    <row r="595" spans="2:17" ht="14.25" customHeight="1" x14ac:dyDescent="0.3">
      <c r="B595" s="23"/>
      <c r="D595" s="25"/>
      <c r="E595" s="25"/>
      <c r="M595" s="12"/>
      <c r="N595" s="122"/>
      <c r="O595" s="122"/>
      <c r="P595" s="122"/>
      <c r="Q595" s="122"/>
    </row>
    <row r="596" spans="2:17" ht="14.25" customHeight="1" x14ac:dyDescent="0.3">
      <c r="B596" s="23"/>
      <c r="D596" s="25"/>
      <c r="E596" s="25"/>
      <c r="M596" s="12"/>
      <c r="N596" s="122"/>
      <c r="O596" s="122"/>
      <c r="P596" s="122"/>
      <c r="Q596" s="122"/>
    </row>
    <row r="597" spans="2:17" ht="14.25" customHeight="1" x14ac:dyDescent="0.3">
      <c r="B597" s="23"/>
      <c r="D597" s="25"/>
      <c r="E597" s="25"/>
      <c r="M597" s="12"/>
      <c r="N597" s="122"/>
      <c r="O597" s="122"/>
      <c r="P597" s="122"/>
      <c r="Q597" s="122"/>
    </row>
    <row r="598" spans="2:17" ht="14.25" customHeight="1" x14ac:dyDescent="0.3">
      <c r="B598" s="23"/>
      <c r="D598" s="25"/>
      <c r="E598" s="25"/>
      <c r="M598" s="12"/>
      <c r="N598" s="122"/>
      <c r="O598" s="122"/>
      <c r="P598" s="122"/>
      <c r="Q598" s="122"/>
    </row>
    <row r="599" spans="2:17" ht="14.25" customHeight="1" x14ac:dyDescent="0.3">
      <c r="B599" s="23"/>
      <c r="D599" s="25"/>
      <c r="E599" s="25"/>
      <c r="M599" s="12"/>
      <c r="N599" s="122"/>
      <c r="O599" s="122"/>
      <c r="P599" s="122"/>
      <c r="Q599" s="122"/>
    </row>
    <row r="600" spans="2:17" ht="14.25" customHeight="1" x14ac:dyDescent="0.3">
      <c r="B600" s="23"/>
      <c r="D600" s="25"/>
      <c r="E600" s="25"/>
      <c r="M600" s="12"/>
      <c r="N600" s="122"/>
      <c r="O600" s="122"/>
      <c r="P600" s="122"/>
      <c r="Q600" s="122"/>
    </row>
    <row r="601" spans="2:17" ht="14.25" customHeight="1" x14ac:dyDescent="0.3">
      <c r="B601" s="23"/>
      <c r="D601" s="25"/>
      <c r="E601" s="25"/>
      <c r="M601" s="12"/>
      <c r="N601" s="122"/>
      <c r="O601" s="122"/>
      <c r="P601" s="122"/>
      <c r="Q601" s="122"/>
    </row>
    <row r="602" spans="2:17" ht="14.25" customHeight="1" x14ac:dyDescent="0.3">
      <c r="B602" s="23"/>
      <c r="D602" s="25"/>
      <c r="E602" s="25"/>
      <c r="M602" s="12"/>
      <c r="N602" s="122"/>
      <c r="O602" s="122"/>
      <c r="P602" s="122"/>
      <c r="Q602" s="122"/>
    </row>
    <row r="603" spans="2:17" ht="14.25" customHeight="1" x14ac:dyDescent="0.3">
      <c r="B603" s="23"/>
      <c r="D603" s="25"/>
      <c r="E603" s="25"/>
      <c r="M603" s="12"/>
      <c r="N603" s="122"/>
      <c r="O603" s="122"/>
      <c r="P603" s="122"/>
      <c r="Q603" s="122"/>
    </row>
    <row r="604" spans="2:17" ht="14.25" customHeight="1" x14ac:dyDescent="0.3">
      <c r="B604" s="23"/>
      <c r="D604" s="25"/>
      <c r="E604" s="25"/>
      <c r="M604" s="12"/>
      <c r="N604" s="122"/>
      <c r="O604" s="122"/>
      <c r="P604" s="122"/>
      <c r="Q604" s="122"/>
    </row>
    <row r="605" spans="2:17" ht="14.25" customHeight="1" x14ac:dyDescent="0.3">
      <c r="B605" s="23"/>
      <c r="D605" s="25"/>
      <c r="E605" s="25"/>
      <c r="M605" s="12"/>
      <c r="N605" s="122"/>
      <c r="O605" s="122"/>
      <c r="P605" s="122"/>
      <c r="Q605" s="122"/>
    </row>
    <row r="606" spans="2:17" ht="14.25" customHeight="1" x14ac:dyDescent="0.3">
      <c r="B606" s="23"/>
      <c r="D606" s="25"/>
      <c r="E606" s="25"/>
      <c r="M606" s="12"/>
      <c r="N606" s="122"/>
      <c r="O606" s="122"/>
      <c r="P606" s="122"/>
      <c r="Q606" s="122"/>
    </row>
    <row r="607" spans="2:17" ht="14.25" customHeight="1" x14ac:dyDescent="0.3">
      <c r="B607" s="23"/>
      <c r="D607" s="25"/>
      <c r="E607" s="25"/>
      <c r="M607" s="12"/>
      <c r="N607" s="122"/>
      <c r="O607" s="122"/>
      <c r="P607" s="122"/>
      <c r="Q607" s="122"/>
    </row>
    <row r="608" spans="2:17" ht="14.25" customHeight="1" x14ac:dyDescent="0.3">
      <c r="B608" s="23"/>
      <c r="D608" s="25"/>
      <c r="E608" s="25"/>
      <c r="M608" s="12"/>
      <c r="N608" s="122"/>
      <c r="O608" s="122"/>
      <c r="P608" s="122"/>
      <c r="Q608" s="122"/>
    </row>
    <row r="609" spans="2:17" ht="14.25" customHeight="1" x14ac:dyDescent="0.3">
      <c r="B609" s="23"/>
      <c r="D609" s="25"/>
      <c r="E609" s="25"/>
      <c r="M609" s="12"/>
      <c r="N609" s="122"/>
      <c r="O609" s="122"/>
      <c r="P609" s="122"/>
      <c r="Q609" s="122"/>
    </row>
    <row r="610" spans="2:17" ht="14.25" customHeight="1" x14ac:dyDescent="0.3">
      <c r="B610" s="23"/>
      <c r="D610" s="25"/>
      <c r="E610" s="25"/>
      <c r="M610" s="12"/>
      <c r="N610" s="122"/>
      <c r="O610" s="122"/>
      <c r="P610" s="122"/>
      <c r="Q610" s="122"/>
    </row>
    <row r="611" spans="2:17" ht="14.25" customHeight="1" x14ac:dyDescent="0.3">
      <c r="B611" s="23"/>
      <c r="D611" s="25"/>
      <c r="E611" s="25"/>
      <c r="M611" s="12"/>
      <c r="N611" s="122"/>
      <c r="O611" s="122"/>
      <c r="P611" s="122"/>
      <c r="Q611" s="122"/>
    </row>
    <row r="612" spans="2:17" ht="14.25" customHeight="1" x14ac:dyDescent="0.3">
      <c r="B612" s="23"/>
      <c r="D612" s="25"/>
      <c r="E612" s="25"/>
      <c r="M612" s="12"/>
      <c r="N612" s="122"/>
      <c r="O612" s="122"/>
      <c r="P612" s="122"/>
      <c r="Q612" s="122"/>
    </row>
    <row r="613" spans="2:17" ht="14.25" customHeight="1" x14ac:dyDescent="0.3">
      <c r="B613" s="23"/>
      <c r="D613" s="25"/>
      <c r="E613" s="25"/>
      <c r="M613" s="12"/>
      <c r="N613" s="122"/>
      <c r="O613" s="122"/>
      <c r="P613" s="122"/>
      <c r="Q613" s="122"/>
    </row>
    <row r="614" spans="2:17" ht="14.25" customHeight="1" x14ac:dyDescent="0.3">
      <c r="B614" s="23"/>
      <c r="D614" s="25"/>
      <c r="E614" s="25"/>
      <c r="M614" s="12"/>
      <c r="N614" s="122"/>
      <c r="O614" s="122"/>
      <c r="P614" s="122"/>
      <c r="Q614" s="122"/>
    </row>
    <row r="615" spans="2:17" ht="14.25" customHeight="1" x14ac:dyDescent="0.3">
      <c r="B615" s="23"/>
      <c r="D615" s="25"/>
      <c r="E615" s="25"/>
      <c r="M615" s="12"/>
      <c r="N615" s="122"/>
      <c r="O615" s="122"/>
      <c r="P615" s="122"/>
      <c r="Q615" s="122"/>
    </row>
    <row r="616" spans="2:17" ht="14.25" customHeight="1" x14ac:dyDescent="0.3">
      <c r="B616" s="23"/>
      <c r="D616" s="25"/>
      <c r="E616" s="25"/>
      <c r="M616" s="12"/>
      <c r="N616" s="122"/>
      <c r="O616" s="122"/>
      <c r="P616" s="122"/>
      <c r="Q616" s="122"/>
    </row>
    <row r="617" spans="2:17" ht="14.25" customHeight="1" x14ac:dyDescent="0.3">
      <c r="B617" s="23"/>
      <c r="D617" s="25"/>
      <c r="E617" s="25"/>
      <c r="M617" s="12"/>
      <c r="N617" s="122"/>
      <c r="O617" s="122"/>
      <c r="P617" s="122"/>
      <c r="Q617" s="122"/>
    </row>
    <row r="618" spans="2:17" ht="14.25" customHeight="1" x14ac:dyDescent="0.3">
      <c r="B618" s="23"/>
      <c r="D618" s="25"/>
      <c r="E618" s="25"/>
      <c r="M618" s="12"/>
      <c r="N618" s="122"/>
      <c r="O618" s="122"/>
      <c r="P618" s="122"/>
      <c r="Q618" s="122"/>
    </row>
    <row r="619" spans="2:17" ht="14.25" customHeight="1" x14ac:dyDescent="0.3">
      <c r="B619" s="23"/>
      <c r="D619" s="25"/>
      <c r="E619" s="25"/>
      <c r="M619" s="12"/>
      <c r="N619" s="122"/>
      <c r="O619" s="122"/>
      <c r="P619" s="122"/>
      <c r="Q619" s="122"/>
    </row>
    <row r="620" spans="2:17" ht="14.25" customHeight="1" x14ac:dyDescent="0.3">
      <c r="B620" s="23"/>
      <c r="D620" s="25"/>
      <c r="E620" s="25"/>
      <c r="M620" s="12"/>
      <c r="N620" s="122"/>
      <c r="O620" s="122"/>
      <c r="P620" s="122"/>
      <c r="Q620" s="122"/>
    </row>
    <row r="621" spans="2:17" ht="14.25" customHeight="1" x14ac:dyDescent="0.3">
      <c r="B621" s="23"/>
      <c r="D621" s="25"/>
      <c r="E621" s="25"/>
      <c r="M621" s="12"/>
      <c r="N621" s="122"/>
      <c r="O621" s="122"/>
      <c r="P621" s="122"/>
      <c r="Q621" s="122"/>
    </row>
    <row r="622" spans="2:17" ht="14.25" customHeight="1" x14ac:dyDescent="0.3">
      <c r="B622" s="23"/>
      <c r="D622" s="25"/>
      <c r="E622" s="25"/>
      <c r="M622" s="12"/>
      <c r="N622" s="122"/>
      <c r="O622" s="122"/>
      <c r="P622" s="122"/>
      <c r="Q622" s="122"/>
    </row>
    <row r="623" spans="2:17" ht="14.25" customHeight="1" x14ac:dyDescent="0.3">
      <c r="B623" s="23"/>
      <c r="D623" s="25"/>
      <c r="E623" s="25"/>
      <c r="M623" s="12"/>
      <c r="N623" s="122"/>
      <c r="O623" s="122"/>
      <c r="P623" s="122"/>
      <c r="Q623" s="122"/>
    </row>
    <row r="624" spans="2:17" ht="14.25" customHeight="1" x14ac:dyDescent="0.3">
      <c r="B624" s="23"/>
      <c r="D624" s="25"/>
      <c r="E624" s="25"/>
      <c r="M624" s="12"/>
      <c r="N624" s="122"/>
      <c r="O624" s="122"/>
      <c r="P624" s="122"/>
      <c r="Q624" s="122"/>
    </row>
    <row r="625" spans="2:17" ht="14.25" customHeight="1" x14ac:dyDescent="0.3">
      <c r="B625" s="23"/>
      <c r="D625" s="25"/>
      <c r="E625" s="25"/>
      <c r="M625" s="12"/>
      <c r="N625" s="122"/>
      <c r="O625" s="122"/>
      <c r="P625" s="122"/>
      <c r="Q625" s="122"/>
    </row>
    <row r="626" spans="2:17" ht="14.25" customHeight="1" x14ac:dyDescent="0.3">
      <c r="B626" s="23"/>
      <c r="D626" s="25"/>
      <c r="E626" s="25"/>
      <c r="M626" s="12"/>
      <c r="N626" s="122"/>
      <c r="O626" s="122"/>
      <c r="P626" s="122"/>
      <c r="Q626" s="122"/>
    </row>
    <row r="627" spans="2:17" ht="14.25" customHeight="1" x14ac:dyDescent="0.3">
      <c r="B627" s="23"/>
      <c r="D627" s="25"/>
      <c r="E627" s="25"/>
      <c r="M627" s="12"/>
      <c r="N627" s="122"/>
      <c r="O627" s="122"/>
      <c r="P627" s="122"/>
      <c r="Q627" s="122"/>
    </row>
    <row r="628" spans="2:17" ht="14.25" customHeight="1" x14ac:dyDescent="0.3">
      <c r="B628" s="23"/>
      <c r="D628" s="25"/>
      <c r="E628" s="25"/>
      <c r="M628" s="12"/>
      <c r="N628" s="122"/>
      <c r="O628" s="122"/>
      <c r="P628" s="122"/>
      <c r="Q628" s="122"/>
    </row>
    <row r="629" spans="2:17" ht="14.25" customHeight="1" x14ac:dyDescent="0.3">
      <c r="B629" s="23"/>
      <c r="D629" s="25"/>
      <c r="E629" s="25"/>
      <c r="M629" s="12"/>
      <c r="N629" s="122"/>
      <c r="O629" s="122"/>
      <c r="P629" s="122"/>
      <c r="Q629" s="122"/>
    </row>
    <row r="630" spans="2:17" ht="14.25" customHeight="1" x14ac:dyDescent="0.3">
      <c r="B630" s="23"/>
      <c r="D630" s="25"/>
      <c r="E630" s="25"/>
      <c r="M630" s="12"/>
      <c r="N630" s="122"/>
      <c r="O630" s="122"/>
      <c r="P630" s="122"/>
      <c r="Q630" s="122"/>
    </row>
    <row r="631" spans="2:17" ht="14.25" customHeight="1" x14ac:dyDescent="0.3">
      <c r="B631" s="23"/>
      <c r="D631" s="25"/>
      <c r="E631" s="25"/>
      <c r="M631" s="12"/>
      <c r="N631" s="122"/>
      <c r="O631" s="122"/>
      <c r="P631" s="122"/>
      <c r="Q631" s="122"/>
    </row>
    <row r="632" spans="2:17" ht="14.25" customHeight="1" x14ac:dyDescent="0.3">
      <c r="B632" s="23"/>
      <c r="D632" s="25"/>
      <c r="E632" s="25"/>
      <c r="M632" s="12"/>
      <c r="N632" s="122"/>
      <c r="O632" s="122"/>
      <c r="P632" s="122"/>
      <c r="Q632" s="122"/>
    </row>
    <row r="633" spans="2:17" ht="14.25" customHeight="1" x14ac:dyDescent="0.3">
      <c r="B633" s="23"/>
      <c r="D633" s="25"/>
      <c r="E633" s="25"/>
      <c r="M633" s="12"/>
      <c r="N633" s="122"/>
      <c r="O633" s="122"/>
      <c r="P633" s="122"/>
      <c r="Q633" s="122"/>
    </row>
    <row r="634" spans="2:17" ht="14.25" customHeight="1" x14ac:dyDescent="0.3">
      <c r="B634" s="23"/>
      <c r="D634" s="25"/>
      <c r="E634" s="25"/>
      <c r="M634" s="12"/>
      <c r="N634" s="122"/>
      <c r="O634" s="122"/>
      <c r="P634" s="122"/>
      <c r="Q634" s="122"/>
    </row>
    <row r="635" spans="2:17" ht="14.25" customHeight="1" x14ac:dyDescent="0.3">
      <c r="B635" s="23"/>
      <c r="D635" s="25"/>
      <c r="E635" s="25"/>
      <c r="M635" s="12"/>
      <c r="N635" s="122"/>
      <c r="O635" s="122"/>
      <c r="P635" s="122"/>
      <c r="Q635" s="122"/>
    </row>
    <row r="636" spans="2:17" ht="14.25" customHeight="1" x14ac:dyDescent="0.3">
      <c r="B636" s="23"/>
      <c r="D636" s="25"/>
      <c r="E636" s="25"/>
      <c r="M636" s="12"/>
      <c r="N636" s="122"/>
      <c r="O636" s="122"/>
      <c r="P636" s="122"/>
      <c r="Q636" s="122"/>
    </row>
    <row r="637" spans="2:17" ht="14.25" customHeight="1" x14ac:dyDescent="0.3">
      <c r="B637" s="23"/>
      <c r="D637" s="25"/>
      <c r="E637" s="25"/>
      <c r="M637" s="12"/>
      <c r="N637" s="122"/>
      <c r="O637" s="122"/>
      <c r="P637" s="122"/>
      <c r="Q637" s="122"/>
    </row>
    <row r="638" spans="2:17" ht="14.25" customHeight="1" x14ac:dyDescent="0.3">
      <c r="B638" s="23"/>
      <c r="D638" s="25"/>
      <c r="E638" s="25"/>
      <c r="M638" s="12"/>
      <c r="N638" s="122"/>
      <c r="O638" s="122"/>
      <c r="P638" s="122"/>
      <c r="Q638" s="122"/>
    </row>
    <row r="639" spans="2:17" ht="14.25" customHeight="1" x14ac:dyDescent="0.3">
      <c r="B639" s="23"/>
      <c r="D639" s="25"/>
      <c r="E639" s="25"/>
      <c r="M639" s="12"/>
      <c r="N639" s="122"/>
      <c r="O639" s="122"/>
      <c r="P639" s="122"/>
      <c r="Q639" s="122"/>
    </row>
    <row r="640" spans="2:17" ht="14.25" customHeight="1" x14ac:dyDescent="0.3">
      <c r="B640" s="23"/>
      <c r="D640" s="25"/>
      <c r="E640" s="25"/>
      <c r="M640" s="12"/>
      <c r="N640" s="122"/>
      <c r="O640" s="122"/>
      <c r="P640" s="122"/>
      <c r="Q640" s="122"/>
    </row>
    <row r="641" spans="2:17" ht="14.25" customHeight="1" x14ac:dyDescent="0.3">
      <c r="B641" s="23"/>
      <c r="D641" s="25"/>
      <c r="E641" s="25"/>
      <c r="M641" s="12"/>
      <c r="N641" s="122"/>
      <c r="O641" s="122"/>
      <c r="P641" s="122"/>
      <c r="Q641" s="122"/>
    </row>
    <row r="642" spans="2:17" ht="14.25" customHeight="1" x14ac:dyDescent="0.3">
      <c r="B642" s="23"/>
      <c r="D642" s="25"/>
      <c r="E642" s="25"/>
      <c r="M642" s="12"/>
      <c r="N642" s="122"/>
      <c r="O642" s="122"/>
      <c r="P642" s="122"/>
      <c r="Q642" s="122"/>
    </row>
    <row r="643" spans="2:17" ht="14.25" customHeight="1" x14ac:dyDescent="0.3">
      <c r="B643" s="23"/>
      <c r="D643" s="25"/>
      <c r="E643" s="25"/>
      <c r="M643" s="12"/>
      <c r="N643" s="122"/>
      <c r="O643" s="122"/>
      <c r="P643" s="122"/>
      <c r="Q643" s="122"/>
    </row>
    <row r="644" spans="2:17" ht="14.25" customHeight="1" x14ac:dyDescent="0.3">
      <c r="B644" s="23"/>
      <c r="D644" s="25"/>
      <c r="E644" s="25"/>
      <c r="M644" s="12"/>
      <c r="N644" s="122"/>
      <c r="O644" s="122"/>
      <c r="P644" s="122"/>
      <c r="Q644" s="122"/>
    </row>
    <row r="645" spans="2:17" ht="14.25" customHeight="1" x14ac:dyDescent="0.3">
      <c r="B645" s="23"/>
      <c r="D645" s="25"/>
      <c r="E645" s="25"/>
      <c r="M645" s="12"/>
      <c r="N645" s="122"/>
      <c r="O645" s="122"/>
      <c r="P645" s="122"/>
      <c r="Q645" s="122"/>
    </row>
    <row r="646" spans="2:17" ht="14.25" customHeight="1" x14ac:dyDescent="0.3">
      <c r="B646" s="23"/>
      <c r="D646" s="25"/>
      <c r="E646" s="25"/>
      <c r="M646" s="12"/>
      <c r="N646" s="122"/>
      <c r="O646" s="122"/>
      <c r="P646" s="122"/>
      <c r="Q646" s="122"/>
    </row>
    <row r="647" spans="2:17" ht="14.25" customHeight="1" x14ac:dyDescent="0.3">
      <c r="B647" s="23"/>
      <c r="D647" s="25"/>
      <c r="E647" s="25"/>
      <c r="M647" s="12"/>
      <c r="N647" s="122"/>
      <c r="O647" s="122"/>
      <c r="P647" s="122"/>
      <c r="Q647" s="122"/>
    </row>
    <row r="648" spans="2:17" ht="14.25" customHeight="1" x14ac:dyDescent="0.3">
      <c r="B648" s="23"/>
      <c r="D648" s="25"/>
      <c r="E648" s="25"/>
      <c r="M648" s="12"/>
      <c r="N648" s="122"/>
      <c r="O648" s="122"/>
      <c r="P648" s="122"/>
      <c r="Q648" s="122"/>
    </row>
    <row r="649" spans="2:17" ht="14.25" customHeight="1" x14ac:dyDescent="0.3">
      <c r="B649" s="23"/>
      <c r="D649" s="25"/>
      <c r="E649" s="25"/>
      <c r="M649" s="12"/>
      <c r="N649" s="122"/>
      <c r="O649" s="122"/>
      <c r="P649" s="122"/>
      <c r="Q649" s="122"/>
    </row>
    <row r="650" spans="2:17" ht="14.25" customHeight="1" x14ac:dyDescent="0.3">
      <c r="B650" s="23"/>
      <c r="D650" s="25"/>
      <c r="E650" s="25"/>
      <c r="M650" s="12"/>
      <c r="N650" s="122"/>
      <c r="O650" s="122"/>
      <c r="P650" s="122"/>
      <c r="Q650" s="122"/>
    </row>
    <row r="651" spans="2:17" ht="14.25" customHeight="1" x14ac:dyDescent="0.3">
      <c r="B651" s="23"/>
      <c r="D651" s="25"/>
      <c r="E651" s="25"/>
      <c r="M651" s="12"/>
      <c r="N651" s="122"/>
      <c r="O651" s="122"/>
      <c r="P651" s="122"/>
      <c r="Q651" s="122"/>
    </row>
    <row r="652" spans="2:17" ht="14.25" customHeight="1" x14ac:dyDescent="0.3">
      <c r="B652" s="23"/>
      <c r="D652" s="25"/>
      <c r="E652" s="25"/>
      <c r="M652" s="12"/>
      <c r="N652" s="122"/>
      <c r="O652" s="122"/>
      <c r="P652" s="122"/>
      <c r="Q652" s="122"/>
    </row>
    <row r="653" spans="2:17" ht="14.25" customHeight="1" x14ac:dyDescent="0.3">
      <c r="B653" s="23"/>
      <c r="D653" s="25"/>
      <c r="E653" s="25"/>
      <c r="M653" s="12"/>
      <c r="N653" s="122"/>
      <c r="O653" s="122"/>
      <c r="P653" s="122"/>
      <c r="Q653" s="122"/>
    </row>
    <row r="654" spans="2:17" ht="14.25" customHeight="1" x14ac:dyDescent="0.3">
      <c r="B654" s="23"/>
      <c r="D654" s="25"/>
      <c r="E654" s="25"/>
      <c r="M654" s="12"/>
      <c r="N654" s="122"/>
      <c r="O654" s="122"/>
      <c r="P654" s="122"/>
      <c r="Q654" s="122"/>
    </row>
    <row r="655" spans="2:17" ht="14.25" customHeight="1" x14ac:dyDescent="0.3">
      <c r="B655" s="23"/>
      <c r="D655" s="25"/>
      <c r="E655" s="25"/>
      <c r="M655" s="12"/>
      <c r="N655" s="122"/>
      <c r="O655" s="122"/>
      <c r="P655" s="122"/>
      <c r="Q655" s="122"/>
    </row>
    <row r="656" spans="2:17" ht="14.25" customHeight="1" x14ac:dyDescent="0.3">
      <c r="B656" s="23"/>
      <c r="D656" s="25"/>
      <c r="E656" s="25"/>
      <c r="M656" s="12"/>
      <c r="N656" s="122"/>
      <c r="O656" s="122"/>
      <c r="P656" s="122"/>
      <c r="Q656" s="122"/>
    </row>
    <row r="657" spans="2:17" ht="14.25" customHeight="1" x14ac:dyDescent="0.3">
      <c r="B657" s="23"/>
      <c r="D657" s="25"/>
      <c r="E657" s="25"/>
      <c r="M657" s="12"/>
      <c r="N657" s="122"/>
      <c r="O657" s="122"/>
      <c r="P657" s="122"/>
      <c r="Q657" s="122"/>
    </row>
    <row r="658" spans="2:17" ht="14.25" customHeight="1" x14ac:dyDescent="0.3">
      <c r="B658" s="23"/>
      <c r="D658" s="25"/>
      <c r="E658" s="25"/>
      <c r="M658" s="12"/>
      <c r="N658" s="122"/>
      <c r="O658" s="122"/>
      <c r="P658" s="122"/>
      <c r="Q658" s="122"/>
    </row>
    <row r="659" spans="2:17" ht="14.25" customHeight="1" x14ac:dyDescent="0.3">
      <c r="B659" s="23"/>
      <c r="D659" s="25"/>
      <c r="E659" s="25"/>
      <c r="M659" s="12"/>
      <c r="N659" s="122"/>
      <c r="O659" s="122"/>
      <c r="P659" s="122"/>
      <c r="Q659" s="122"/>
    </row>
    <row r="660" spans="2:17" ht="14.25" customHeight="1" x14ac:dyDescent="0.3">
      <c r="B660" s="23"/>
      <c r="D660" s="25"/>
      <c r="E660" s="25"/>
      <c r="M660" s="12"/>
      <c r="N660" s="122"/>
      <c r="O660" s="122"/>
      <c r="P660" s="122"/>
      <c r="Q660" s="122"/>
    </row>
    <row r="661" spans="2:17" ht="14.25" customHeight="1" x14ac:dyDescent="0.3">
      <c r="B661" s="23"/>
      <c r="D661" s="25"/>
      <c r="E661" s="25"/>
      <c r="M661" s="12"/>
      <c r="N661" s="122"/>
      <c r="O661" s="122"/>
      <c r="P661" s="122"/>
      <c r="Q661" s="122"/>
    </row>
    <row r="662" spans="2:17" ht="14.25" customHeight="1" x14ac:dyDescent="0.3">
      <c r="B662" s="23"/>
      <c r="D662" s="25"/>
      <c r="E662" s="25"/>
      <c r="M662" s="12"/>
      <c r="N662" s="122"/>
      <c r="O662" s="122"/>
      <c r="P662" s="122"/>
      <c r="Q662" s="122"/>
    </row>
    <row r="663" spans="2:17" ht="14.25" customHeight="1" x14ac:dyDescent="0.3">
      <c r="B663" s="23"/>
      <c r="D663" s="25"/>
      <c r="E663" s="25"/>
      <c r="M663" s="12"/>
      <c r="N663" s="122"/>
      <c r="O663" s="122"/>
      <c r="P663" s="122"/>
      <c r="Q663" s="122"/>
    </row>
    <row r="664" spans="2:17" ht="14.25" customHeight="1" x14ac:dyDescent="0.3">
      <c r="B664" s="23"/>
      <c r="D664" s="25"/>
      <c r="E664" s="25"/>
      <c r="M664" s="12"/>
      <c r="N664" s="122"/>
      <c r="O664" s="122"/>
      <c r="P664" s="122"/>
      <c r="Q664" s="122"/>
    </row>
    <row r="665" spans="2:17" ht="14.25" customHeight="1" x14ac:dyDescent="0.3">
      <c r="B665" s="23"/>
      <c r="D665" s="25"/>
      <c r="E665" s="25"/>
      <c r="M665" s="12"/>
      <c r="N665" s="122"/>
      <c r="O665" s="122"/>
      <c r="P665" s="122"/>
      <c r="Q665" s="122"/>
    </row>
    <row r="666" spans="2:17" ht="14.25" customHeight="1" x14ac:dyDescent="0.3">
      <c r="B666" s="23"/>
      <c r="D666" s="25"/>
      <c r="E666" s="25"/>
      <c r="M666" s="12"/>
      <c r="N666" s="122"/>
      <c r="O666" s="122"/>
      <c r="P666" s="122"/>
      <c r="Q666" s="122"/>
    </row>
    <row r="667" spans="2:17" ht="14.25" customHeight="1" x14ac:dyDescent="0.3">
      <c r="B667" s="23"/>
      <c r="D667" s="25"/>
      <c r="E667" s="25"/>
      <c r="M667" s="12"/>
      <c r="N667" s="122"/>
      <c r="O667" s="122"/>
      <c r="P667" s="122"/>
      <c r="Q667" s="122"/>
    </row>
    <row r="668" spans="2:17" ht="14.25" customHeight="1" x14ac:dyDescent="0.3">
      <c r="B668" s="23"/>
      <c r="D668" s="25"/>
      <c r="E668" s="25"/>
      <c r="M668" s="12"/>
      <c r="N668" s="122"/>
      <c r="O668" s="122"/>
      <c r="P668" s="122"/>
      <c r="Q668" s="122"/>
    </row>
    <row r="669" spans="2:17" ht="14.25" customHeight="1" x14ac:dyDescent="0.3">
      <c r="B669" s="23"/>
      <c r="D669" s="25"/>
      <c r="E669" s="25"/>
      <c r="M669" s="12"/>
      <c r="N669" s="122"/>
      <c r="O669" s="122"/>
      <c r="P669" s="122"/>
      <c r="Q669" s="122"/>
    </row>
    <row r="670" spans="2:17" ht="14.25" customHeight="1" x14ac:dyDescent="0.3">
      <c r="B670" s="23"/>
      <c r="D670" s="25"/>
      <c r="E670" s="25"/>
      <c r="M670" s="12"/>
      <c r="N670" s="122"/>
      <c r="O670" s="122"/>
      <c r="P670" s="122"/>
      <c r="Q670" s="122"/>
    </row>
    <row r="671" spans="2:17" ht="14.25" customHeight="1" x14ac:dyDescent="0.3">
      <c r="B671" s="23"/>
      <c r="D671" s="25"/>
      <c r="E671" s="25"/>
      <c r="M671" s="12"/>
      <c r="N671" s="122"/>
      <c r="O671" s="122"/>
      <c r="P671" s="122"/>
      <c r="Q671" s="122"/>
    </row>
    <row r="672" spans="2:17" ht="14.25" customHeight="1" x14ac:dyDescent="0.3">
      <c r="B672" s="23"/>
      <c r="D672" s="25"/>
      <c r="E672" s="25"/>
      <c r="M672" s="12"/>
      <c r="N672" s="122"/>
      <c r="O672" s="122"/>
      <c r="P672" s="122"/>
      <c r="Q672" s="122"/>
    </row>
    <row r="673" spans="2:17" ht="14.25" customHeight="1" x14ac:dyDescent="0.3">
      <c r="B673" s="23"/>
      <c r="D673" s="25"/>
      <c r="E673" s="25"/>
      <c r="M673" s="12"/>
      <c r="N673" s="122"/>
      <c r="O673" s="122"/>
      <c r="P673" s="122"/>
      <c r="Q673" s="122"/>
    </row>
    <row r="674" spans="2:17" ht="14.25" customHeight="1" x14ac:dyDescent="0.3">
      <c r="B674" s="23"/>
      <c r="D674" s="25"/>
      <c r="E674" s="25"/>
      <c r="M674" s="12"/>
      <c r="N674" s="122"/>
      <c r="O674" s="122"/>
      <c r="P674" s="122"/>
      <c r="Q674" s="122"/>
    </row>
    <row r="675" spans="2:17" ht="14.25" customHeight="1" x14ac:dyDescent="0.3">
      <c r="B675" s="23"/>
      <c r="D675" s="25"/>
      <c r="E675" s="25"/>
      <c r="M675" s="12"/>
      <c r="N675" s="122"/>
      <c r="O675" s="122"/>
      <c r="P675" s="122"/>
      <c r="Q675" s="122"/>
    </row>
    <row r="676" spans="2:17" ht="14.25" customHeight="1" x14ac:dyDescent="0.3">
      <c r="B676" s="23"/>
      <c r="D676" s="25"/>
      <c r="E676" s="25"/>
      <c r="M676" s="12"/>
      <c r="N676" s="122"/>
      <c r="O676" s="122"/>
      <c r="P676" s="122"/>
      <c r="Q676" s="122"/>
    </row>
    <row r="677" spans="2:17" ht="14.25" customHeight="1" x14ac:dyDescent="0.3">
      <c r="B677" s="23"/>
      <c r="D677" s="25"/>
      <c r="E677" s="25"/>
      <c r="M677" s="12"/>
      <c r="N677" s="122"/>
      <c r="O677" s="122"/>
      <c r="P677" s="122"/>
      <c r="Q677" s="122"/>
    </row>
    <row r="678" spans="2:17" ht="14.25" customHeight="1" x14ac:dyDescent="0.3">
      <c r="B678" s="23"/>
      <c r="D678" s="25"/>
      <c r="E678" s="25"/>
      <c r="M678" s="12"/>
      <c r="N678" s="122"/>
      <c r="O678" s="122"/>
      <c r="P678" s="122"/>
      <c r="Q678" s="122"/>
    </row>
    <row r="679" spans="2:17" ht="14.25" customHeight="1" x14ac:dyDescent="0.3">
      <c r="B679" s="23"/>
      <c r="D679" s="25"/>
      <c r="E679" s="25"/>
      <c r="M679" s="12"/>
      <c r="N679" s="122"/>
      <c r="O679" s="122"/>
      <c r="P679" s="122"/>
      <c r="Q679" s="122"/>
    </row>
    <row r="680" spans="2:17" ht="14.25" customHeight="1" x14ac:dyDescent="0.3">
      <c r="B680" s="23"/>
      <c r="D680" s="25"/>
      <c r="E680" s="25"/>
      <c r="M680" s="12"/>
      <c r="N680" s="122"/>
      <c r="O680" s="122"/>
      <c r="P680" s="122"/>
      <c r="Q680" s="122"/>
    </row>
    <row r="681" spans="2:17" ht="14.25" customHeight="1" x14ac:dyDescent="0.3">
      <c r="B681" s="23"/>
      <c r="D681" s="25"/>
      <c r="E681" s="25"/>
      <c r="M681" s="12"/>
      <c r="N681" s="122"/>
      <c r="O681" s="122"/>
      <c r="P681" s="122"/>
      <c r="Q681" s="122"/>
    </row>
    <row r="682" spans="2:17" ht="14.25" customHeight="1" x14ac:dyDescent="0.3">
      <c r="B682" s="23"/>
      <c r="D682" s="25"/>
      <c r="E682" s="25"/>
      <c r="M682" s="12"/>
      <c r="N682" s="122"/>
      <c r="O682" s="122"/>
      <c r="P682" s="122"/>
      <c r="Q682" s="122"/>
    </row>
    <row r="683" spans="2:17" ht="14.25" customHeight="1" x14ac:dyDescent="0.3">
      <c r="B683" s="23"/>
      <c r="D683" s="25"/>
      <c r="E683" s="25"/>
      <c r="M683" s="12"/>
      <c r="N683" s="122"/>
      <c r="O683" s="122"/>
      <c r="P683" s="122"/>
      <c r="Q683" s="122"/>
    </row>
    <row r="684" spans="2:17" ht="14.25" customHeight="1" x14ac:dyDescent="0.3">
      <c r="B684" s="23"/>
      <c r="D684" s="25"/>
      <c r="E684" s="25"/>
      <c r="M684" s="12"/>
      <c r="N684" s="122"/>
      <c r="O684" s="122"/>
      <c r="P684" s="122"/>
      <c r="Q684" s="122"/>
    </row>
    <row r="685" spans="2:17" ht="14.25" customHeight="1" x14ac:dyDescent="0.3">
      <c r="B685" s="23"/>
      <c r="D685" s="25"/>
      <c r="E685" s="25"/>
      <c r="M685" s="12"/>
      <c r="N685" s="122"/>
      <c r="O685" s="122"/>
      <c r="P685" s="122"/>
      <c r="Q685" s="122"/>
    </row>
    <row r="686" spans="2:17" ht="14.25" customHeight="1" x14ac:dyDescent="0.3">
      <c r="B686" s="23"/>
      <c r="D686" s="25"/>
      <c r="E686" s="25"/>
      <c r="M686" s="12"/>
      <c r="N686" s="122"/>
      <c r="O686" s="122"/>
      <c r="P686" s="122"/>
      <c r="Q686" s="122"/>
    </row>
    <row r="687" spans="2:17" ht="14.25" customHeight="1" x14ac:dyDescent="0.3">
      <c r="B687" s="23"/>
      <c r="D687" s="25"/>
      <c r="E687" s="25"/>
      <c r="M687" s="12"/>
      <c r="N687" s="122"/>
      <c r="O687" s="122"/>
      <c r="P687" s="122"/>
      <c r="Q687" s="122"/>
    </row>
    <row r="688" spans="2:17" ht="14.25" customHeight="1" x14ac:dyDescent="0.3">
      <c r="B688" s="23"/>
      <c r="D688" s="25"/>
      <c r="E688" s="25"/>
      <c r="M688" s="12"/>
      <c r="N688" s="122"/>
      <c r="O688" s="122"/>
      <c r="P688" s="122"/>
      <c r="Q688" s="122"/>
    </row>
    <row r="689" spans="2:17" ht="14.25" customHeight="1" x14ac:dyDescent="0.3">
      <c r="B689" s="23"/>
      <c r="D689" s="25"/>
      <c r="E689" s="25"/>
      <c r="M689" s="12"/>
      <c r="N689" s="122"/>
      <c r="O689" s="122"/>
      <c r="P689" s="122"/>
      <c r="Q689" s="122"/>
    </row>
    <row r="690" spans="2:17" ht="14.25" customHeight="1" x14ac:dyDescent="0.3">
      <c r="B690" s="23"/>
      <c r="D690" s="25"/>
      <c r="E690" s="25"/>
      <c r="M690" s="12"/>
      <c r="N690" s="122"/>
      <c r="O690" s="122"/>
      <c r="P690" s="122"/>
      <c r="Q690" s="122"/>
    </row>
    <row r="691" spans="2:17" ht="14.25" customHeight="1" x14ac:dyDescent="0.3">
      <c r="B691" s="23"/>
      <c r="D691" s="25"/>
      <c r="E691" s="25"/>
      <c r="M691" s="12"/>
      <c r="N691" s="122"/>
      <c r="O691" s="122"/>
      <c r="P691" s="122"/>
      <c r="Q691" s="122"/>
    </row>
    <row r="692" spans="2:17" ht="14.25" customHeight="1" x14ac:dyDescent="0.3">
      <c r="B692" s="23"/>
      <c r="D692" s="25"/>
      <c r="E692" s="25"/>
      <c r="M692" s="12"/>
      <c r="N692" s="122"/>
      <c r="O692" s="122"/>
      <c r="P692" s="122"/>
      <c r="Q692" s="122"/>
    </row>
    <row r="693" spans="2:17" ht="14.25" customHeight="1" x14ac:dyDescent="0.3">
      <c r="B693" s="23"/>
      <c r="D693" s="25"/>
      <c r="E693" s="25"/>
      <c r="M693" s="12"/>
      <c r="N693" s="122"/>
      <c r="O693" s="122"/>
      <c r="P693" s="122"/>
      <c r="Q693" s="122"/>
    </row>
    <row r="694" spans="2:17" ht="14.25" customHeight="1" x14ac:dyDescent="0.3">
      <c r="B694" s="23"/>
      <c r="D694" s="25"/>
      <c r="E694" s="25"/>
      <c r="M694" s="12"/>
      <c r="N694" s="122"/>
      <c r="O694" s="122"/>
      <c r="P694" s="122"/>
      <c r="Q694" s="122"/>
    </row>
    <row r="695" spans="2:17" ht="14.25" customHeight="1" x14ac:dyDescent="0.3">
      <c r="B695" s="23"/>
      <c r="D695" s="25"/>
      <c r="E695" s="25"/>
      <c r="M695" s="12"/>
      <c r="N695" s="122"/>
      <c r="O695" s="122"/>
      <c r="P695" s="122"/>
      <c r="Q695" s="122"/>
    </row>
    <row r="696" spans="2:17" ht="14.25" customHeight="1" x14ac:dyDescent="0.3">
      <c r="B696" s="23"/>
      <c r="D696" s="25"/>
      <c r="E696" s="25"/>
      <c r="M696" s="12"/>
      <c r="N696" s="122"/>
      <c r="O696" s="122"/>
      <c r="P696" s="122"/>
      <c r="Q696" s="122"/>
    </row>
    <row r="697" spans="2:17" ht="14.25" customHeight="1" x14ac:dyDescent="0.3">
      <c r="B697" s="23"/>
      <c r="D697" s="25"/>
      <c r="E697" s="25"/>
      <c r="M697" s="12"/>
      <c r="N697" s="122"/>
      <c r="O697" s="122"/>
      <c r="P697" s="122"/>
      <c r="Q697" s="122"/>
    </row>
    <row r="698" spans="2:17" ht="14.25" customHeight="1" x14ac:dyDescent="0.3">
      <c r="B698" s="23"/>
      <c r="D698" s="25"/>
      <c r="E698" s="25"/>
      <c r="M698" s="12"/>
      <c r="N698" s="122"/>
      <c r="O698" s="122"/>
      <c r="P698" s="122"/>
      <c r="Q698" s="122"/>
    </row>
    <row r="699" spans="2:17" ht="14.25" customHeight="1" x14ac:dyDescent="0.3">
      <c r="B699" s="23"/>
      <c r="D699" s="25"/>
      <c r="E699" s="25"/>
      <c r="M699" s="12"/>
      <c r="N699" s="122"/>
      <c r="O699" s="122"/>
      <c r="P699" s="122"/>
      <c r="Q699" s="122"/>
    </row>
    <row r="700" spans="2:17" ht="14.25" customHeight="1" x14ac:dyDescent="0.3">
      <c r="B700" s="23"/>
      <c r="D700" s="25"/>
      <c r="E700" s="25"/>
      <c r="M700" s="12"/>
      <c r="N700" s="122"/>
      <c r="O700" s="122"/>
      <c r="P700" s="122"/>
      <c r="Q700" s="122"/>
    </row>
    <row r="701" spans="2:17" ht="14.25" customHeight="1" x14ac:dyDescent="0.3">
      <c r="B701" s="23"/>
      <c r="D701" s="25"/>
      <c r="E701" s="25"/>
      <c r="M701" s="12"/>
      <c r="N701" s="122"/>
      <c r="O701" s="122"/>
      <c r="P701" s="122"/>
      <c r="Q701" s="122"/>
    </row>
    <row r="702" spans="2:17" ht="14.25" customHeight="1" x14ac:dyDescent="0.3">
      <c r="B702" s="23"/>
      <c r="D702" s="25"/>
      <c r="E702" s="25"/>
      <c r="M702" s="12"/>
      <c r="N702" s="122"/>
      <c r="O702" s="122"/>
      <c r="P702" s="122"/>
      <c r="Q702" s="122"/>
    </row>
    <row r="703" spans="2:17" ht="14.25" customHeight="1" x14ac:dyDescent="0.3">
      <c r="B703" s="23"/>
      <c r="D703" s="25"/>
      <c r="E703" s="25"/>
      <c r="M703" s="12"/>
      <c r="N703" s="122"/>
      <c r="O703" s="122"/>
      <c r="P703" s="122"/>
      <c r="Q703" s="122"/>
    </row>
    <row r="704" spans="2:17" ht="14.25" customHeight="1" x14ac:dyDescent="0.3">
      <c r="B704" s="23"/>
      <c r="D704" s="25"/>
      <c r="E704" s="25"/>
      <c r="M704" s="12"/>
      <c r="N704" s="122"/>
      <c r="O704" s="122"/>
      <c r="P704" s="122"/>
      <c r="Q704" s="122"/>
    </row>
    <row r="705" spans="2:17" ht="14.25" customHeight="1" x14ac:dyDescent="0.3">
      <c r="B705" s="23"/>
      <c r="D705" s="25"/>
      <c r="E705" s="25"/>
      <c r="M705" s="12"/>
      <c r="N705" s="122"/>
      <c r="O705" s="122"/>
      <c r="P705" s="122"/>
      <c r="Q705" s="122"/>
    </row>
    <row r="706" spans="2:17" ht="14.25" customHeight="1" x14ac:dyDescent="0.3">
      <c r="B706" s="23"/>
      <c r="D706" s="25"/>
      <c r="E706" s="25"/>
      <c r="M706" s="12"/>
      <c r="N706" s="122"/>
      <c r="O706" s="122"/>
      <c r="P706" s="122"/>
      <c r="Q706" s="122"/>
    </row>
    <row r="707" spans="2:17" ht="14.25" customHeight="1" x14ac:dyDescent="0.3">
      <c r="B707" s="23"/>
      <c r="D707" s="25"/>
      <c r="E707" s="25"/>
      <c r="M707" s="12"/>
      <c r="N707" s="122"/>
      <c r="O707" s="122"/>
      <c r="P707" s="122"/>
      <c r="Q707" s="122"/>
    </row>
    <row r="708" spans="2:17" ht="14.25" customHeight="1" x14ac:dyDescent="0.3">
      <c r="B708" s="23"/>
      <c r="D708" s="25"/>
      <c r="E708" s="25"/>
      <c r="M708" s="12"/>
      <c r="N708" s="122"/>
      <c r="O708" s="122"/>
      <c r="P708" s="122"/>
      <c r="Q708" s="122"/>
    </row>
    <row r="709" spans="2:17" ht="14.25" customHeight="1" x14ac:dyDescent="0.3">
      <c r="B709" s="23"/>
      <c r="D709" s="25"/>
      <c r="E709" s="25"/>
      <c r="M709" s="12"/>
      <c r="N709" s="122"/>
      <c r="O709" s="122"/>
      <c r="P709" s="122"/>
      <c r="Q709" s="122"/>
    </row>
    <row r="710" spans="2:17" ht="14.25" customHeight="1" x14ac:dyDescent="0.3">
      <c r="B710" s="23"/>
      <c r="D710" s="25"/>
      <c r="E710" s="25"/>
      <c r="M710" s="12"/>
      <c r="N710" s="122"/>
      <c r="O710" s="122"/>
      <c r="P710" s="122"/>
      <c r="Q710" s="122"/>
    </row>
    <row r="711" spans="2:17" ht="14.25" customHeight="1" x14ac:dyDescent="0.3">
      <c r="B711" s="23"/>
      <c r="D711" s="25"/>
      <c r="E711" s="25"/>
      <c r="M711" s="12"/>
      <c r="N711" s="122"/>
      <c r="O711" s="122"/>
      <c r="P711" s="122"/>
      <c r="Q711" s="122"/>
    </row>
    <row r="712" spans="2:17" ht="14.25" customHeight="1" x14ac:dyDescent="0.3">
      <c r="B712" s="23"/>
      <c r="D712" s="25"/>
      <c r="E712" s="25"/>
      <c r="M712" s="12"/>
      <c r="N712" s="122"/>
      <c r="O712" s="122"/>
      <c r="P712" s="122"/>
      <c r="Q712" s="122"/>
    </row>
    <row r="713" spans="2:17" ht="14.25" customHeight="1" x14ac:dyDescent="0.3">
      <c r="B713" s="23"/>
      <c r="D713" s="25"/>
      <c r="E713" s="25"/>
      <c r="M713" s="12"/>
      <c r="N713" s="122"/>
      <c r="O713" s="122"/>
      <c r="P713" s="122"/>
      <c r="Q713" s="122"/>
    </row>
    <row r="714" spans="2:17" ht="14.25" customHeight="1" x14ac:dyDescent="0.3">
      <c r="B714" s="23"/>
      <c r="D714" s="25"/>
      <c r="E714" s="25"/>
      <c r="M714" s="12"/>
      <c r="N714" s="122"/>
      <c r="O714" s="122"/>
      <c r="P714" s="122"/>
      <c r="Q714" s="122"/>
    </row>
    <row r="715" spans="2:17" ht="14.25" customHeight="1" x14ac:dyDescent="0.3">
      <c r="B715" s="23"/>
      <c r="D715" s="25"/>
      <c r="E715" s="25"/>
      <c r="M715" s="12"/>
      <c r="N715" s="122"/>
      <c r="O715" s="122"/>
      <c r="P715" s="122"/>
      <c r="Q715" s="122"/>
    </row>
    <row r="716" spans="2:17" ht="14.25" customHeight="1" x14ac:dyDescent="0.3">
      <c r="B716" s="23"/>
      <c r="D716" s="25"/>
      <c r="E716" s="25"/>
      <c r="M716" s="12"/>
      <c r="N716" s="122"/>
      <c r="O716" s="122"/>
      <c r="P716" s="122"/>
      <c r="Q716" s="122"/>
    </row>
    <row r="717" spans="2:17" ht="14.25" customHeight="1" x14ac:dyDescent="0.3">
      <c r="B717" s="23"/>
      <c r="D717" s="25"/>
      <c r="E717" s="25"/>
      <c r="M717" s="12"/>
      <c r="N717" s="122"/>
      <c r="O717" s="122"/>
      <c r="P717" s="122"/>
      <c r="Q717" s="122"/>
    </row>
    <row r="718" spans="2:17" ht="14.25" customHeight="1" x14ac:dyDescent="0.3">
      <c r="B718" s="23"/>
      <c r="D718" s="25"/>
      <c r="E718" s="25"/>
      <c r="M718" s="12"/>
      <c r="N718" s="122"/>
      <c r="O718" s="122"/>
      <c r="P718" s="122"/>
      <c r="Q718" s="122"/>
    </row>
    <row r="719" spans="2:17" ht="14.25" customHeight="1" x14ac:dyDescent="0.3">
      <c r="B719" s="23"/>
      <c r="D719" s="25"/>
      <c r="E719" s="25"/>
      <c r="M719" s="12"/>
      <c r="N719" s="122"/>
      <c r="O719" s="122"/>
      <c r="P719" s="122"/>
      <c r="Q719" s="122"/>
    </row>
    <row r="720" spans="2:17" ht="14.25" customHeight="1" x14ac:dyDescent="0.3">
      <c r="B720" s="23"/>
      <c r="D720" s="25"/>
      <c r="E720" s="25"/>
      <c r="M720" s="12"/>
      <c r="N720" s="122"/>
      <c r="O720" s="122"/>
      <c r="P720" s="122"/>
      <c r="Q720" s="122"/>
    </row>
    <row r="721" spans="2:17" ht="14.25" customHeight="1" x14ac:dyDescent="0.3">
      <c r="B721" s="23"/>
      <c r="D721" s="25"/>
      <c r="E721" s="25"/>
      <c r="M721" s="12"/>
      <c r="N721" s="122"/>
      <c r="O721" s="122"/>
      <c r="P721" s="122"/>
      <c r="Q721" s="122"/>
    </row>
    <row r="722" spans="2:17" ht="14.25" customHeight="1" x14ac:dyDescent="0.3">
      <c r="B722" s="23"/>
      <c r="D722" s="25"/>
      <c r="E722" s="25"/>
      <c r="M722" s="12"/>
      <c r="N722" s="122"/>
      <c r="O722" s="122"/>
      <c r="P722" s="122"/>
      <c r="Q722" s="122"/>
    </row>
    <row r="723" spans="2:17" ht="14.25" customHeight="1" x14ac:dyDescent="0.3">
      <c r="B723" s="23"/>
      <c r="D723" s="25"/>
      <c r="E723" s="25"/>
      <c r="M723" s="12"/>
      <c r="N723" s="122"/>
      <c r="O723" s="122"/>
      <c r="P723" s="122"/>
      <c r="Q723" s="122"/>
    </row>
    <row r="724" spans="2:17" ht="14.25" customHeight="1" x14ac:dyDescent="0.3">
      <c r="B724" s="23"/>
      <c r="D724" s="25"/>
      <c r="E724" s="25"/>
      <c r="M724" s="12"/>
      <c r="N724" s="122"/>
      <c r="O724" s="122"/>
      <c r="P724" s="122"/>
      <c r="Q724" s="122"/>
    </row>
    <row r="725" spans="2:17" ht="14.25" customHeight="1" x14ac:dyDescent="0.3">
      <c r="B725" s="23"/>
      <c r="D725" s="25"/>
      <c r="E725" s="25"/>
      <c r="M725" s="12"/>
      <c r="N725" s="122"/>
      <c r="O725" s="122"/>
      <c r="P725" s="122"/>
      <c r="Q725" s="122"/>
    </row>
    <row r="726" spans="2:17" ht="14.25" customHeight="1" x14ac:dyDescent="0.3">
      <c r="B726" s="23"/>
      <c r="D726" s="25"/>
      <c r="E726" s="25"/>
      <c r="M726" s="12"/>
      <c r="N726" s="122"/>
      <c r="O726" s="122"/>
      <c r="P726" s="122"/>
      <c r="Q726" s="122"/>
    </row>
    <row r="727" spans="2:17" ht="14.25" customHeight="1" x14ac:dyDescent="0.3">
      <c r="B727" s="23"/>
      <c r="D727" s="25"/>
      <c r="E727" s="25"/>
      <c r="M727" s="12"/>
      <c r="N727" s="122"/>
      <c r="O727" s="122"/>
      <c r="P727" s="122"/>
      <c r="Q727" s="122"/>
    </row>
    <row r="728" spans="2:17" ht="14.25" customHeight="1" x14ac:dyDescent="0.3">
      <c r="B728" s="23"/>
      <c r="D728" s="25"/>
      <c r="E728" s="25"/>
      <c r="M728" s="12"/>
      <c r="N728" s="122"/>
      <c r="O728" s="122"/>
      <c r="P728" s="122"/>
      <c r="Q728" s="122"/>
    </row>
    <row r="729" spans="2:17" ht="14.25" customHeight="1" x14ac:dyDescent="0.3">
      <c r="B729" s="23"/>
      <c r="D729" s="25"/>
      <c r="E729" s="25"/>
      <c r="M729" s="12"/>
      <c r="N729" s="122"/>
      <c r="O729" s="122"/>
      <c r="P729" s="122"/>
      <c r="Q729" s="122"/>
    </row>
    <row r="730" spans="2:17" ht="14.25" customHeight="1" x14ac:dyDescent="0.3">
      <c r="B730" s="23"/>
      <c r="D730" s="25"/>
      <c r="E730" s="25"/>
      <c r="M730" s="12"/>
      <c r="N730" s="122"/>
      <c r="O730" s="122"/>
      <c r="P730" s="122"/>
      <c r="Q730" s="122"/>
    </row>
    <row r="731" spans="2:17" ht="14.25" customHeight="1" x14ac:dyDescent="0.3">
      <c r="B731" s="23"/>
      <c r="D731" s="25"/>
      <c r="E731" s="25"/>
      <c r="M731" s="12"/>
      <c r="N731" s="122"/>
      <c r="O731" s="122"/>
      <c r="P731" s="122"/>
      <c r="Q731" s="122"/>
    </row>
    <row r="732" spans="2:17" ht="14.25" customHeight="1" x14ac:dyDescent="0.3">
      <c r="B732" s="23"/>
      <c r="D732" s="25"/>
      <c r="E732" s="25"/>
      <c r="M732" s="12"/>
      <c r="N732" s="122"/>
      <c r="O732" s="122"/>
      <c r="P732" s="122"/>
      <c r="Q732" s="122"/>
    </row>
    <row r="733" spans="2:17" ht="14.25" customHeight="1" x14ac:dyDescent="0.3">
      <c r="B733" s="23"/>
      <c r="D733" s="25"/>
      <c r="E733" s="25"/>
      <c r="M733" s="12"/>
      <c r="N733" s="122"/>
      <c r="O733" s="122"/>
      <c r="P733" s="122"/>
      <c r="Q733" s="122"/>
    </row>
    <row r="734" spans="2:17" ht="14.25" customHeight="1" x14ac:dyDescent="0.3">
      <c r="B734" s="23"/>
      <c r="D734" s="25"/>
      <c r="E734" s="25"/>
      <c r="M734" s="12"/>
      <c r="N734" s="122"/>
      <c r="O734" s="122"/>
      <c r="P734" s="122"/>
      <c r="Q734" s="122"/>
    </row>
    <row r="735" spans="2:17" ht="14.25" customHeight="1" x14ac:dyDescent="0.3">
      <c r="B735" s="23"/>
      <c r="D735" s="25"/>
      <c r="E735" s="25"/>
      <c r="M735" s="12"/>
      <c r="N735" s="122"/>
      <c r="O735" s="122"/>
      <c r="P735" s="122"/>
      <c r="Q735" s="122"/>
    </row>
    <row r="736" spans="2:17" ht="14.25" customHeight="1" x14ac:dyDescent="0.3">
      <c r="B736" s="23"/>
      <c r="D736" s="25"/>
      <c r="E736" s="25"/>
      <c r="M736" s="12"/>
      <c r="N736" s="122"/>
      <c r="O736" s="122"/>
      <c r="P736" s="122"/>
      <c r="Q736" s="122"/>
    </row>
    <row r="737" spans="2:17" ht="14.25" customHeight="1" x14ac:dyDescent="0.3">
      <c r="B737" s="23"/>
      <c r="D737" s="25"/>
      <c r="E737" s="25"/>
      <c r="M737" s="12"/>
      <c r="N737" s="122"/>
      <c r="O737" s="122"/>
      <c r="P737" s="122"/>
      <c r="Q737" s="122"/>
    </row>
    <row r="738" spans="2:17" ht="14.25" customHeight="1" x14ac:dyDescent="0.3">
      <c r="B738" s="23"/>
      <c r="D738" s="25"/>
      <c r="E738" s="25"/>
      <c r="M738" s="12"/>
      <c r="N738" s="122"/>
      <c r="O738" s="122"/>
      <c r="P738" s="122"/>
      <c r="Q738" s="122"/>
    </row>
    <row r="739" spans="2:17" ht="14.25" customHeight="1" x14ac:dyDescent="0.3">
      <c r="B739" s="23"/>
      <c r="D739" s="25"/>
      <c r="E739" s="25"/>
      <c r="M739" s="12"/>
      <c r="N739" s="122"/>
      <c r="O739" s="122"/>
      <c r="P739" s="122"/>
      <c r="Q739" s="122"/>
    </row>
    <row r="740" spans="2:17" ht="14.25" customHeight="1" x14ac:dyDescent="0.3">
      <c r="B740" s="23"/>
      <c r="D740" s="25"/>
      <c r="E740" s="25"/>
      <c r="M740" s="12"/>
      <c r="N740" s="122"/>
      <c r="O740" s="122"/>
      <c r="P740" s="122"/>
      <c r="Q740" s="122"/>
    </row>
    <row r="741" spans="2:17" ht="14.25" customHeight="1" x14ac:dyDescent="0.3">
      <c r="B741" s="23"/>
      <c r="D741" s="25"/>
      <c r="E741" s="25"/>
      <c r="M741" s="12"/>
      <c r="N741" s="122"/>
      <c r="O741" s="122"/>
      <c r="P741" s="122"/>
      <c r="Q741" s="122"/>
    </row>
    <row r="742" spans="2:17" ht="14.25" customHeight="1" x14ac:dyDescent="0.3">
      <c r="B742" s="23"/>
      <c r="D742" s="25"/>
      <c r="E742" s="25"/>
      <c r="M742" s="12"/>
      <c r="N742" s="122"/>
      <c r="O742" s="122"/>
      <c r="P742" s="122"/>
      <c r="Q742" s="122"/>
    </row>
    <row r="743" spans="2:17" ht="14.25" customHeight="1" x14ac:dyDescent="0.3">
      <c r="B743" s="23"/>
      <c r="D743" s="25"/>
      <c r="E743" s="25"/>
      <c r="M743" s="12"/>
      <c r="N743" s="122"/>
      <c r="O743" s="122"/>
      <c r="P743" s="122"/>
      <c r="Q743" s="122"/>
    </row>
    <row r="744" spans="2:17" ht="14.25" customHeight="1" x14ac:dyDescent="0.3">
      <c r="B744" s="23"/>
      <c r="D744" s="25"/>
      <c r="E744" s="25"/>
      <c r="M744" s="12"/>
      <c r="N744" s="122"/>
      <c r="O744" s="122"/>
      <c r="P744" s="122"/>
      <c r="Q744" s="122"/>
    </row>
    <row r="745" spans="2:17" ht="14.25" customHeight="1" x14ac:dyDescent="0.3">
      <c r="B745" s="23"/>
      <c r="D745" s="25"/>
      <c r="E745" s="25"/>
      <c r="M745" s="12"/>
      <c r="N745" s="122"/>
      <c r="O745" s="122"/>
      <c r="P745" s="122"/>
      <c r="Q745" s="122"/>
    </row>
    <row r="746" spans="2:17" ht="14.25" customHeight="1" x14ac:dyDescent="0.3">
      <c r="B746" s="23"/>
      <c r="D746" s="25"/>
      <c r="E746" s="25"/>
      <c r="M746" s="12"/>
      <c r="N746" s="122"/>
      <c r="O746" s="122"/>
      <c r="P746" s="122"/>
      <c r="Q746" s="122"/>
    </row>
    <row r="747" spans="2:17" ht="14.25" customHeight="1" x14ac:dyDescent="0.3">
      <c r="B747" s="23"/>
      <c r="D747" s="25"/>
      <c r="E747" s="25"/>
      <c r="M747" s="12"/>
      <c r="N747" s="122"/>
      <c r="O747" s="122"/>
      <c r="P747" s="122"/>
      <c r="Q747" s="122"/>
    </row>
    <row r="748" spans="2:17" ht="14.25" customHeight="1" x14ac:dyDescent="0.3">
      <c r="B748" s="23"/>
      <c r="D748" s="25"/>
      <c r="E748" s="25"/>
      <c r="M748" s="12"/>
      <c r="N748" s="122"/>
      <c r="O748" s="122"/>
      <c r="P748" s="122"/>
      <c r="Q748" s="122"/>
    </row>
    <row r="749" spans="2:17" ht="14.25" customHeight="1" x14ac:dyDescent="0.3">
      <c r="B749" s="23"/>
      <c r="D749" s="25"/>
      <c r="E749" s="25"/>
      <c r="M749" s="12"/>
      <c r="N749" s="122"/>
      <c r="O749" s="122"/>
      <c r="P749" s="122"/>
      <c r="Q749" s="122"/>
    </row>
    <row r="750" spans="2:17" ht="14.25" customHeight="1" x14ac:dyDescent="0.3">
      <c r="B750" s="23"/>
      <c r="D750" s="25"/>
      <c r="E750" s="25"/>
      <c r="M750" s="12"/>
      <c r="N750" s="122"/>
      <c r="O750" s="122"/>
      <c r="P750" s="122"/>
      <c r="Q750" s="122"/>
    </row>
    <row r="751" spans="2:17" ht="14.25" customHeight="1" x14ac:dyDescent="0.3">
      <c r="B751" s="23"/>
      <c r="D751" s="25"/>
      <c r="E751" s="25"/>
      <c r="M751" s="12"/>
      <c r="N751" s="122"/>
      <c r="O751" s="122"/>
      <c r="P751" s="122"/>
      <c r="Q751" s="122"/>
    </row>
    <row r="752" spans="2:17" ht="14.25" customHeight="1" x14ac:dyDescent="0.3">
      <c r="B752" s="23"/>
      <c r="D752" s="25"/>
      <c r="E752" s="25"/>
      <c r="M752" s="12"/>
      <c r="N752" s="122"/>
      <c r="O752" s="122"/>
      <c r="P752" s="122"/>
      <c r="Q752" s="122"/>
    </row>
    <row r="753" spans="2:17" ht="14.25" customHeight="1" x14ac:dyDescent="0.3">
      <c r="B753" s="23"/>
      <c r="D753" s="25"/>
      <c r="E753" s="25"/>
      <c r="M753" s="12"/>
      <c r="N753" s="122"/>
      <c r="O753" s="122"/>
      <c r="P753" s="122"/>
      <c r="Q753" s="122"/>
    </row>
    <row r="754" spans="2:17" ht="14.25" customHeight="1" x14ac:dyDescent="0.3">
      <c r="B754" s="23"/>
      <c r="D754" s="25"/>
      <c r="E754" s="25"/>
      <c r="M754" s="12"/>
      <c r="N754" s="122"/>
      <c r="O754" s="122"/>
      <c r="P754" s="122"/>
      <c r="Q754" s="122"/>
    </row>
    <row r="755" spans="2:17" ht="14.25" customHeight="1" x14ac:dyDescent="0.3">
      <c r="B755" s="23"/>
      <c r="D755" s="25"/>
      <c r="E755" s="25"/>
      <c r="M755" s="12"/>
      <c r="N755" s="122"/>
      <c r="O755" s="122"/>
      <c r="P755" s="122"/>
      <c r="Q755" s="122"/>
    </row>
    <row r="756" spans="2:17" ht="14.25" customHeight="1" x14ac:dyDescent="0.3">
      <c r="B756" s="23"/>
      <c r="D756" s="25"/>
      <c r="E756" s="25"/>
      <c r="M756" s="12"/>
      <c r="N756" s="122"/>
      <c r="O756" s="122"/>
      <c r="P756" s="122"/>
      <c r="Q756" s="122"/>
    </row>
    <row r="757" spans="2:17" ht="14.25" customHeight="1" x14ac:dyDescent="0.3">
      <c r="B757" s="23"/>
      <c r="D757" s="25"/>
      <c r="E757" s="25"/>
      <c r="M757" s="12"/>
      <c r="N757" s="122"/>
      <c r="O757" s="122"/>
      <c r="P757" s="122"/>
      <c r="Q757" s="122"/>
    </row>
    <row r="758" spans="2:17" ht="14.25" customHeight="1" x14ac:dyDescent="0.3">
      <c r="B758" s="23"/>
      <c r="D758" s="25"/>
      <c r="E758" s="25"/>
      <c r="M758" s="12"/>
      <c r="N758" s="122"/>
      <c r="O758" s="122"/>
      <c r="P758" s="122"/>
      <c r="Q758" s="122"/>
    </row>
    <row r="759" spans="2:17" ht="14.25" customHeight="1" x14ac:dyDescent="0.3">
      <c r="B759" s="23"/>
      <c r="D759" s="25"/>
      <c r="E759" s="25"/>
      <c r="M759" s="12"/>
      <c r="N759" s="122"/>
      <c r="O759" s="122"/>
      <c r="P759" s="122"/>
      <c r="Q759" s="122"/>
    </row>
    <row r="760" spans="2:17" ht="14.25" customHeight="1" x14ac:dyDescent="0.3">
      <c r="B760" s="23"/>
      <c r="D760" s="25"/>
      <c r="E760" s="25"/>
      <c r="M760" s="12"/>
      <c r="N760" s="122"/>
      <c r="O760" s="122"/>
      <c r="P760" s="122"/>
      <c r="Q760" s="122"/>
    </row>
    <row r="761" spans="2:17" ht="14.25" customHeight="1" x14ac:dyDescent="0.3">
      <c r="B761" s="23"/>
      <c r="D761" s="25"/>
      <c r="E761" s="25"/>
      <c r="M761" s="12"/>
      <c r="N761" s="122"/>
      <c r="O761" s="122"/>
      <c r="P761" s="122"/>
      <c r="Q761" s="122"/>
    </row>
    <row r="762" spans="2:17" ht="14.25" customHeight="1" x14ac:dyDescent="0.3">
      <c r="B762" s="23"/>
      <c r="D762" s="25"/>
      <c r="E762" s="25"/>
      <c r="M762" s="12"/>
      <c r="N762" s="122"/>
      <c r="O762" s="122"/>
      <c r="P762" s="122"/>
      <c r="Q762" s="122"/>
    </row>
    <row r="763" spans="2:17" ht="14.25" customHeight="1" x14ac:dyDescent="0.3">
      <c r="B763" s="23"/>
      <c r="D763" s="25"/>
      <c r="E763" s="25"/>
      <c r="M763" s="12"/>
      <c r="N763" s="122"/>
      <c r="O763" s="122"/>
      <c r="P763" s="122"/>
      <c r="Q763" s="122"/>
    </row>
    <row r="764" spans="2:17" ht="14.25" customHeight="1" x14ac:dyDescent="0.3">
      <c r="B764" s="23"/>
      <c r="D764" s="25"/>
      <c r="E764" s="25"/>
      <c r="M764" s="12"/>
      <c r="N764" s="122"/>
      <c r="O764" s="122"/>
      <c r="P764" s="122"/>
      <c r="Q764" s="122"/>
    </row>
    <row r="765" spans="2:17" ht="14.25" customHeight="1" x14ac:dyDescent="0.3">
      <c r="B765" s="23"/>
      <c r="D765" s="25"/>
      <c r="E765" s="25"/>
      <c r="M765" s="12"/>
      <c r="N765" s="122"/>
      <c r="O765" s="122"/>
      <c r="P765" s="122"/>
      <c r="Q765" s="122"/>
    </row>
    <row r="766" spans="2:17" ht="14.25" customHeight="1" x14ac:dyDescent="0.3">
      <c r="B766" s="23"/>
      <c r="D766" s="25"/>
      <c r="E766" s="25"/>
      <c r="M766" s="12"/>
      <c r="N766" s="122"/>
      <c r="O766" s="122"/>
      <c r="P766" s="122"/>
      <c r="Q766" s="122"/>
    </row>
    <row r="767" spans="2:17" ht="14.25" customHeight="1" x14ac:dyDescent="0.3">
      <c r="B767" s="23"/>
      <c r="D767" s="25"/>
      <c r="E767" s="25"/>
      <c r="M767" s="12"/>
      <c r="N767" s="122"/>
      <c r="O767" s="122"/>
      <c r="P767" s="122"/>
      <c r="Q767" s="122"/>
    </row>
    <row r="768" spans="2:17" ht="14.25" customHeight="1" x14ac:dyDescent="0.3">
      <c r="B768" s="23"/>
      <c r="D768" s="25"/>
      <c r="E768" s="25"/>
      <c r="M768" s="12"/>
      <c r="N768" s="122"/>
      <c r="O768" s="122"/>
      <c r="P768" s="122"/>
      <c r="Q768" s="122"/>
    </row>
    <row r="769" spans="2:17" ht="14.25" customHeight="1" x14ac:dyDescent="0.3">
      <c r="B769" s="23"/>
      <c r="D769" s="25"/>
      <c r="E769" s="25"/>
      <c r="M769" s="12"/>
      <c r="N769" s="122"/>
      <c r="O769" s="122"/>
      <c r="P769" s="122"/>
      <c r="Q769" s="122"/>
    </row>
    <row r="770" spans="2:17" ht="14.25" customHeight="1" x14ac:dyDescent="0.3">
      <c r="B770" s="23"/>
      <c r="D770" s="25"/>
      <c r="E770" s="25"/>
      <c r="M770" s="12"/>
      <c r="N770" s="122"/>
      <c r="O770" s="122"/>
      <c r="P770" s="122"/>
      <c r="Q770" s="122"/>
    </row>
    <row r="771" spans="2:17" ht="14.25" customHeight="1" x14ac:dyDescent="0.3">
      <c r="B771" s="23"/>
      <c r="D771" s="25"/>
      <c r="E771" s="25"/>
      <c r="M771" s="12"/>
      <c r="N771" s="122"/>
      <c r="O771" s="122"/>
      <c r="P771" s="122"/>
      <c r="Q771" s="122"/>
    </row>
    <row r="772" spans="2:17" ht="14.25" customHeight="1" x14ac:dyDescent="0.3">
      <c r="B772" s="23"/>
      <c r="D772" s="25"/>
      <c r="E772" s="25"/>
      <c r="M772" s="12"/>
      <c r="N772" s="122"/>
      <c r="O772" s="122"/>
      <c r="P772" s="122"/>
      <c r="Q772" s="122"/>
    </row>
    <row r="773" spans="2:17" ht="14.25" customHeight="1" x14ac:dyDescent="0.3">
      <c r="B773" s="23"/>
      <c r="D773" s="25"/>
      <c r="E773" s="25"/>
      <c r="M773" s="12"/>
      <c r="N773" s="122"/>
      <c r="O773" s="122"/>
      <c r="P773" s="122"/>
      <c r="Q773" s="122"/>
    </row>
    <row r="774" spans="2:17" ht="14.25" customHeight="1" x14ac:dyDescent="0.3">
      <c r="B774" s="23"/>
      <c r="D774" s="25"/>
      <c r="E774" s="25"/>
      <c r="M774" s="12"/>
      <c r="N774" s="122"/>
      <c r="O774" s="122"/>
      <c r="P774" s="122"/>
      <c r="Q774" s="122"/>
    </row>
    <row r="775" spans="2:17" ht="14.25" customHeight="1" x14ac:dyDescent="0.3">
      <c r="B775" s="23"/>
      <c r="D775" s="25"/>
      <c r="E775" s="25"/>
      <c r="M775" s="12"/>
      <c r="N775" s="122"/>
      <c r="O775" s="122"/>
      <c r="P775" s="122"/>
      <c r="Q775" s="122"/>
    </row>
    <row r="776" spans="2:17" ht="14.25" customHeight="1" x14ac:dyDescent="0.3">
      <c r="B776" s="23"/>
      <c r="D776" s="25"/>
      <c r="E776" s="25"/>
      <c r="M776" s="12"/>
      <c r="N776" s="122"/>
      <c r="O776" s="122"/>
      <c r="P776" s="122"/>
      <c r="Q776" s="122"/>
    </row>
    <row r="777" spans="2:17" ht="14.25" customHeight="1" x14ac:dyDescent="0.3">
      <c r="B777" s="23"/>
      <c r="D777" s="25"/>
      <c r="E777" s="25"/>
      <c r="M777" s="12"/>
      <c r="N777" s="122"/>
      <c r="O777" s="122"/>
      <c r="P777" s="122"/>
      <c r="Q777" s="122"/>
    </row>
    <row r="778" spans="2:17" ht="14.25" customHeight="1" x14ac:dyDescent="0.3">
      <c r="B778" s="23"/>
      <c r="D778" s="25"/>
      <c r="E778" s="25"/>
      <c r="M778" s="12"/>
      <c r="N778" s="122"/>
      <c r="O778" s="122"/>
      <c r="P778" s="122"/>
      <c r="Q778" s="122"/>
    </row>
    <row r="779" spans="2:17" ht="14.25" customHeight="1" x14ac:dyDescent="0.3">
      <c r="B779" s="23"/>
      <c r="D779" s="25"/>
      <c r="E779" s="25"/>
      <c r="M779" s="12"/>
      <c r="N779" s="122"/>
      <c r="O779" s="122"/>
      <c r="P779" s="122"/>
      <c r="Q779" s="122"/>
    </row>
    <row r="780" spans="2:17" ht="14.25" customHeight="1" x14ac:dyDescent="0.3">
      <c r="B780" s="23"/>
      <c r="D780" s="25"/>
      <c r="E780" s="25"/>
      <c r="M780" s="12"/>
      <c r="N780" s="122"/>
      <c r="O780" s="122"/>
      <c r="P780" s="122"/>
      <c r="Q780" s="122"/>
    </row>
    <row r="781" spans="2:17" ht="14.25" customHeight="1" x14ac:dyDescent="0.3">
      <c r="B781" s="23"/>
      <c r="D781" s="25"/>
      <c r="E781" s="25"/>
      <c r="M781" s="12"/>
      <c r="N781" s="122"/>
      <c r="O781" s="122"/>
      <c r="P781" s="122"/>
      <c r="Q781" s="122"/>
    </row>
    <row r="782" spans="2:17" ht="14.25" customHeight="1" x14ac:dyDescent="0.3">
      <c r="B782" s="23"/>
      <c r="D782" s="25"/>
      <c r="E782" s="25"/>
      <c r="M782" s="12"/>
      <c r="N782" s="122"/>
      <c r="O782" s="122"/>
      <c r="P782" s="122"/>
      <c r="Q782" s="122"/>
    </row>
    <row r="783" spans="2:17" ht="14.25" customHeight="1" x14ac:dyDescent="0.3">
      <c r="B783" s="23"/>
      <c r="D783" s="25"/>
      <c r="E783" s="25"/>
      <c r="M783" s="12"/>
      <c r="N783" s="122"/>
      <c r="O783" s="122"/>
      <c r="P783" s="122"/>
      <c r="Q783" s="122"/>
    </row>
    <row r="784" spans="2:17" ht="14.25" customHeight="1" x14ac:dyDescent="0.3">
      <c r="B784" s="23"/>
      <c r="D784" s="25"/>
      <c r="E784" s="25"/>
      <c r="M784" s="12"/>
      <c r="N784" s="122"/>
      <c r="O784" s="122"/>
      <c r="P784" s="122"/>
      <c r="Q784" s="122"/>
    </row>
    <row r="785" spans="2:17" ht="14.25" customHeight="1" x14ac:dyDescent="0.3">
      <c r="B785" s="23"/>
      <c r="D785" s="25"/>
      <c r="E785" s="25"/>
      <c r="M785" s="12"/>
      <c r="N785" s="122"/>
      <c r="O785" s="122"/>
      <c r="P785" s="122"/>
      <c r="Q785" s="122"/>
    </row>
    <row r="786" spans="2:17" ht="14.25" customHeight="1" x14ac:dyDescent="0.3">
      <c r="B786" s="23"/>
      <c r="D786" s="25"/>
      <c r="E786" s="25"/>
      <c r="M786" s="12"/>
      <c r="N786" s="122"/>
      <c r="O786" s="122"/>
      <c r="P786" s="122"/>
      <c r="Q786" s="122"/>
    </row>
    <row r="787" spans="2:17" ht="14.25" customHeight="1" x14ac:dyDescent="0.3">
      <c r="B787" s="23"/>
      <c r="D787" s="25"/>
      <c r="E787" s="25"/>
      <c r="M787" s="12"/>
      <c r="N787" s="122"/>
      <c r="O787" s="122"/>
      <c r="P787" s="122"/>
      <c r="Q787" s="122"/>
    </row>
    <row r="788" spans="2:17" ht="14.25" customHeight="1" x14ac:dyDescent="0.3">
      <c r="B788" s="23"/>
      <c r="D788" s="25"/>
      <c r="E788" s="25"/>
      <c r="M788" s="12"/>
      <c r="N788" s="122"/>
      <c r="O788" s="122"/>
      <c r="P788" s="122"/>
      <c r="Q788" s="122"/>
    </row>
    <row r="789" spans="2:17" ht="14.25" customHeight="1" x14ac:dyDescent="0.3">
      <c r="B789" s="23"/>
      <c r="D789" s="25"/>
      <c r="E789" s="25"/>
      <c r="M789" s="12"/>
      <c r="N789" s="122"/>
      <c r="O789" s="122"/>
      <c r="P789" s="122"/>
      <c r="Q789" s="122"/>
    </row>
    <row r="790" spans="2:17" ht="14.25" customHeight="1" x14ac:dyDescent="0.3">
      <c r="B790" s="23"/>
      <c r="D790" s="25"/>
      <c r="E790" s="25"/>
      <c r="M790" s="12"/>
      <c r="N790" s="122"/>
      <c r="O790" s="122"/>
      <c r="P790" s="122"/>
      <c r="Q790" s="122"/>
    </row>
    <row r="791" spans="2:17" ht="14.25" customHeight="1" x14ac:dyDescent="0.3">
      <c r="B791" s="23"/>
      <c r="D791" s="25"/>
      <c r="E791" s="25"/>
      <c r="M791" s="12"/>
      <c r="N791" s="122"/>
      <c r="O791" s="122"/>
      <c r="P791" s="122"/>
      <c r="Q791" s="122"/>
    </row>
    <row r="792" spans="2:17" ht="14.25" customHeight="1" x14ac:dyDescent="0.3">
      <c r="B792" s="23"/>
      <c r="D792" s="25"/>
      <c r="E792" s="25"/>
      <c r="M792" s="12"/>
      <c r="N792" s="122"/>
      <c r="O792" s="122"/>
      <c r="P792" s="122"/>
      <c r="Q792" s="122"/>
    </row>
    <row r="793" spans="2:17" ht="14.25" customHeight="1" x14ac:dyDescent="0.3">
      <c r="B793" s="23"/>
      <c r="D793" s="25"/>
      <c r="E793" s="25"/>
      <c r="M793" s="12"/>
      <c r="N793" s="122"/>
      <c r="O793" s="122"/>
      <c r="P793" s="122"/>
      <c r="Q793" s="122"/>
    </row>
    <row r="794" spans="2:17" ht="14.25" customHeight="1" x14ac:dyDescent="0.3">
      <c r="B794" s="23"/>
      <c r="D794" s="25"/>
      <c r="E794" s="25"/>
      <c r="M794" s="12"/>
      <c r="N794" s="122"/>
      <c r="O794" s="122"/>
      <c r="P794" s="122"/>
      <c r="Q794" s="122"/>
    </row>
    <row r="795" spans="2:17" ht="14.25" customHeight="1" x14ac:dyDescent="0.3">
      <c r="B795" s="23"/>
      <c r="D795" s="25"/>
      <c r="E795" s="25"/>
      <c r="M795" s="12"/>
      <c r="N795" s="122"/>
      <c r="O795" s="122"/>
      <c r="P795" s="122"/>
      <c r="Q795" s="122"/>
    </row>
    <row r="796" spans="2:17" ht="14.25" customHeight="1" x14ac:dyDescent="0.3">
      <c r="B796" s="23"/>
      <c r="D796" s="25"/>
      <c r="E796" s="25"/>
      <c r="M796" s="12"/>
      <c r="N796" s="122"/>
      <c r="O796" s="122"/>
      <c r="P796" s="122"/>
      <c r="Q796" s="122"/>
    </row>
    <row r="797" spans="2:17" ht="14.25" customHeight="1" x14ac:dyDescent="0.3">
      <c r="B797" s="23"/>
      <c r="D797" s="25"/>
      <c r="E797" s="25"/>
      <c r="M797" s="12"/>
      <c r="N797" s="122"/>
      <c r="O797" s="122"/>
      <c r="P797" s="122"/>
      <c r="Q797" s="122"/>
    </row>
    <row r="798" spans="2:17" ht="14.25" customHeight="1" x14ac:dyDescent="0.3">
      <c r="B798" s="23"/>
      <c r="D798" s="25"/>
      <c r="E798" s="25"/>
      <c r="M798" s="12"/>
      <c r="N798" s="122"/>
      <c r="O798" s="122"/>
      <c r="P798" s="122"/>
      <c r="Q798" s="122"/>
    </row>
    <row r="799" spans="2:17" ht="14.25" customHeight="1" x14ac:dyDescent="0.3">
      <c r="B799" s="23"/>
      <c r="D799" s="25"/>
      <c r="E799" s="25"/>
      <c r="M799" s="12"/>
      <c r="N799" s="122"/>
      <c r="O799" s="122"/>
      <c r="P799" s="122"/>
      <c r="Q799" s="122"/>
    </row>
    <row r="800" spans="2:17" ht="14.25" customHeight="1" x14ac:dyDescent="0.3">
      <c r="B800" s="23"/>
      <c r="D800" s="25"/>
      <c r="E800" s="25"/>
      <c r="M800" s="12"/>
      <c r="N800" s="122"/>
      <c r="O800" s="122"/>
      <c r="P800" s="122"/>
      <c r="Q800" s="122"/>
    </row>
    <row r="801" spans="2:17" ht="14.25" customHeight="1" x14ac:dyDescent="0.3">
      <c r="B801" s="23"/>
      <c r="D801" s="25"/>
      <c r="E801" s="25"/>
      <c r="M801" s="12"/>
      <c r="N801" s="122"/>
      <c r="O801" s="122"/>
      <c r="P801" s="122"/>
      <c r="Q801" s="122"/>
    </row>
    <row r="802" spans="2:17" ht="14.25" customHeight="1" x14ac:dyDescent="0.3">
      <c r="B802" s="23"/>
      <c r="D802" s="25"/>
      <c r="E802" s="25"/>
      <c r="M802" s="12"/>
      <c r="N802" s="122"/>
      <c r="O802" s="122"/>
      <c r="P802" s="122"/>
      <c r="Q802" s="122"/>
    </row>
    <row r="803" spans="2:17" ht="14.25" customHeight="1" x14ac:dyDescent="0.3">
      <c r="B803" s="23"/>
      <c r="D803" s="25"/>
      <c r="E803" s="25"/>
      <c r="M803" s="12"/>
      <c r="N803" s="122"/>
      <c r="O803" s="122"/>
      <c r="P803" s="122"/>
      <c r="Q803" s="122"/>
    </row>
    <row r="804" spans="2:17" ht="14.25" customHeight="1" x14ac:dyDescent="0.3">
      <c r="B804" s="23"/>
      <c r="D804" s="25"/>
      <c r="E804" s="25"/>
      <c r="M804" s="12"/>
      <c r="N804" s="122"/>
      <c r="O804" s="122"/>
      <c r="P804" s="122"/>
      <c r="Q804" s="122"/>
    </row>
    <row r="805" spans="2:17" ht="14.25" customHeight="1" x14ac:dyDescent="0.3">
      <c r="B805" s="23"/>
      <c r="D805" s="25"/>
      <c r="E805" s="25"/>
      <c r="M805" s="12"/>
      <c r="N805" s="122"/>
      <c r="O805" s="122"/>
      <c r="P805" s="122"/>
      <c r="Q805" s="122"/>
    </row>
    <row r="806" spans="2:17" ht="14.25" customHeight="1" x14ac:dyDescent="0.3">
      <c r="B806" s="23"/>
      <c r="D806" s="25"/>
      <c r="E806" s="25"/>
      <c r="M806" s="12"/>
      <c r="N806" s="122"/>
      <c r="O806" s="122"/>
      <c r="P806" s="122"/>
      <c r="Q806" s="122"/>
    </row>
    <row r="807" spans="2:17" ht="14.25" customHeight="1" x14ac:dyDescent="0.3">
      <c r="B807" s="23"/>
      <c r="D807" s="25"/>
      <c r="E807" s="25"/>
      <c r="M807" s="12"/>
      <c r="N807" s="122"/>
      <c r="O807" s="122"/>
      <c r="P807" s="122"/>
      <c r="Q807" s="122"/>
    </row>
    <row r="808" spans="2:17" ht="14.25" customHeight="1" x14ac:dyDescent="0.3">
      <c r="B808" s="23"/>
      <c r="D808" s="25"/>
      <c r="E808" s="25"/>
      <c r="M808" s="12"/>
      <c r="N808" s="122"/>
      <c r="O808" s="122"/>
      <c r="P808" s="122"/>
      <c r="Q808" s="122"/>
    </row>
    <row r="809" spans="2:17" ht="14.25" customHeight="1" x14ac:dyDescent="0.3">
      <c r="B809" s="23"/>
      <c r="D809" s="25"/>
      <c r="E809" s="25"/>
      <c r="M809" s="12"/>
      <c r="N809" s="122"/>
      <c r="O809" s="122"/>
      <c r="P809" s="122"/>
      <c r="Q809" s="122"/>
    </row>
    <row r="810" spans="2:17" ht="14.25" customHeight="1" x14ac:dyDescent="0.3">
      <c r="B810" s="23"/>
      <c r="D810" s="25"/>
      <c r="E810" s="25"/>
      <c r="M810" s="12"/>
      <c r="N810" s="122"/>
      <c r="O810" s="122"/>
      <c r="P810" s="122"/>
      <c r="Q810" s="122"/>
    </row>
    <row r="811" spans="2:17" ht="14.25" customHeight="1" x14ac:dyDescent="0.3">
      <c r="B811" s="23"/>
      <c r="D811" s="25"/>
      <c r="E811" s="25"/>
      <c r="M811" s="12"/>
      <c r="N811" s="122"/>
      <c r="O811" s="122"/>
      <c r="P811" s="122"/>
      <c r="Q811" s="122"/>
    </row>
    <row r="812" spans="2:17" ht="14.25" customHeight="1" x14ac:dyDescent="0.3">
      <c r="B812" s="23"/>
      <c r="D812" s="25"/>
      <c r="E812" s="25"/>
      <c r="M812" s="12"/>
      <c r="N812" s="122"/>
      <c r="O812" s="122"/>
      <c r="P812" s="122"/>
      <c r="Q812" s="122"/>
    </row>
    <row r="813" spans="2:17" ht="14.25" customHeight="1" x14ac:dyDescent="0.3">
      <c r="B813" s="23"/>
      <c r="D813" s="25"/>
      <c r="E813" s="25"/>
      <c r="M813" s="12"/>
      <c r="N813" s="122"/>
      <c r="O813" s="122"/>
      <c r="P813" s="122"/>
      <c r="Q813" s="122"/>
    </row>
    <row r="814" spans="2:17" ht="14.25" customHeight="1" x14ac:dyDescent="0.3">
      <c r="B814" s="23"/>
      <c r="D814" s="25"/>
      <c r="E814" s="25"/>
      <c r="M814" s="12"/>
      <c r="N814" s="122"/>
      <c r="O814" s="122"/>
      <c r="P814" s="122"/>
      <c r="Q814" s="122"/>
    </row>
    <row r="815" spans="2:17" ht="14.25" customHeight="1" x14ac:dyDescent="0.3">
      <c r="B815" s="23"/>
      <c r="D815" s="25"/>
      <c r="E815" s="25"/>
      <c r="M815" s="12"/>
      <c r="N815" s="122"/>
      <c r="O815" s="122"/>
      <c r="P815" s="122"/>
      <c r="Q815" s="122"/>
    </row>
    <row r="816" spans="2:17" ht="14.25" customHeight="1" x14ac:dyDescent="0.3">
      <c r="B816" s="23"/>
      <c r="D816" s="25"/>
      <c r="E816" s="25"/>
      <c r="M816" s="12"/>
      <c r="N816" s="122"/>
      <c r="O816" s="122"/>
      <c r="P816" s="122"/>
      <c r="Q816" s="122"/>
    </row>
    <row r="817" spans="2:17" ht="14.25" customHeight="1" x14ac:dyDescent="0.3">
      <c r="B817" s="23"/>
      <c r="D817" s="25"/>
      <c r="E817" s="25"/>
      <c r="M817" s="12"/>
      <c r="N817" s="122"/>
      <c r="O817" s="122"/>
      <c r="P817" s="122"/>
      <c r="Q817" s="122"/>
    </row>
    <row r="818" spans="2:17" ht="14.25" customHeight="1" x14ac:dyDescent="0.3">
      <c r="B818" s="23"/>
      <c r="D818" s="25"/>
      <c r="E818" s="25"/>
      <c r="M818" s="12"/>
      <c r="N818" s="122"/>
      <c r="O818" s="122"/>
      <c r="P818" s="122"/>
      <c r="Q818" s="122"/>
    </row>
    <row r="819" spans="2:17" ht="14.25" customHeight="1" x14ac:dyDescent="0.3">
      <c r="B819" s="23"/>
      <c r="D819" s="25"/>
      <c r="E819" s="25"/>
      <c r="M819" s="12"/>
      <c r="N819" s="122"/>
      <c r="O819" s="122"/>
      <c r="P819" s="122"/>
      <c r="Q819" s="122"/>
    </row>
    <row r="820" spans="2:17" ht="14.25" customHeight="1" x14ac:dyDescent="0.3">
      <c r="B820" s="23"/>
      <c r="D820" s="25"/>
      <c r="E820" s="25"/>
      <c r="M820" s="12"/>
      <c r="N820" s="122"/>
      <c r="O820" s="122"/>
      <c r="P820" s="122"/>
      <c r="Q820" s="122"/>
    </row>
    <row r="821" spans="2:17" ht="14.25" customHeight="1" x14ac:dyDescent="0.3">
      <c r="B821" s="23"/>
      <c r="D821" s="25"/>
      <c r="E821" s="25"/>
      <c r="M821" s="12"/>
      <c r="N821" s="122"/>
      <c r="O821" s="122"/>
      <c r="P821" s="122"/>
      <c r="Q821" s="122"/>
    </row>
    <row r="822" spans="2:17" ht="14.25" customHeight="1" x14ac:dyDescent="0.3">
      <c r="B822" s="23"/>
      <c r="D822" s="25"/>
      <c r="E822" s="25"/>
      <c r="M822" s="12"/>
      <c r="N822" s="122"/>
      <c r="O822" s="122"/>
      <c r="P822" s="122"/>
      <c r="Q822" s="122"/>
    </row>
    <row r="823" spans="2:17" ht="14.25" customHeight="1" x14ac:dyDescent="0.3">
      <c r="B823" s="23"/>
      <c r="D823" s="25"/>
      <c r="E823" s="25"/>
      <c r="M823" s="12"/>
      <c r="N823" s="122"/>
      <c r="O823" s="122"/>
      <c r="P823" s="122"/>
      <c r="Q823" s="122"/>
    </row>
    <row r="824" spans="2:17" ht="14.25" customHeight="1" x14ac:dyDescent="0.3">
      <c r="B824" s="23"/>
      <c r="D824" s="25"/>
      <c r="E824" s="25"/>
      <c r="M824" s="12"/>
      <c r="N824" s="122"/>
      <c r="O824" s="122"/>
      <c r="P824" s="122"/>
      <c r="Q824" s="122"/>
    </row>
    <row r="825" spans="2:17" ht="14.25" customHeight="1" x14ac:dyDescent="0.3">
      <c r="B825" s="23"/>
      <c r="D825" s="25"/>
      <c r="E825" s="25"/>
      <c r="M825" s="12"/>
      <c r="N825" s="122"/>
      <c r="O825" s="122"/>
      <c r="P825" s="122"/>
      <c r="Q825" s="122"/>
    </row>
    <row r="826" spans="2:17" ht="14.25" customHeight="1" x14ac:dyDescent="0.3">
      <c r="B826" s="23"/>
      <c r="D826" s="25"/>
      <c r="E826" s="25"/>
      <c r="M826" s="12"/>
      <c r="N826" s="122"/>
      <c r="O826" s="122"/>
      <c r="P826" s="122"/>
      <c r="Q826" s="122"/>
    </row>
    <row r="827" spans="2:17" ht="14.25" customHeight="1" x14ac:dyDescent="0.3">
      <c r="B827" s="23"/>
      <c r="D827" s="25"/>
      <c r="E827" s="25"/>
      <c r="M827" s="12"/>
      <c r="N827" s="122"/>
      <c r="O827" s="122"/>
      <c r="P827" s="122"/>
      <c r="Q827" s="122"/>
    </row>
    <row r="828" spans="2:17" ht="14.25" customHeight="1" x14ac:dyDescent="0.3">
      <c r="B828" s="23"/>
      <c r="D828" s="25"/>
      <c r="E828" s="25"/>
      <c r="M828" s="12"/>
      <c r="N828" s="122"/>
      <c r="O828" s="122"/>
      <c r="P828" s="122"/>
      <c r="Q828" s="122"/>
    </row>
    <row r="829" spans="2:17" ht="14.25" customHeight="1" x14ac:dyDescent="0.3">
      <c r="B829" s="23"/>
      <c r="D829" s="25"/>
      <c r="E829" s="25"/>
      <c r="M829" s="12"/>
      <c r="N829" s="122"/>
      <c r="O829" s="122"/>
      <c r="P829" s="122"/>
      <c r="Q829" s="122"/>
    </row>
    <row r="830" spans="2:17" ht="14.25" customHeight="1" x14ac:dyDescent="0.3">
      <c r="B830" s="23"/>
      <c r="D830" s="25"/>
      <c r="E830" s="25"/>
      <c r="M830" s="12"/>
      <c r="N830" s="122"/>
      <c r="O830" s="122"/>
      <c r="P830" s="122"/>
      <c r="Q830" s="122"/>
    </row>
    <row r="831" spans="2:17" ht="14.25" customHeight="1" x14ac:dyDescent="0.3">
      <c r="B831" s="23"/>
      <c r="D831" s="25"/>
      <c r="E831" s="25"/>
      <c r="M831" s="12"/>
      <c r="N831" s="122"/>
      <c r="O831" s="122"/>
      <c r="P831" s="122"/>
      <c r="Q831" s="122"/>
    </row>
    <row r="832" spans="2:17" ht="14.25" customHeight="1" x14ac:dyDescent="0.3">
      <c r="B832" s="23"/>
      <c r="D832" s="25"/>
      <c r="E832" s="25"/>
      <c r="M832" s="12"/>
      <c r="N832" s="122"/>
      <c r="O832" s="122"/>
      <c r="P832" s="122"/>
      <c r="Q832" s="122"/>
    </row>
    <row r="833" spans="2:17" ht="14.25" customHeight="1" x14ac:dyDescent="0.3">
      <c r="B833" s="23"/>
      <c r="D833" s="25"/>
      <c r="E833" s="25"/>
      <c r="M833" s="12"/>
      <c r="N833" s="122"/>
      <c r="O833" s="122"/>
      <c r="P833" s="122"/>
      <c r="Q833" s="122"/>
    </row>
    <row r="834" spans="2:17" ht="14.25" customHeight="1" x14ac:dyDescent="0.3">
      <c r="B834" s="23"/>
      <c r="D834" s="25"/>
      <c r="E834" s="25"/>
      <c r="M834" s="12"/>
      <c r="N834" s="122"/>
      <c r="O834" s="122"/>
      <c r="P834" s="122"/>
      <c r="Q834" s="122"/>
    </row>
    <row r="835" spans="2:17" ht="14.25" customHeight="1" x14ac:dyDescent="0.3">
      <c r="B835" s="23"/>
      <c r="D835" s="25"/>
      <c r="E835" s="25"/>
      <c r="M835" s="12"/>
      <c r="N835" s="122"/>
      <c r="O835" s="122"/>
      <c r="P835" s="122"/>
      <c r="Q835" s="122"/>
    </row>
    <row r="836" spans="2:17" ht="14.25" customHeight="1" x14ac:dyDescent="0.3">
      <c r="B836" s="23"/>
      <c r="D836" s="25"/>
      <c r="E836" s="25"/>
      <c r="M836" s="12"/>
      <c r="N836" s="122"/>
      <c r="O836" s="122"/>
      <c r="P836" s="122"/>
      <c r="Q836" s="122"/>
    </row>
    <row r="837" spans="2:17" ht="14.25" customHeight="1" x14ac:dyDescent="0.3">
      <c r="B837" s="23"/>
      <c r="D837" s="25"/>
      <c r="E837" s="25"/>
      <c r="M837" s="12"/>
      <c r="N837" s="122"/>
      <c r="O837" s="122"/>
      <c r="P837" s="122"/>
      <c r="Q837" s="122"/>
    </row>
    <row r="838" spans="2:17" ht="14.25" customHeight="1" x14ac:dyDescent="0.3">
      <c r="B838" s="23"/>
      <c r="D838" s="25"/>
      <c r="E838" s="25"/>
      <c r="M838" s="12"/>
      <c r="N838" s="122"/>
      <c r="O838" s="122"/>
      <c r="P838" s="122"/>
      <c r="Q838" s="122"/>
    </row>
    <row r="839" spans="2:17" ht="14.25" customHeight="1" x14ac:dyDescent="0.3">
      <c r="B839" s="23"/>
      <c r="D839" s="25"/>
      <c r="E839" s="25"/>
      <c r="M839" s="12"/>
      <c r="N839" s="122"/>
      <c r="O839" s="122"/>
      <c r="P839" s="122"/>
      <c r="Q839" s="122"/>
    </row>
    <row r="840" spans="2:17" ht="14.25" customHeight="1" x14ac:dyDescent="0.3">
      <c r="B840" s="23"/>
      <c r="D840" s="25"/>
      <c r="E840" s="25"/>
      <c r="M840" s="12"/>
      <c r="N840" s="122"/>
      <c r="O840" s="122"/>
      <c r="P840" s="122"/>
      <c r="Q840" s="122"/>
    </row>
    <row r="841" spans="2:17" ht="14.25" customHeight="1" x14ac:dyDescent="0.3">
      <c r="B841" s="23"/>
      <c r="D841" s="25"/>
      <c r="E841" s="25"/>
      <c r="M841" s="12"/>
      <c r="N841" s="122"/>
      <c r="O841" s="122"/>
      <c r="P841" s="122"/>
      <c r="Q841" s="122"/>
    </row>
    <row r="842" spans="2:17" ht="14.25" customHeight="1" x14ac:dyDescent="0.3">
      <c r="B842" s="23"/>
      <c r="D842" s="25"/>
      <c r="E842" s="25"/>
      <c r="M842" s="12"/>
      <c r="N842" s="122"/>
      <c r="O842" s="122"/>
      <c r="P842" s="122"/>
      <c r="Q842" s="122"/>
    </row>
    <row r="843" spans="2:17" ht="14.25" customHeight="1" x14ac:dyDescent="0.3">
      <c r="B843" s="23"/>
      <c r="D843" s="25"/>
      <c r="E843" s="25"/>
      <c r="M843" s="12"/>
      <c r="N843" s="122"/>
      <c r="O843" s="122"/>
      <c r="P843" s="122"/>
      <c r="Q843" s="122"/>
    </row>
    <row r="844" spans="2:17" ht="14.25" customHeight="1" x14ac:dyDescent="0.3">
      <c r="B844" s="23"/>
      <c r="D844" s="25"/>
      <c r="E844" s="25"/>
      <c r="M844" s="12"/>
      <c r="N844" s="122"/>
      <c r="O844" s="122"/>
      <c r="P844" s="122"/>
      <c r="Q844" s="122"/>
    </row>
    <row r="845" spans="2:17" ht="14.25" customHeight="1" x14ac:dyDescent="0.3">
      <c r="B845" s="23"/>
      <c r="D845" s="25"/>
      <c r="E845" s="25"/>
      <c r="M845" s="12"/>
      <c r="N845" s="122"/>
      <c r="O845" s="122"/>
      <c r="P845" s="122"/>
      <c r="Q845" s="122"/>
    </row>
    <row r="846" spans="2:17" ht="14.25" customHeight="1" x14ac:dyDescent="0.3">
      <c r="B846" s="23"/>
      <c r="D846" s="25"/>
      <c r="E846" s="25"/>
      <c r="M846" s="12"/>
      <c r="N846" s="122"/>
      <c r="O846" s="122"/>
      <c r="P846" s="122"/>
      <c r="Q846" s="122"/>
    </row>
    <row r="847" spans="2:17" ht="14.25" customHeight="1" x14ac:dyDescent="0.3">
      <c r="B847" s="23"/>
      <c r="D847" s="25"/>
      <c r="E847" s="25"/>
      <c r="M847" s="12"/>
      <c r="N847" s="122"/>
      <c r="O847" s="122"/>
      <c r="P847" s="122"/>
      <c r="Q847" s="122"/>
    </row>
    <row r="848" spans="2:17" ht="14.25" customHeight="1" x14ac:dyDescent="0.3">
      <c r="B848" s="23"/>
      <c r="D848" s="25"/>
      <c r="E848" s="25"/>
      <c r="M848" s="12"/>
      <c r="N848" s="122"/>
      <c r="O848" s="122"/>
      <c r="P848" s="122"/>
      <c r="Q848" s="122"/>
    </row>
    <row r="849" spans="2:17" ht="14.25" customHeight="1" x14ac:dyDescent="0.3">
      <c r="B849" s="23"/>
      <c r="D849" s="25"/>
      <c r="E849" s="25"/>
      <c r="M849" s="12"/>
      <c r="N849" s="122"/>
      <c r="O849" s="122"/>
      <c r="P849" s="122"/>
      <c r="Q849" s="122"/>
    </row>
    <row r="850" spans="2:17" ht="14.25" customHeight="1" x14ac:dyDescent="0.3">
      <c r="B850" s="23"/>
      <c r="D850" s="25"/>
      <c r="E850" s="25"/>
      <c r="M850" s="12"/>
      <c r="N850" s="122"/>
      <c r="O850" s="122"/>
      <c r="P850" s="122"/>
      <c r="Q850" s="122"/>
    </row>
    <row r="851" spans="2:17" ht="14.25" customHeight="1" x14ac:dyDescent="0.3">
      <c r="B851" s="23"/>
      <c r="D851" s="25"/>
      <c r="E851" s="25"/>
      <c r="M851" s="12"/>
      <c r="N851" s="122"/>
      <c r="O851" s="122"/>
      <c r="P851" s="122"/>
      <c r="Q851" s="122"/>
    </row>
    <row r="852" spans="2:17" ht="14.25" customHeight="1" x14ac:dyDescent="0.3">
      <c r="B852" s="23"/>
      <c r="D852" s="25"/>
      <c r="E852" s="25"/>
      <c r="M852" s="12"/>
      <c r="N852" s="122"/>
      <c r="O852" s="122"/>
      <c r="P852" s="122"/>
      <c r="Q852" s="122"/>
    </row>
    <row r="853" spans="2:17" ht="14.25" customHeight="1" x14ac:dyDescent="0.3">
      <c r="B853" s="23"/>
      <c r="D853" s="25"/>
      <c r="E853" s="25"/>
      <c r="M853" s="12"/>
      <c r="N853" s="122"/>
      <c r="O853" s="122"/>
      <c r="P853" s="122"/>
      <c r="Q853" s="122"/>
    </row>
    <row r="854" spans="2:17" ht="14.25" customHeight="1" x14ac:dyDescent="0.3">
      <c r="B854" s="23"/>
      <c r="D854" s="25"/>
      <c r="E854" s="25"/>
      <c r="M854" s="12"/>
      <c r="N854" s="122"/>
      <c r="O854" s="122"/>
      <c r="P854" s="122"/>
      <c r="Q854" s="122"/>
    </row>
    <row r="855" spans="2:17" ht="14.25" customHeight="1" x14ac:dyDescent="0.3">
      <c r="B855" s="23"/>
      <c r="D855" s="25"/>
      <c r="E855" s="25"/>
      <c r="M855" s="12"/>
      <c r="N855" s="122"/>
      <c r="O855" s="122"/>
      <c r="P855" s="122"/>
      <c r="Q855" s="122"/>
    </row>
    <row r="856" spans="2:17" ht="14.25" customHeight="1" x14ac:dyDescent="0.3">
      <c r="B856" s="23"/>
      <c r="D856" s="25"/>
      <c r="E856" s="25"/>
      <c r="M856" s="12"/>
      <c r="N856" s="122"/>
      <c r="O856" s="122"/>
      <c r="P856" s="122"/>
      <c r="Q856" s="122"/>
    </row>
    <row r="857" spans="2:17" ht="14.25" customHeight="1" x14ac:dyDescent="0.3">
      <c r="B857" s="23"/>
      <c r="D857" s="25"/>
      <c r="E857" s="25"/>
      <c r="M857" s="12"/>
      <c r="N857" s="122"/>
      <c r="O857" s="122"/>
      <c r="P857" s="122"/>
      <c r="Q857" s="122"/>
    </row>
    <row r="858" spans="2:17" ht="14.25" customHeight="1" x14ac:dyDescent="0.3">
      <c r="B858" s="23"/>
      <c r="D858" s="25"/>
      <c r="E858" s="25"/>
      <c r="M858" s="12"/>
      <c r="N858" s="122"/>
      <c r="O858" s="122"/>
      <c r="P858" s="122"/>
      <c r="Q858" s="122"/>
    </row>
    <row r="859" spans="2:17" ht="14.25" customHeight="1" x14ac:dyDescent="0.3">
      <c r="B859" s="23"/>
      <c r="D859" s="25"/>
      <c r="E859" s="25"/>
      <c r="M859" s="12"/>
      <c r="N859" s="122"/>
      <c r="O859" s="122"/>
      <c r="P859" s="122"/>
      <c r="Q859" s="122"/>
    </row>
    <row r="860" spans="2:17" ht="14.25" customHeight="1" x14ac:dyDescent="0.3">
      <c r="B860" s="23"/>
      <c r="D860" s="25"/>
      <c r="E860" s="25"/>
      <c r="M860" s="12"/>
      <c r="N860" s="122"/>
      <c r="O860" s="122"/>
      <c r="P860" s="122"/>
      <c r="Q860" s="122"/>
    </row>
    <row r="861" spans="2:17" ht="14.25" customHeight="1" x14ac:dyDescent="0.3">
      <c r="B861" s="23"/>
      <c r="D861" s="25"/>
      <c r="E861" s="25"/>
      <c r="M861" s="12"/>
      <c r="N861" s="122"/>
      <c r="O861" s="122"/>
      <c r="P861" s="122"/>
      <c r="Q861" s="122"/>
    </row>
    <row r="862" spans="2:17" ht="14.25" customHeight="1" x14ac:dyDescent="0.3">
      <c r="B862" s="23"/>
      <c r="D862" s="25"/>
      <c r="E862" s="25"/>
      <c r="M862" s="12"/>
      <c r="N862" s="122"/>
      <c r="O862" s="122"/>
      <c r="P862" s="122"/>
      <c r="Q862" s="122"/>
    </row>
    <row r="863" spans="2:17" ht="14.25" customHeight="1" x14ac:dyDescent="0.3">
      <c r="B863" s="23"/>
      <c r="D863" s="25"/>
      <c r="E863" s="25"/>
      <c r="M863" s="12"/>
      <c r="N863" s="122"/>
      <c r="O863" s="122"/>
      <c r="P863" s="122"/>
      <c r="Q863" s="122"/>
    </row>
    <row r="864" spans="2:17" ht="14.25" customHeight="1" x14ac:dyDescent="0.3">
      <c r="B864" s="23"/>
      <c r="D864" s="25"/>
      <c r="E864" s="25"/>
      <c r="M864" s="12"/>
      <c r="N864" s="122"/>
      <c r="O864" s="122"/>
      <c r="P864" s="122"/>
      <c r="Q864" s="122"/>
    </row>
    <row r="865" spans="2:17" ht="14.25" customHeight="1" x14ac:dyDescent="0.3">
      <c r="B865" s="23"/>
      <c r="D865" s="25"/>
      <c r="E865" s="25"/>
      <c r="M865" s="12"/>
      <c r="N865" s="122"/>
      <c r="O865" s="122"/>
      <c r="P865" s="122"/>
      <c r="Q865" s="122"/>
    </row>
    <row r="866" spans="2:17" ht="14.25" customHeight="1" x14ac:dyDescent="0.3">
      <c r="B866" s="23"/>
      <c r="D866" s="25"/>
      <c r="E866" s="25"/>
      <c r="M866" s="12"/>
      <c r="N866" s="122"/>
      <c r="O866" s="122"/>
      <c r="P866" s="122"/>
      <c r="Q866" s="122"/>
    </row>
    <row r="867" spans="2:17" ht="14.25" customHeight="1" x14ac:dyDescent="0.3">
      <c r="B867" s="23"/>
      <c r="D867" s="25"/>
      <c r="E867" s="25"/>
      <c r="M867" s="12"/>
      <c r="N867" s="122"/>
      <c r="O867" s="122"/>
      <c r="P867" s="122"/>
      <c r="Q867" s="122"/>
    </row>
    <row r="868" spans="2:17" ht="14.25" customHeight="1" x14ac:dyDescent="0.3">
      <c r="B868" s="23"/>
      <c r="D868" s="25"/>
      <c r="E868" s="25"/>
      <c r="M868" s="12"/>
      <c r="N868" s="122"/>
      <c r="O868" s="122"/>
      <c r="P868" s="122"/>
      <c r="Q868" s="122"/>
    </row>
    <row r="869" spans="2:17" ht="14.25" customHeight="1" x14ac:dyDescent="0.3">
      <c r="B869" s="23"/>
      <c r="D869" s="25"/>
      <c r="E869" s="25"/>
      <c r="M869" s="12"/>
      <c r="N869" s="122"/>
      <c r="O869" s="122"/>
      <c r="P869" s="122"/>
      <c r="Q869" s="122"/>
    </row>
    <row r="870" spans="2:17" ht="14.25" customHeight="1" x14ac:dyDescent="0.3">
      <c r="B870" s="23"/>
      <c r="D870" s="25"/>
      <c r="E870" s="25"/>
      <c r="M870" s="12"/>
      <c r="N870" s="122"/>
      <c r="O870" s="122"/>
      <c r="P870" s="122"/>
      <c r="Q870" s="122"/>
    </row>
    <row r="871" spans="2:17" ht="14.25" customHeight="1" x14ac:dyDescent="0.3">
      <c r="B871" s="23"/>
      <c r="D871" s="25"/>
      <c r="E871" s="25"/>
      <c r="M871" s="12"/>
      <c r="N871" s="122"/>
      <c r="O871" s="122"/>
      <c r="P871" s="122"/>
      <c r="Q871" s="122"/>
    </row>
    <row r="872" spans="2:17" ht="14.25" customHeight="1" x14ac:dyDescent="0.3">
      <c r="B872" s="23"/>
      <c r="D872" s="25"/>
      <c r="E872" s="25"/>
      <c r="M872" s="12"/>
      <c r="N872" s="122"/>
      <c r="O872" s="122"/>
      <c r="P872" s="122"/>
      <c r="Q872" s="122"/>
    </row>
    <row r="873" spans="2:17" ht="14.25" customHeight="1" x14ac:dyDescent="0.3">
      <c r="B873" s="23"/>
      <c r="D873" s="25"/>
      <c r="E873" s="25"/>
      <c r="M873" s="12"/>
      <c r="N873" s="122"/>
      <c r="O873" s="122"/>
      <c r="P873" s="122"/>
      <c r="Q873" s="122"/>
    </row>
    <row r="874" spans="2:17" ht="14.25" customHeight="1" x14ac:dyDescent="0.3">
      <c r="B874" s="23"/>
      <c r="D874" s="25"/>
      <c r="E874" s="25"/>
      <c r="M874" s="12"/>
      <c r="N874" s="122"/>
      <c r="O874" s="122"/>
      <c r="P874" s="122"/>
      <c r="Q874" s="122"/>
    </row>
    <row r="875" spans="2:17" ht="14.25" customHeight="1" x14ac:dyDescent="0.3">
      <c r="B875" s="23"/>
      <c r="D875" s="25"/>
      <c r="E875" s="25"/>
      <c r="M875" s="12"/>
      <c r="N875" s="122"/>
      <c r="O875" s="122"/>
      <c r="P875" s="122"/>
      <c r="Q875" s="122"/>
    </row>
    <row r="876" spans="2:17" ht="14.25" customHeight="1" x14ac:dyDescent="0.3">
      <c r="B876" s="23"/>
      <c r="D876" s="25"/>
      <c r="E876" s="25"/>
      <c r="M876" s="12"/>
      <c r="N876" s="122"/>
      <c r="O876" s="122"/>
      <c r="P876" s="122"/>
      <c r="Q876" s="122"/>
    </row>
    <row r="877" spans="2:17" ht="14.25" customHeight="1" x14ac:dyDescent="0.3">
      <c r="B877" s="23"/>
      <c r="D877" s="25"/>
      <c r="E877" s="25"/>
      <c r="M877" s="12"/>
      <c r="N877" s="122"/>
      <c r="O877" s="122"/>
      <c r="P877" s="122"/>
      <c r="Q877" s="122"/>
    </row>
    <row r="878" spans="2:17" ht="14.25" customHeight="1" x14ac:dyDescent="0.3">
      <c r="B878" s="23"/>
      <c r="D878" s="25"/>
      <c r="E878" s="25"/>
      <c r="M878" s="12"/>
      <c r="N878" s="122"/>
      <c r="O878" s="122"/>
      <c r="P878" s="122"/>
      <c r="Q878" s="122"/>
    </row>
    <row r="879" spans="2:17" ht="14.25" customHeight="1" x14ac:dyDescent="0.3">
      <c r="B879" s="23"/>
      <c r="D879" s="25"/>
      <c r="E879" s="25"/>
      <c r="M879" s="12"/>
      <c r="N879" s="122"/>
      <c r="O879" s="122"/>
      <c r="P879" s="122"/>
      <c r="Q879" s="122"/>
    </row>
    <row r="880" spans="2:17" ht="14.25" customHeight="1" x14ac:dyDescent="0.3">
      <c r="B880" s="23"/>
      <c r="D880" s="25"/>
      <c r="E880" s="25"/>
      <c r="M880" s="12"/>
      <c r="N880" s="122"/>
      <c r="O880" s="122"/>
      <c r="P880" s="122"/>
      <c r="Q880" s="122"/>
    </row>
    <row r="881" spans="2:17" ht="14.25" customHeight="1" x14ac:dyDescent="0.3">
      <c r="B881" s="23"/>
      <c r="D881" s="25"/>
      <c r="E881" s="25"/>
      <c r="M881" s="12"/>
      <c r="N881" s="122"/>
      <c r="O881" s="122"/>
      <c r="P881" s="122"/>
      <c r="Q881" s="122"/>
    </row>
    <row r="882" spans="2:17" ht="14.25" customHeight="1" x14ac:dyDescent="0.3">
      <c r="B882" s="23"/>
      <c r="D882" s="25"/>
      <c r="E882" s="25"/>
      <c r="M882" s="12"/>
      <c r="N882" s="122"/>
      <c r="O882" s="122"/>
      <c r="P882" s="122"/>
      <c r="Q882" s="122"/>
    </row>
    <row r="883" spans="2:17" ht="14.25" customHeight="1" x14ac:dyDescent="0.3">
      <c r="B883" s="23"/>
      <c r="D883" s="25"/>
      <c r="E883" s="25"/>
      <c r="M883" s="12"/>
      <c r="N883" s="122"/>
      <c r="O883" s="122"/>
      <c r="P883" s="122"/>
      <c r="Q883" s="122"/>
    </row>
    <row r="884" spans="2:17" ht="14.25" customHeight="1" x14ac:dyDescent="0.3">
      <c r="B884" s="23"/>
      <c r="D884" s="25"/>
      <c r="E884" s="25"/>
      <c r="M884" s="12"/>
      <c r="N884" s="122"/>
      <c r="O884" s="122"/>
      <c r="P884" s="122"/>
      <c r="Q884" s="122"/>
    </row>
    <row r="885" spans="2:17" ht="14.25" customHeight="1" x14ac:dyDescent="0.3">
      <c r="B885" s="23"/>
      <c r="D885" s="25"/>
      <c r="E885" s="25"/>
      <c r="M885" s="12"/>
      <c r="N885" s="122"/>
      <c r="O885" s="122"/>
      <c r="P885" s="122"/>
      <c r="Q885" s="122"/>
    </row>
    <row r="886" spans="2:17" ht="14.25" customHeight="1" x14ac:dyDescent="0.3">
      <c r="B886" s="23"/>
      <c r="D886" s="25"/>
      <c r="E886" s="25"/>
      <c r="M886" s="12"/>
      <c r="N886" s="122"/>
      <c r="O886" s="122"/>
      <c r="P886" s="122"/>
      <c r="Q886" s="122"/>
    </row>
    <row r="887" spans="2:17" ht="14.25" customHeight="1" x14ac:dyDescent="0.3">
      <c r="B887" s="23"/>
      <c r="D887" s="25"/>
      <c r="E887" s="25"/>
      <c r="M887" s="12"/>
      <c r="N887" s="122"/>
      <c r="O887" s="122"/>
      <c r="P887" s="122"/>
      <c r="Q887" s="122"/>
    </row>
    <row r="888" spans="2:17" ht="14.25" customHeight="1" x14ac:dyDescent="0.3">
      <c r="B888" s="23"/>
      <c r="D888" s="25"/>
      <c r="E888" s="25"/>
      <c r="M888" s="12"/>
      <c r="N888" s="122"/>
      <c r="O888" s="122"/>
      <c r="P888" s="122"/>
      <c r="Q888" s="122"/>
    </row>
    <row r="889" spans="2:17" ht="14.25" customHeight="1" x14ac:dyDescent="0.3">
      <c r="B889" s="23"/>
      <c r="D889" s="25"/>
      <c r="E889" s="25"/>
      <c r="M889" s="12"/>
      <c r="N889" s="122"/>
      <c r="O889" s="122"/>
      <c r="P889" s="122"/>
      <c r="Q889" s="122"/>
    </row>
    <row r="890" spans="2:17" ht="14.25" customHeight="1" x14ac:dyDescent="0.3">
      <c r="B890" s="23"/>
      <c r="D890" s="25"/>
      <c r="E890" s="25"/>
      <c r="M890" s="12"/>
      <c r="N890" s="122"/>
      <c r="O890" s="122"/>
      <c r="P890" s="122"/>
      <c r="Q890" s="122"/>
    </row>
    <row r="891" spans="2:17" ht="14.25" customHeight="1" x14ac:dyDescent="0.3">
      <c r="B891" s="23"/>
      <c r="D891" s="25"/>
      <c r="E891" s="25"/>
      <c r="M891" s="12"/>
      <c r="N891" s="122"/>
      <c r="O891" s="122"/>
      <c r="P891" s="122"/>
      <c r="Q891" s="122"/>
    </row>
    <row r="892" spans="2:17" ht="14.25" customHeight="1" x14ac:dyDescent="0.3">
      <c r="B892" s="23"/>
      <c r="D892" s="25"/>
      <c r="E892" s="25"/>
      <c r="M892" s="12"/>
      <c r="N892" s="122"/>
      <c r="O892" s="122"/>
      <c r="P892" s="122"/>
      <c r="Q892" s="122"/>
    </row>
    <row r="893" spans="2:17" ht="14.25" customHeight="1" x14ac:dyDescent="0.3">
      <c r="B893" s="23"/>
      <c r="D893" s="25"/>
      <c r="E893" s="25"/>
      <c r="M893" s="12"/>
      <c r="N893" s="122"/>
      <c r="O893" s="122"/>
      <c r="P893" s="122"/>
      <c r="Q893" s="122"/>
    </row>
    <row r="894" spans="2:17" ht="14.25" customHeight="1" x14ac:dyDescent="0.3">
      <c r="B894" s="23"/>
      <c r="D894" s="25"/>
      <c r="E894" s="25"/>
      <c r="M894" s="12"/>
      <c r="N894" s="122"/>
      <c r="O894" s="122"/>
      <c r="P894" s="122"/>
      <c r="Q894" s="122"/>
    </row>
    <row r="895" spans="2:17" ht="14.25" customHeight="1" x14ac:dyDescent="0.3">
      <c r="B895" s="23"/>
      <c r="D895" s="25"/>
      <c r="E895" s="25"/>
      <c r="M895" s="12"/>
      <c r="N895" s="122"/>
      <c r="O895" s="122"/>
      <c r="P895" s="122"/>
      <c r="Q895" s="122"/>
    </row>
    <row r="896" spans="2:17" ht="14.25" customHeight="1" x14ac:dyDescent="0.3">
      <c r="B896" s="23"/>
      <c r="D896" s="25"/>
      <c r="E896" s="25"/>
      <c r="M896" s="12"/>
      <c r="N896" s="122"/>
      <c r="O896" s="122"/>
      <c r="P896" s="122"/>
      <c r="Q896" s="122"/>
    </row>
    <row r="897" spans="2:17" ht="14.25" customHeight="1" x14ac:dyDescent="0.3">
      <c r="B897" s="23"/>
      <c r="D897" s="25"/>
      <c r="E897" s="25"/>
      <c r="M897" s="12"/>
      <c r="N897" s="122"/>
      <c r="O897" s="122"/>
      <c r="P897" s="122"/>
      <c r="Q897" s="122"/>
    </row>
    <row r="898" spans="2:17" ht="14.25" customHeight="1" x14ac:dyDescent="0.3">
      <c r="B898" s="23"/>
      <c r="D898" s="25"/>
      <c r="E898" s="25"/>
      <c r="M898" s="12"/>
      <c r="N898" s="122"/>
      <c r="O898" s="122"/>
      <c r="P898" s="122"/>
      <c r="Q898" s="122"/>
    </row>
    <row r="899" spans="2:17" ht="14.25" customHeight="1" x14ac:dyDescent="0.3">
      <c r="B899" s="23"/>
      <c r="D899" s="25"/>
      <c r="E899" s="25"/>
      <c r="M899" s="12"/>
      <c r="N899" s="122"/>
      <c r="O899" s="122"/>
      <c r="P899" s="122"/>
      <c r="Q899" s="122"/>
    </row>
    <row r="900" spans="2:17" ht="14.25" customHeight="1" x14ac:dyDescent="0.3">
      <c r="B900" s="23"/>
      <c r="D900" s="25"/>
      <c r="E900" s="25"/>
      <c r="M900" s="12"/>
      <c r="N900" s="122"/>
      <c r="O900" s="122"/>
      <c r="P900" s="122"/>
      <c r="Q900" s="122"/>
    </row>
    <row r="901" spans="2:17" ht="14.25" customHeight="1" x14ac:dyDescent="0.3">
      <c r="B901" s="23"/>
      <c r="D901" s="25"/>
      <c r="E901" s="25"/>
      <c r="M901" s="12"/>
      <c r="N901" s="122"/>
      <c r="O901" s="122"/>
      <c r="P901" s="122"/>
      <c r="Q901" s="122"/>
    </row>
    <row r="902" spans="2:17" ht="14.25" customHeight="1" x14ac:dyDescent="0.3">
      <c r="B902" s="23"/>
      <c r="D902" s="25"/>
      <c r="E902" s="25"/>
      <c r="M902" s="12"/>
      <c r="N902" s="122"/>
      <c r="O902" s="122"/>
      <c r="P902" s="122"/>
      <c r="Q902" s="122"/>
    </row>
    <row r="903" spans="2:17" ht="14.25" customHeight="1" x14ac:dyDescent="0.3">
      <c r="B903" s="23"/>
      <c r="D903" s="25"/>
      <c r="E903" s="25"/>
      <c r="M903" s="12"/>
      <c r="N903" s="122"/>
      <c r="O903" s="122"/>
      <c r="P903" s="122"/>
      <c r="Q903" s="122"/>
    </row>
    <row r="904" spans="2:17" ht="14.25" customHeight="1" x14ac:dyDescent="0.3">
      <c r="B904" s="23"/>
      <c r="D904" s="25"/>
      <c r="E904" s="25"/>
      <c r="M904" s="12"/>
      <c r="N904" s="122"/>
      <c r="O904" s="122"/>
      <c r="P904" s="122"/>
      <c r="Q904" s="122"/>
    </row>
    <row r="905" spans="2:17" ht="14.25" customHeight="1" x14ac:dyDescent="0.3">
      <c r="B905" s="23"/>
      <c r="D905" s="25"/>
      <c r="E905" s="25"/>
      <c r="M905" s="12"/>
      <c r="N905" s="122"/>
      <c r="O905" s="122"/>
      <c r="P905" s="122"/>
      <c r="Q905" s="122"/>
    </row>
    <row r="906" spans="2:17" ht="14.25" customHeight="1" x14ac:dyDescent="0.3">
      <c r="B906" s="23"/>
      <c r="D906" s="25"/>
      <c r="E906" s="25"/>
      <c r="M906" s="12"/>
      <c r="N906" s="122"/>
      <c r="O906" s="122"/>
      <c r="P906" s="122"/>
      <c r="Q906" s="122"/>
    </row>
    <row r="907" spans="2:17" ht="14.25" customHeight="1" x14ac:dyDescent="0.3">
      <c r="B907" s="23"/>
      <c r="D907" s="25"/>
      <c r="E907" s="25"/>
      <c r="M907" s="12"/>
      <c r="N907" s="122"/>
      <c r="O907" s="122"/>
      <c r="P907" s="122"/>
      <c r="Q907" s="122"/>
    </row>
    <row r="908" spans="2:17" ht="14.25" customHeight="1" x14ac:dyDescent="0.3">
      <c r="B908" s="23"/>
      <c r="D908" s="25"/>
      <c r="E908" s="25"/>
      <c r="M908" s="12"/>
      <c r="N908" s="122"/>
      <c r="O908" s="122"/>
      <c r="P908" s="122"/>
      <c r="Q908" s="122"/>
    </row>
    <row r="909" spans="2:17" ht="14.25" customHeight="1" x14ac:dyDescent="0.3">
      <c r="B909" s="23"/>
      <c r="D909" s="25"/>
      <c r="E909" s="25"/>
      <c r="M909" s="12"/>
      <c r="N909" s="122"/>
      <c r="O909" s="122"/>
      <c r="P909" s="122"/>
      <c r="Q909" s="122"/>
    </row>
    <row r="910" spans="2:17" ht="14.25" customHeight="1" x14ac:dyDescent="0.3">
      <c r="B910" s="23"/>
      <c r="D910" s="25"/>
      <c r="E910" s="25"/>
      <c r="M910" s="12"/>
      <c r="N910" s="122"/>
      <c r="O910" s="122"/>
      <c r="P910" s="122"/>
      <c r="Q910" s="122"/>
    </row>
    <row r="911" spans="2:17" ht="14.25" customHeight="1" x14ac:dyDescent="0.3">
      <c r="B911" s="23"/>
      <c r="D911" s="25"/>
      <c r="E911" s="25"/>
      <c r="M911" s="12"/>
      <c r="N911" s="122"/>
      <c r="O911" s="122"/>
      <c r="P911" s="122"/>
      <c r="Q911" s="122"/>
    </row>
    <row r="912" spans="2:17" ht="14.25" customHeight="1" x14ac:dyDescent="0.3">
      <c r="B912" s="23"/>
      <c r="D912" s="25"/>
      <c r="E912" s="25"/>
      <c r="M912" s="12"/>
      <c r="N912" s="122"/>
      <c r="O912" s="122"/>
      <c r="P912" s="122"/>
      <c r="Q912" s="122"/>
    </row>
    <row r="913" spans="2:17" ht="14.25" customHeight="1" x14ac:dyDescent="0.3">
      <c r="B913" s="23"/>
      <c r="D913" s="25"/>
      <c r="E913" s="25"/>
      <c r="M913" s="12"/>
      <c r="N913" s="122"/>
      <c r="O913" s="122"/>
      <c r="P913" s="122"/>
      <c r="Q913" s="122"/>
    </row>
    <row r="914" spans="2:17" ht="14.25" customHeight="1" x14ac:dyDescent="0.3">
      <c r="B914" s="23"/>
      <c r="D914" s="25"/>
      <c r="E914" s="25"/>
      <c r="M914" s="12"/>
      <c r="N914" s="122"/>
      <c r="O914" s="122"/>
      <c r="P914" s="122"/>
      <c r="Q914" s="122"/>
    </row>
    <row r="915" spans="2:17" ht="14.25" customHeight="1" x14ac:dyDescent="0.3">
      <c r="B915" s="23"/>
      <c r="D915" s="25"/>
      <c r="E915" s="25"/>
      <c r="M915" s="12"/>
      <c r="N915" s="122"/>
      <c r="O915" s="122"/>
      <c r="P915" s="122"/>
      <c r="Q915" s="122"/>
    </row>
    <row r="916" spans="2:17" ht="14.25" customHeight="1" x14ac:dyDescent="0.3">
      <c r="B916" s="23"/>
      <c r="D916" s="25"/>
      <c r="E916" s="25"/>
      <c r="M916" s="12"/>
      <c r="N916" s="122"/>
      <c r="O916" s="122"/>
      <c r="P916" s="122"/>
      <c r="Q916" s="122"/>
    </row>
    <row r="917" spans="2:17" ht="14.25" customHeight="1" x14ac:dyDescent="0.3">
      <c r="B917" s="23"/>
      <c r="D917" s="25"/>
      <c r="E917" s="25"/>
      <c r="M917" s="12"/>
      <c r="N917" s="122"/>
      <c r="O917" s="122"/>
      <c r="P917" s="122"/>
      <c r="Q917" s="122"/>
    </row>
    <row r="918" spans="2:17" ht="14.25" customHeight="1" x14ac:dyDescent="0.3">
      <c r="B918" s="23"/>
      <c r="D918" s="25"/>
      <c r="E918" s="25"/>
      <c r="M918" s="12"/>
      <c r="N918" s="122"/>
      <c r="O918" s="122"/>
      <c r="P918" s="122"/>
      <c r="Q918" s="122"/>
    </row>
    <row r="919" spans="2:17" ht="14.25" customHeight="1" x14ac:dyDescent="0.3">
      <c r="B919" s="23"/>
      <c r="D919" s="25"/>
      <c r="E919" s="25"/>
      <c r="M919" s="12"/>
      <c r="N919" s="122"/>
      <c r="O919" s="122"/>
      <c r="P919" s="122"/>
      <c r="Q919" s="122"/>
    </row>
    <row r="920" spans="2:17" ht="14.25" customHeight="1" x14ac:dyDescent="0.3">
      <c r="B920" s="23"/>
      <c r="D920" s="25"/>
      <c r="E920" s="25"/>
      <c r="M920" s="12"/>
      <c r="N920" s="122"/>
      <c r="O920" s="122"/>
      <c r="P920" s="122"/>
      <c r="Q920" s="122"/>
    </row>
    <row r="921" spans="2:17" ht="14.25" customHeight="1" x14ac:dyDescent="0.3">
      <c r="B921" s="23"/>
      <c r="D921" s="25"/>
      <c r="E921" s="25"/>
      <c r="M921" s="12"/>
      <c r="N921" s="122"/>
      <c r="O921" s="122"/>
      <c r="P921" s="122"/>
      <c r="Q921" s="122"/>
    </row>
    <row r="922" spans="2:17" ht="14.25" customHeight="1" x14ac:dyDescent="0.3">
      <c r="B922" s="23"/>
      <c r="D922" s="25"/>
      <c r="E922" s="25"/>
      <c r="M922" s="12"/>
      <c r="N922" s="122"/>
      <c r="O922" s="122"/>
      <c r="P922" s="122"/>
      <c r="Q922" s="122"/>
    </row>
    <row r="923" spans="2:17" ht="14.25" customHeight="1" x14ac:dyDescent="0.3">
      <c r="B923" s="23"/>
      <c r="D923" s="25"/>
      <c r="E923" s="25"/>
      <c r="M923" s="12"/>
      <c r="N923" s="122"/>
      <c r="O923" s="122"/>
      <c r="P923" s="122"/>
      <c r="Q923" s="122"/>
    </row>
    <row r="924" spans="2:17" ht="14.25" customHeight="1" x14ac:dyDescent="0.3">
      <c r="B924" s="23"/>
      <c r="D924" s="25"/>
      <c r="E924" s="25"/>
      <c r="M924" s="12"/>
      <c r="N924" s="122"/>
      <c r="O924" s="122"/>
      <c r="P924" s="122"/>
      <c r="Q924" s="122"/>
    </row>
    <row r="925" spans="2:17" ht="14.25" customHeight="1" x14ac:dyDescent="0.3">
      <c r="B925" s="23"/>
      <c r="D925" s="25"/>
      <c r="E925" s="25"/>
      <c r="M925" s="12"/>
      <c r="N925" s="122"/>
      <c r="O925" s="122"/>
      <c r="P925" s="122"/>
      <c r="Q925" s="122"/>
    </row>
    <row r="926" spans="2:17" ht="14.25" customHeight="1" x14ac:dyDescent="0.3">
      <c r="B926" s="23"/>
      <c r="D926" s="25"/>
      <c r="E926" s="25"/>
      <c r="M926" s="12"/>
      <c r="N926" s="122"/>
      <c r="O926" s="122"/>
      <c r="P926" s="122"/>
      <c r="Q926" s="122"/>
    </row>
    <row r="927" spans="2:17" ht="14.25" customHeight="1" x14ac:dyDescent="0.3">
      <c r="B927" s="23"/>
      <c r="D927" s="25"/>
      <c r="E927" s="25"/>
      <c r="M927" s="12"/>
      <c r="N927" s="122"/>
      <c r="O927" s="122"/>
      <c r="P927" s="122"/>
      <c r="Q927" s="122"/>
    </row>
    <row r="928" spans="2:17" ht="14.25" customHeight="1" x14ac:dyDescent="0.3">
      <c r="B928" s="23"/>
      <c r="D928" s="25"/>
      <c r="E928" s="25"/>
      <c r="M928" s="12"/>
      <c r="N928" s="122"/>
      <c r="O928" s="122"/>
      <c r="P928" s="122"/>
      <c r="Q928" s="122"/>
    </row>
    <row r="929" spans="2:17" ht="14.25" customHeight="1" x14ac:dyDescent="0.3">
      <c r="B929" s="23"/>
      <c r="D929" s="25"/>
      <c r="E929" s="25"/>
      <c r="M929" s="12"/>
      <c r="N929" s="122"/>
      <c r="O929" s="122"/>
      <c r="P929" s="122"/>
      <c r="Q929" s="122"/>
    </row>
    <row r="930" spans="2:17" ht="14.25" customHeight="1" x14ac:dyDescent="0.3">
      <c r="B930" s="23"/>
      <c r="D930" s="25"/>
      <c r="E930" s="25"/>
      <c r="M930" s="12"/>
      <c r="N930" s="122"/>
      <c r="O930" s="122"/>
      <c r="P930" s="122"/>
      <c r="Q930" s="122"/>
    </row>
    <row r="931" spans="2:17" ht="14.25" customHeight="1" x14ac:dyDescent="0.3">
      <c r="B931" s="23"/>
      <c r="D931" s="25"/>
      <c r="E931" s="25"/>
      <c r="M931" s="12"/>
      <c r="N931" s="122"/>
      <c r="O931" s="122"/>
      <c r="P931" s="122"/>
      <c r="Q931" s="122"/>
    </row>
    <row r="932" spans="2:17" ht="14.25" customHeight="1" x14ac:dyDescent="0.3">
      <c r="B932" s="23"/>
      <c r="D932" s="25"/>
      <c r="E932" s="25"/>
      <c r="M932" s="12"/>
      <c r="N932" s="122"/>
      <c r="O932" s="122"/>
      <c r="P932" s="122"/>
      <c r="Q932" s="122"/>
    </row>
    <row r="933" spans="2:17" ht="14.25" customHeight="1" x14ac:dyDescent="0.3">
      <c r="B933" s="23"/>
      <c r="D933" s="25"/>
      <c r="E933" s="25"/>
      <c r="M933" s="12"/>
      <c r="N933" s="122"/>
      <c r="O933" s="122"/>
      <c r="P933" s="122"/>
      <c r="Q933" s="122"/>
    </row>
    <row r="934" spans="2:17" ht="14.25" customHeight="1" x14ac:dyDescent="0.3">
      <c r="B934" s="23"/>
      <c r="D934" s="25"/>
      <c r="E934" s="25"/>
      <c r="M934" s="12"/>
      <c r="N934" s="122"/>
      <c r="O934" s="122"/>
      <c r="P934" s="122"/>
      <c r="Q934" s="122"/>
    </row>
    <row r="935" spans="2:17" ht="14.25" customHeight="1" x14ac:dyDescent="0.3">
      <c r="B935" s="23"/>
      <c r="D935" s="25"/>
      <c r="E935" s="25"/>
      <c r="M935" s="12"/>
      <c r="N935" s="122"/>
      <c r="O935" s="122"/>
      <c r="P935" s="122"/>
      <c r="Q935" s="122"/>
    </row>
    <row r="936" spans="2:17" ht="14.25" customHeight="1" x14ac:dyDescent="0.3">
      <c r="B936" s="23"/>
      <c r="D936" s="25"/>
      <c r="E936" s="25"/>
      <c r="M936" s="12"/>
      <c r="N936" s="122"/>
      <c r="O936" s="122"/>
      <c r="P936" s="122"/>
      <c r="Q936" s="122"/>
    </row>
    <row r="937" spans="2:17" ht="14.25" customHeight="1" x14ac:dyDescent="0.3">
      <c r="B937" s="23"/>
      <c r="D937" s="25"/>
      <c r="E937" s="25"/>
      <c r="M937" s="12"/>
      <c r="N937" s="122"/>
      <c r="O937" s="122"/>
      <c r="P937" s="122"/>
      <c r="Q937" s="122"/>
    </row>
    <row r="938" spans="2:17" ht="14.25" customHeight="1" x14ac:dyDescent="0.3">
      <c r="B938" s="23"/>
      <c r="D938" s="25"/>
      <c r="E938" s="25"/>
      <c r="M938" s="12"/>
      <c r="N938" s="122"/>
      <c r="O938" s="122"/>
      <c r="P938" s="122"/>
      <c r="Q938" s="122"/>
    </row>
    <row r="939" spans="2:17" ht="14.25" customHeight="1" x14ac:dyDescent="0.3">
      <c r="B939" s="23"/>
      <c r="D939" s="25"/>
      <c r="E939" s="25"/>
      <c r="M939" s="12"/>
      <c r="N939" s="122"/>
      <c r="O939" s="122"/>
      <c r="P939" s="122"/>
      <c r="Q939" s="122"/>
    </row>
    <row r="940" spans="2:17" ht="14.25" customHeight="1" x14ac:dyDescent="0.3">
      <c r="B940" s="23"/>
      <c r="D940" s="25"/>
      <c r="E940" s="25"/>
      <c r="M940" s="12"/>
      <c r="N940" s="122"/>
      <c r="O940" s="122"/>
      <c r="P940" s="122"/>
      <c r="Q940" s="122"/>
    </row>
    <row r="941" spans="2:17" ht="14.25" customHeight="1" x14ac:dyDescent="0.3">
      <c r="B941" s="23"/>
      <c r="D941" s="25"/>
      <c r="E941" s="25"/>
      <c r="M941" s="12"/>
      <c r="N941" s="122"/>
      <c r="O941" s="122"/>
      <c r="P941" s="122"/>
      <c r="Q941" s="122"/>
    </row>
    <row r="942" spans="2:17" ht="14.25" customHeight="1" x14ac:dyDescent="0.3">
      <c r="B942" s="23"/>
      <c r="D942" s="25"/>
      <c r="E942" s="25"/>
      <c r="M942" s="12"/>
      <c r="N942" s="122"/>
      <c r="O942" s="122"/>
      <c r="P942" s="122"/>
      <c r="Q942" s="122"/>
    </row>
    <row r="943" spans="2:17" ht="14.25" customHeight="1" x14ac:dyDescent="0.3">
      <c r="B943" s="23"/>
      <c r="D943" s="25"/>
      <c r="E943" s="25"/>
      <c r="M943" s="12"/>
      <c r="N943" s="122"/>
      <c r="O943" s="122"/>
      <c r="P943" s="122"/>
      <c r="Q943" s="122"/>
    </row>
    <row r="944" spans="2:17" ht="14.25" customHeight="1" x14ac:dyDescent="0.3">
      <c r="B944" s="23"/>
      <c r="D944" s="25"/>
      <c r="E944" s="25"/>
      <c r="M944" s="12"/>
      <c r="N944" s="122"/>
      <c r="O944" s="122"/>
      <c r="P944" s="122"/>
      <c r="Q944" s="122"/>
    </row>
    <row r="945" spans="2:17" ht="14.25" customHeight="1" x14ac:dyDescent="0.3">
      <c r="B945" s="23"/>
      <c r="D945" s="25"/>
      <c r="E945" s="25"/>
      <c r="M945" s="12"/>
      <c r="N945" s="122"/>
      <c r="O945" s="122"/>
      <c r="P945" s="122"/>
      <c r="Q945" s="122"/>
    </row>
    <row r="946" spans="2:17" ht="14.25" customHeight="1" x14ac:dyDescent="0.3">
      <c r="B946" s="23"/>
      <c r="D946" s="25"/>
      <c r="E946" s="25"/>
      <c r="M946" s="12"/>
      <c r="N946" s="122"/>
      <c r="O946" s="122"/>
      <c r="P946" s="122"/>
      <c r="Q946" s="122"/>
    </row>
    <row r="947" spans="2:17" ht="14.25" customHeight="1" x14ac:dyDescent="0.3">
      <c r="B947" s="23"/>
      <c r="D947" s="25"/>
      <c r="E947" s="25"/>
      <c r="M947" s="12"/>
      <c r="N947" s="122"/>
      <c r="O947" s="122"/>
      <c r="P947" s="122"/>
      <c r="Q947" s="122"/>
    </row>
    <row r="948" spans="2:17" ht="14.25" customHeight="1" x14ac:dyDescent="0.3">
      <c r="B948" s="23"/>
      <c r="D948" s="25"/>
      <c r="E948" s="25"/>
      <c r="M948" s="12"/>
      <c r="N948" s="122"/>
      <c r="O948" s="122"/>
      <c r="P948" s="122"/>
      <c r="Q948" s="122"/>
    </row>
    <row r="949" spans="2:17" ht="14.25" customHeight="1" x14ac:dyDescent="0.3">
      <c r="B949" s="23"/>
      <c r="D949" s="25"/>
      <c r="E949" s="25"/>
      <c r="M949" s="12"/>
      <c r="N949" s="122"/>
      <c r="O949" s="122"/>
      <c r="P949" s="122"/>
      <c r="Q949" s="122"/>
    </row>
    <row r="950" spans="2:17" ht="14.25" customHeight="1" x14ac:dyDescent="0.3">
      <c r="B950" s="23"/>
      <c r="D950" s="25"/>
      <c r="E950" s="25"/>
      <c r="M950" s="12"/>
      <c r="N950" s="122"/>
      <c r="O950" s="122"/>
      <c r="P950" s="122"/>
      <c r="Q950" s="122"/>
    </row>
    <row r="951" spans="2:17" ht="14.25" customHeight="1" x14ac:dyDescent="0.3">
      <c r="B951" s="23"/>
      <c r="D951" s="25"/>
      <c r="E951" s="25"/>
      <c r="M951" s="12"/>
      <c r="N951" s="122"/>
      <c r="O951" s="122"/>
      <c r="P951" s="122"/>
      <c r="Q951" s="122"/>
    </row>
    <row r="952" spans="2:17" ht="14.25" customHeight="1" x14ac:dyDescent="0.3">
      <c r="B952" s="23"/>
      <c r="D952" s="25"/>
      <c r="E952" s="25"/>
      <c r="M952" s="12"/>
      <c r="N952" s="122"/>
      <c r="O952" s="122"/>
      <c r="P952" s="122"/>
      <c r="Q952" s="122"/>
    </row>
    <row r="953" spans="2:17" ht="14.25" customHeight="1" x14ac:dyDescent="0.3">
      <c r="B953" s="23"/>
      <c r="D953" s="25"/>
      <c r="E953" s="25"/>
      <c r="M953" s="12"/>
      <c r="N953" s="122"/>
      <c r="O953" s="122"/>
      <c r="P953" s="122"/>
      <c r="Q953" s="122"/>
    </row>
    <row r="954" spans="2:17" ht="14.25" customHeight="1" x14ac:dyDescent="0.3">
      <c r="B954" s="23"/>
      <c r="D954" s="25"/>
      <c r="E954" s="25"/>
      <c r="M954" s="12"/>
      <c r="N954" s="122"/>
      <c r="O954" s="122"/>
      <c r="P954" s="122"/>
      <c r="Q954" s="122"/>
    </row>
    <row r="955" spans="2:17" ht="14.25" customHeight="1" x14ac:dyDescent="0.3">
      <c r="B955" s="23"/>
      <c r="D955" s="25"/>
      <c r="E955" s="25"/>
      <c r="M955" s="12"/>
      <c r="N955" s="122"/>
      <c r="O955" s="122"/>
      <c r="P955" s="122"/>
      <c r="Q955" s="122"/>
    </row>
    <row r="956" spans="2:17" ht="14.25" customHeight="1" x14ac:dyDescent="0.3">
      <c r="B956" s="23"/>
      <c r="D956" s="25"/>
      <c r="E956" s="25"/>
      <c r="M956" s="12"/>
      <c r="N956" s="122"/>
      <c r="O956" s="122"/>
      <c r="P956" s="122"/>
      <c r="Q956" s="122"/>
    </row>
    <row r="957" spans="2:17" ht="14.25" customHeight="1" x14ac:dyDescent="0.3">
      <c r="B957" s="23"/>
      <c r="D957" s="25"/>
      <c r="E957" s="25"/>
      <c r="M957" s="12"/>
      <c r="N957" s="122"/>
      <c r="O957" s="122"/>
      <c r="P957" s="122"/>
      <c r="Q957" s="122"/>
    </row>
    <row r="958" spans="2:17" ht="14.25" customHeight="1" x14ac:dyDescent="0.3">
      <c r="B958" s="23"/>
      <c r="D958" s="25"/>
      <c r="E958" s="25"/>
      <c r="M958" s="12"/>
      <c r="N958" s="122"/>
      <c r="O958" s="122"/>
      <c r="P958" s="122"/>
      <c r="Q958" s="122"/>
    </row>
    <row r="959" spans="2:17" ht="14.25" customHeight="1" x14ac:dyDescent="0.3">
      <c r="B959" s="23"/>
      <c r="D959" s="25"/>
      <c r="E959" s="25"/>
      <c r="M959" s="12"/>
      <c r="N959" s="122"/>
      <c r="O959" s="122"/>
      <c r="P959" s="122"/>
      <c r="Q959" s="122"/>
    </row>
    <row r="960" spans="2:17" ht="14.25" customHeight="1" x14ac:dyDescent="0.3">
      <c r="B960" s="23"/>
      <c r="D960" s="25"/>
      <c r="E960" s="25"/>
      <c r="M960" s="12"/>
      <c r="N960" s="122"/>
      <c r="O960" s="122"/>
      <c r="P960" s="122"/>
      <c r="Q960" s="122"/>
    </row>
    <row r="961" spans="2:17" ht="14.25" customHeight="1" x14ac:dyDescent="0.3">
      <c r="B961" s="23"/>
      <c r="D961" s="25"/>
      <c r="E961" s="25"/>
      <c r="M961" s="12"/>
      <c r="N961" s="122"/>
      <c r="O961" s="122"/>
      <c r="P961" s="122"/>
      <c r="Q961" s="122"/>
    </row>
    <row r="962" spans="2:17" ht="14.25" customHeight="1" x14ac:dyDescent="0.3">
      <c r="B962" s="23"/>
      <c r="D962" s="25"/>
      <c r="E962" s="25"/>
      <c r="M962" s="12"/>
      <c r="N962" s="122"/>
      <c r="O962" s="122"/>
      <c r="P962" s="122"/>
      <c r="Q962" s="122"/>
    </row>
    <row r="963" spans="2:17" ht="14.25" customHeight="1" x14ac:dyDescent="0.3">
      <c r="B963" s="23"/>
      <c r="D963" s="25"/>
      <c r="E963" s="25"/>
      <c r="M963" s="12"/>
      <c r="N963" s="122"/>
      <c r="O963" s="122"/>
      <c r="P963" s="122"/>
      <c r="Q963" s="122"/>
    </row>
    <row r="964" spans="2:17" ht="14.25" customHeight="1" x14ac:dyDescent="0.3">
      <c r="B964" s="23"/>
      <c r="D964" s="25"/>
      <c r="E964" s="25"/>
      <c r="M964" s="12"/>
      <c r="N964" s="122"/>
      <c r="O964" s="122"/>
      <c r="P964" s="122"/>
      <c r="Q964" s="122"/>
    </row>
    <row r="965" spans="2:17" ht="14.25" customHeight="1" x14ac:dyDescent="0.3">
      <c r="B965" s="23"/>
      <c r="D965" s="25"/>
      <c r="E965" s="25"/>
      <c r="M965" s="12"/>
      <c r="N965" s="122"/>
      <c r="O965" s="122"/>
      <c r="P965" s="122"/>
      <c r="Q965" s="122"/>
    </row>
    <row r="966" spans="2:17" ht="14.25" customHeight="1" x14ac:dyDescent="0.3">
      <c r="B966" s="23"/>
      <c r="D966" s="25"/>
      <c r="E966" s="25"/>
      <c r="M966" s="12"/>
      <c r="N966" s="122"/>
      <c r="O966" s="122"/>
      <c r="P966" s="122"/>
      <c r="Q966" s="122"/>
    </row>
    <row r="967" spans="2:17" ht="14.25" customHeight="1" x14ac:dyDescent="0.3">
      <c r="B967" s="23"/>
      <c r="D967" s="25"/>
      <c r="E967" s="25"/>
      <c r="M967" s="12"/>
      <c r="N967" s="122"/>
      <c r="O967" s="122"/>
      <c r="P967" s="122"/>
      <c r="Q967" s="122"/>
    </row>
    <row r="968" spans="2:17" ht="14.25" customHeight="1" x14ac:dyDescent="0.3">
      <c r="B968" s="23"/>
      <c r="D968" s="25"/>
      <c r="E968" s="25"/>
      <c r="M968" s="12"/>
      <c r="N968" s="122"/>
      <c r="O968" s="122"/>
      <c r="P968" s="122"/>
      <c r="Q968" s="122"/>
    </row>
    <row r="969" spans="2:17" ht="14.25" customHeight="1" x14ac:dyDescent="0.3">
      <c r="B969" s="23"/>
      <c r="D969" s="25"/>
      <c r="E969" s="25"/>
      <c r="M969" s="12"/>
      <c r="N969" s="122"/>
      <c r="O969" s="122"/>
      <c r="P969" s="122"/>
      <c r="Q969" s="122"/>
    </row>
    <row r="970" spans="2:17" ht="14.25" customHeight="1" x14ac:dyDescent="0.3">
      <c r="B970" s="23"/>
      <c r="D970" s="25"/>
      <c r="E970" s="25"/>
      <c r="M970" s="12"/>
      <c r="N970" s="122"/>
      <c r="O970" s="122"/>
      <c r="P970" s="122"/>
      <c r="Q970" s="122"/>
    </row>
    <row r="971" spans="2:17" ht="14.25" customHeight="1" x14ac:dyDescent="0.3">
      <c r="B971" s="23"/>
      <c r="D971" s="25"/>
      <c r="E971" s="25"/>
      <c r="M971" s="12"/>
      <c r="N971" s="122"/>
      <c r="O971" s="122"/>
      <c r="P971" s="122"/>
      <c r="Q971" s="122"/>
    </row>
    <row r="972" spans="2:17" ht="14.25" customHeight="1" x14ac:dyDescent="0.3">
      <c r="B972" s="23"/>
      <c r="D972" s="25"/>
      <c r="E972" s="25"/>
      <c r="M972" s="12"/>
      <c r="N972" s="122"/>
      <c r="O972" s="122"/>
      <c r="P972" s="122"/>
      <c r="Q972" s="122"/>
    </row>
    <row r="973" spans="2:17" ht="14.25" customHeight="1" x14ac:dyDescent="0.3">
      <c r="B973" s="23"/>
      <c r="D973" s="25"/>
      <c r="E973" s="25"/>
      <c r="M973" s="12"/>
      <c r="N973" s="122"/>
      <c r="O973" s="122"/>
      <c r="P973" s="122"/>
      <c r="Q973" s="122"/>
    </row>
    <row r="974" spans="2:17" ht="14.25" customHeight="1" x14ac:dyDescent="0.3">
      <c r="B974" s="23"/>
      <c r="D974" s="25"/>
      <c r="E974" s="25"/>
      <c r="M974" s="12"/>
      <c r="N974" s="122"/>
      <c r="O974" s="122"/>
      <c r="P974" s="122"/>
      <c r="Q974" s="122"/>
    </row>
    <row r="975" spans="2:17" ht="14.25" customHeight="1" x14ac:dyDescent="0.3">
      <c r="B975" s="23"/>
      <c r="D975" s="25"/>
      <c r="E975" s="25"/>
      <c r="M975" s="12"/>
      <c r="N975" s="122"/>
      <c r="O975" s="122"/>
      <c r="P975" s="122"/>
      <c r="Q975" s="122"/>
    </row>
    <row r="976" spans="2:17" ht="14.25" customHeight="1" x14ac:dyDescent="0.3">
      <c r="B976" s="23"/>
      <c r="D976" s="25"/>
      <c r="E976" s="25"/>
      <c r="M976" s="12"/>
      <c r="N976" s="122"/>
      <c r="O976" s="122"/>
      <c r="P976" s="122"/>
      <c r="Q976" s="122"/>
    </row>
    <row r="977" spans="2:17" ht="14.25" customHeight="1" x14ac:dyDescent="0.3">
      <c r="B977" s="23"/>
      <c r="D977" s="25"/>
      <c r="E977" s="25"/>
      <c r="M977" s="12"/>
      <c r="N977" s="122"/>
      <c r="O977" s="122"/>
      <c r="P977" s="122"/>
      <c r="Q977" s="122"/>
    </row>
    <row r="978" spans="2:17" ht="14.25" customHeight="1" x14ac:dyDescent="0.3">
      <c r="B978" s="23"/>
      <c r="D978" s="25"/>
      <c r="E978" s="25"/>
      <c r="M978" s="12"/>
      <c r="N978" s="122"/>
      <c r="O978" s="122"/>
      <c r="P978" s="122"/>
      <c r="Q978" s="122"/>
    </row>
    <row r="979" spans="2:17" ht="14.25" customHeight="1" x14ac:dyDescent="0.3">
      <c r="B979" s="23"/>
      <c r="D979" s="25"/>
      <c r="E979" s="25"/>
      <c r="M979" s="12"/>
      <c r="N979" s="122"/>
      <c r="O979" s="122"/>
      <c r="P979" s="122"/>
      <c r="Q979" s="122"/>
    </row>
    <row r="980" spans="2:17" ht="14.25" customHeight="1" x14ac:dyDescent="0.3">
      <c r="B980" s="23"/>
      <c r="D980" s="25"/>
      <c r="E980" s="25"/>
      <c r="M980" s="12"/>
      <c r="N980" s="122"/>
      <c r="O980" s="122"/>
      <c r="P980" s="122"/>
      <c r="Q980" s="122"/>
    </row>
    <row r="981" spans="2:17" ht="14.25" customHeight="1" x14ac:dyDescent="0.3">
      <c r="B981" s="23"/>
      <c r="D981" s="25"/>
      <c r="E981" s="25"/>
      <c r="M981" s="12"/>
      <c r="N981" s="122"/>
      <c r="O981" s="122"/>
      <c r="P981" s="122"/>
      <c r="Q981" s="122"/>
    </row>
    <row r="982" spans="2:17" ht="14.25" customHeight="1" x14ac:dyDescent="0.3">
      <c r="B982" s="23"/>
      <c r="D982" s="25"/>
      <c r="E982" s="25"/>
      <c r="M982" s="12"/>
      <c r="N982" s="122"/>
      <c r="O982" s="122"/>
      <c r="P982" s="122"/>
      <c r="Q982" s="122"/>
    </row>
    <row r="983" spans="2:17" ht="14.25" customHeight="1" x14ac:dyDescent="0.3">
      <c r="B983" s="23"/>
      <c r="D983" s="25"/>
      <c r="E983" s="25"/>
      <c r="M983" s="12"/>
      <c r="N983" s="122"/>
      <c r="O983" s="122"/>
      <c r="P983" s="122"/>
      <c r="Q983" s="122"/>
    </row>
    <row r="984" spans="2:17" ht="14.25" customHeight="1" x14ac:dyDescent="0.3">
      <c r="B984" s="23"/>
      <c r="D984" s="25"/>
      <c r="E984" s="25"/>
      <c r="M984" s="12"/>
      <c r="N984" s="122"/>
      <c r="O984" s="122"/>
      <c r="P984" s="122"/>
      <c r="Q984" s="122"/>
    </row>
    <row r="985" spans="2:17" ht="14.25" customHeight="1" x14ac:dyDescent="0.3">
      <c r="B985" s="23"/>
      <c r="D985" s="25"/>
      <c r="E985" s="25"/>
      <c r="M985" s="12"/>
      <c r="N985" s="122"/>
      <c r="O985" s="122"/>
      <c r="P985" s="122"/>
      <c r="Q985" s="122"/>
    </row>
    <row r="986" spans="2:17" ht="14.25" customHeight="1" x14ac:dyDescent="0.3">
      <c r="B986" s="23"/>
      <c r="D986" s="25"/>
      <c r="E986" s="25"/>
      <c r="M986" s="12"/>
      <c r="N986" s="122"/>
      <c r="O986" s="122"/>
      <c r="P986" s="122"/>
      <c r="Q986" s="122"/>
    </row>
    <row r="987" spans="2:17" ht="14.25" customHeight="1" x14ac:dyDescent="0.3">
      <c r="B987" s="23"/>
      <c r="D987" s="25"/>
      <c r="E987" s="25"/>
      <c r="M987" s="12"/>
      <c r="N987" s="122"/>
      <c r="O987" s="122"/>
      <c r="P987" s="122"/>
      <c r="Q987" s="122"/>
    </row>
    <row r="988" spans="2:17" ht="14.25" customHeight="1" x14ac:dyDescent="0.3">
      <c r="B988" s="23"/>
      <c r="D988" s="25"/>
      <c r="E988" s="25"/>
      <c r="M988" s="12"/>
      <c r="N988" s="122"/>
      <c r="O988" s="122"/>
      <c r="P988" s="122"/>
      <c r="Q988" s="122"/>
    </row>
    <row r="989" spans="2:17" ht="14.25" customHeight="1" x14ac:dyDescent="0.3">
      <c r="B989" s="23"/>
      <c r="D989" s="25"/>
      <c r="E989" s="25"/>
      <c r="M989" s="12"/>
      <c r="N989" s="122"/>
      <c r="O989" s="122"/>
      <c r="P989" s="122"/>
      <c r="Q989" s="122"/>
    </row>
    <row r="990" spans="2:17" ht="14.25" customHeight="1" x14ac:dyDescent="0.3">
      <c r="B990" s="23"/>
      <c r="D990" s="25"/>
      <c r="E990" s="25"/>
      <c r="M990" s="12"/>
      <c r="N990" s="122"/>
      <c r="O990" s="122"/>
      <c r="P990" s="122"/>
      <c r="Q990" s="122"/>
    </row>
    <row r="991" spans="2:17" ht="14.25" customHeight="1" x14ac:dyDescent="0.3">
      <c r="B991" s="23"/>
      <c r="D991" s="25"/>
      <c r="E991" s="25"/>
      <c r="M991" s="12"/>
      <c r="N991" s="122"/>
      <c r="O991" s="122"/>
      <c r="P991" s="122"/>
      <c r="Q991" s="122"/>
    </row>
    <row r="992" spans="2:17" ht="14.25" customHeight="1" x14ac:dyDescent="0.3">
      <c r="B992" s="23"/>
      <c r="D992" s="25"/>
      <c r="E992" s="25"/>
      <c r="M992" s="12"/>
      <c r="N992" s="122"/>
      <c r="O992" s="122"/>
      <c r="P992" s="122"/>
      <c r="Q992" s="122"/>
    </row>
    <row r="993" spans="2:17" ht="14.25" customHeight="1" x14ac:dyDescent="0.3">
      <c r="B993" s="23"/>
      <c r="D993" s="25"/>
      <c r="E993" s="25"/>
      <c r="M993" s="12"/>
      <c r="N993" s="122"/>
      <c r="O993" s="122"/>
      <c r="P993" s="122"/>
      <c r="Q993" s="122"/>
    </row>
    <row r="994" spans="2:17" ht="14.25" customHeight="1" x14ac:dyDescent="0.3">
      <c r="B994" s="23"/>
      <c r="D994" s="25"/>
      <c r="E994" s="25"/>
      <c r="M994" s="12"/>
      <c r="N994" s="122"/>
      <c r="O994" s="122"/>
      <c r="P994" s="122"/>
      <c r="Q994" s="122"/>
    </row>
    <row r="995" spans="2:17" ht="14.25" customHeight="1" x14ac:dyDescent="0.3">
      <c r="B995" s="23"/>
      <c r="D995" s="25"/>
      <c r="E995" s="25"/>
      <c r="M995" s="12"/>
      <c r="N995" s="122"/>
      <c r="O995" s="122"/>
      <c r="P995" s="122"/>
      <c r="Q995" s="122"/>
    </row>
    <row r="996" spans="2:17" ht="14.25" customHeight="1" x14ac:dyDescent="0.3">
      <c r="B996" s="23"/>
      <c r="D996" s="25"/>
      <c r="E996" s="25"/>
      <c r="M996" s="12"/>
      <c r="N996" s="122"/>
      <c r="O996" s="122"/>
      <c r="P996" s="122"/>
      <c r="Q996" s="122"/>
    </row>
    <row r="997" spans="2:17" ht="14.25" customHeight="1" x14ac:dyDescent="0.3">
      <c r="B997" s="23"/>
      <c r="D997" s="25"/>
      <c r="E997" s="25"/>
      <c r="M997" s="12"/>
      <c r="N997" s="122"/>
      <c r="O997" s="122"/>
      <c r="P997" s="122"/>
      <c r="Q997" s="122"/>
    </row>
    <row r="998" spans="2:17" ht="14.25" customHeight="1" x14ac:dyDescent="0.3">
      <c r="B998" s="23"/>
      <c r="D998" s="25"/>
      <c r="E998" s="25"/>
      <c r="M998" s="12"/>
      <c r="N998" s="122"/>
      <c r="O998" s="122"/>
      <c r="P998" s="122"/>
      <c r="Q998" s="122"/>
    </row>
    <row r="999" spans="2:17" ht="14.25" customHeight="1" x14ac:dyDescent="0.3">
      <c r="B999" s="23"/>
      <c r="D999" s="25"/>
      <c r="E999" s="25"/>
      <c r="M999" s="12"/>
      <c r="N999" s="122"/>
      <c r="O999" s="122"/>
      <c r="P999" s="122"/>
      <c r="Q999" s="122"/>
    </row>
    <row r="1000" spans="2:17" ht="14.25" customHeight="1" x14ac:dyDescent="0.3">
      <c r="B1000" s="23"/>
      <c r="D1000" s="25"/>
      <c r="E1000" s="25"/>
      <c r="M1000" s="12"/>
      <c r="N1000" s="122"/>
      <c r="O1000" s="122"/>
      <c r="P1000" s="122"/>
      <c r="Q1000" s="122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B2" sqref="B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60" t="s">
        <v>548</v>
      </c>
      <c r="B1" s="361">
        <f>SUM(D1:D3)</f>
        <v>284749.59999999998</v>
      </c>
      <c r="C1" s="362" t="s">
        <v>549</v>
      </c>
      <c r="D1" s="363">
        <v>162500</v>
      </c>
      <c r="E1" s="364" t="s">
        <v>550</v>
      </c>
      <c r="F1" s="365" t="s">
        <v>551</v>
      </c>
      <c r="G1" s="365" t="s">
        <v>552</v>
      </c>
      <c r="H1" s="365" t="s">
        <v>553</v>
      </c>
      <c r="I1" s="361" t="s">
        <v>554</v>
      </c>
      <c r="J1" s="364" t="s">
        <v>555</v>
      </c>
      <c r="K1" s="365" t="s">
        <v>556</v>
      </c>
      <c r="L1" s="361" t="s">
        <v>254</v>
      </c>
      <c r="M1" s="571" t="s">
        <v>557</v>
      </c>
      <c r="N1" s="554"/>
      <c r="Q1" s="25"/>
      <c r="R1" s="25"/>
      <c r="S1" s="25"/>
    </row>
    <row r="2" spans="1:19" ht="14.4" x14ac:dyDescent="0.3">
      <c r="A2" s="366" t="s">
        <v>558</v>
      </c>
      <c r="B2" s="367">
        <v>0.65</v>
      </c>
      <c r="C2" s="368" t="s">
        <v>559</v>
      </c>
      <c r="D2" s="369">
        <v>104249.60000000001</v>
      </c>
      <c r="E2" s="370" t="s">
        <v>560</v>
      </c>
      <c r="F2" s="371">
        <v>2420</v>
      </c>
      <c r="G2" s="371">
        <v>3519</v>
      </c>
      <c r="H2" s="371">
        <v>4397</v>
      </c>
      <c r="I2" s="369">
        <v>3120</v>
      </c>
      <c r="J2" s="372" t="s">
        <v>561</v>
      </c>
      <c r="K2" s="373">
        <f>'Combined Retirement'!B22</f>
        <v>34444.46742778919</v>
      </c>
      <c r="L2" s="374">
        <f>'Combined Retirement'!B24</f>
        <v>2870.372285649099</v>
      </c>
      <c r="M2" s="370" t="s">
        <v>562</v>
      </c>
      <c r="N2" s="375">
        <f>'Combined Retirement'!N1</f>
        <v>0.21977797398773583</v>
      </c>
      <c r="Q2" s="25"/>
      <c r="R2" s="25"/>
      <c r="S2" s="25"/>
    </row>
    <row r="3" spans="1:19" ht="14.4" x14ac:dyDescent="0.3">
      <c r="A3" s="376" t="s">
        <v>563</v>
      </c>
      <c r="B3" s="377">
        <f>B1*(1+B2)</f>
        <v>469836.83999999991</v>
      </c>
      <c r="C3" s="378" t="s">
        <v>564</v>
      </c>
      <c r="D3" s="379">
        <v>18000</v>
      </c>
      <c r="E3" s="380" t="s">
        <v>565</v>
      </c>
      <c r="F3" s="381">
        <v>2192</v>
      </c>
      <c r="G3" s="381">
        <v>3197</v>
      </c>
      <c r="H3" s="381">
        <v>4019</v>
      </c>
      <c r="I3" s="379">
        <v>2765</v>
      </c>
      <c r="J3" s="382" t="s">
        <v>566</v>
      </c>
      <c r="K3" s="383">
        <f>'Combined Retirement'!C22</f>
        <v>42305.438109374998</v>
      </c>
      <c r="L3" s="377">
        <f>'Combined Retirement'!C24</f>
        <v>3525.4531757812501</v>
      </c>
      <c r="M3" s="380" t="s">
        <v>567</v>
      </c>
      <c r="N3" s="384">
        <f>'Combined Retirement'!R1</f>
        <v>103259.78879999998</v>
      </c>
      <c r="Q3" s="25"/>
      <c r="R3" s="25"/>
      <c r="S3" s="25"/>
    </row>
    <row r="4" spans="1:19" ht="14.4" x14ac:dyDescent="0.3">
      <c r="A4" s="385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60"/>
      <c r="B5" s="386" t="s">
        <v>568</v>
      </c>
      <c r="C5" s="386" t="s">
        <v>569</v>
      </c>
      <c r="D5" s="386" t="s">
        <v>570</v>
      </c>
      <c r="E5" s="361" t="s">
        <v>571</v>
      </c>
      <c r="F5" s="387" t="s">
        <v>572</v>
      </c>
      <c r="G5" s="388" t="s">
        <v>573</v>
      </c>
      <c r="H5" s="23"/>
      <c r="I5" s="23"/>
      <c r="J5" s="23"/>
      <c r="K5" s="23"/>
      <c r="L5" s="23"/>
      <c r="M5" s="389" t="s">
        <v>574</v>
      </c>
      <c r="N5" s="365">
        <f>N11</f>
        <v>39153.069999999992</v>
      </c>
      <c r="O5" s="390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66" t="s">
        <v>575</v>
      </c>
      <c r="B6" s="391">
        <v>58.5</v>
      </c>
      <c r="C6" s="392">
        <f t="array" ref="C6">INDEX(B11:B1171,MATCH(MIN(ABS(B11:B1171-B6)),ABS(B11:B1171-B6),0))</f>
        <v>58.540725530458587</v>
      </c>
      <c r="D6" s="393">
        <f t="array" ref="D6">INDEX(A11:A1171,MATCH(C6,B11:B1171,0),0)</f>
        <v>51288</v>
      </c>
      <c r="E6" s="394">
        <f ca="1">'Isaac 401k'!B4</f>
        <v>54.833333333333336</v>
      </c>
      <c r="F6" s="395">
        <f ca="1">'Isaac 401k'!D4</f>
        <v>71284</v>
      </c>
      <c r="G6" s="396">
        <f ca="1">(F6-B9)/365.25</f>
        <v>113.28678986995209</v>
      </c>
      <c r="H6" s="23"/>
      <c r="I6" s="23"/>
      <c r="J6" s="571" t="s">
        <v>576</v>
      </c>
      <c r="K6" s="554"/>
      <c r="L6" s="23"/>
      <c r="M6" s="397" t="s">
        <v>577</v>
      </c>
      <c r="N6" s="373">
        <f>N3/12</f>
        <v>8604.982399999999</v>
      </c>
      <c r="O6" s="398">
        <f t="shared" si="0"/>
        <v>103259.78879999998</v>
      </c>
      <c r="P6" s="25"/>
      <c r="Q6" s="25"/>
      <c r="R6" s="25"/>
      <c r="S6" s="25"/>
    </row>
    <row r="7" spans="1:19" ht="14.4" x14ac:dyDescent="0.3">
      <c r="A7" s="376" t="s">
        <v>578</v>
      </c>
      <c r="B7" s="399">
        <v>53.9</v>
      </c>
      <c r="C7" s="400">
        <f t="array" ref="C7">INDEX(C11:C1171,MATCH(MIN(ABS(C11:C1171-B7)),ABS(C11:C1171-B7),0))</f>
        <v>53.930184804928132</v>
      </c>
      <c r="D7" s="401">
        <f t="array" ref="D7">INDEX(A11:A1171,MATCH(C7,C11:C1171,0),0)</f>
        <v>51288</v>
      </c>
      <c r="E7" s="402">
        <f ca="1">'Lorri 401b'!B4</f>
        <v>49.083333333333336</v>
      </c>
      <c r="F7" s="403">
        <f ca="1">'Lorri 401b'!D4</f>
        <v>69185</v>
      </c>
      <c r="G7" s="404">
        <f ca="1">(F7-C9)/365.25</f>
        <v>102.92950034223135</v>
      </c>
      <c r="H7" s="23"/>
      <c r="I7" s="23"/>
      <c r="J7" s="405">
        <v>0.27938000000000002</v>
      </c>
      <c r="K7" s="406">
        <f>1-J7</f>
        <v>0.72062000000000004</v>
      </c>
      <c r="L7" s="23"/>
      <c r="M7" s="407" t="s">
        <v>579</v>
      </c>
      <c r="N7" s="383">
        <f>N5-N6</f>
        <v>30548.087599999992</v>
      </c>
      <c r="O7" s="408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6261826.1342525426</v>
      </c>
      <c r="K9" s="25">
        <f t="shared" si="1"/>
        <v>10801790.855273625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409">
        <f t="shared" ref="B11:C11" si="2">($A11-B$9)/365.25</f>
        <v>58.540725530458587</v>
      </c>
      <c r="C11" s="409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3525.4531757812501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31188.244538569645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7964.8254614303487</v>
      </c>
      <c r="P11" s="25">
        <f t="shared" ref="P11:P265" si="6">N11-O11</f>
        <v>31188.244538569645</v>
      </c>
      <c r="Q11" s="25">
        <f t="array" aca="1" ref="Q11" ca="1">INDEX('Isaac 401k'!L:L,MATCH('Retirement Calculator'!A11,'Isaac 401k'!N:N,0),0)</f>
        <v>3122596.2034936091</v>
      </c>
      <c r="R11" s="25">
        <f t="array" aca="1" ref="R11" ca="1">INDEX('Lorri 401b'!L:L,MATCH('Retirement Calculator'!A11,'Lorri 401b'!N:N,0),0)</f>
        <v>3327338.3042283235</v>
      </c>
      <c r="S11" s="25">
        <f t="shared" ref="S11:S265" ca="1" si="7">SUM(Q11:R11)</f>
        <v>6449934.5077219326</v>
      </c>
    </row>
    <row r="12" spans="1:19" ht="14.4" x14ac:dyDescent="0.3">
      <c r="A12" s="37">
        <v>51318</v>
      </c>
      <c r="B12" s="409">
        <f t="shared" ref="B12:C12" si="8">($A12-B$9)/365.25</f>
        <v>58.622861054072551</v>
      </c>
      <c r="C12" s="409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3525.4531757812501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31188.244538569645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7964.8254614303487</v>
      </c>
      <c r="P12" s="25">
        <f t="shared" si="6"/>
        <v>31188.244538569645</v>
      </c>
      <c r="Q12" s="25">
        <f t="array" aca="1" ref="Q12" ca="1">INDEX('Isaac 401k'!L:L,MATCH('Retirement Calculator'!A12,'Isaac 401k'!N:N,0),0)</f>
        <v>3104288.8254506853</v>
      </c>
      <c r="R12" s="25">
        <f t="array" aca="1" ref="R12" ca="1">INDEX('Lorri 401b'!L:L,MATCH('Retirement Calculator'!A12,'Lorri 401b'!N:N,0),0)</f>
        <v>3341202.2138292748</v>
      </c>
      <c r="S12" s="25">
        <f t="shared" ca="1" si="7"/>
        <v>6445491.0392799601</v>
      </c>
    </row>
    <row r="13" spans="1:19" ht="14.4" x14ac:dyDescent="0.3">
      <c r="A13" s="37">
        <v>51349</v>
      </c>
      <c r="B13" s="409">
        <f t="shared" ref="B13:C13" si="9">($A13-B$9)/365.25</f>
        <v>58.70773442847365</v>
      </c>
      <c r="C13" s="409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3525.4531757812501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31188.244538569645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7964.8254614303487</v>
      </c>
      <c r="P13" s="25">
        <f t="shared" si="6"/>
        <v>31188.244538569645</v>
      </c>
      <c r="Q13" s="25">
        <f t="array" aca="1" ref="Q13" ca="1">INDEX('Isaac 401k'!L:L,MATCH('Retirement Calculator'!A13,'Isaac 401k'!N:N,0),0)</f>
        <v>3085905.1666659159</v>
      </c>
      <c r="R13" s="25">
        <f t="array" aca="1" ref="R13" ca="1">INDEX('Lorri 401b'!L:L,MATCH('Retirement Calculator'!A13,'Lorri 401b'!N:N,0),0)</f>
        <v>3355123.8897202299</v>
      </c>
      <c r="S13" s="25">
        <f t="shared" ca="1" si="7"/>
        <v>6441029.0563861458</v>
      </c>
    </row>
    <row r="14" spans="1:19" ht="14.4" x14ac:dyDescent="0.3">
      <c r="A14" s="37">
        <v>51380</v>
      </c>
      <c r="B14" s="409">
        <f t="shared" ref="B14:C14" si="10">($A14-B$9)/365.25</f>
        <v>58.792607802874741</v>
      </c>
      <c r="C14" s="409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3525.4531757812501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31188.244538569645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7964.8254614303487</v>
      </c>
      <c r="P14" s="25">
        <f t="shared" si="6"/>
        <v>31188.244538569645</v>
      </c>
      <c r="Q14" s="25">
        <f t="array" aca="1" ref="Q14" ca="1">INDEX('Isaac 401k'!L:L,MATCH('Retirement Calculator'!A14,'Isaac 401k'!N:N,0),0)</f>
        <v>3067444.9093028768</v>
      </c>
      <c r="R14" s="25">
        <f t="array" aca="1" ref="R14" ca="1">INDEX('Lorri 401b'!L:L,MATCH('Retirement Calculator'!A14,'Lorri 401b'!N:N,0),0)</f>
        <v>3369103.5725940643</v>
      </c>
      <c r="S14" s="25">
        <f t="shared" ca="1" si="7"/>
        <v>6436548.4818969406</v>
      </c>
    </row>
    <row r="15" spans="1:19" ht="14.4" x14ac:dyDescent="0.3">
      <c r="A15" s="37">
        <v>51410</v>
      </c>
      <c r="B15" s="409">
        <f t="shared" ref="B15:C15" si="11">($A15-B$9)/365.25</f>
        <v>58.874743326488705</v>
      </c>
      <c r="C15" s="409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3525.4531757812501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31188.244538569645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7964.8254614303487</v>
      </c>
      <c r="P15" s="25">
        <f t="shared" si="6"/>
        <v>31188.244538569645</v>
      </c>
      <c r="Q15" s="25">
        <f t="array" aca="1" ref="Q15" ca="1">INDEX('Isaac 401k'!L:L,MATCH('Retirement Calculator'!A15,'Isaac 401k'!N:N,0),0)</f>
        <v>3048907.734200825</v>
      </c>
      <c r="R15" s="25">
        <f t="array" aca="1" ref="R15" ca="1">INDEX('Lorri 401b'!L:L,MATCH('Retirement Calculator'!A15,'Lorri 401b'!N:N,0),0)</f>
        <v>3383141.5041465396</v>
      </c>
      <c r="S15" s="25">
        <f t="shared" ca="1" si="7"/>
        <v>6432049.2383473646</v>
      </c>
    </row>
    <row r="16" spans="1:19" ht="14.4" x14ac:dyDescent="0.3">
      <c r="A16" s="37">
        <v>51441</v>
      </c>
      <c r="B16" s="409">
        <f t="shared" ref="B16:C16" si="12">($A16-B$9)/365.25</f>
        <v>58.959616700889804</v>
      </c>
      <c r="C16" s="409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3525.4531757812501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31188.244538569645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7964.8254614303487</v>
      </c>
      <c r="P16" s="25">
        <f t="shared" si="6"/>
        <v>31188.244538569645</v>
      </c>
      <c r="Q16" s="25">
        <f t="array" aca="1" ref="Q16" ca="1">INDEX('Isaac 401k'!L:L,MATCH('Retirement Calculator'!A16,'Isaac 401k'!N:N,0),0)</f>
        <v>3030293.3208691813</v>
      </c>
      <c r="R16" s="25">
        <f t="array" aca="1" ref="R16" ca="1">INDEX('Lorri 401b'!L:L,MATCH('Retirement Calculator'!A16,'Lorri 401b'!N:N,0),0)</f>
        <v>3397237.9270804836</v>
      </c>
      <c r="S16" s="25">
        <f t="shared" ca="1" si="7"/>
        <v>6427531.2479496654</v>
      </c>
    </row>
    <row r="17" spans="1:19" ht="14.4" x14ac:dyDescent="0.3">
      <c r="A17" s="37">
        <v>51471</v>
      </c>
      <c r="B17" s="409">
        <f t="shared" ref="B17:C17" si="13">($A17-B$9)/365.25</f>
        <v>59.041752224503767</v>
      </c>
      <c r="C17" s="409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3525.4531757812501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31188.244538569645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7964.8254614303487</v>
      </c>
      <c r="P17" s="25">
        <f t="shared" si="6"/>
        <v>31188.244538569645</v>
      </c>
      <c r="Q17" s="25">
        <f t="array" aca="1" ref="Q17" ca="1">INDEX('Isaac 401k'!L:L,MATCH('Retirement Calculator'!A17,'Isaac 401k'!N:N,0),0)</f>
        <v>3011601.3474819888</v>
      </c>
      <c r="R17" s="25">
        <f t="array" aca="1" ref="R17" ca="1">INDEX('Lorri 401b'!L:L,MATCH('Retirement Calculator'!A17,'Lorri 401b'!N:N,0),0)</f>
        <v>3411393.0851099854</v>
      </c>
      <c r="S17" s="25">
        <f t="shared" ca="1" si="7"/>
        <v>6422994.4325919747</v>
      </c>
    </row>
    <row r="18" spans="1:19" ht="14.4" x14ac:dyDescent="0.3">
      <c r="A18" s="37">
        <v>51502</v>
      </c>
      <c r="B18" s="409">
        <f t="shared" ref="B18:C18" si="14">($A18-B$9)/365.25</f>
        <v>59.126625598904859</v>
      </c>
      <c r="C18" s="409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3525.4531757812501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31188.244538569645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7964.8254614303487</v>
      </c>
      <c r="P18" s="25">
        <f t="shared" si="6"/>
        <v>31188.244538569645</v>
      </c>
      <c r="Q18" s="25">
        <f t="array" aca="1" ref="Q18" ca="1">INDEX('Isaac 401k'!L:L,MATCH('Retirement Calculator'!A18,'Isaac 401k'!N:N,0),0)</f>
        <v>2992831.4908723501</v>
      </c>
      <c r="R18" s="25">
        <f t="array" aca="1" ref="R18" ca="1">INDEX('Lorri 401b'!L:L,MATCH('Retirement Calculator'!A18,'Lorri 401b'!N:N,0),0)</f>
        <v>3425607.2229646104</v>
      </c>
      <c r="S18" s="25">
        <f t="shared" ca="1" si="7"/>
        <v>6418438.7138369605</v>
      </c>
    </row>
    <row r="19" spans="1:19" ht="14.4" x14ac:dyDescent="0.3">
      <c r="A19" s="37">
        <v>51533</v>
      </c>
      <c r="B19" s="409">
        <f t="shared" ref="B19:C19" si="15">($A19-B$9)/365.25</f>
        <v>59.211498973305957</v>
      </c>
      <c r="C19" s="409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3525.4531757812501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31188.244538569645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7964.8254614303487</v>
      </c>
      <c r="P19" s="25">
        <f t="shared" si="6"/>
        <v>31188.244538569645</v>
      </c>
      <c r="Q19" s="25">
        <f t="array" aca="1" ref="Q19" ca="1">INDEX('Isaac 401k'!L:L,MATCH('Retirement Calculator'!A19,'Isaac 401k'!N:N,0),0)</f>
        <v>2973983.4265268375</v>
      </c>
      <c r="R19" s="25">
        <f t="array" aca="1" ref="R19" ca="1">INDEX('Lorri 401b'!L:L,MATCH('Retirement Calculator'!A19,'Lorri 401b'!N:N,0),0)</f>
        <v>3439880.5863936297</v>
      </c>
      <c r="S19" s="25">
        <f t="shared" ca="1" si="7"/>
        <v>6413864.0129204672</v>
      </c>
    </row>
    <row r="20" spans="1:19" ht="14.4" x14ac:dyDescent="0.3">
      <c r="A20" s="37">
        <v>51561</v>
      </c>
      <c r="B20" s="409">
        <f t="shared" ref="B20:C20" si="16">($A20-B$9)/365.25</f>
        <v>59.288158795345652</v>
      </c>
      <c r="C20" s="409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3525.4531757812501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31188.244538569645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7964.8254614303487</v>
      </c>
      <c r="P20" s="25">
        <f t="shared" si="6"/>
        <v>31188.244538569645</v>
      </c>
      <c r="Q20" s="25">
        <f t="array" aca="1" ref="Q20" ca="1">INDEX('Isaac 401k'!L:L,MATCH('Retirement Calculator'!A20,'Isaac 401k'!N:N,0),0)</f>
        <v>2955056.8285798854</v>
      </c>
      <c r="R20" s="25">
        <f t="array" aca="1" ref="R20" ca="1">INDEX('Lorri 401b'!L:L,MATCH('Retirement Calculator'!A20,'Lorri 401b'!N:N,0),0)</f>
        <v>3454213.4221702698</v>
      </c>
      <c r="S20" s="25">
        <f t="shared" ca="1" si="7"/>
        <v>6409270.2507501552</v>
      </c>
    </row>
    <row r="21" spans="1:19" ht="15.75" customHeight="1" x14ac:dyDescent="0.3">
      <c r="A21" s="37">
        <v>51592</v>
      </c>
      <c r="B21" s="409">
        <f t="shared" ref="B21:C21" si="17">($A21-B$9)/365.25</f>
        <v>59.37303216974675</v>
      </c>
      <c r="C21" s="409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3525.4531757812501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31188.244538569645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7964.8254614303487</v>
      </c>
      <c r="P21" s="25">
        <f t="shared" si="6"/>
        <v>31188.244538569645</v>
      </c>
      <c r="Q21" s="25">
        <f t="array" aca="1" ref="Q21" ca="1">INDEX('Isaac 401k'!L:L,MATCH('Retirement Calculator'!A21,'Isaac 401k'!N:N,0),0)</f>
        <v>2936051.3698081542</v>
      </c>
      <c r="R21" s="25">
        <f t="array" aca="1" ref="R21" ca="1">INDEX('Lorri 401b'!L:L,MATCH('Retirement Calculator'!A21,'Lorri 401b'!N:N,0),0)</f>
        <v>3468605.9780959794</v>
      </c>
      <c r="S21" s="25">
        <f t="shared" ca="1" si="7"/>
        <v>6404657.3479041336</v>
      </c>
    </row>
    <row r="22" spans="1:19" ht="15.75" customHeight="1" x14ac:dyDescent="0.3">
      <c r="A22" s="37">
        <v>51622</v>
      </c>
      <c r="B22" s="409">
        <f t="shared" ref="B22:C22" si="18">($A22-B$9)/365.25</f>
        <v>59.455167693360714</v>
      </c>
      <c r="C22" s="409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3525.4531757812501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31188.244538569645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7964.8254614303487</v>
      </c>
      <c r="P22" s="25">
        <f t="shared" si="6"/>
        <v>31188.244538569645</v>
      </c>
      <c r="Q22" s="25">
        <f t="array" aca="1" ref="Q22" ca="1">INDEX('Isaac 401k'!L:L,MATCH('Retirement Calculator'!A22,'Isaac 401k'!N:N,0),0)</f>
        <v>2916966.7216248745</v>
      </c>
      <c r="R22" s="25">
        <f t="array" aca="1" ref="R22" ca="1">INDEX('Lorri 401b'!L:L,MATCH('Retirement Calculator'!A22,'Lorri 401b'!N:N,0),0)</f>
        <v>3483058.5030047125</v>
      </c>
      <c r="S22" s="25">
        <f t="shared" ca="1" si="7"/>
        <v>6400025.2246295866</v>
      </c>
    </row>
    <row r="23" spans="1:19" ht="15.75" customHeight="1" x14ac:dyDescent="0.3">
      <c r="A23" s="37">
        <v>51653</v>
      </c>
      <c r="B23" s="409">
        <f t="shared" ref="B23:C23" si="19">($A23-B$9)/365.25</f>
        <v>59.540041067761805</v>
      </c>
      <c r="C23" s="409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3525.4531757812501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31188.244538569645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7964.8254614303487</v>
      </c>
      <c r="P23" s="25">
        <f t="shared" si="6"/>
        <v>31188.244538569645</v>
      </c>
      <c r="Q23" s="25">
        <f t="array" aca="1" ref="Q23" ca="1">INDEX('Isaac 401k'!L:L,MATCH('Retirement Calculator'!A23,'Isaac 401k'!N:N,0),0)</f>
        <v>2897802.5540741645</v>
      </c>
      <c r="R23" s="25">
        <f t="array" aca="1" ref="R23" ca="1">INDEX('Lorri 401b'!L:L,MATCH('Retirement Calculator'!A23,'Lorri 401b'!N:N,0),0)</f>
        <v>3497571.2467672322</v>
      </c>
      <c r="S23" s="25">
        <f t="shared" ca="1" si="7"/>
        <v>6395373.8008413967</v>
      </c>
    </row>
    <row r="24" spans="1:19" ht="15.75" customHeight="1" x14ac:dyDescent="0.3">
      <c r="A24" s="37">
        <v>51683</v>
      </c>
      <c r="B24" s="409">
        <f t="shared" ref="B24:C24" si="20">($A24-B$9)/365.25</f>
        <v>59.622176591375769</v>
      </c>
      <c r="C24" s="409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3525.4531757812501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31188.244538569645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7964.8254614303487</v>
      </c>
      <c r="P24" s="25">
        <f t="shared" si="6"/>
        <v>31188.244538569645</v>
      </c>
      <c r="Q24" s="25">
        <f t="array" aca="1" ref="Q24" ca="1">INDEX('Isaac 401k'!L:L,MATCH('Retirement Calculator'!A24,'Isaac 401k'!N:N,0),0)</f>
        <v>2878558.5358253261</v>
      </c>
      <c r="R24" s="25">
        <f t="array" aca="1" ref="R24" ca="1">INDEX('Lorri 401b'!L:L,MATCH('Retirement Calculator'!A24,'Lorri 401b'!N:N,0),0)</f>
        <v>3512144.460295429</v>
      </c>
      <c r="S24" s="25">
        <f t="shared" ca="1" si="7"/>
        <v>6390702.9961207546</v>
      </c>
    </row>
    <row r="25" spans="1:19" ht="15.75" customHeight="1" x14ac:dyDescent="0.3">
      <c r="A25" s="37">
        <v>51714</v>
      </c>
      <c r="B25" s="409">
        <f t="shared" ref="B25:C25" si="21">($A25-B$9)/365.25</f>
        <v>59.707049965776868</v>
      </c>
      <c r="C25" s="409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3525.4531757812501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31188.244538569645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7964.8254614303487</v>
      </c>
      <c r="P25" s="25">
        <f t="shared" si="6"/>
        <v>31188.244538569645</v>
      </c>
      <c r="Q25" s="25">
        <f t="array" aca="1" ref="Q25" ca="1">INDEX('Isaac 401k'!L:L,MATCH('Retirement Calculator'!A25,'Isaac 401k'!N:N,0),0)</f>
        <v>2859234.3341671177</v>
      </c>
      <c r="R25" s="25">
        <f t="array" aca="1" ref="R25" ca="1">INDEX('Lorri 401b'!L:L,MATCH('Retirement Calculator'!A25,'Lorri 401b'!N:N,0),0)</f>
        <v>3526778.3955466598</v>
      </c>
      <c r="S25" s="25">
        <f t="shared" ca="1" si="7"/>
        <v>6386012.7297137771</v>
      </c>
    </row>
    <row r="26" spans="1:19" ht="15.75" customHeight="1" x14ac:dyDescent="0.3">
      <c r="A26" s="37">
        <v>51745</v>
      </c>
      <c r="B26" s="409">
        <f t="shared" ref="B26:C26" si="22">($A26-B$9)/365.25</f>
        <v>59.791923340177959</v>
      </c>
      <c r="C26" s="409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3525.4531757812501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31188.244538569645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7964.8254614303487</v>
      </c>
      <c r="P26" s="25">
        <f t="shared" si="6"/>
        <v>31188.244538569645</v>
      </c>
      <c r="Q26" s="25">
        <f t="array" aca="1" ref="Q26" ca="1">INDEX('Isaac 401k'!L:L,MATCH('Retirement Calculator'!A26,'Isaac 401k'!N:N,0),0)</f>
        <v>2839829.6150020002</v>
      </c>
      <c r="R26" s="25">
        <f t="array" aca="1" ref="R26" ca="1">INDEX('Lorri 401b'!L:L,MATCH('Retirement Calculator'!A26,'Lorri 401b'!N:N,0),0)</f>
        <v>3541473.3055281043</v>
      </c>
      <c r="S26" s="25">
        <f t="shared" ca="1" si="7"/>
        <v>6381302.920530105</v>
      </c>
    </row>
    <row r="27" spans="1:19" ht="15.75" customHeight="1" x14ac:dyDescent="0.3">
      <c r="A27" s="37">
        <v>51775</v>
      </c>
      <c r="B27" s="409">
        <f t="shared" ref="B27:C27" si="23">($A27-B$9)/365.25</f>
        <v>59.874058863791923</v>
      </c>
      <c r="C27" s="409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3525.4531757812501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31188.244538569645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7964.8254614303487</v>
      </c>
      <c r="P27" s="25">
        <f t="shared" si="6"/>
        <v>31188.244538569645</v>
      </c>
      <c r="Q27" s="25">
        <f t="array" aca="1" ref="Q27" ca="1">INDEX('Isaac 401k'!L:L,MATCH('Retirement Calculator'!A27,'Isaac 401k'!N:N,0),0)</f>
        <v>2820344.0428403616</v>
      </c>
      <c r="R27" s="25">
        <f t="array" aca="1" ref="R27" ca="1">INDEX('Lorri 401b'!L:L,MATCH('Retirement Calculator'!A27,'Lorri 401b'!N:N,0),0)</f>
        <v>3556229.4443011382</v>
      </c>
      <c r="S27" s="25">
        <f t="shared" ca="1" si="7"/>
        <v>6376573.4871414993</v>
      </c>
    </row>
    <row r="28" spans="1:19" ht="15.75" customHeight="1" x14ac:dyDescent="0.3">
      <c r="A28" s="37">
        <v>51806</v>
      </c>
      <c r="B28" s="409">
        <f t="shared" ref="B28:C28" si="24">($A28-B$9)/365.25</f>
        <v>59.958932238193022</v>
      </c>
      <c r="C28" s="409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3525.4531757812501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31188.244538569645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7964.8254614303487</v>
      </c>
      <c r="P28" s="25">
        <f t="shared" si="6"/>
        <v>31188.244538569645</v>
      </c>
      <c r="Q28" s="25">
        <f t="array" aca="1" ref="Q28" ca="1">INDEX('Isaac 401k'!L:L,MATCH('Retirement Calculator'!A28,'Isaac 401k'!N:N,0),0)</f>
        <v>2800777.280794716</v>
      </c>
      <c r="R28" s="25">
        <f t="array" aca="1" ref="R28" ca="1">INDEX('Lorri 401b'!L:L,MATCH('Retirement Calculator'!A28,'Lorri 401b'!N:N,0),0)</f>
        <v>3571047.0669857264</v>
      </c>
      <c r="S28" s="25">
        <f t="shared" ca="1" si="7"/>
        <v>6371824.3477804419</v>
      </c>
    </row>
    <row r="29" spans="1:19" ht="15.75" customHeight="1" x14ac:dyDescent="0.3">
      <c r="A29" s="37">
        <v>51836</v>
      </c>
      <c r="B29" s="409">
        <f t="shared" ref="B29:C29" si="25">($A29-B$9)/365.25</f>
        <v>60.041067761806978</v>
      </c>
      <c r="C29" s="409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3525.4531757812501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31188.244538569645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7964.8254614303487</v>
      </c>
      <c r="P29" s="25">
        <f t="shared" si="6"/>
        <v>31188.244538569645</v>
      </c>
      <c r="Q29" s="25">
        <f t="array" aca="1" ref="Q29" ca="1">INDEX('Isaac 401k'!L:L,MATCH('Retirement Calculator'!A29,'Isaac 401k'!N:N,0),0)</f>
        <v>2781128.9905738803</v>
      </c>
      <c r="R29" s="25">
        <f t="array" aca="1" ref="R29" ca="1">INDEX('Lorri 401b'!L:L,MATCH('Retirement Calculator'!A29,'Lorri 401b'!N:N,0),0)</f>
        <v>3585926.4297648338</v>
      </c>
      <c r="S29" s="25">
        <f t="shared" ca="1" si="7"/>
        <v>6367055.4203387145</v>
      </c>
    </row>
    <row r="30" spans="1:19" ht="15.75" customHeight="1" x14ac:dyDescent="0.3">
      <c r="A30" s="37">
        <v>51867</v>
      </c>
      <c r="B30" s="409">
        <f t="shared" ref="B30:C30" si="26">($A30-B$9)/365.25</f>
        <v>60.125941136208077</v>
      </c>
      <c r="C30" s="409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3525.4531757812501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31188.244538569645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7964.8254614303487</v>
      </c>
      <c r="P30" s="25">
        <f t="shared" si="6"/>
        <v>31188.244538569645</v>
      </c>
      <c r="Q30" s="25">
        <f t="array" aca="1" ref="Q30" ca="1">INDEX('Isaac 401k'!L:L,MATCH('Retirement Calculator'!A30,'Isaac 401k'!N:N,0),0)</f>
        <v>2761398.8324771244</v>
      </c>
      <c r="R30" s="25">
        <f t="array" aca="1" ref="R30" ca="1">INDEX('Lorri 401b'!L:L,MATCH('Retirement Calculator'!A30,'Lorri 401b'!N:N,0),0)</f>
        <v>3600867.7898888541</v>
      </c>
      <c r="S30" s="25">
        <f t="shared" ca="1" si="7"/>
        <v>6362266.6223659785</v>
      </c>
    </row>
    <row r="31" spans="1:19" ht="15.75" customHeight="1" x14ac:dyDescent="0.3">
      <c r="A31" s="37">
        <v>51898</v>
      </c>
      <c r="B31" s="409">
        <f t="shared" ref="B31:C31" si="27">($A31-B$9)/365.25</f>
        <v>60.210814510609168</v>
      </c>
      <c r="C31" s="409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3525.4531757812501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31188.244538569645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7964.8254614303487</v>
      </c>
      <c r="P31" s="25">
        <f t="shared" si="6"/>
        <v>31188.244538569645</v>
      </c>
      <c r="Q31" s="25">
        <f t="array" aca="1" ref="Q31" ca="1">INDEX('Isaac 401k'!L:L,MATCH('Retirement Calculator'!A31,'Isaac 401k'!N:N,0),0)</f>
        <v>2741586.4653882985</v>
      </c>
      <c r="R31" s="25">
        <f t="array" aca="1" ref="R31" ca="1">INDEX('Lorri 401b'!L:L,MATCH('Retirement Calculator'!A31,'Lorri 401b'!N:N,0),0)</f>
        <v>3615871.4056800576</v>
      </c>
      <c r="S31" s="25">
        <f t="shared" ca="1" si="7"/>
        <v>6357457.8710683566</v>
      </c>
    </row>
    <row r="32" spans="1:19" ht="15.75" customHeight="1" x14ac:dyDescent="0.3">
      <c r="A32" s="37">
        <v>51926</v>
      </c>
      <c r="B32" s="409">
        <f t="shared" ref="B32:C32" si="28">($A32-B$9)/365.25</f>
        <v>60.28747433264887</v>
      </c>
      <c r="C32" s="409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3525.4531757812501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31188.244538569645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7964.8254614303487</v>
      </c>
      <c r="P32" s="25">
        <f t="shared" si="6"/>
        <v>31188.244538569645</v>
      </c>
      <c r="Q32" s="25">
        <f t="array" aca="1" ref="Q32" ca="1">INDEX('Isaac 401k'!L:L,MATCH('Retirement Calculator'!A32,'Isaac 401k'!N:N,0),0)</f>
        <v>2721691.5467699361</v>
      </c>
      <c r="R32" s="25">
        <f t="array" aca="1" ref="R32" ca="1">INDEX('Lorri 401b'!L:L,MATCH('Retirement Calculator'!A32,'Lorri 401b'!N:N,0),0)</f>
        <v>3630937.5365370577</v>
      </c>
      <c r="S32" s="25">
        <f t="shared" ca="1" si="7"/>
        <v>6352629.0833069943</v>
      </c>
    </row>
    <row r="33" spans="1:19" ht="15.75" customHeight="1" x14ac:dyDescent="0.3">
      <c r="A33" s="37">
        <v>51957</v>
      </c>
      <c r="B33" s="409">
        <f t="shared" ref="B33:C33" si="29">($A33-B$9)/365.25</f>
        <v>60.372347707049968</v>
      </c>
      <c r="C33" s="409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3525.4531757812501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31188.244538569645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7964.8254614303487</v>
      </c>
      <c r="P33" s="25">
        <f t="shared" si="6"/>
        <v>31188.244538569645</v>
      </c>
      <c r="Q33" s="25">
        <f t="array" aca="1" ref="Q33" ca="1">INDEX('Isaac 401k'!L:L,MATCH('Retirement Calculator'!A33,'Isaac 401k'!N:N,0),0)</f>
        <v>2701713.7326573301</v>
      </c>
      <c r="R33" s="25">
        <f t="array" aca="1" ref="R33" ca="1">INDEX('Lorri 401b'!L:L,MATCH('Retirement Calculator'!A33,'Lorri 401b'!N:N,0),0)</f>
        <v>3646066.4429392954</v>
      </c>
      <c r="S33" s="25">
        <f t="shared" ca="1" si="7"/>
        <v>6347780.1755966255</v>
      </c>
    </row>
    <row r="34" spans="1:19" ht="15.75" customHeight="1" x14ac:dyDescent="0.3">
      <c r="A34" s="37">
        <v>51987</v>
      </c>
      <c r="B34" s="409">
        <f t="shared" ref="B34:C34" si="30">($A34-B$9)/365.25</f>
        <v>60.454483230663932</v>
      </c>
      <c r="C34" s="409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3525.4531757812501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31188.244538569645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7964.8254614303487</v>
      </c>
      <c r="P34" s="25">
        <f t="shared" si="6"/>
        <v>31188.244538569645</v>
      </c>
      <c r="Q34" s="25">
        <f t="array" aca="1" ref="Q34" ca="1">INDEX('Isaac 401k'!L:L,MATCH('Retirement Calculator'!A34,'Isaac 401k'!N:N,0),0)</f>
        <v>2681652.6776525886</v>
      </c>
      <c r="R34" s="25">
        <f t="array" aca="1" ref="R34" ca="1">INDEX('Lorri 401b'!L:L,MATCH('Retirement Calculator'!A34,'Lorri 401b'!N:N,0),0)</f>
        <v>3661258.3864515424</v>
      </c>
      <c r="S34" s="25">
        <f t="shared" ca="1" si="7"/>
        <v>6342911.0641041305</v>
      </c>
    </row>
    <row r="35" spans="1:19" ht="15.75" customHeight="1" x14ac:dyDescent="0.3">
      <c r="A35" s="37">
        <v>52018</v>
      </c>
      <c r="B35" s="409">
        <f t="shared" ref="B35:C35" si="31">($A35-B$9)/365.25</f>
        <v>60.539356605065024</v>
      </c>
      <c r="C35" s="409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3525.4531757812501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31188.244538569645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7964.8254614303487</v>
      </c>
      <c r="P35" s="25">
        <f t="shared" si="6"/>
        <v>31188.244538569645</v>
      </c>
      <c r="Q35" s="25">
        <f t="array" aca="1" ref="Q35" ca="1">INDEX('Isaac 401k'!L:L,MATCH('Retirement Calculator'!A35,'Isaac 401k'!N:N,0),0)</f>
        <v>2661508.0349186603</v>
      </c>
      <c r="R35" s="25">
        <f t="array" aca="1" ref="R35" ca="1">INDEX('Lorri 401b'!L:L,MATCH('Retirement Calculator'!A35,'Lorri 401b'!N:N,0),0)</f>
        <v>3676513.6297284239</v>
      </c>
      <c r="S35" s="25">
        <f t="shared" ca="1" si="7"/>
        <v>6338021.6646470837</v>
      </c>
    </row>
    <row r="36" spans="1:19" ht="15.75" customHeight="1" x14ac:dyDescent="0.3">
      <c r="A36" s="37">
        <v>52048</v>
      </c>
      <c r="B36" s="409">
        <f t="shared" ref="B36:C36" si="32">($A36-B$9)/365.25</f>
        <v>60.621492128678987</v>
      </c>
      <c r="C36" s="409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3525.4531757812501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31188.244538569645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7964.8254614303487</v>
      </c>
      <c r="P36" s="25">
        <f t="shared" si="6"/>
        <v>31188.244538569645</v>
      </c>
      <c r="Q36" s="25">
        <f t="array" aca="1" ref="Q36" ca="1">INDEX('Isaac 401k'!L:L,MATCH('Retirement Calculator'!A36,'Isaac 401k'!N:N,0),0)</f>
        <v>2641279.4561733408</v>
      </c>
      <c r="R36" s="25">
        <f t="array" aca="1" ref="R36" ca="1">INDEX('Lorri 401b'!L:L,MATCH('Retirement Calculator'!A36,'Lorri 401b'!N:N,0),0)</f>
        <v>3691832.4365189588</v>
      </c>
      <c r="S36" s="25">
        <f t="shared" ca="1" si="7"/>
        <v>6333111.8926922996</v>
      </c>
    </row>
    <row r="37" spans="1:19" ht="15.75" customHeight="1" x14ac:dyDescent="0.3">
      <c r="A37" s="37">
        <v>52079</v>
      </c>
      <c r="B37" s="409">
        <f t="shared" ref="B37:C37" si="33">($A37-B$9)/365.25</f>
        <v>60.706365503080079</v>
      </c>
      <c r="C37" s="409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3525.4531757812501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31188.244538569645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7964.8254614303487</v>
      </c>
      <c r="P37" s="25">
        <f t="shared" si="6"/>
        <v>31188.244538569645</v>
      </c>
      <c r="Q37" s="25">
        <f t="array" aca="1" ref="Q37" ca="1">INDEX('Isaac 401k'!L:L,MATCH('Retirement Calculator'!A37,'Isaac 401k'!N:N,0),0)</f>
        <v>2620966.591683249</v>
      </c>
      <c r="R37" s="25">
        <f t="array" aca="1" ref="R37" ca="1">INDEX('Lorri 401b'!L:L,MATCH('Retirement Calculator'!A37,'Lorri 401b'!N:N,0),0)</f>
        <v>3707215.0716711213</v>
      </c>
      <c r="S37" s="25">
        <f t="shared" ca="1" si="7"/>
        <v>6328181.6633543707</v>
      </c>
    </row>
    <row r="38" spans="1:19" ht="15.75" customHeight="1" x14ac:dyDescent="0.3">
      <c r="A38" s="37">
        <v>52110</v>
      </c>
      <c r="B38" s="409">
        <f t="shared" ref="B38:C38" si="34">($A38-B$9)/365.25</f>
        <v>60.791238877481177</v>
      </c>
      <c r="C38" s="409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3525.4531757812501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31188.244538569645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7964.8254614303487</v>
      </c>
      <c r="P38" s="25">
        <f t="shared" si="6"/>
        <v>31188.244538569645</v>
      </c>
      <c r="Q38" s="25">
        <f t="array" aca="1" ref="Q38" ca="1">INDEX('Isaac 401k'!L:L,MATCH('Retirement Calculator'!A38,'Isaac 401k'!N:N,0),0)</f>
        <v>2600569.090257782</v>
      </c>
      <c r="R38" s="25">
        <f t="array" aca="1" ref="R38" ca="1">INDEX('Lorri 401b'!L:L,MATCH('Retirement Calculator'!A38,'Lorri 401b'!N:N,0),0)</f>
        <v>3722661.8011364178</v>
      </c>
      <c r="S38" s="25">
        <f t="shared" ca="1" si="7"/>
        <v>6323230.8913941998</v>
      </c>
    </row>
    <row r="39" spans="1:19" ht="15.75" customHeight="1" x14ac:dyDescent="0.3">
      <c r="A39" s="37">
        <v>52140</v>
      </c>
      <c r="B39" s="409">
        <f t="shared" ref="B39:C39" si="35">($A39-B$9)/365.25</f>
        <v>60.873374401095141</v>
      </c>
      <c r="C39" s="409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3525.4531757812501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31188.244538569645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7964.8254614303487</v>
      </c>
      <c r="P39" s="25">
        <f t="shared" si="6"/>
        <v>31188.244538569645</v>
      </c>
      <c r="Q39" s="25">
        <f t="array" aca="1" ref="Q39" ca="1">INDEX('Isaac 401k'!L:L,MATCH('Retirement Calculator'!A39,'Isaac 401k'!N:N,0),0)</f>
        <v>2580086.5992430421</v>
      </c>
      <c r="R39" s="25">
        <f t="array" aca="1" ref="R39" ca="1">INDEX('Lorri 401b'!L:L,MATCH('Retirement Calculator'!A39,'Lorri 401b'!N:N,0),0)</f>
        <v>3738172.8919744864</v>
      </c>
      <c r="S39" s="25">
        <f t="shared" ca="1" si="7"/>
        <v>6318259.4912175285</v>
      </c>
    </row>
    <row r="40" spans="1:19" ht="15.75" customHeight="1" x14ac:dyDescent="0.3">
      <c r="A40" s="37">
        <v>52171</v>
      </c>
      <c r="B40" s="409">
        <f t="shared" ref="B40:C40" si="36">($A40-B$9)/365.25</f>
        <v>60.958247775496233</v>
      </c>
      <c r="C40" s="409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3525.4531757812501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31188.244538569645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7964.8254614303487</v>
      </c>
      <c r="P40" s="25">
        <f t="shared" si="6"/>
        <v>31188.244538569645</v>
      </c>
      <c r="Q40" s="25">
        <f t="array" aca="1" ref="Q40" ca="1">INDEX('Isaac 401k'!L:L,MATCH('Retirement Calculator'!A40,'Isaac 401k'!N:N,0),0)</f>
        <v>2559518.7645157408</v>
      </c>
      <c r="R40" s="25">
        <f t="array" aca="1" ref="R40" ca="1">INDEX('Lorri 401b'!L:L,MATCH('Retirement Calculator'!A40,'Lorri 401b'!N:N,0),0)</f>
        <v>3753748.6123577133</v>
      </c>
      <c r="S40" s="25">
        <f t="shared" ca="1" si="7"/>
        <v>6313267.3768734541</v>
      </c>
    </row>
    <row r="41" spans="1:19" ht="15.75" customHeight="1" x14ac:dyDescent="0.3">
      <c r="A41" s="37">
        <v>52201</v>
      </c>
      <c r="B41" s="409">
        <f t="shared" ref="B41:C41" si="37">($A41-B$9)/365.25</f>
        <v>61.040383299110196</v>
      </c>
      <c r="C41" s="409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3525.4531757812501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31188.244538569645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7964.8254614303487</v>
      </c>
      <c r="P41" s="25">
        <f t="shared" si="6"/>
        <v>31188.244538569645</v>
      </c>
      <c r="Q41" s="25">
        <f t="array" aca="1" ref="Q41" ca="1">INDEX('Isaac 401k'!L:L,MATCH('Retirement Calculator'!A41,'Isaac 401k'!N:N,0),0)</f>
        <v>2538865.230477076</v>
      </c>
      <c r="R41" s="25">
        <f t="array" aca="1" ref="R41" ca="1">INDEX('Lorri 401b'!L:L,MATCH('Retirement Calculator'!A41,'Lorri 401b'!N:N,0),0)</f>
        <v>3769389.2315758704</v>
      </c>
      <c r="S41" s="25">
        <f t="shared" ca="1" si="7"/>
        <v>6308254.4620529469</v>
      </c>
    </row>
    <row r="42" spans="1:19" ht="15.75" customHeight="1" x14ac:dyDescent="0.3">
      <c r="A42" s="37">
        <v>52232</v>
      </c>
      <c r="B42" s="409">
        <f t="shared" ref="B42:C42" si="38">($A42-B$9)/365.25</f>
        <v>61.125256673511295</v>
      </c>
      <c r="C42" s="409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3525.4531757812501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31188.244538569645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7964.8254614303487</v>
      </c>
      <c r="P42" s="25">
        <f t="shared" si="6"/>
        <v>31188.244538569645</v>
      </c>
      <c r="Q42" s="25">
        <f t="array" aca="1" ref="Q42" ca="1">INDEX('Isaac 401k'!L:L,MATCH('Retirement Calculator'!A42,'Isaac 401k'!N:N,0),0)</f>
        <v>2518125.6400465835</v>
      </c>
      <c r="R42" s="25">
        <f t="array" aca="1" ref="R42" ca="1">INDEX('Lorri 401b'!L:L,MATCH('Retirement Calculator'!A42,'Lorri 401b'!N:N,0),0)</f>
        <v>3785095.0200407701</v>
      </c>
      <c r="S42" s="25">
        <f t="shared" ca="1" si="7"/>
        <v>6303220.6600873535</v>
      </c>
    </row>
    <row r="43" spans="1:19" ht="15.75" customHeight="1" x14ac:dyDescent="0.3">
      <c r="A43" s="37">
        <v>52263</v>
      </c>
      <c r="B43" s="409">
        <f t="shared" ref="B43:C43" si="39">($A43-B$9)/365.25</f>
        <v>61.210130047912386</v>
      </c>
      <c r="C43" s="409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3525.4531757812501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31188.244538569645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7964.8254614303487</v>
      </c>
      <c r="P43" s="25">
        <f t="shared" si="6"/>
        <v>31188.244538569645</v>
      </c>
      <c r="Q43" s="25">
        <f t="array" aca="1" ref="Q43" ca="1">INDEX('Isaac 401k'!L:L,MATCH('Retirement Calculator'!A43,'Isaac 401k'!N:N,0),0)</f>
        <v>2497299.6346559636</v>
      </c>
      <c r="R43" s="25">
        <f t="array" aca="1" ref="R43" ca="1">INDEX('Lorri 401b'!L:L,MATCH('Retirement Calculator'!A43,'Lorri 401b'!N:N,0),0)</f>
        <v>3800866.2492909399</v>
      </c>
      <c r="S43" s="25">
        <f t="shared" ca="1" si="7"/>
        <v>6298165.883946903</v>
      </c>
    </row>
    <row r="44" spans="1:19" ht="15.75" customHeight="1" x14ac:dyDescent="0.3">
      <c r="A44" s="37">
        <v>52291</v>
      </c>
      <c r="B44" s="409">
        <f t="shared" ref="B44:C44" si="40">($A44-B$9)/365.25</f>
        <v>61.286789869952088</v>
      </c>
      <c r="C44" s="409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3525.4531757812501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31188.244538569645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7964.8254614303487</v>
      </c>
      <c r="P44" s="25">
        <f t="shared" si="6"/>
        <v>31188.244538569645</v>
      </c>
      <c r="Q44" s="25">
        <f t="array" aca="1" ref="Q44" ca="1">INDEX('Isaac 401k'!L:L,MATCH('Retirement Calculator'!A44,'Isaac 401k'!N:N,0),0)</f>
        <v>2476386.8542428832</v>
      </c>
      <c r="R44" s="25">
        <f t="array" aca="1" ref="R44" ca="1">INDEX('Lorri 401b'!L:L,MATCH('Retirement Calculator'!A44,'Lorri 401b'!N:N,0),0)</f>
        <v>3816703.1919963188</v>
      </c>
      <c r="S44" s="25">
        <f t="shared" ca="1" si="7"/>
        <v>6293090.0462392019</v>
      </c>
    </row>
    <row r="45" spans="1:19" ht="15.75" customHeight="1" x14ac:dyDescent="0.3">
      <c r="A45" s="37">
        <v>52322</v>
      </c>
      <c r="B45" s="409">
        <f t="shared" ref="B45:C45" si="41">($A45-B$9)/365.25</f>
        <v>61.371663244353179</v>
      </c>
      <c r="C45" s="409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3525.4531757812501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31188.244538569645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7964.8254614303487</v>
      </c>
      <c r="P45" s="25">
        <f t="shared" si="6"/>
        <v>31188.244538569645</v>
      </c>
      <c r="Q45" s="25">
        <f t="array" aca="1" ref="Q45" ca="1">INDEX('Isaac 401k'!L:L,MATCH('Retirement Calculator'!A45,'Isaac 401k'!N:N,0),0)</f>
        <v>2455386.9372447478</v>
      </c>
      <c r="R45" s="25">
        <f t="array" aca="1" ref="R45" ca="1">INDEX('Lorri 401b'!L:L,MATCH('Retirement Calculator'!A45,'Lorri 401b'!N:N,0),0)</f>
        <v>3832606.1219629701</v>
      </c>
      <c r="S45" s="25">
        <f t="shared" ca="1" si="7"/>
        <v>6287993.0592077179</v>
      </c>
    </row>
    <row r="46" spans="1:19" ht="15.75" customHeight="1" x14ac:dyDescent="0.3">
      <c r="A46" s="37">
        <v>52352</v>
      </c>
      <c r="B46" s="409">
        <f t="shared" ref="B46:C46" si="42">($A46-B$9)/365.25</f>
        <v>61.453798767967143</v>
      </c>
      <c r="C46" s="409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3525.4531757812501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31188.244538569645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7964.8254614303487</v>
      </c>
      <c r="P46" s="25">
        <f t="shared" si="6"/>
        <v>31188.244538569645</v>
      </c>
      <c r="Q46" s="25">
        <f t="array" aca="1" ref="Q46" ca="1">INDEX('Isaac 401k'!L:L,MATCH('Retirement Calculator'!A46,'Isaac 401k'!N:N,0),0)</f>
        <v>2434299.5205924539</v>
      </c>
      <c r="R46" s="25">
        <f t="array" aca="1" ref="R46" ca="1">INDEX('Lorri 401b'!L:L,MATCH('Retirement Calculator'!A46,'Lorri 401b'!N:N,0),0)</f>
        <v>3848575.314137816</v>
      </c>
      <c r="S46" s="25">
        <f t="shared" ca="1" si="7"/>
        <v>6282874.8347302694</v>
      </c>
    </row>
    <row r="47" spans="1:19" ht="15.75" customHeight="1" x14ac:dyDescent="0.3">
      <c r="A47" s="37">
        <v>52383</v>
      </c>
      <c r="B47" s="409">
        <f t="shared" ref="B47:C47" si="43">($A47-B$9)/365.25</f>
        <v>61.538672142368242</v>
      </c>
      <c r="C47" s="409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3525.4531757812501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31188.244538569645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7964.8254614303487</v>
      </c>
      <c r="P47" s="25">
        <f t="shared" si="6"/>
        <v>31188.244538569645</v>
      </c>
      <c r="Q47" s="25">
        <f t="array" aca="1" ref="Q47" ca="1">INDEX('Isaac 401k'!L:L,MATCH('Retirement Calculator'!A47,'Isaac 401k'!N:N,0),0)</f>
        <v>2413124.2397041088</v>
      </c>
      <c r="R47" s="25">
        <f t="array" aca="1" ref="R47" ca="1">INDEX('Lorri 401b'!L:L,MATCH('Retirement Calculator'!A47,'Lorri 401b'!N:N,0),0)</f>
        <v>3864611.0446133902</v>
      </c>
      <c r="S47" s="25">
        <f t="shared" ca="1" si="7"/>
        <v>6277735.284317499</v>
      </c>
    </row>
    <row r="48" spans="1:19" ht="15.75" customHeight="1" x14ac:dyDescent="0.3">
      <c r="A48" s="37">
        <v>52413</v>
      </c>
      <c r="B48" s="409">
        <f t="shared" ref="B48:C48" si="44">($A48-B$9)/365.25</f>
        <v>61.620807665982205</v>
      </c>
      <c r="C48" s="409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3525.4531757812501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31188.244538569645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7964.8254614303487</v>
      </c>
      <c r="P48" s="25">
        <f t="shared" si="6"/>
        <v>31188.244538569645</v>
      </c>
      <c r="Q48" s="25">
        <f t="array" aca="1" ref="Q48" ca="1">INDEX('Isaac 401k'!L:L,MATCH('Retirement Calculator'!A48,'Isaac 401k'!N:N,0),0)</f>
        <v>2391860.7284787288</v>
      </c>
      <c r="R48" s="25">
        <f t="array" aca="1" ref="R48" ca="1">INDEX('Lorri 401b'!L:L,MATCH('Retirement Calculator'!A48,'Lorri 401b'!N:N,0),0)</f>
        <v>3880713.5906326128</v>
      </c>
      <c r="S48" s="25">
        <f t="shared" ca="1" si="7"/>
        <v>6272574.3191113416</v>
      </c>
    </row>
    <row r="49" spans="1:19" ht="15.75" customHeight="1" x14ac:dyDescent="0.3">
      <c r="A49" s="37">
        <v>52444</v>
      </c>
      <c r="B49" s="409">
        <f t="shared" ref="B49:C49" si="45">($A49-B$9)/365.25</f>
        <v>61.705681040383297</v>
      </c>
      <c r="C49" s="409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3525.4531757812501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31188.244538569645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7964.8254614303487</v>
      </c>
      <c r="P49" s="25">
        <f t="shared" si="6"/>
        <v>31188.244538569645</v>
      </c>
      <c r="Q49" s="25">
        <f t="array" aca="1" ref="Q49" ca="1">INDEX('Isaac 401k'!L:L,MATCH('Retirement Calculator'!A49,'Isaac 401k'!N:N,0),0)</f>
        <v>2370508.6192899095</v>
      </c>
      <c r="R49" s="25">
        <f t="array" aca="1" ref="R49" ca="1">INDEX('Lorri 401b'!L:L,MATCH('Retirement Calculator'!A49,'Lorri 401b'!N:N,0),0)</f>
        <v>3896883.2305935821</v>
      </c>
      <c r="S49" s="25">
        <f t="shared" ca="1" si="7"/>
        <v>6267391.8498834912</v>
      </c>
    </row>
    <row r="50" spans="1:19" ht="15.75" customHeight="1" x14ac:dyDescent="0.3">
      <c r="A50" s="37">
        <v>52475</v>
      </c>
      <c r="B50" s="409">
        <f t="shared" ref="B50:C50" si="46">($A50-B$9)/365.25</f>
        <v>61.790554414784395</v>
      </c>
      <c r="C50" s="409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3525.4531757812501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31188.244538569645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7964.8254614303487</v>
      </c>
      <c r="P50" s="25">
        <f t="shared" si="6"/>
        <v>31188.244538569645</v>
      </c>
      <c r="Q50" s="25">
        <f t="array" aca="1" ref="Q50" ca="1">INDEX('Isaac 401k'!L:L,MATCH('Retirement Calculator'!A50,'Isaac 401k'!N:N,0),0)</f>
        <v>2349067.5429794705</v>
      </c>
      <c r="R50" s="25">
        <f t="array" aca="1" ref="R50" ca="1">INDEX('Lorri 401b'!L:L,MATCH('Retirement Calculator'!A50,'Lorri 401b'!N:N,0),0)</f>
        <v>3913120.2440543887</v>
      </c>
      <c r="S50" s="25">
        <f t="shared" ca="1" si="7"/>
        <v>6262187.7870338596</v>
      </c>
    </row>
    <row r="51" spans="1:19" ht="15.75" customHeight="1" x14ac:dyDescent="0.3">
      <c r="A51" s="37">
        <v>52505</v>
      </c>
      <c r="B51" s="409">
        <f t="shared" ref="B51:C51" si="47">($A51-B$9)/365.25</f>
        <v>61.872689938398359</v>
      </c>
      <c r="C51" s="409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3525.4531757812501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31188.244538569645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7964.8254614303487</v>
      </c>
      <c r="P51" s="25">
        <f t="shared" si="6"/>
        <v>31188.244538569645</v>
      </c>
      <c r="Q51" s="25">
        <f t="array" aca="1" ref="Q51" ca="1">INDEX('Isaac 401k'!L:L,MATCH('Retirement Calculator'!A51,'Isaac 401k'!N:N,0),0)</f>
        <v>2327537.128851071</v>
      </c>
      <c r="R51" s="25">
        <f t="array" aca="1" ref="R51" ca="1">INDEX('Lorri 401b'!L:L,MATCH('Retirement Calculator'!A51,'Lorri 401b'!N:N,0),0)</f>
        <v>3929424.9117379487</v>
      </c>
      <c r="S51" s="25">
        <f t="shared" ca="1" si="7"/>
        <v>6256962.0405890197</v>
      </c>
    </row>
    <row r="52" spans="1:19" ht="15.75" customHeight="1" x14ac:dyDescent="0.3">
      <c r="A52" s="37">
        <v>52536</v>
      </c>
      <c r="B52" s="409">
        <f t="shared" ref="B52:C52" si="48">($A52-B$9)/365.25</f>
        <v>61.957563312799451</v>
      </c>
      <c r="C52" s="409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3525.4531757812501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31188.244538569645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7964.8254614303487</v>
      </c>
      <c r="P52" s="25">
        <f t="shared" si="6"/>
        <v>31188.244538569645</v>
      </c>
      <c r="Q52" s="25">
        <f t="array" aca="1" ref="Q52" ca="1">INDEX('Isaac 401k'!L:L,MATCH('Retirement Calculator'!A52,'Isaac 401k'!N:N,0),0)</f>
        <v>2305917.0046638031</v>
      </c>
      <c r="R52" s="25">
        <f t="array" aca="1" ref="R52" ca="1">INDEX('Lorri 401b'!L:L,MATCH('Retirement Calculator'!A52,'Lorri 401b'!N:N,0),0)</f>
        <v>3945797.5155368568</v>
      </c>
      <c r="S52" s="25">
        <f t="shared" ca="1" si="7"/>
        <v>6251714.5202006605</v>
      </c>
    </row>
    <row r="53" spans="1:19" ht="15.75" customHeight="1" x14ac:dyDescent="0.3">
      <c r="A53" s="37">
        <v>52566</v>
      </c>
      <c r="B53" s="409">
        <f t="shared" ref="B53:C53" si="49">($A53-B$9)/365.25</f>
        <v>62.039698836413415</v>
      </c>
      <c r="C53" s="409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3525.4531757812501</v>
      </c>
      <c r="H53" s="25">
        <f>IF(B53&lt;62,0,'Combined Retirement'!$I$14)</f>
        <v>2192</v>
      </c>
      <c r="I53" s="25">
        <f>IF(C53&lt;62,0,'Combined Retirement'!$I$13)</f>
        <v>0</v>
      </c>
      <c r="J53" s="25">
        <f t="shared" si="3"/>
        <v>30565.244538569641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8587.8254614303496</v>
      </c>
      <c r="P53" s="25">
        <f t="shared" si="6"/>
        <v>30565.244538569641</v>
      </c>
      <c r="Q53" s="25">
        <f t="array" aca="1" ref="Q53" ca="1">INDEX('Isaac 401k'!L:L,MATCH('Retirement Calculator'!A53,'Isaac 401k'!N:N,0),0)</f>
        <v>2284832.3924590885</v>
      </c>
      <c r="R53" s="25">
        <f t="array" aca="1" ref="R53" ca="1">INDEX('Lorri 401b'!L:L,MATCH('Retirement Calculator'!A53,'Lorri 401b'!N:N,0),0)</f>
        <v>3962238.3385182605</v>
      </c>
      <c r="S53" s="25">
        <f t="shared" ca="1" si="7"/>
        <v>6247070.730977349</v>
      </c>
    </row>
    <row r="54" spans="1:19" ht="15.75" customHeight="1" x14ac:dyDescent="0.3">
      <c r="A54" s="37">
        <v>52597</v>
      </c>
      <c r="B54" s="409">
        <f t="shared" ref="B54:C54" si="50">($A54-B$9)/365.25</f>
        <v>62.124572210814513</v>
      </c>
      <c r="C54" s="409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3525.4531757812501</v>
      </c>
      <c r="H54" s="25">
        <f>IF(B54&lt;62,0,'Combined Retirement'!$I$14)</f>
        <v>2192</v>
      </c>
      <c r="I54" s="25">
        <f>IF(C54&lt;62,0,'Combined Retirement'!$I$13)</f>
        <v>0</v>
      </c>
      <c r="J54" s="25">
        <f t="shared" si="3"/>
        <v>30565.244538569641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8587.8254614303496</v>
      </c>
      <c r="P54" s="25">
        <f t="shared" si="6"/>
        <v>30565.244538569641</v>
      </c>
      <c r="Q54" s="25">
        <f t="array" aca="1" ref="Q54" ca="1">INDEX('Isaac 401k'!L:L,MATCH('Retirement Calculator'!A54,'Isaac 401k'!N:N,0),0)</f>
        <v>2263659.9277035207</v>
      </c>
      <c r="R54" s="25">
        <f t="array" aca="1" ref="R54" ca="1">INDEX('Lorri 401b'!L:L,MATCH('Retirement Calculator'!A54,'Lorri 401b'!N:N,0),0)</f>
        <v>3978747.6649287534</v>
      </c>
      <c r="S54" s="25">
        <f t="shared" ca="1" si="7"/>
        <v>6242407.5926322741</v>
      </c>
    </row>
    <row r="55" spans="1:19" ht="15.75" customHeight="1" x14ac:dyDescent="0.3">
      <c r="A55" s="37">
        <v>52628</v>
      </c>
      <c r="B55" s="409">
        <f t="shared" ref="B55:C55" si="51">($A55-B$9)/365.25</f>
        <v>62.209445585215605</v>
      </c>
      <c r="C55" s="409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3525.4531757812501</v>
      </c>
      <c r="H55" s="25">
        <f>IF(B55&lt;62,0,'Combined Retirement'!$I$14)</f>
        <v>2192</v>
      </c>
      <c r="I55" s="25">
        <f>IF(C55&lt;62,0,'Combined Retirement'!$I$13)</f>
        <v>0</v>
      </c>
      <c r="J55" s="25">
        <f t="shared" si="3"/>
        <v>30565.244538569641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8587.8254614303496</v>
      </c>
      <c r="P55" s="25">
        <f t="shared" si="6"/>
        <v>30565.244538569641</v>
      </c>
      <c r="Q55" s="25">
        <f t="array" aca="1" ref="Q55" ca="1">INDEX('Isaac 401k'!L:L,MATCH('Retirement Calculator'!A55,'Isaac 401k'!N:N,0),0)</f>
        <v>2242399.2443448049</v>
      </c>
      <c r="R55" s="25">
        <f t="array" aca="1" ref="R55" ca="1">INDEX('Lorri 401b'!L:L,MATCH('Retirement Calculator'!A55,'Lorri 401b'!N:N,0),0)</f>
        <v>3995325.7801992898</v>
      </c>
      <c r="S55" s="25">
        <f t="shared" ca="1" si="7"/>
        <v>6237725.0245440947</v>
      </c>
    </row>
    <row r="56" spans="1:19" ht="15.75" customHeight="1" x14ac:dyDescent="0.3">
      <c r="A56" s="37">
        <v>52657</v>
      </c>
      <c r="B56" s="409">
        <f t="shared" ref="B56:C56" si="52">($A56-B$9)/365.25</f>
        <v>62.288843258042434</v>
      </c>
      <c r="C56" s="409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3525.4531757812501</v>
      </c>
      <c r="H56" s="25">
        <f>IF(B56&lt;62,0,'Combined Retirement'!$I$14)</f>
        <v>2192</v>
      </c>
      <c r="I56" s="25">
        <f>IF(C56&lt;62,0,'Combined Retirement'!$I$13)</f>
        <v>0</v>
      </c>
      <c r="J56" s="25">
        <f t="shared" si="3"/>
        <v>30565.244538569641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8587.8254614303496</v>
      </c>
      <c r="P56" s="25">
        <f t="shared" si="6"/>
        <v>30565.244538569641</v>
      </c>
      <c r="Q56" s="25">
        <f t="array" aca="1" ref="Q56" ca="1">INDEX('Isaac 401k'!L:L,MATCH('Retirement Calculator'!A56,'Isaac 401k'!N:N,0),0)</f>
        <v>2221049.9748054277</v>
      </c>
      <c r="R56" s="25">
        <f t="array" aca="1" ref="R56" ca="1">INDEX('Lorri 401b'!L:L,MATCH('Retirement Calculator'!A56,'Lorri 401b'!N:N,0),0)</f>
        <v>4011972.9709501201</v>
      </c>
      <c r="S56" s="25">
        <f t="shared" ca="1" si="7"/>
        <v>6233022.9457555478</v>
      </c>
    </row>
    <row r="57" spans="1:19" ht="15.75" customHeight="1" x14ac:dyDescent="0.3">
      <c r="A57" s="37">
        <v>52688</v>
      </c>
      <c r="B57" s="409">
        <f t="shared" ref="B57:C57" si="53">($A57-B$9)/365.25</f>
        <v>62.373716632443532</v>
      </c>
      <c r="C57" s="409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3525.4531757812501</v>
      </c>
      <c r="H57" s="25">
        <f>IF(B57&lt;62,0,'Combined Retirement'!$I$14)</f>
        <v>2192</v>
      </c>
      <c r="I57" s="25">
        <f>IF(C57&lt;62,0,'Combined Retirement'!$I$13)</f>
        <v>0</v>
      </c>
      <c r="J57" s="25">
        <f t="shared" si="3"/>
        <v>30565.244538569641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8587.8254614303496</v>
      </c>
      <c r="P57" s="25">
        <f t="shared" si="6"/>
        <v>30565.244538569641</v>
      </c>
      <c r="Q57" s="25">
        <f t="array" aca="1" ref="Q57" ca="1">INDEX('Isaac 401k'!L:L,MATCH('Retirement Calculator'!A57,'Isaac 401k'!N:N,0),0)</f>
        <v>2199611.749976303</v>
      </c>
      <c r="R57" s="25">
        <f t="array" aca="1" ref="R57" ca="1">INDEX('Lorri 401b'!L:L,MATCH('Retirement Calculator'!A57,'Lorri 401b'!N:N,0),0)</f>
        <v>4028689.5249957456</v>
      </c>
      <c r="S57" s="25">
        <f t="shared" ca="1" si="7"/>
        <v>6228301.2749720486</v>
      </c>
    </row>
    <row r="58" spans="1:19" ht="15.75" customHeight="1" x14ac:dyDescent="0.3">
      <c r="A58" s="37">
        <v>52718</v>
      </c>
      <c r="B58" s="409">
        <f t="shared" ref="B58:C58" si="54">($A58-B$9)/365.25</f>
        <v>62.455852156057496</v>
      </c>
      <c r="C58" s="409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3525.4531757812501</v>
      </c>
      <c r="H58" s="25">
        <f>IF(B58&lt;62,0,'Combined Retirement'!$I$14)</f>
        <v>2192</v>
      </c>
      <c r="I58" s="25">
        <f>IF(C58&lt;62,0,'Combined Retirement'!$I$13)</f>
        <v>0</v>
      </c>
      <c r="J58" s="25">
        <f t="shared" si="3"/>
        <v>30565.244538569641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8587.8254614303496</v>
      </c>
      <c r="P58" s="25">
        <f t="shared" si="6"/>
        <v>30565.244538569641</v>
      </c>
      <c r="Q58" s="25">
        <f t="array" aca="1" ref="Q58" ca="1">INDEX('Isaac 401k'!L:L,MATCH('Retirement Calculator'!A58,'Isaac 401k'!N:N,0),0)</f>
        <v>2178084.1992103904</v>
      </c>
      <c r="R58" s="25">
        <f t="array" aca="1" ref="R58" ca="1">INDEX('Lorri 401b'!L:L,MATCH('Retirement Calculator'!A58,'Lorri 401b'!N:N,0),0)</f>
        <v>4045475.7313498948</v>
      </c>
      <c r="S58" s="25">
        <f t="shared" ca="1" si="7"/>
        <v>6223559.9305602852</v>
      </c>
    </row>
    <row r="59" spans="1:19" ht="15.75" customHeight="1" x14ac:dyDescent="0.3">
      <c r="A59" s="37">
        <v>52749</v>
      </c>
      <c r="B59" s="409">
        <f t="shared" ref="B59:C59" si="55">($A59-B$9)/365.25</f>
        <v>62.540725530458587</v>
      </c>
      <c r="C59" s="409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3525.4531757812501</v>
      </c>
      <c r="H59" s="25">
        <f>IF(B59&lt;62,0,'Combined Retirement'!$I$14)</f>
        <v>2192</v>
      </c>
      <c r="I59" s="25">
        <f>IF(C59&lt;62,0,'Combined Retirement'!$I$13)</f>
        <v>0</v>
      </c>
      <c r="J59" s="25">
        <f t="shared" si="3"/>
        <v>30565.244538569641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8587.8254614303496</v>
      </c>
      <c r="P59" s="25">
        <f t="shared" si="6"/>
        <v>30565.244538569641</v>
      </c>
      <c r="Q59" s="25">
        <f t="array" aca="1" ref="Q59" ca="1">INDEX('Isaac 401k'!L:L,MATCH('Retirement Calculator'!A59,'Isaac 401k'!N:N,0),0)</f>
        <v>2156466.9503162866</v>
      </c>
      <c r="R59" s="25">
        <f t="array" aca="1" ref="R59" ca="1">INDEX('Lorri 401b'!L:L,MATCH('Retirement Calculator'!A59,'Lorri 401b'!N:N,0),0)</f>
        <v>4062331.8802305195</v>
      </c>
      <c r="S59" s="25">
        <f t="shared" ca="1" si="7"/>
        <v>6218798.8305468056</v>
      </c>
    </row>
    <row r="60" spans="1:19" ht="15.75" customHeight="1" x14ac:dyDescent="0.3">
      <c r="A60" s="37">
        <v>52779</v>
      </c>
      <c r="B60" s="409">
        <f t="shared" ref="B60:C60" si="56">($A60-B$9)/365.25</f>
        <v>62.622861054072551</v>
      </c>
      <c r="C60" s="409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3525.4531757812501</v>
      </c>
      <c r="H60" s="25">
        <f>IF(B60&lt;62,0,'Combined Retirement'!$I$14)</f>
        <v>2192</v>
      </c>
      <c r="I60" s="25">
        <f>IF(C60&lt;62,0,'Combined Retirement'!$I$13)</f>
        <v>0</v>
      </c>
      <c r="J60" s="25">
        <f t="shared" si="3"/>
        <v>30565.244538569641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8587.8254614303496</v>
      </c>
      <c r="P60" s="25">
        <f t="shared" si="6"/>
        <v>30565.244538569641</v>
      </c>
      <c r="Q60" s="25">
        <f t="array" aca="1" ref="Q60" ca="1">INDEX('Isaac 401k'!L:L,MATCH('Retirement Calculator'!A60,'Isaac 401k'!N:N,0),0)</f>
        <v>2134759.6295517907</v>
      </c>
      <c r="R60" s="25">
        <f t="array" aca="1" ref="R60" ca="1">INDEX('Lorri 401b'!L:L,MATCH('Retirement Calculator'!A60,'Lorri 401b'!N:N,0),0)</f>
        <v>4079258.2630648133</v>
      </c>
      <c r="S60" s="25">
        <f t="shared" ca="1" si="7"/>
        <v>6214017.8926166035</v>
      </c>
    </row>
    <row r="61" spans="1:19" ht="15.75" customHeight="1" x14ac:dyDescent="0.3">
      <c r="A61" s="37">
        <v>52810</v>
      </c>
      <c r="B61" s="409">
        <f t="shared" ref="B61:C61" si="57">($A61-B$9)/365.25</f>
        <v>62.70773442847365</v>
      </c>
      <c r="C61" s="409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3525.4531757812501</v>
      </c>
      <c r="H61" s="25">
        <f>IF(B61&lt;62,0,'Combined Retirement'!$I$14)</f>
        <v>2192</v>
      </c>
      <c r="I61" s="25">
        <f>IF(C61&lt;62,0,'Combined Retirement'!$I$13)</f>
        <v>0</v>
      </c>
      <c r="J61" s="25">
        <f t="shared" si="3"/>
        <v>30565.244538569641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8587.8254614303496</v>
      </c>
      <c r="P61" s="25">
        <f t="shared" si="6"/>
        <v>30565.244538569641</v>
      </c>
      <c r="Q61" s="25">
        <f t="array" aca="1" ref="Q61" ca="1">INDEX('Isaac 401k'!L:L,MATCH('Retirement Calculator'!A61,'Isaac 401k'!N:N,0),0)</f>
        <v>2112961.8616174427</v>
      </c>
      <c r="R61" s="25">
        <f t="array" aca="1" ref="R61" ca="1">INDEX('Lorri 401b'!L:L,MATCH('Retirement Calculator'!A61,'Lorri 401b'!N:N,0),0)</f>
        <v>4096255.1724942499</v>
      </c>
      <c r="S61" s="25">
        <f t="shared" ca="1" si="7"/>
        <v>6209217.0341116926</v>
      </c>
    </row>
    <row r="62" spans="1:19" ht="15.75" customHeight="1" x14ac:dyDescent="0.3">
      <c r="A62" s="37">
        <v>52841</v>
      </c>
      <c r="B62" s="409">
        <f t="shared" ref="B62:C62" si="58">($A62-B$9)/365.25</f>
        <v>62.792607802874741</v>
      </c>
      <c r="C62" s="409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3525.4531757812501</v>
      </c>
      <c r="H62" s="25">
        <f>IF(B62&lt;62,0,'Combined Retirement'!$I$14)</f>
        <v>2192</v>
      </c>
      <c r="I62" s="25">
        <f>IF(C62&lt;62,0,'Combined Retirement'!$I$13)</f>
        <v>0</v>
      </c>
      <c r="J62" s="25">
        <f t="shared" si="3"/>
        <v>30565.244538569641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8587.8254614303496</v>
      </c>
      <c r="P62" s="25">
        <f t="shared" si="6"/>
        <v>30565.244538569641</v>
      </c>
      <c r="Q62" s="25">
        <f t="array" aca="1" ref="Q62" ca="1">INDEX('Isaac 401k'!L:L,MATCH('Retirement Calculator'!A62,'Isaac 401k'!N:N,0),0)</f>
        <v>2091073.2696500351</v>
      </c>
      <c r="R62" s="25">
        <f t="array" aca="1" ref="R62" ca="1">INDEX('Lorri 401b'!L:L,MATCH('Retirement Calculator'!A62,'Lorri 401b'!N:N,0),0)</f>
        <v>4113322.9023796427</v>
      </c>
      <c r="S62" s="25">
        <f t="shared" ca="1" si="7"/>
        <v>6204396.1720296778</v>
      </c>
    </row>
    <row r="63" spans="1:19" ht="15.75" customHeight="1" x14ac:dyDescent="0.3">
      <c r="A63" s="37">
        <v>52871</v>
      </c>
      <c r="B63" s="409">
        <f t="shared" ref="B63:C63" si="59">($A63-B$9)/365.25</f>
        <v>62.874743326488705</v>
      </c>
      <c r="C63" s="409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3525.4531757812501</v>
      </c>
      <c r="H63" s="25">
        <f>IF(B63&lt;62,0,'Combined Retirement'!$I$14)</f>
        <v>2192</v>
      </c>
      <c r="I63" s="25">
        <f>IF(C63&lt;62,0,'Combined Retirement'!$I$13)</f>
        <v>0</v>
      </c>
      <c r="J63" s="25">
        <f t="shared" si="3"/>
        <v>30565.244538569641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8587.8254614303496</v>
      </c>
      <c r="P63" s="25">
        <f t="shared" si="6"/>
        <v>30565.244538569641</v>
      </c>
      <c r="Q63" s="25">
        <f t="array" aca="1" ref="Q63" ca="1">INDEX('Isaac 401k'!L:L,MATCH('Retirement Calculator'!A63,'Isaac 401k'!N:N,0),0)</f>
        <v>2069093.4752160965</v>
      </c>
      <c r="R63" s="25">
        <f t="array" aca="1" ref="R63" ca="1">INDEX('Lorri 401b'!L:L,MATCH('Retirement Calculator'!A63,'Lorri 401b'!N:N,0),0)</f>
        <v>4130461.7478062245</v>
      </c>
      <c r="S63" s="25">
        <f t="shared" ca="1" si="7"/>
        <v>6199555.2230223212</v>
      </c>
    </row>
    <row r="64" spans="1:19" ht="15.75" customHeight="1" x14ac:dyDescent="0.3">
      <c r="A64" s="37">
        <v>52902</v>
      </c>
      <c r="B64" s="409">
        <f t="shared" ref="B64:C64" si="60">($A64-B$9)/365.25</f>
        <v>62.959616700889804</v>
      </c>
      <c r="C64" s="409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3525.4531757812501</v>
      </c>
      <c r="H64" s="25">
        <f>IF(B64&lt;62,0,'Combined Retirement'!$I$14)</f>
        <v>2192</v>
      </c>
      <c r="I64" s="25">
        <f>IF(C64&lt;62,0,'Combined Retirement'!$I$13)</f>
        <v>0</v>
      </c>
      <c r="J64" s="25">
        <f t="shared" si="3"/>
        <v>30565.244538569641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8587.8254614303496</v>
      </c>
      <c r="P64" s="25">
        <f t="shared" si="6"/>
        <v>30565.244538569641</v>
      </c>
      <c r="Q64" s="25">
        <f t="array" aca="1" ref="Q64" ca="1">INDEX('Isaac 401k'!L:L,MATCH('Retirement Calculator'!A64,'Isaac 401k'!N:N,0),0)</f>
        <v>2047022.0983053499</v>
      </c>
      <c r="R64" s="25">
        <f t="array" aca="1" ref="R64" ca="1">INDEX('Lorri 401b'!L:L,MATCH('Retirement Calculator'!A64,'Lorri 401b'!N:N,0),0)</f>
        <v>4147672.0050887503</v>
      </c>
      <c r="S64" s="25">
        <f t="shared" ca="1" si="7"/>
        <v>6194694.1033941004</v>
      </c>
    </row>
    <row r="65" spans="1:19" ht="15.75" customHeight="1" x14ac:dyDescent="0.3">
      <c r="A65" s="37">
        <v>52932</v>
      </c>
      <c r="B65" s="409">
        <f t="shared" ref="B65:C65" si="61">($A65-B$9)/365.25</f>
        <v>63.041752224503767</v>
      </c>
      <c r="C65" s="409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3525.4531757812501</v>
      </c>
      <c r="H65" s="25">
        <f>IF(B65&lt;62,0,'Combined Retirement'!$I$14)</f>
        <v>2192</v>
      </c>
      <c r="I65" s="25">
        <f>IF(C65&lt;62,0,'Combined Retirement'!$I$13)</f>
        <v>0</v>
      </c>
      <c r="J65" s="25">
        <f t="shared" si="3"/>
        <v>30565.244538569641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8587.8254614303496</v>
      </c>
      <c r="P65" s="25">
        <f t="shared" si="6"/>
        <v>30565.244538569641</v>
      </c>
      <c r="Q65" s="25">
        <f t="array" aca="1" ref="Q65" ca="1">INDEX('Isaac 401k'!L:L,MATCH('Retirement Calculator'!A65,'Isaac 401k'!N:N,0),0)</f>
        <v>2024858.7573241419</v>
      </c>
      <c r="R65" s="25">
        <f t="array" aca="1" ref="R65" ca="1">INDEX('Lorri 401b'!L:L,MATCH('Retirement Calculator'!A65,'Lorri 401b'!N:N,0),0)</f>
        <v>4164953.97177662</v>
      </c>
      <c r="S65" s="25">
        <f t="shared" ca="1" si="7"/>
        <v>6189812.7291007619</v>
      </c>
    </row>
    <row r="66" spans="1:19" ht="15.75" customHeight="1" x14ac:dyDescent="0.3">
      <c r="A66" s="37">
        <v>52963</v>
      </c>
      <c r="B66" s="409">
        <f t="shared" ref="B66:C66" si="62">($A66-B$9)/365.25</f>
        <v>63.126625598904859</v>
      </c>
      <c r="C66" s="409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3525.4531757812501</v>
      </c>
      <c r="H66" s="25">
        <f>IF(B66&lt;62,0,'Combined Retirement'!$I$14)</f>
        <v>2192</v>
      </c>
      <c r="I66" s="25">
        <f>IF(C66&lt;62,0,'Combined Retirement'!$I$13)</f>
        <v>0</v>
      </c>
      <c r="J66" s="25">
        <f t="shared" si="3"/>
        <v>30565.244538569641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8587.8254614303496</v>
      </c>
      <c r="P66" s="25">
        <f t="shared" si="6"/>
        <v>30565.244538569641</v>
      </c>
      <c r="Q66" s="25">
        <f t="array" aca="1" ref="Q66" ca="1">INDEX('Isaac 401k'!L:L,MATCH('Retirement Calculator'!A66,'Isaac 401k'!N:N,0),0)</f>
        <v>2002603.0690888455</v>
      </c>
      <c r="R66" s="25">
        <f t="array" aca="1" ref="R66" ca="1">INDEX('Lorri 401b'!L:L,MATCH('Retirement Calculator'!A66,'Lorri 401b'!N:N,0),0)</f>
        <v>4182307.9466590225</v>
      </c>
      <c r="S66" s="25">
        <f t="shared" ca="1" si="7"/>
        <v>6184911.0157478675</v>
      </c>
    </row>
    <row r="67" spans="1:19" ht="15.75" customHeight="1" x14ac:dyDescent="0.3">
      <c r="A67" s="37">
        <v>52994</v>
      </c>
      <c r="B67" s="409">
        <f t="shared" ref="B67:C67" si="63">($A67-B$9)/365.25</f>
        <v>63.211498973305957</v>
      </c>
      <c r="C67" s="409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3525.4531757812501</v>
      </c>
      <c r="H67" s="25">
        <f>IF(B67&lt;62,0,'Combined Retirement'!$I$14)</f>
        <v>2192</v>
      </c>
      <c r="I67" s="25">
        <f>IF(C67&lt;62,0,'Combined Retirement'!$I$13)</f>
        <v>0</v>
      </c>
      <c r="J67" s="25">
        <f t="shared" si="3"/>
        <v>30565.244538569641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8587.8254614303496</v>
      </c>
      <c r="P67" s="25">
        <f t="shared" si="6"/>
        <v>30565.244538569641</v>
      </c>
      <c r="Q67" s="25">
        <f t="array" aca="1" ref="Q67" ca="1">INDEX('Isaac 401k'!L:L,MATCH('Retirement Calculator'!A67,'Isaac 401k'!N:N,0),0)</f>
        <v>1980254.6488192354</v>
      </c>
      <c r="R67" s="25">
        <f t="array" aca="1" ref="R67" ca="1">INDEX('Lorri 401b'!L:L,MATCH('Retirement Calculator'!A67,'Lorri 401b'!N:N,0),0)</f>
        <v>4199734.2297701016</v>
      </c>
      <c r="S67" s="25">
        <f t="shared" ca="1" si="7"/>
        <v>6179988.8785893368</v>
      </c>
    </row>
    <row r="68" spans="1:19" ht="15.75" customHeight="1" x14ac:dyDescent="0.3">
      <c r="A68" s="37">
        <v>53022</v>
      </c>
      <c r="B68" s="409">
        <f t="shared" ref="B68:C68" si="64">($A68-B$9)/365.25</f>
        <v>63.288158795345652</v>
      </c>
      <c r="C68" s="409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3525.4531757812501</v>
      </c>
      <c r="H68" s="25">
        <f>IF(B68&lt;62,0,'Combined Retirement'!$I$14)</f>
        <v>2192</v>
      </c>
      <c r="I68" s="25">
        <f>IF(C68&lt;62,0,'Combined Retirement'!$I$13)</f>
        <v>0</v>
      </c>
      <c r="J68" s="25">
        <f t="shared" si="3"/>
        <v>30565.244538569641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8587.8254614303496</v>
      </c>
      <c r="P68" s="25">
        <f t="shared" si="6"/>
        <v>30565.244538569641</v>
      </c>
      <c r="Q68" s="25">
        <f t="array" aca="1" ref="Q68" ca="1">INDEX('Isaac 401k'!L:L,MATCH('Retirement Calculator'!A68,'Isaac 401k'!N:N,0),0)</f>
        <v>1957813.1101318353</v>
      </c>
      <c r="R68" s="25">
        <f t="array" aca="1" ref="R68" ca="1">INDEX('Lorri 401b'!L:L,MATCH('Retirement Calculator'!A68,'Lorri 401b'!N:N,0),0)</f>
        <v>4217233.1223941436</v>
      </c>
      <c r="S68" s="25">
        <f t="shared" ca="1" si="7"/>
        <v>6175046.2325259792</v>
      </c>
    </row>
    <row r="69" spans="1:19" ht="15.75" customHeight="1" x14ac:dyDescent="0.3">
      <c r="A69" s="37">
        <v>53053</v>
      </c>
      <c r="B69" s="409">
        <f t="shared" ref="B69:C69" si="65">($A69-B$9)/365.25</f>
        <v>63.37303216974675</v>
      </c>
      <c r="C69" s="409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3525.4531757812501</v>
      </c>
      <c r="H69" s="25">
        <f>IF(B69&lt;62,0,'Combined Retirement'!$I$14)</f>
        <v>2192</v>
      </c>
      <c r="I69" s="25">
        <f>IF(C69&lt;62,0,'Combined Retirement'!$I$13)</f>
        <v>0</v>
      </c>
      <c r="J69" s="25">
        <f t="shared" si="3"/>
        <v>30565.244538569641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8587.8254614303496</v>
      </c>
      <c r="P69" s="25">
        <f t="shared" si="6"/>
        <v>30565.244538569641</v>
      </c>
      <c r="Q69" s="25">
        <f t="array" aca="1" ref="Q69" ca="1">INDEX('Isaac 401k'!L:L,MATCH('Retirement Calculator'!A69,'Isaac 401k'!N:N,0),0)</f>
        <v>1935278.0650332377</v>
      </c>
      <c r="R69" s="25">
        <f t="array" aca="1" ref="R69" ca="1">INDEX('Lorri 401b'!L:L,MATCH('Retirement Calculator'!A69,'Lorri 401b'!N:N,0),0)</f>
        <v>4234804.9270707862</v>
      </c>
      <c r="S69" s="25">
        <f t="shared" ca="1" si="7"/>
        <v>6170082.9921040237</v>
      </c>
    </row>
    <row r="70" spans="1:19" ht="15.75" customHeight="1" x14ac:dyDescent="0.3">
      <c r="A70" s="37">
        <v>53083</v>
      </c>
      <c r="B70" s="409">
        <f t="shared" ref="B70:C70" si="66">($A70-B$9)/365.25</f>
        <v>63.455167693360714</v>
      </c>
      <c r="C70" s="409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3525.4531757812501</v>
      </c>
      <c r="H70" s="25">
        <f>IF(B70&lt;62,0,'Combined Retirement'!$I$14)</f>
        <v>2192</v>
      </c>
      <c r="I70" s="25">
        <f>IF(C70&lt;62,0,'Combined Retirement'!$I$13)</f>
        <v>0</v>
      </c>
      <c r="J70" s="25">
        <f t="shared" si="3"/>
        <v>30565.244538569641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8587.8254614303496</v>
      </c>
      <c r="P70" s="25">
        <f t="shared" si="6"/>
        <v>30565.244538569641</v>
      </c>
      <c r="Q70" s="25">
        <f t="array" aca="1" ref="Q70" ca="1">INDEX('Isaac 401k'!L:L,MATCH('Retirement Calculator'!A70,'Isaac 401k'!N:N,0),0)</f>
        <v>1912649.1239133959</v>
      </c>
      <c r="R70" s="25">
        <f t="array" aca="1" ref="R70" ca="1">INDEX('Lorri 401b'!L:L,MATCH('Retirement Calculator'!A70,'Lorri 401b'!N:N,0),0)</f>
        <v>4252449.9476002483</v>
      </c>
      <c r="S70" s="25">
        <f t="shared" ca="1" si="7"/>
        <v>6165099.0715136444</v>
      </c>
    </row>
    <row r="71" spans="1:19" ht="15.75" customHeight="1" x14ac:dyDescent="0.3">
      <c r="A71" s="37">
        <v>53114</v>
      </c>
      <c r="B71" s="409">
        <f t="shared" ref="B71:C71" si="67">($A71-B$9)/365.25</f>
        <v>63.540041067761805</v>
      </c>
      <c r="C71" s="409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3525.4531757812501</v>
      </c>
      <c r="H71" s="25">
        <f>IF(B71&lt;62,0,'Combined Retirement'!$I$14)</f>
        <v>2192</v>
      </c>
      <c r="I71" s="25">
        <f>IF(C71&lt;62,0,'Combined Retirement'!$I$13)</f>
        <v>0</v>
      </c>
      <c r="J71" s="25">
        <f t="shared" si="3"/>
        <v>30565.244538569641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8587.8254614303496</v>
      </c>
      <c r="P71" s="25">
        <f t="shared" si="6"/>
        <v>30565.244538569641</v>
      </c>
      <c r="Q71" s="25">
        <f t="array" aca="1" ref="Q71" ca="1">INDEX('Isaac 401k'!L:L,MATCH('Retirement Calculator'!A71,'Isaac 401k'!N:N,0),0)</f>
        <v>1889925.8955388882</v>
      </c>
      <c r="R71" s="25">
        <f t="array" aca="1" ref="R71" ca="1">INDEX('Lorri 401b'!L:L,MATCH('Retirement Calculator'!A71,'Lorri 401b'!N:N,0),0)</f>
        <v>4270168.4890485825</v>
      </c>
      <c r="S71" s="25">
        <f t="shared" ca="1" si="7"/>
        <v>6160094.3845874704</v>
      </c>
    </row>
    <row r="72" spans="1:19" ht="15.75" customHeight="1" x14ac:dyDescent="0.3">
      <c r="A72" s="37">
        <v>53144</v>
      </c>
      <c r="B72" s="409">
        <f t="shared" ref="B72:C72" si="68">($A72-B$9)/365.25</f>
        <v>63.622176591375769</v>
      </c>
      <c r="C72" s="409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3525.4531757812501</v>
      </c>
      <c r="H72" s="25">
        <f>IF(B72&lt;62,0,'Combined Retirement'!$I$14)</f>
        <v>2192</v>
      </c>
      <c r="I72" s="25">
        <f>IF(C72&lt;62,0,'Combined Retirement'!$I$13)</f>
        <v>0</v>
      </c>
      <c r="J72" s="25">
        <f t="shared" si="3"/>
        <v>30565.244538569641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8587.8254614303496</v>
      </c>
      <c r="P72" s="25">
        <f t="shared" si="6"/>
        <v>30565.244538569641</v>
      </c>
      <c r="Q72" s="25">
        <f t="array" aca="1" ref="Q72" ca="1">INDEX('Isaac 401k'!L:L,MATCH('Retirement Calculator'!A72,'Isaac 401k'!N:N,0),0)</f>
        <v>1867107.9870461533</v>
      </c>
      <c r="R72" s="25">
        <f t="array" aca="1" ref="R72" ca="1">INDEX('Lorri 401b'!L:L,MATCH('Retirement Calculator'!A72,'Lorri 401b'!N:N,0),0)</f>
        <v>4287960.8577529518</v>
      </c>
      <c r="S72" s="25">
        <f t="shared" ca="1" si="7"/>
        <v>6155068.8447991051</v>
      </c>
    </row>
    <row r="73" spans="1:19" ht="15.75" customHeight="1" x14ac:dyDescent="0.3">
      <c r="A73" s="37">
        <v>53175</v>
      </c>
      <c r="B73" s="409">
        <f t="shared" ref="B73:C73" si="69">($A73-B$9)/365.25</f>
        <v>63.707049965776868</v>
      </c>
      <c r="C73" s="409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3525.4531757812501</v>
      </c>
      <c r="H73" s="25">
        <f>IF(B73&lt;62,0,'Combined Retirement'!$I$14)</f>
        <v>2192</v>
      </c>
      <c r="I73" s="25">
        <f>IF(C73&lt;62,0,'Combined Retirement'!$I$13)</f>
        <v>0</v>
      </c>
      <c r="J73" s="25">
        <f t="shared" si="3"/>
        <v>30565.244538569641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8587.8254614303496</v>
      </c>
      <c r="P73" s="25">
        <f t="shared" si="6"/>
        <v>30565.244538569641</v>
      </c>
      <c r="Q73" s="25">
        <f t="array" aca="1" ref="Q73" ca="1">INDEX('Isaac 401k'!L:L,MATCH('Retirement Calculator'!A73,'Isaac 401k'!N:N,0),0)</f>
        <v>1844195.0039346986</v>
      </c>
      <c r="R73" s="25">
        <f t="array" aca="1" ref="R73" ca="1">INDEX('Lorri 401b'!L:L,MATCH('Retirement Calculator'!A73,'Lorri 401b'!N:N,0),0)</f>
        <v>4305827.3613269227</v>
      </c>
      <c r="S73" s="25">
        <f t="shared" ca="1" si="7"/>
        <v>6150022.3652616218</v>
      </c>
    </row>
    <row r="74" spans="1:19" ht="15.75" customHeight="1" x14ac:dyDescent="0.3">
      <c r="A74" s="37">
        <v>53206</v>
      </c>
      <c r="B74" s="409">
        <f t="shared" ref="B74:C74" si="70">($A74-B$9)/365.25</f>
        <v>63.791923340177959</v>
      </c>
      <c r="C74" s="409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3525.4531757812501</v>
      </c>
      <c r="H74" s="25">
        <f>IF(B74&lt;62,0,'Combined Retirement'!$I$14)</f>
        <v>2192</v>
      </c>
      <c r="I74" s="25">
        <f>IF(C74&lt;62,0,'Combined Retirement'!$I$13)</f>
        <v>0</v>
      </c>
      <c r="J74" s="25">
        <f t="shared" si="3"/>
        <v>30565.244538569641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8587.8254614303496</v>
      </c>
      <c r="P74" s="25">
        <f t="shared" si="6"/>
        <v>30565.244538569641</v>
      </c>
      <c r="Q74" s="25">
        <f t="array" aca="1" ref="Q74" ca="1">INDEX('Isaac 401k'!L:L,MATCH('Retirement Calculator'!A74,'Isaac 401k'!N:N,0),0)</f>
        <v>1821186.5500602797</v>
      </c>
      <c r="R74" s="25">
        <f t="array" aca="1" ref="R74" ca="1">INDEX('Lorri 401b'!L:L,MATCH('Retirement Calculator'!A74,'Lorri 401b'!N:N,0),0)</f>
        <v>4323768.308665785</v>
      </c>
      <c r="S74" s="25">
        <f t="shared" ca="1" si="7"/>
        <v>6144954.8587260647</v>
      </c>
    </row>
    <row r="75" spans="1:19" ht="15.75" customHeight="1" x14ac:dyDescent="0.3">
      <c r="A75" s="37">
        <v>53236</v>
      </c>
      <c r="B75" s="409">
        <f t="shared" ref="B75:C75" si="71">($A75-B$9)/365.25</f>
        <v>63.874058863791923</v>
      </c>
      <c r="C75" s="409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3525.4531757812501</v>
      </c>
      <c r="H75" s="25">
        <f>IF(B75&lt;62,0,'Combined Retirement'!$I$14)</f>
        <v>2192</v>
      </c>
      <c r="I75" s="25">
        <f>IF(C75&lt;62,0,'Combined Retirement'!$I$13)</f>
        <v>0</v>
      </c>
      <c r="J75" s="25">
        <f t="shared" si="3"/>
        <v>30565.244538569641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8587.8254614303496</v>
      </c>
      <c r="P75" s="25">
        <f t="shared" si="6"/>
        <v>30565.244538569641</v>
      </c>
      <c r="Q75" s="25">
        <f t="array" aca="1" ref="Q75" ca="1">INDEX('Isaac 401k'!L:L,MATCH('Retirement Calculator'!A75,'Isaac 401k'!N:N,0),0)</f>
        <v>1798082.2276280506</v>
      </c>
      <c r="R75" s="25">
        <f t="array" aca="1" ref="R75" ca="1">INDEX('Lorri 401b'!L:L,MATCH('Retirement Calculator'!A75,'Lorri 401b'!N:N,0),0)</f>
        <v>4341784.0099518923</v>
      </c>
      <c r="S75" s="25">
        <f t="shared" ca="1" si="7"/>
        <v>6139866.2375799427</v>
      </c>
    </row>
    <row r="76" spans="1:19" ht="15.75" customHeight="1" x14ac:dyDescent="0.3">
      <c r="A76" s="37">
        <v>53267</v>
      </c>
      <c r="B76" s="409">
        <f t="shared" ref="B76:C76" si="72">($A76-B$9)/365.25</f>
        <v>63.958932238193022</v>
      </c>
      <c r="C76" s="409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3525.4531757812501</v>
      </c>
      <c r="H76" s="25">
        <f>IF(B76&lt;62,0,'Combined Retirement'!$I$14)</f>
        <v>2192</v>
      </c>
      <c r="I76" s="25">
        <f>IF(C76&lt;62,0,'Combined Retirement'!$I$13)</f>
        <v>0</v>
      </c>
      <c r="J76" s="25">
        <f t="shared" si="3"/>
        <v>30565.244538569641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8587.8254614303496</v>
      </c>
      <c r="P76" s="25">
        <f t="shared" si="6"/>
        <v>30565.244538569641</v>
      </c>
      <c r="Q76" s="25">
        <f t="array" aca="1" ref="Q76" ca="1">INDEX('Isaac 401k'!L:L,MATCH('Retirement Calculator'!A76,'Isaac 401k'!N:N,0),0)</f>
        <v>1774881.6371856872</v>
      </c>
      <c r="R76" s="25">
        <f t="array" aca="1" ref="R76" ca="1">INDEX('Lorri 401b'!L:L,MATCH('Retirement Calculator'!A76,'Lorri 401b'!N:N,0),0)</f>
        <v>4359874.7766600251</v>
      </c>
      <c r="S76" s="25">
        <f t="shared" ca="1" si="7"/>
        <v>6134756.4138457123</v>
      </c>
    </row>
    <row r="77" spans="1:19" ht="15.75" customHeight="1" x14ac:dyDescent="0.3">
      <c r="A77" s="37">
        <v>53297</v>
      </c>
      <c r="B77" s="409">
        <f t="shared" ref="B77:C77" si="73">($A77-B$9)/365.25</f>
        <v>64.041067761806985</v>
      </c>
      <c r="C77" s="409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3525.4531757812501</v>
      </c>
      <c r="H77" s="25">
        <f>IF(B77&lt;62,0,'Combined Retirement'!$I$14)</f>
        <v>2192</v>
      </c>
      <c r="I77" s="25">
        <f>IF(C77&lt;62,0,'Combined Retirement'!$I$13)</f>
        <v>0</v>
      </c>
      <c r="J77" s="25">
        <f t="shared" si="3"/>
        <v>30565.244538569641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8587.8254614303496</v>
      </c>
      <c r="P77" s="25">
        <f t="shared" si="6"/>
        <v>30565.244538569641</v>
      </c>
      <c r="Q77" s="25">
        <f t="array" aca="1" ref="Q77" ca="1">INDEX('Isaac 401k'!L:L,MATCH('Retirement Calculator'!A77,'Isaac 401k'!N:N,0),0)</f>
        <v>1751584.3776164807</v>
      </c>
      <c r="R77" s="25">
        <f t="array" aca="1" ref="R77" ca="1">INDEX('Lorri 401b'!L:L,MATCH('Retirement Calculator'!A77,'Lorri 401b'!N:N,0),0)</f>
        <v>4378040.921562775</v>
      </c>
      <c r="S77" s="25">
        <f t="shared" ca="1" si="7"/>
        <v>6129625.299179256</v>
      </c>
    </row>
    <row r="78" spans="1:19" ht="15.75" customHeight="1" x14ac:dyDescent="0.3">
      <c r="A78" s="37">
        <v>53328</v>
      </c>
      <c r="B78" s="409">
        <f t="shared" ref="B78:C78" si="74">($A78-B$9)/365.25</f>
        <v>64.12594113620807</v>
      </c>
      <c r="C78" s="409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3525.4531757812501</v>
      </c>
      <c r="H78" s="25">
        <f>IF(B78&lt;62,0,'Combined Retirement'!$I$14)</f>
        <v>2192</v>
      </c>
      <c r="I78" s="25">
        <f>IF(C78&lt;62,0,'Combined Retirement'!$I$13)</f>
        <v>0</v>
      </c>
      <c r="J78" s="25">
        <f t="shared" si="3"/>
        <v>8539.3180191855863</v>
      </c>
      <c r="K78" s="25">
        <f t="shared" si="4"/>
        <v>22025.926519384055</v>
      </c>
      <c r="L78" s="25"/>
      <c r="N78" s="25">
        <f>'Combined Retirement'!$C$18/12</f>
        <v>39153.069999999992</v>
      </c>
      <c r="O78" s="25">
        <f t="shared" si="5"/>
        <v>8587.8254614303496</v>
      </c>
      <c r="P78" s="25">
        <f t="shared" si="6"/>
        <v>30565.244538569641</v>
      </c>
      <c r="Q78" s="25">
        <f t="array" aca="1" ref="Q78" ca="1">INDEX('Isaac 401k'!L:L,MATCH('Retirement Calculator'!A78,'Isaac 401k'!N:N,0),0)</f>
        <v>1750307.747345617</v>
      </c>
      <c r="R78" s="25">
        <f t="array" aca="1" ref="R78" ca="1">INDEX('Lorri 401b'!L:L,MATCH('Retirement Calculator'!A78,'Lorri 401b'!N:N,0),0)</f>
        <v>4374165.0575227393</v>
      </c>
      <c r="S78" s="25">
        <f t="shared" ca="1" si="7"/>
        <v>6124472.8048683563</v>
      </c>
    </row>
    <row r="79" spans="1:19" ht="15.75" customHeight="1" x14ac:dyDescent="0.3">
      <c r="A79" s="37">
        <v>53359</v>
      </c>
      <c r="B79" s="409">
        <f t="shared" ref="B79:C79" si="75">($A79-B$9)/365.25</f>
        <v>64.210814510609168</v>
      </c>
      <c r="C79" s="409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3525.4531757812501</v>
      </c>
      <c r="H79" s="25">
        <f>IF(B79&lt;62,0,'Combined Retirement'!$I$14)</f>
        <v>2192</v>
      </c>
      <c r="I79" s="25">
        <f>IF(C79&lt;62,0,'Combined Retirement'!$I$13)</f>
        <v>0</v>
      </c>
      <c r="J79" s="25">
        <f t="shared" si="3"/>
        <v>8539.3180191855863</v>
      </c>
      <c r="K79" s="25">
        <f t="shared" si="4"/>
        <v>22025.926519384055</v>
      </c>
      <c r="L79" s="25"/>
      <c r="N79" s="25">
        <f>'Combined Retirement'!$C$18/12</f>
        <v>39153.069999999992</v>
      </c>
      <c r="O79" s="25">
        <f t="shared" si="5"/>
        <v>8587.8254614303496</v>
      </c>
      <c r="P79" s="25">
        <f t="shared" si="6"/>
        <v>30565.244538569641</v>
      </c>
      <c r="Q79" s="25">
        <f t="array" aca="1" ref="Q79" ca="1">INDEX('Isaac 401k'!L:L,MATCH('Retirement Calculator'!A79,'Isaac 401k'!N:N,0),0)</f>
        <v>1749025.7977819582</v>
      </c>
      <c r="R79" s="25">
        <f t="array" aca="1" ref="R79" ca="1">INDEX('Lorri 401b'!L:L,MATCH('Retirement Calculator'!A79,'Lorri 401b'!N:N,0),0)</f>
        <v>4370273.0440492025</v>
      </c>
      <c r="S79" s="25">
        <f t="shared" ca="1" si="7"/>
        <v>6119298.8418311607</v>
      </c>
    </row>
    <row r="80" spans="1:19" ht="15.75" customHeight="1" x14ac:dyDescent="0.3">
      <c r="A80" s="37">
        <v>53387</v>
      </c>
      <c r="B80" s="409">
        <f t="shared" ref="B80:C80" si="76">($A80-B$9)/365.25</f>
        <v>64.28747433264887</v>
      </c>
      <c r="C80" s="409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3525.4531757812501</v>
      </c>
      <c r="H80" s="25">
        <f>IF(B80&lt;62,0,'Combined Retirement'!$I$14)</f>
        <v>2192</v>
      </c>
      <c r="I80" s="25">
        <f>IF(C80&lt;62,0,'Combined Retirement'!$I$13)</f>
        <v>0</v>
      </c>
      <c r="J80" s="25">
        <f t="shared" si="3"/>
        <v>8539.3180191855863</v>
      </c>
      <c r="K80" s="25">
        <f t="shared" si="4"/>
        <v>22025.926519384055</v>
      </c>
      <c r="L80" s="25"/>
      <c r="N80" s="25">
        <f>'Combined Retirement'!$C$18/12</f>
        <v>39153.069999999992</v>
      </c>
      <c r="O80" s="25">
        <f t="shared" si="5"/>
        <v>8587.8254614303496</v>
      </c>
      <c r="P80" s="25">
        <f t="shared" si="6"/>
        <v>30565.244538569641</v>
      </c>
      <c r="Q80" s="25">
        <f t="array" aca="1" ref="Q80" ca="1">INDEX('Isaac 401k'!L:L,MATCH('Retirement Calculator'!A80,'Isaac 401k'!N:N,0),0)</f>
        <v>1747738.5067617842</v>
      </c>
      <c r="R80" s="25">
        <f t="array" aca="1" ref="R80" ca="1">INDEX('Lorri 401b'!L:L,MATCH('Retirement Calculator'!A80,'Lorri 401b'!N:N,0),0)</f>
        <v>4366364.8138528597</v>
      </c>
      <c r="S80" s="25">
        <f t="shared" ca="1" si="7"/>
        <v>6114103.3206146434</v>
      </c>
    </row>
    <row r="81" spans="1:19" ht="15.75" customHeight="1" x14ac:dyDescent="0.3">
      <c r="A81" s="37">
        <v>53418</v>
      </c>
      <c r="B81" s="409">
        <f t="shared" ref="B81:C81" si="77">($A81-B$9)/365.25</f>
        <v>64.372347707049968</v>
      </c>
      <c r="C81" s="409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3525.4531757812501</v>
      </c>
      <c r="H81" s="25">
        <f>IF(B81&lt;62,0,'Combined Retirement'!$I$14)</f>
        <v>2192</v>
      </c>
      <c r="I81" s="25">
        <f>IF(C81&lt;62,0,'Combined Retirement'!$I$13)</f>
        <v>0</v>
      </c>
      <c r="J81" s="25">
        <f t="shared" si="3"/>
        <v>8539.3180191855863</v>
      </c>
      <c r="K81" s="25">
        <f t="shared" si="4"/>
        <v>22025.926519384055</v>
      </c>
      <c r="L81" s="25"/>
      <c r="N81" s="25">
        <f>'Combined Retirement'!$C$18/12</f>
        <v>39153.069999999992</v>
      </c>
      <c r="O81" s="25">
        <f t="shared" si="5"/>
        <v>8587.8254614303496</v>
      </c>
      <c r="P81" s="25">
        <f t="shared" si="6"/>
        <v>30565.244538569641</v>
      </c>
      <c r="Q81" s="25">
        <f t="array" aca="1" ref="Q81" ca="1">INDEX('Isaac 401k'!L:L,MATCH('Retirement Calculator'!A81,'Isaac 401k'!N:N,0),0)</f>
        <v>1746445.852029026</v>
      </c>
      <c r="R81" s="25">
        <f t="array" aca="1" ref="R81" ca="1">INDEX('Lorri 401b'!L:L,MATCH('Retirement Calculator'!A81,'Lorri 401b'!N:N,0),0)</f>
        <v>4362440.2993640322</v>
      </c>
      <c r="S81" s="25">
        <f t="shared" ca="1" si="7"/>
        <v>6108886.1513930578</v>
      </c>
    </row>
    <row r="82" spans="1:19" ht="15.75" customHeight="1" x14ac:dyDescent="0.3">
      <c r="A82" s="37">
        <v>53448</v>
      </c>
      <c r="B82" s="409">
        <f t="shared" ref="B82:C82" si="78">($A82-B$9)/365.25</f>
        <v>64.454483230663925</v>
      </c>
      <c r="C82" s="409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3525.4531757812501</v>
      </c>
      <c r="H82" s="25">
        <f>IF(B82&lt;62,0,'Combined Retirement'!$I$14)</f>
        <v>2192</v>
      </c>
      <c r="I82" s="25">
        <f>IF(C82&lt;62,0,'Combined Retirement'!$I$13)</f>
        <v>0</v>
      </c>
      <c r="J82" s="25">
        <f t="shared" si="3"/>
        <v>8539.3180191855863</v>
      </c>
      <c r="K82" s="25">
        <f t="shared" si="4"/>
        <v>22025.926519384055</v>
      </c>
      <c r="L82" s="25"/>
      <c r="N82" s="25">
        <f>'Combined Retirement'!$C$18/12</f>
        <v>39153.069999999992</v>
      </c>
      <c r="O82" s="25">
        <f t="shared" si="5"/>
        <v>8587.8254614303496</v>
      </c>
      <c r="P82" s="25">
        <f t="shared" si="6"/>
        <v>30565.244538569641</v>
      </c>
      <c r="Q82" s="25">
        <f t="array" aca="1" ref="Q82" ca="1">INDEX('Isaac 401k'!L:L,MATCH('Retirement Calculator'!A82,'Isaac 401k'!N:N,0),0)</f>
        <v>1745147.8112348814</v>
      </c>
      <c r="R82" s="25">
        <f t="array" aca="1" ref="R82" ca="1">INDEX('Lorri 401b'!L:L,MATCH('Retirement Calculator'!A82,'Lorri 401b'!N:N,0),0)</f>
        <v>4358499.4327315008</v>
      </c>
      <c r="S82" s="25">
        <f t="shared" ca="1" si="7"/>
        <v>6103647.243966382</v>
      </c>
    </row>
    <row r="83" spans="1:19" ht="15.75" customHeight="1" x14ac:dyDescent="0.3">
      <c r="A83" s="37">
        <v>53479</v>
      </c>
      <c r="B83" s="409">
        <f t="shared" ref="B83:C83" si="79">($A83-B$9)/365.25</f>
        <v>64.539356605065024</v>
      </c>
      <c r="C83" s="409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3525.4531757812501</v>
      </c>
      <c r="H83" s="25">
        <f>IF(B83&lt;62,0,'Combined Retirement'!$I$14)</f>
        <v>2192</v>
      </c>
      <c r="I83" s="25">
        <f>IF(C83&lt;62,0,'Combined Retirement'!$I$13)</f>
        <v>0</v>
      </c>
      <c r="J83" s="25">
        <f t="shared" si="3"/>
        <v>8539.3180191855863</v>
      </c>
      <c r="K83" s="25">
        <f t="shared" si="4"/>
        <v>22025.926519384055</v>
      </c>
      <c r="L83" s="25"/>
      <c r="N83" s="25">
        <f>'Combined Retirement'!$C$18/12</f>
        <v>39153.069999999992</v>
      </c>
      <c r="O83" s="25">
        <f t="shared" si="5"/>
        <v>8587.8254614303496</v>
      </c>
      <c r="P83" s="25">
        <f t="shared" si="6"/>
        <v>30565.244538569641</v>
      </c>
      <c r="Q83" s="25">
        <f t="array" aca="1" ref="Q83" ca="1">INDEX('Isaac 401k'!L:L,MATCH('Retirement Calculator'!A83,'Isaac 401k'!N:N,0),0)</f>
        <v>1743844.3619374279</v>
      </c>
      <c r="R83" s="25">
        <f t="array" aca="1" ref="R83" ca="1">INDEX('Lorri 401b'!L:L,MATCH('Retirement Calculator'!A83,'Lorri 401b'!N:N,0),0)</f>
        <v>4354542.1458213339</v>
      </c>
      <c r="S83" s="25">
        <f t="shared" ca="1" si="7"/>
        <v>6098386.5077587618</v>
      </c>
    </row>
    <row r="84" spans="1:19" ht="15.75" customHeight="1" x14ac:dyDescent="0.3">
      <c r="A84" s="37">
        <v>53509</v>
      </c>
      <c r="B84" s="409">
        <f t="shared" ref="B84:C84" si="80">($A84-B$9)/365.25</f>
        <v>64.62149212867898</v>
      </c>
      <c r="C84" s="409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3525.4531757812501</v>
      </c>
      <c r="H84" s="25">
        <f>IF(B84&lt;62,0,'Combined Retirement'!$I$14)</f>
        <v>2192</v>
      </c>
      <c r="I84" s="25">
        <f>IF(C84&lt;62,0,'Combined Retirement'!$I$13)</f>
        <v>0</v>
      </c>
      <c r="J84" s="25">
        <f t="shared" si="3"/>
        <v>8539.3180191855863</v>
      </c>
      <c r="K84" s="25">
        <f t="shared" si="4"/>
        <v>22025.926519384055</v>
      </c>
      <c r="L84" s="25"/>
      <c r="N84" s="25">
        <f>'Combined Retirement'!$C$18/12</f>
        <v>39153.069999999992</v>
      </c>
      <c r="O84" s="25">
        <f t="shared" si="5"/>
        <v>8587.8254614303496</v>
      </c>
      <c r="P84" s="25">
        <f t="shared" si="6"/>
        <v>30565.244538569641</v>
      </c>
      <c r="Q84" s="25">
        <f t="array" aca="1" ref="Q84" ca="1">INDEX('Isaac 401k'!L:L,MATCH('Retirement Calculator'!A84,'Isaac 401k'!N:N,0),0)</f>
        <v>1742535.481601235</v>
      </c>
      <c r="R84" s="25">
        <f t="array" aca="1" ref="R84" ca="1">INDEX('Lorri 401b'!L:L,MATCH('Retirement Calculator'!A84,'Lorri 401b'!N:N,0),0)</f>
        <v>4350568.3702157084</v>
      </c>
      <c r="S84" s="25">
        <f t="shared" ca="1" si="7"/>
        <v>6093103.8518169429</v>
      </c>
    </row>
    <row r="85" spans="1:19" ht="15.75" customHeight="1" x14ac:dyDescent="0.3">
      <c r="A85" s="37">
        <v>53540</v>
      </c>
      <c r="B85" s="409">
        <f t="shared" ref="B85:C85" si="81">($A85-B$9)/365.25</f>
        <v>64.706365503080079</v>
      </c>
      <c r="C85" s="409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3525.4531757812501</v>
      </c>
      <c r="H85" s="25">
        <f>IF(B85&lt;62,0,'Combined Retirement'!$I$14)</f>
        <v>2192</v>
      </c>
      <c r="I85" s="25">
        <f>IF(C85&lt;62,0,'Combined Retirement'!$I$13)</f>
        <v>0</v>
      </c>
      <c r="J85" s="25">
        <f t="shared" si="3"/>
        <v>8539.3180191855863</v>
      </c>
      <c r="K85" s="25">
        <f t="shared" si="4"/>
        <v>22025.926519384055</v>
      </c>
      <c r="L85" s="25"/>
      <c r="N85" s="25">
        <f>'Combined Retirement'!$C$18/12</f>
        <v>39153.069999999992</v>
      </c>
      <c r="O85" s="25">
        <f t="shared" si="5"/>
        <v>8587.8254614303496</v>
      </c>
      <c r="P85" s="25">
        <f t="shared" si="6"/>
        <v>30565.244538569641</v>
      </c>
      <c r="Q85" s="25">
        <f t="array" aca="1" ref="Q85" ca="1">INDEX('Isaac 401k'!L:L,MATCH('Retirement Calculator'!A85,'Isaac 401k'!N:N,0),0)</f>
        <v>1741221.1475969746</v>
      </c>
      <c r="R85" s="25">
        <f t="array" aca="1" ref="R85" ca="1">INDEX('Lorri 401b'!L:L,MATCH('Retirement Calculator'!A85,'Lorri 401b'!N:N,0),0)</f>
        <v>4346578.0372117264</v>
      </c>
      <c r="S85" s="25">
        <f t="shared" ca="1" si="7"/>
        <v>6087799.1848087013</v>
      </c>
    </row>
    <row r="86" spans="1:19" ht="15.75" customHeight="1" x14ac:dyDescent="0.3">
      <c r="A86" s="37">
        <v>53571</v>
      </c>
      <c r="B86" s="409">
        <f t="shared" ref="B86:C86" si="82">($A86-B$9)/365.25</f>
        <v>64.791238877481177</v>
      </c>
      <c r="C86" s="409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3525.4531757812501</v>
      </c>
      <c r="H86" s="25">
        <f>IF(B86&lt;62,0,'Combined Retirement'!$I$14)</f>
        <v>2192</v>
      </c>
      <c r="I86" s="25">
        <f>IF(C86&lt;62,0,'Combined Retirement'!$I$13)</f>
        <v>0</v>
      </c>
      <c r="J86" s="25">
        <f t="shared" si="3"/>
        <v>8539.3180191855863</v>
      </c>
      <c r="K86" s="25">
        <f t="shared" si="4"/>
        <v>22025.926519384055</v>
      </c>
      <c r="L86" s="25"/>
      <c r="N86" s="25">
        <f>'Combined Retirement'!$C$18/12</f>
        <v>39153.069999999992</v>
      </c>
      <c r="O86" s="25">
        <f t="shared" si="5"/>
        <v>8587.8254614303496</v>
      </c>
      <c r="P86" s="25">
        <f t="shared" si="6"/>
        <v>30565.244538569641</v>
      </c>
      <c r="Q86" s="25">
        <f t="array" aca="1" ref="Q86" ca="1">INDEX('Isaac 401k'!L:L,MATCH('Retirement Calculator'!A86,'Isaac 401k'!N:N,0),0)</f>
        <v>1739901.3372010298</v>
      </c>
      <c r="R86" s="25">
        <f t="array" aca="1" ref="R86" ca="1">INDEX('Lorri 401b'!L:L,MATCH('Retirement Calculator'!A86,'Lorri 401b'!N:N,0),0)</f>
        <v>4342571.0778202275</v>
      </c>
      <c r="S86" s="25">
        <f t="shared" ca="1" si="7"/>
        <v>6082472.4150212575</v>
      </c>
    </row>
    <row r="87" spans="1:19" ht="15.75" customHeight="1" x14ac:dyDescent="0.3">
      <c r="A87" s="37">
        <v>53601</v>
      </c>
      <c r="B87" s="409">
        <f t="shared" ref="B87:C87" si="83">($A87-B$9)/365.25</f>
        <v>64.873374401095134</v>
      </c>
      <c r="C87" s="409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3525.4531757812501</v>
      </c>
      <c r="H87" s="25">
        <f>IF(B87&lt;62,0,'Combined Retirement'!$I$14)</f>
        <v>2192</v>
      </c>
      <c r="I87" s="25">
        <f>IF(C87&lt;62,0,'Combined Retirement'!$I$13)</f>
        <v>0</v>
      </c>
      <c r="J87" s="25">
        <f t="shared" si="3"/>
        <v>8539.3180191855863</v>
      </c>
      <c r="K87" s="25">
        <f t="shared" si="4"/>
        <v>22025.926519384055</v>
      </c>
      <c r="L87" s="25"/>
      <c r="N87" s="25">
        <f>'Combined Retirement'!$C$18/12</f>
        <v>39153.069999999992</v>
      </c>
      <c r="O87" s="25">
        <f t="shared" si="5"/>
        <v>8587.8254614303496</v>
      </c>
      <c r="P87" s="25">
        <f t="shared" si="6"/>
        <v>30565.244538569641</v>
      </c>
      <c r="Q87" s="25">
        <f t="array" aca="1" ref="Q87" ca="1">INDEX('Isaac 401k'!L:L,MATCH('Retirement Calculator'!A87,'Isaac 401k'!N:N,0),0)</f>
        <v>1738576.0275951019</v>
      </c>
      <c r="R87" s="25">
        <f t="array" aca="1" ref="R87" ca="1">INDEX('Lorri 401b'!L:L,MATCH('Retirement Calculator'!A87,'Lorri 401b'!N:N,0),0)</f>
        <v>4338547.4227645975</v>
      </c>
      <c r="S87" s="25">
        <f t="shared" ca="1" si="7"/>
        <v>6077123.4503596993</v>
      </c>
    </row>
    <row r="88" spans="1:19" ht="15.75" customHeight="1" x14ac:dyDescent="0.3">
      <c r="A88" s="37">
        <v>53632</v>
      </c>
      <c r="B88" s="409">
        <f t="shared" ref="B88:C88" si="84">($A88-B$9)/365.25</f>
        <v>64.958247775496233</v>
      </c>
      <c r="C88" s="409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3525.4531757812501</v>
      </c>
      <c r="H88" s="25">
        <f>IF(B88&lt;62,0,'Combined Retirement'!$I$14)</f>
        <v>2192</v>
      </c>
      <c r="I88" s="25">
        <f>IF(C88&lt;62,0,'Combined Retirement'!$I$13)</f>
        <v>0</v>
      </c>
      <c r="J88" s="25">
        <f t="shared" si="3"/>
        <v>8539.3180191855863</v>
      </c>
      <c r="K88" s="25">
        <f t="shared" si="4"/>
        <v>22025.926519384055</v>
      </c>
      <c r="L88" s="25"/>
      <c r="N88" s="25">
        <f>'Combined Retirement'!$C$18/12</f>
        <v>39153.069999999992</v>
      </c>
      <c r="O88" s="25">
        <f t="shared" si="5"/>
        <v>8587.8254614303496</v>
      </c>
      <c r="P88" s="25">
        <f t="shared" si="6"/>
        <v>30565.244538569641</v>
      </c>
      <c r="Q88" s="25">
        <f t="array" aca="1" ref="Q88" ca="1">INDEX('Isaac 401k'!L:L,MATCH('Retirement Calculator'!A88,'Isaac 401k'!N:N,0),0)</f>
        <v>1737245.1958658157</v>
      </c>
      <c r="R88" s="25">
        <f t="array" aca="1" ref="R88" ca="1">INDEX('Lorri 401b'!L:L,MATCH('Retirement Calculator'!A88,'Lorri 401b'!N:N,0),0)</f>
        <v>4334507.0024795691</v>
      </c>
      <c r="S88" s="25">
        <f t="shared" ca="1" si="7"/>
        <v>6071752.1983453846</v>
      </c>
    </row>
    <row r="89" spans="1:19" ht="15.75" customHeight="1" x14ac:dyDescent="0.3">
      <c r="A89" s="37">
        <v>53662</v>
      </c>
      <c r="B89" s="409">
        <f t="shared" ref="B89:C89" si="85">($A89-B$9)/365.25</f>
        <v>65.040383299110204</v>
      </c>
      <c r="C89" s="409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3525.4531757812501</v>
      </c>
      <c r="H89" s="25">
        <f>IF(B89&lt;62,0,'Combined Retirement'!$I$14)</f>
        <v>2192</v>
      </c>
      <c r="I89" s="25">
        <f>IF(C89&lt;62,0,'Combined Retirement'!$I$13)</f>
        <v>0</v>
      </c>
      <c r="J89" s="25">
        <f t="shared" si="3"/>
        <v>8539.3180191855863</v>
      </c>
      <c r="K89" s="25">
        <f t="shared" si="4"/>
        <v>22025.926519384055</v>
      </c>
      <c r="L89" s="25"/>
      <c r="N89" s="25">
        <f>'Combined Retirement'!$C$18/12</f>
        <v>39153.069999999992</v>
      </c>
      <c r="O89" s="25">
        <f t="shared" si="5"/>
        <v>8587.8254614303496</v>
      </c>
      <c r="P89" s="25">
        <f t="shared" si="6"/>
        <v>30565.244538569641</v>
      </c>
      <c r="Q89" s="25">
        <f t="array" aca="1" ref="Q89" ca="1">INDEX('Isaac 401k'!L:L,MATCH('Retirement Calculator'!A89,'Isaac 401k'!N:N,0),0)</f>
        <v>1735908.8190043243</v>
      </c>
      <c r="R89" s="25">
        <f t="array" aca="1" ref="R89" ca="1">INDEX('Lorri 401b'!L:L,MATCH('Retirement Calculator'!A89,'Lorri 401b'!N:N,0),0)</f>
        <v>4330449.7471100194</v>
      </c>
      <c r="S89" s="25">
        <f t="shared" ca="1" si="7"/>
        <v>6066358.5661143437</v>
      </c>
    </row>
    <row r="90" spans="1:19" ht="15.75" customHeight="1" x14ac:dyDescent="0.3">
      <c r="A90" s="37">
        <v>53693</v>
      </c>
      <c r="B90" s="409">
        <f t="shared" ref="B90:C90" si="86">($A90-B$9)/365.25</f>
        <v>65.125256673511288</v>
      </c>
      <c r="C90" s="409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3525.4531757812501</v>
      </c>
      <c r="H90" s="25">
        <f>IF(B90&lt;62,0,'Combined Retirement'!$I$14)</f>
        <v>2192</v>
      </c>
      <c r="I90" s="25">
        <f>IF(C90&lt;62,0,'Combined Retirement'!$I$13)</f>
        <v>0</v>
      </c>
      <c r="J90" s="25">
        <f t="shared" si="3"/>
        <v>8539.3180191855863</v>
      </c>
      <c r="K90" s="25">
        <f t="shared" si="4"/>
        <v>22025.926519384055</v>
      </c>
      <c r="L90" s="25"/>
      <c r="N90" s="25">
        <f>'Combined Retirement'!$C$18/12</f>
        <v>39153.069999999992</v>
      </c>
      <c r="O90" s="25">
        <f t="shared" si="5"/>
        <v>8587.8254614303496</v>
      </c>
      <c r="P90" s="25">
        <f t="shared" si="6"/>
        <v>30565.244538569641</v>
      </c>
      <c r="Q90" s="25">
        <f t="array" aca="1" ref="Q90" ca="1">INDEX('Isaac 401k'!L:L,MATCH('Retirement Calculator'!A90,'Isaac 401k'!N:N,0),0)</f>
        <v>1734566.8739059099</v>
      </c>
      <c r="R90" s="25">
        <f t="array" aca="1" ref="R90" ca="1">INDEX('Lorri 401b'!L:L,MATCH('Retirement Calculator'!A90,'Lorri 401b'!N:N,0),0)</f>
        <v>4326375.5865097633</v>
      </c>
      <c r="S90" s="25">
        <f t="shared" ca="1" si="7"/>
        <v>6060942.4604156734</v>
      </c>
    </row>
    <row r="91" spans="1:19" ht="15.75" customHeight="1" x14ac:dyDescent="0.3">
      <c r="A91" s="37">
        <v>53724</v>
      </c>
      <c r="B91" s="409">
        <f t="shared" ref="B91:C91" si="87">($A91-B$9)/365.25</f>
        <v>65.210130047912386</v>
      </c>
      <c r="C91" s="409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3525.4531757812501</v>
      </c>
      <c r="H91" s="25">
        <f>IF(B91&lt;62,0,'Combined Retirement'!$I$14)</f>
        <v>2192</v>
      </c>
      <c r="I91" s="25">
        <f>IF(C91&lt;62,0,'Combined Retirement'!$I$13)</f>
        <v>0</v>
      </c>
      <c r="J91" s="25">
        <f t="shared" si="3"/>
        <v>8539.3180191855863</v>
      </c>
      <c r="K91" s="25">
        <f t="shared" si="4"/>
        <v>22025.926519384055</v>
      </c>
      <c r="L91" s="25"/>
      <c r="N91" s="25">
        <f>'Combined Retirement'!$C$18/12</f>
        <v>39153.069999999992</v>
      </c>
      <c r="O91" s="25">
        <f t="shared" si="5"/>
        <v>8587.8254614303496</v>
      </c>
      <c r="P91" s="25">
        <f t="shared" si="6"/>
        <v>30565.244538569641</v>
      </c>
      <c r="Q91" s="25">
        <f t="array" aca="1" ref="Q91" ca="1">INDEX('Isaac 401k'!L:L,MATCH('Retirement Calculator'!A91,'Isaac 401k'!N:N,0),0)</f>
        <v>1733219.3373695856</v>
      </c>
      <c r="R91" s="25">
        <f t="array" aca="1" ref="R91" ca="1">INDEX('Lorri 401b'!L:L,MATCH('Retirement Calculator'!A91,'Lorri 401b'!N:N,0),0)</f>
        <v>4322284.4502403392</v>
      </c>
      <c r="S91" s="25">
        <f t="shared" ca="1" si="7"/>
        <v>6055503.7876099246</v>
      </c>
    </row>
    <row r="92" spans="1:19" ht="15.75" customHeight="1" x14ac:dyDescent="0.3">
      <c r="A92" s="37">
        <v>53752</v>
      </c>
      <c r="B92" s="409">
        <f t="shared" ref="B92:C92" si="88">($A92-B$9)/365.25</f>
        <v>65.286789869952088</v>
      </c>
      <c r="C92" s="409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3525.4531757812501</v>
      </c>
      <c r="H92" s="25">
        <f>IF(B92&lt;62,0,'Combined Retirement'!$I$14)</f>
        <v>2192</v>
      </c>
      <c r="I92" s="25">
        <f>IF(C92&lt;62,0,'Combined Retirement'!$I$13)</f>
        <v>0</v>
      </c>
      <c r="J92" s="25">
        <f t="shared" si="3"/>
        <v>8539.3180191855863</v>
      </c>
      <c r="K92" s="25">
        <f t="shared" si="4"/>
        <v>22025.926519384055</v>
      </c>
      <c r="L92" s="25"/>
      <c r="N92" s="25">
        <f>'Combined Retirement'!$C$18/12</f>
        <v>39153.069999999992</v>
      </c>
      <c r="O92" s="25">
        <f t="shared" si="5"/>
        <v>8587.8254614303496</v>
      </c>
      <c r="P92" s="25">
        <f t="shared" si="6"/>
        <v>30565.244538569641</v>
      </c>
      <c r="Q92" s="25">
        <f t="array" aca="1" ref="Q92" ca="1">INDEX('Isaac 401k'!L:L,MATCH('Retirement Calculator'!A92,'Isaac 401k'!N:N,0),0)</f>
        <v>1731866.1860976934</v>
      </c>
      <c r="R92" s="25">
        <f t="array" aca="1" ref="R92" ca="1">INDEX('Lorri 401b'!L:L,MATCH('Retirement Calculator'!A92,'Lorri 401b'!N:N,0),0)</f>
        <v>4318176.2675697925</v>
      </c>
      <c r="S92" s="25">
        <f t="shared" ca="1" si="7"/>
        <v>6050042.4536674861</v>
      </c>
    </row>
    <row r="93" spans="1:19" ht="15.75" customHeight="1" x14ac:dyDescent="0.3">
      <c r="A93" s="37">
        <v>53783</v>
      </c>
      <c r="B93" s="409">
        <f t="shared" ref="B93:C93" si="89">($A93-B$9)/365.25</f>
        <v>65.371663244353186</v>
      </c>
      <c r="C93" s="409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3525.4531757812501</v>
      </c>
      <c r="H93" s="25">
        <f>IF(B93&lt;62,0,'Combined Retirement'!$I$14)</f>
        <v>2192</v>
      </c>
      <c r="I93" s="25">
        <f>IF(C93&lt;62,0,'Combined Retirement'!$I$13)</f>
        <v>0</v>
      </c>
      <c r="J93" s="25">
        <f t="shared" si="3"/>
        <v>8539.3180191855863</v>
      </c>
      <c r="K93" s="25">
        <f t="shared" si="4"/>
        <v>22025.926519384055</v>
      </c>
      <c r="L93" s="25"/>
      <c r="N93" s="25">
        <f>'Combined Retirement'!$C$18/12</f>
        <v>39153.069999999992</v>
      </c>
      <c r="O93" s="25">
        <f t="shared" si="5"/>
        <v>8587.8254614303496</v>
      </c>
      <c r="P93" s="25">
        <f t="shared" si="6"/>
        <v>30565.244538569641</v>
      </c>
      <c r="Q93" s="25">
        <f t="array" aca="1" ref="Q93" ca="1">INDEX('Isaac 401k'!L:L,MATCH('Retirement Calculator'!A93,'Isaac 401k'!N:N,0),0)</f>
        <v>1730507.3966955014</v>
      </c>
      <c r="R93" s="25">
        <f t="array" aca="1" ref="R93" ca="1">INDEX('Lorri 401b'!L:L,MATCH('Retirement Calculator'!A93,'Lorri 401b'!N:N,0),0)</f>
        <v>4314050.9674714524</v>
      </c>
      <c r="S93" s="25">
        <f t="shared" ca="1" si="7"/>
        <v>6044558.3641669536</v>
      </c>
    </row>
    <row r="94" spans="1:19" ht="15.75" customHeight="1" x14ac:dyDescent="0.3">
      <c r="A94" s="37">
        <v>53813</v>
      </c>
      <c r="B94" s="409">
        <f t="shared" ref="B94:C94" si="90">($A94-B$9)/365.25</f>
        <v>65.453798767967143</v>
      </c>
      <c r="C94" s="409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3525.4531757812501</v>
      </c>
      <c r="H94" s="25">
        <f>IF(B94&lt;62,0,'Combined Retirement'!$I$14)</f>
        <v>2192</v>
      </c>
      <c r="I94" s="25">
        <f>IF(C94&lt;62,0,'Combined Retirement'!$I$13)</f>
        <v>0</v>
      </c>
      <c r="J94" s="25">
        <f t="shared" si="3"/>
        <v>8539.3180191855863</v>
      </c>
      <c r="K94" s="25">
        <f t="shared" si="4"/>
        <v>22025.926519384055</v>
      </c>
      <c r="L94" s="25"/>
      <c r="N94" s="25">
        <f>'Combined Retirement'!$C$18/12</f>
        <v>39153.069999999992</v>
      </c>
      <c r="O94" s="25">
        <f t="shared" si="5"/>
        <v>8587.8254614303496</v>
      </c>
      <c r="P94" s="25">
        <f t="shared" si="6"/>
        <v>30565.244538569641</v>
      </c>
      <c r="Q94" s="25">
        <f t="array" aca="1" ref="Q94" ca="1">INDEX('Isaac 401k'!L:L,MATCH('Retirement Calculator'!A94,'Isaac 401k'!N:N,0),0)</f>
        <v>1729142.9456708003</v>
      </c>
      <c r="R94" s="25">
        <f t="array" aca="1" ref="R94" ca="1">INDEX('Lorri 401b'!L:L,MATCH('Retirement Calculator'!A94,'Lorri 401b'!N:N,0),0)</f>
        <v>4309908.478622702</v>
      </c>
      <c r="S94" s="25">
        <f t="shared" ca="1" si="7"/>
        <v>6039051.4242935022</v>
      </c>
    </row>
    <row r="95" spans="1:19" ht="15.75" customHeight="1" x14ac:dyDescent="0.3">
      <c r="A95" s="37">
        <v>53844</v>
      </c>
      <c r="B95" s="409">
        <f t="shared" ref="B95:C95" si="91">($A95-B$9)/365.25</f>
        <v>65.538672142368242</v>
      </c>
      <c r="C95" s="409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3525.4531757812501</v>
      </c>
      <c r="H95" s="25">
        <f>IF(B95&lt;62,0,'Combined Retirement'!$I$14)</f>
        <v>2192</v>
      </c>
      <c r="I95" s="25">
        <f>IF(C95&lt;62,0,'Combined Retirement'!$I$13)</f>
        <v>0</v>
      </c>
      <c r="J95" s="25">
        <f t="shared" si="3"/>
        <v>8539.3180191855863</v>
      </c>
      <c r="K95" s="25">
        <f t="shared" si="4"/>
        <v>22025.926519384055</v>
      </c>
      <c r="L95" s="25"/>
      <c r="N95" s="25">
        <f>'Combined Retirement'!$C$18/12</f>
        <v>39153.069999999992</v>
      </c>
      <c r="O95" s="25">
        <f t="shared" si="5"/>
        <v>8587.8254614303496</v>
      </c>
      <c r="P95" s="25">
        <f t="shared" si="6"/>
        <v>30565.244538569641</v>
      </c>
      <c r="Q95" s="25">
        <f t="array" aca="1" ref="Q95" ca="1">INDEX('Isaac 401k'!L:L,MATCH('Retirement Calculator'!A95,'Isaac 401k'!N:N,0),0)</f>
        <v>1727772.8094334963</v>
      </c>
      <c r="R95" s="25">
        <f t="array" aca="1" ref="R95" ca="1">INDEX('Lorri 401b'!L:L,MATCH('Retirement Calculator'!A95,'Lorri 401b'!N:N,0),0)</f>
        <v>4305748.7294037491</v>
      </c>
      <c r="S95" s="25">
        <f t="shared" ca="1" si="7"/>
        <v>6033521.5388372457</v>
      </c>
    </row>
    <row r="96" spans="1:19" ht="15.75" customHeight="1" x14ac:dyDescent="0.3">
      <c r="A96" s="37">
        <v>53874</v>
      </c>
      <c r="B96" s="409">
        <f t="shared" ref="B96:C96" si="92">($A96-B$9)/365.25</f>
        <v>65.620807665982198</v>
      </c>
      <c r="C96" s="409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3525.4531757812501</v>
      </c>
      <c r="H96" s="25">
        <f>IF(B96&lt;62,0,'Combined Retirement'!$I$14)</f>
        <v>2192</v>
      </c>
      <c r="I96" s="25">
        <f>IF(C96&lt;62,0,'Combined Retirement'!$I$13)</f>
        <v>0</v>
      </c>
      <c r="J96" s="25">
        <f t="shared" si="3"/>
        <v>8539.3180191855863</v>
      </c>
      <c r="K96" s="25">
        <f t="shared" si="4"/>
        <v>22025.926519384055</v>
      </c>
      <c r="L96" s="25"/>
      <c r="N96" s="25">
        <f>'Combined Retirement'!$C$18/12</f>
        <v>39153.069999999992</v>
      </c>
      <c r="O96" s="25">
        <f t="shared" si="5"/>
        <v>8587.8254614303496</v>
      </c>
      <c r="P96" s="25">
        <f t="shared" si="6"/>
        <v>30565.244538569641</v>
      </c>
      <c r="Q96" s="25">
        <f t="array" aca="1" ref="Q96" ca="1">INDEX('Isaac 401k'!L:L,MATCH('Retirement Calculator'!A96,'Isaac 401k'!N:N,0),0)</f>
        <v>1726396.9642952036</v>
      </c>
      <c r="R96" s="25">
        <f t="array" aca="1" ref="R96" ca="1">INDEX('Lorri 401b'!L:L,MATCH('Retirement Calculator'!A96,'Lorri 401b'!N:N,0),0)</f>
        <v>4301571.6478963839</v>
      </c>
      <c r="S96" s="25">
        <f t="shared" ca="1" si="7"/>
        <v>6027968.6121915877</v>
      </c>
    </row>
    <row r="97" spans="1:19" ht="15.75" customHeight="1" x14ac:dyDescent="0.3">
      <c r="A97" s="37">
        <v>53905</v>
      </c>
      <c r="B97" s="409">
        <f t="shared" ref="B97:C97" si="93">($A97-B$9)/365.25</f>
        <v>65.705681040383297</v>
      </c>
      <c r="C97" s="409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3525.4531757812501</v>
      </c>
      <c r="H97" s="25">
        <f>IF(B97&lt;62,0,'Combined Retirement'!$I$14)</f>
        <v>2192</v>
      </c>
      <c r="I97" s="25">
        <f>IF(C97&lt;62,0,'Combined Retirement'!$I$13)</f>
        <v>0</v>
      </c>
      <c r="J97" s="25">
        <f t="shared" si="3"/>
        <v>8539.3180191855863</v>
      </c>
      <c r="K97" s="25">
        <f t="shared" si="4"/>
        <v>22025.926519384055</v>
      </c>
      <c r="L97" s="25"/>
      <c r="N97" s="25">
        <f>'Combined Retirement'!$C$18/12</f>
        <v>39153.069999999992</v>
      </c>
      <c r="O97" s="25">
        <f t="shared" si="5"/>
        <v>8587.8254614303496</v>
      </c>
      <c r="P97" s="25">
        <f t="shared" si="6"/>
        <v>30565.244538569641</v>
      </c>
      <c r="Q97" s="25">
        <f t="array" aca="1" ref="Q97" ca="1">INDEX('Isaac 401k'!L:L,MATCH('Retirement Calculator'!A97,'Isaac 401k'!N:N,0),0)</f>
        <v>1725015.3864688347</v>
      </c>
      <c r="R97" s="25">
        <f t="array" aca="1" ref="R97" ca="1">INDEX('Lorri 401b'!L:L,MATCH('Retirement Calculator'!A97,'Lorri 401b'!N:N,0),0)</f>
        <v>4297377.1618827377</v>
      </c>
      <c r="S97" s="25">
        <f t="shared" ca="1" si="7"/>
        <v>6022392.5483515728</v>
      </c>
    </row>
    <row r="98" spans="1:19" ht="15.75" customHeight="1" x14ac:dyDescent="0.3">
      <c r="A98" s="37">
        <v>53936</v>
      </c>
      <c r="B98" s="409">
        <f t="shared" ref="B98:C98" si="94">($A98-B$9)/365.25</f>
        <v>65.790554414784395</v>
      </c>
      <c r="C98" s="409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3525.4531757812501</v>
      </c>
      <c r="H98" s="25">
        <f>IF(B98&lt;62,0,'Combined Retirement'!$I$14)</f>
        <v>2192</v>
      </c>
      <c r="I98" s="25">
        <f>IF(C98&lt;62,0,'Combined Retirement'!$I$13)</f>
        <v>0</v>
      </c>
      <c r="J98" s="25">
        <f t="shared" si="3"/>
        <v>8539.3180191855863</v>
      </c>
      <c r="K98" s="25">
        <f t="shared" si="4"/>
        <v>22025.926519384055</v>
      </c>
      <c r="L98" s="25"/>
      <c r="N98" s="25">
        <f>'Combined Retirement'!$C$18/12</f>
        <v>39153.069999999992</v>
      </c>
      <c r="O98" s="25">
        <f t="shared" si="5"/>
        <v>8587.8254614303496</v>
      </c>
      <c r="P98" s="25">
        <f t="shared" si="6"/>
        <v>30565.244538569641</v>
      </c>
      <c r="Q98" s="25">
        <f t="array" aca="1" ref="Q98" ca="1">INDEX('Isaac 401k'!L:L,MATCH('Retirement Calculator'!A98,'Isaac 401k'!N:N,0),0)</f>
        <v>1723628.0520681893</v>
      </c>
      <c r="R98" s="25">
        <f t="array" aca="1" ref="R98" ca="1">INDEX('Lorri 401b'!L:L,MATCH('Retirement Calculator'!A98,'Lorri 401b'!N:N,0),0)</f>
        <v>4293165.1988440342</v>
      </c>
      <c r="S98" s="25">
        <f t="shared" ca="1" si="7"/>
        <v>6016793.250912223</v>
      </c>
    </row>
    <row r="99" spans="1:19" ht="15.75" customHeight="1" x14ac:dyDescent="0.3">
      <c r="A99" s="37">
        <v>53966</v>
      </c>
      <c r="B99" s="409">
        <f t="shared" ref="B99:C99" si="95">($A99-B$9)/365.25</f>
        <v>65.872689938398352</v>
      </c>
      <c r="C99" s="409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3525.4531757812501</v>
      </c>
      <c r="H99" s="25">
        <f>IF(B99&lt;62,0,'Combined Retirement'!$I$14)</f>
        <v>2192</v>
      </c>
      <c r="I99" s="25">
        <f>IF(C99&lt;62,0,'Combined Retirement'!$I$13)</f>
        <v>0</v>
      </c>
      <c r="J99" s="25">
        <f t="shared" si="3"/>
        <v>8539.3180191855863</v>
      </c>
      <c r="K99" s="25">
        <f t="shared" si="4"/>
        <v>22025.926519384055</v>
      </c>
      <c r="L99" s="25"/>
      <c r="N99" s="25">
        <f>'Combined Retirement'!$C$18/12</f>
        <v>39153.069999999992</v>
      </c>
      <c r="O99" s="25">
        <f t="shared" si="5"/>
        <v>8587.8254614303496</v>
      </c>
      <c r="P99" s="25">
        <f t="shared" si="6"/>
        <v>30565.244538569641</v>
      </c>
      <c r="Q99" s="25">
        <f t="array" aca="1" ref="Q99" ca="1">INDEX('Isaac 401k'!L:L,MATCH('Retirement Calculator'!A99,'Isaac 401k'!N:N,0),0)</f>
        <v>1722234.9371075411</v>
      </c>
      <c r="R99" s="25">
        <f t="array" aca="1" ref="R99" ca="1">INDEX('Lorri 401b'!L:L,MATCH('Retirement Calculator'!A99,'Lorri 401b'!N:N,0),0)</f>
        <v>4288935.6859593363</v>
      </c>
      <c r="S99" s="25">
        <f t="shared" ca="1" si="7"/>
        <v>6011170.6230668779</v>
      </c>
    </row>
    <row r="100" spans="1:19" ht="15.75" customHeight="1" x14ac:dyDescent="0.3">
      <c r="A100" s="37">
        <v>53997</v>
      </c>
      <c r="B100" s="409">
        <f t="shared" ref="B100:C100" si="96">($A100-B$9)/365.25</f>
        <v>65.957563312799451</v>
      </c>
      <c r="C100" s="409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3525.4531757812501</v>
      </c>
      <c r="H100" s="25">
        <f>IF(B100&lt;62,0,'Combined Retirement'!$I$14)</f>
        <v>2192</v>
      </c>
      <c r="I100" s="25">
        <f>IF(C100&lt;62,0,'Combined Retirement'!$I$13)</f>
        <v>0</v>
      </c>
      <c r="J100" s="25">
        <f t="shared" si="3"/>
        <v>8539.3180191855863</v>
      </c>
      <c r="K100" s="25">
        <f t="shared" si="4"/>
        <v>22025.926519384055</v>
      </c>
      <c r="L100" s="25"/>
      <c r="N100" s="25">
        <f>'Combined Retirement'!$C$18/12</f>
        <v>39153.069999999992</v>
      </c>
      <c r="O100" s="25">
        <f t="shared" si="5"/>
        <v>8587.8254614303496</v>
      </c>
      <c r="P100" s="25">
        <f t="shared" si="6"/>
        <v>30565.244538569641</v>
      </c>
      <c r="Q100" s="25">
        <f t="array" aca="1" ref="Q100" ca="1">INDEX('Isaac 401k'!L:L,MATCH('Retirement Calculator'!A100,'Isaac 401k'!N:N,0),0)</f>
        <v>1720836.0175012236</v>
      </c>
      <c r="R100" s="25">
        <f t="array" aca="1" ref="R100" ca="1">INDEX('Lorri 401b'!L:L,MATCH('Retirement Calculator'!A100,'Lorri 401b'!N:N,0),0)</f>
        <v>4284688.5501042856</v>
      </c>
      <c r="S100" s="25">
        <f t="shared" ca="1" si="7"/>
        <v>6005524.5676055094</v>
      </c>
    </row>
    <row r="101" spans="1:19" ht="15.75" customHeight="1" x14ac:dyDescent="0.3">
      <c r="A101" s="37">
        <v>54027</v>
      </c>
      <c r="B101" s="409">
        <f t="shared" ref="B101:C101" si="97">($A101-B$9)/365.25</f>
        <v>66.039698836413422</v>
      </c>
      <c r="C101" s="409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3525.4531757812501</v>
      </c>
      <c r="H101" s="25">
        <f>IF(B101&lt;62,0,'Combined Retirement'!$I$14)</f>
        <v>2192</v>
      </c>
      <c r="I101" s="25">
        <f>IF(C101&lt;62,0,'Combined Retirement'!$I$13)</f>
        <v>0</v>
      </c>
      <c r="J101" s="25">
        <f t="shared" si="3"/>
        <v>8539.3180191855863</v>
      </c>
      <c r="K101" s="25">
        <f t="shared" si="4"/>
        <v>22025.926519384055</v>
      </c>
      <c r="L101" s="25"/>
      <c r="N101" s="25">
        <f>'Combined Retirement'!$C$18/12</f>
        <v>39153.069999999992</v>
      </c>
      <c r="O101" s="25">
        <f t="shared" si="5"/>
        <v>8587.8254614303496</v>
      </c>
      <c r="P101" s="25">
        <f t="shared" si="6"/>
        <v>30565.244538569641</v>
      </c>
      <c r="Q101" s="25">
        <f t="array" aca="1" ref="Q101" ca="1">INDEX('Isaac 401k'!L:L,MATCH('Retirement Calculator'!A101,'Isaac 401k'!N:N,0),0)</f>
        <v>1719431.2690632131</v>
      </c>
      <c r="R101" s="25">
        <f t="array" aca="1" ref="R101" ca="1">INDEX('Lorri 401b'!L:L,MATCH('Retirement Calculator'!A101,'Lorri 401b'!N:N,0),0)</f>
        <v>4280423.7178498385</v>
      </c>
      <c r="S101" s="25">
        <f t="shared" ca="1" si="7"/>
        <v>5999854.9869130515</v>
      </c>
    </row>
    <row r="102" spans="1:19" ht="15.75" customHeight="1" x14ac:dyDescent="0.3">
      <c r="A102" s="37">
        <v>54058</v>
      </c>
      <c r="B102" s="409">
        <f t="shared" ref="B102:C102" si="98">($A102-B$9)/365.25</f>
        <v>66.124572210814506</v>
      </c>
      <c r="C102" s="409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3525.4531757812501</v>
      </c>
      <c r="H102" s="25">
        <f>IF(B102&lt;62,0,'Combined Retirement'!$I$14)</f>
        <v>2192</v>
      </c>
      <c r="I102" s="25">
        <f>IF(C102&lt;62,0,'Combined Retirement'!$I$13)</f>
        <v>0</v>
      </c>
      <c r="J102" s="25">
        <f t="shared" si="3"/>
        <v>8539.3180191855863</v>
      </c>
      <c r="K102" s="25">
        <f t="shared" si="4"/>
        <v>22025.926519384055</v>
      </c>
      <c r="L102" s="25"/>
      <c r="N102" s="25">
        <f>'Combined Retirement'!$C$18/12</f>
        <v>39153.069999999992</v>
      </c>
      <c r="O102" s="25">
        <f t="shared" si="5"/>
        <v>8587.8254614303496</v>
      </c>
      <c r="P102" s="25">
        <f t="shared" si="6"/>
        <v>30565.244538569641</v>
      </c>
      <c r="Q102" s="25">
        <f t="array" aca="1" ref="Q102" ca="1">INDEX('Isaac 401k'!L:L,MATCH('Retirement Calculator'!A102,'Isaac 401k'!N:N,0),0)</f>
        <v>1718020.6675067109</v>
      </c>
      <c r="R102" s="25">
        <f t="array" aca="1" ref="R102" ca="1">INDEX('Lorri 401b'!L:L,MATCH('Retirement Calculator'!A102,'Lorri 401b'!N:N,0),0)</f>
        <v>4276141.1154609984</v>
      </c>
      <c r="S102" s="25">
        <f t="shared" ca="1" si="7"/>
        <v>5994161.782967709</v>
      </c>
    </row>
    <row r="103" spans="1:19" ht="15.75" customHeight="1" x14ac:dyDescent="0.3">
      <c r="A103" s="37">
        <v>54089</v>
      </c>
      <c r="B103" s="409">
        <f t="shared" ref="B103:C103" si="99">($A103-B$9)/365.25</f>
        <v>66.209445585215605</v>
      </c>
      <c r="C103" s="409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3525.4531757812501</v>
      </c>
      <c r="H103" s="25">
        <f>IF(B103&lt;62,0,'Combined Retirement'!$I$14)</f>
        <v>2192</v>
      </c>
      <c r="I103" s="25">
        <f>IF(C103&lt;62,0,'Combined Retirement'!$I$13)</f>
        <v>0</v>
      </c>
      <c r="J103" s="25">
        <f t="shared" si="3"/>
        <v>8539.3180191855863</v>
      </c>
      <c r="K103" s="25">
        <f t="shared" si="4"/>
        <v>22025.926519384055</v>
      </c>
      <c r="L103" s="25"/>
      <c r="N103" s="25">
        <f>'Combined Retirement'!$C$18/12</f>
        <v>39153.069999999992</v>
      </c>
      <c r="O103" s="25">
        <f t="shared" si="5"/>
        <v>8587.8254614303496</v>
      </c>
      <c r="P103" s="25">
        <f t="shared" si="6"/>
        <v>30565.244538569641</v>
      </c>
      <c r="Q103" s="25">
        <f t="array" aca="1" ref="Q103" ca="1">INDEX('Isaac 401k'!L:L,MATCH('Retirement Calculator'!A103,'Isaac 401k'!N:N,0),0)</f>
        <v>1716604.1884437231</v>
      </c>
      <c r="R103" s="25">
        <f t="array" aca="1" ref="R103" ca="1">INDEX('Lorri 401b'!L:L,MATCH('Retirement Calculator'!A103,'Lorri 401b'!N:N,0),0)</f>
        <v>4271840.668895538</v>
      </c>
      <c r="S103" s="25">
        <f t="shared" ca="1" si="7"/>
        <v>5988444.8573392611</v>
      </c>
    </row>
    <row r="104" spans="1:19" ht="15.75" customHeight="1" x14ac:dyDescent="0.3">
      <c r="A104" s="37">
        <v>54118</v>
      </c>
      <c r="B104" s="409">
        <f t="shared" ref="B104:C104" si="100">($A104-B$9)/365.25</f>
        <v>66.288843258042434</v>
      </c>
      <c r="C104" s="409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3525.4531757812501</v>
      </c>
      <c r="H104" s="25">
        <f>IF(B104&lt;62,0,'Combined Retirement'!$I$14)</f>
        <v>2192</v>
      </c>
      <c r="I104" s="25">
        <f>IF(C104&lt;62,0,'Combined Retirement'!$I$13)</f>
        <v>0</v>
      </c>
      <c r="J104" s="25">
        <f t="shared" si="3"/>
        <v>8539.3180191855863</v>
      </c>
      <c r="K104" s="25">
        <f t="shared" si="4"/>
        <v>22025.926519384055</v>
      </c>
      <c r="L104" s="25"/>
      <c r="N104" s="25">
        <f>'Combined Retirement'!$C$18/12</f>
        <v>39153.069999999992</v>
      </c>
      <c r="O104" s="25">
        <f t="shared" si="5"/>
        <v>8587.8254614303496</v>
      </c>
      <c r="P104" s="25">
        <f t="shared" si="6"/>
        <v>30565.244538569641</v>
      </c>
      <c r="Q104" s="25">
        <f t="array" aca="1" ref="Q104" ca="1">INDEX('Isaac 401k'!L:L,MATCH('Retirement Calculator'!A104,'Isaac 401k'!N:N,0),0)</f>
        <v>1715181.8073846397</v>
      </c>
      <c r="R104" s="25">
        <f t="array" aca="1" ref="R104" ca="1">INDEX('Lorri 401b'!L:L,MATCH('Retirement Calculator'!A104,'Lorri 401b'!N:N,0),0)</f>
        <v>4267522.3038027212</v>
      </c>
      <c r="S104" s="25">
        <f t="shared" ca="1" si="7"/>
        <v>5982704.1111873612</v>
      </c>
    </row>
    <row r="105" spans="1:19" ht="15.75" customHeight="1" x14ac:dyDescent="0.3">
      <c r="A105" s="37">
        <v>54149</v>
      </c>
      <c r="B105" s="409">
        <f t="shared" ref="B105:C105" si="101">($A105-B$9)/365.25</f>
        <v>66.373716632443532</v>
      </c>
      <c r="C105" s="409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3525.4531757812501</v>
      </c>
      <c r="H105" s="25">
        <f>IF(B105&lt;62,0,'Combined Retirement'!$I$14)</f>
        <v>2192</v>
      </c>
      <c r="I105" s="25">
        <f>IF(C105&lt;62,0,'Combined Retirement'!$I$13)</f>
        <v>0</v>
      </c>
      <c r="J105" s="25">
        <f t="shared" si="3"/>
        <v>8539.3180191855863</v>
      </c>
      <c r="K105" s="25">
        <f t="shared" si="4"/>
        <v>22025.926519384055</v>
      </c>
      <c r="L105" s="25"/>
      <c r="N105" s="25">
        <f>'Combined Retirement'!$C$18/12</f>
        <v>39153.069999999992</v>
      </c>
      <c r="O105" s="25">
        <f t="shared" si="5"/>
        <v>8587.8254614303496</v>
      </c>
      <c r="P105" s="25">
        <f t="shared" si="6"/>
        <v>30565.244538569641</v>
      </c>
      <c r="Q105" s="25">
        <f t="array" aca="1" ref="Q105" ca="1">INDEX('Isaac 401k'!L:L,MATCH('Retirement Calculator'!A105,'Isaac 401k'!N:N,0),0)</f>
        <v>1713753.4997378101</v>
      </c>
      <c r="R105" s="25">
        <f t="array" aca="1" ref="R105" ca="1">INDEX('Lorri 401b'!L:L,MATCH('Retirement Calculator'!A105,'Lorri 401b'!N:N,0),0)</f>
        <v>4263185.9455220178</v>
      </c>
      <c r="S105" s="25">
        <f t="shared" ca="1" si="7"/>
        <v>5976939.4452598281</v>
      </c>
    </row>
    <row r="106" spans="1:19" ht="15.75" customHeight="1" x14ac:dyDescent="0.3">
      <c r="A106" s="37">
        <v>54179</v>
      </c>
      <c r="B106" s="409">
        <f t="shared" ref="B106:C106" si="102">($A106-B$9)/365.25</f>
        <v>66.455852156057489</v>
      </c>
      <c r="C106" s="409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3525.4531757812501</v>
      </c>
      <c r="H106" s="25">
        <f>IF(B106&lt;62,0,'Combined Retirement'!$I$14)</f>
        <v>2192</v>
      </c>
      <c r="I106" s="25">
        <f>IF(C106&lt;62,0,'Combined Retirement'!$I$13)</f>
        <v>0</v>
      </c>
      <c r="J106" s="25">
        <f t="shared" si="3"/>
        <v>8539.3180191855863</v>
      </c>
      <c r="K106" s="25">
        <f t="shared" si="4"/>
        <v>22025.926519384055</v>
      </c>
      <c r="L106" s="25"/>
      <c r="N106" s="25">
        <f>'Combined Retirement'!$C$18/12</f>
        <v>39153.069999999992</v>
      </c>
      <c r="O106" s="25">
        <f t="shared" si="5"/>
        <v>8587.8254614303496</v>
      </c>
      <c r="P106" s="25">
        <f t="shared" si="6"/>
        <v>30565.244538569641</v>
      </c>
      <c r="Q106" s="25">
        <f t="array" aca="1" ref="Q106" ca="1">INDEX('Isaac 401k'!L:L,MATCH('Retirement Calculator'!A106,'Isaac 401k'!N:N,0),0)</f>
        <v>1712319.2408091186</v>
      </c>
      <c r="R106" s="25">
        <f t="array" aca="1" ref="R106" ca="1">INDEX('Lorri 401b'!L:L,MATCH('Retirement Calculator'!A106,'Lorri 401b'!N:N,0),0)</f>
        <v>4258831.5190818114</v>
      </c>
      <c r="S106" s="25">
        <f t="shared" ca="1" si="7"/>
        <v>5971150.7598909298</v>
      </c>
    </row>
    <row r="107" spans="1:19" ht="15.75" customHeight="1" x14ac:dyDescent="0.3">
      <c r="A107" s="37">
        <v>54210</v>
      </c>
      <c r="B107" s="409">
        <f t="shared" ref="B107:C107" si="103">($A107-B$9)/365.25</f>
        <v>66.540725530458587</v>
      </c>
      <c r="C107" s="409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3525.4531757812501</v>
      </c>
      <c r="H107" s="25">
        <f>IF(B107&lt;62,0,'Combined Retirement'!$I$14)</f>
        <v>2192</v>
      </c>
      <c r="I107" s="25">
        <f>IF(C107&lt;62,0,'Combined Retirement'!$I$13)</f>
        <v>0</v>
      </c>
      <c r="J107" s="25">
        <f t="shared" si="3"/>
        <v>8539.3180191855863</v>
      </c>
      <c r="K107" s="25">
        <f t="shared" si="4"/>
        <v>22025.926519384055</v>
      </c>
      <c r="L107" s="25"/>
      <c r="N107" s="25">
        <f>'Combined Retirement'!$C$18/12</f>
        <v>39153.069999999992</v>
      </c>
      <c r="O107" s="25">
        <f t="shared" si="5"/>
        <v>8587.8254614303496</v>
      </c>
      <c r="P107" s="25">
        <f t="shared" si="6"/>
        <v>30565.244538569641</v>
      </c>
      <c r="Q107" s="25">
        <f t="array" aca="1" ref="Q107" ca="1">INDEX('Isaac 401k'!L:L,MATCH('Retirement Calculator'!A107,'Isaac 401k'!N:N,0),0)</f>
        <v>1710879.0058015576</v>
      </c>
      <c r="R107" s="25">
        <f t="array" aca="1" ref="R107" ca="1">INDEX('Lorri 401b'!L:L,MATCH('Retirement Calculator'!A107,'Lorri 401b'!N:N,0),0)</f>
        <v>4254458.9491981044</v>
      </c>
      <c r="S107" s="25">
        <f t="shared" ca="1" si="7"/>
        <v>5965337.954999662</v>
      </c>
    </row>
    <row r="108" spans="1:19" ht="15.75" customHeight="1" x14ac:dyDescent="0.3">
      <c r="A108" s="37">
        <v>54240</v>
      </c>
      <c r="B108" s="409">
        <f t="shared" ref="B108:C108" si="104">($A108-B$9)/365.25</f>
        <v>66.622861054072558</v>
      </c>
      <c r="C108" s="409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3525.4531757812501</v>
      </c>
      <c r="H108" s="25">
        <f>IF(B108&lt;62,0,'Combined Retirement'!$I$14)</f>
        <v>2192</v>
      </c>
      <c r="I108" s="25">
        <f>IF(C108&lt;62,0,'Combined Retirement'!$I$13)</f>
        <v>2420</v>
      </c>
      <c r="J108" s="25">
        <f t="shared" si="3"/>
        <v>7863.2184191855868</v>
      </c>
      <c r="K108" s="25">
        <f t="shared" si="4"/>
        <v>20282.026119384056</v>
      </c>
      <c r="L108" s="25"/>
      <c r="N108" s="25">
        <f>'Combined Retirement'!$C$18/12</f>
        <v>39153.069999999992</v>
      </c>
      <c r="O108" s="25">
        <f t="shared" si="5"/>
        <v>11007.82546143035</v>
      </c>
      <c r="P108" s="25">
        <f t="shared" si="6"/>
        <v>28145.244538569641</v>
      </c>
      <c r="Q108" s="25">
        <f t="array" aca="1" ref="Q108" ca="1">INDEX('Isaac 401k'!L:L,MATCH('Retirement Calculator'!A108,'Isaac 401k'!N:N,0),0)</f>
        <v>1710111.6864964652</v>
      </c>
      <c r="R108" s="25">
        <f t="array" aca="1" ref="R108" ca="1">INDEX('Lorri 401b'!L:L,MATCH('Retirement Calculator'!A108,'Lorri 401b'!N:N,0),0)</f>
        <v>4251819.3269248819</v>
      </c>
      <c r="S108" s="25">
        <f t="shared" ca="1" si="7"/>
        <v>5961931.0134213474</v>
      </c>
    </row>
    <row r="109" spans="1:19" ht="15.75" customHeight="1" x14ac:dyDescent="0.3">
      <c r="A109" s="37">
        <v>54271</v>
      </c>
      <c r="B109" s="409">
        <f t="shared" ref="B109:C109" si="105">($A109-B$9)/365.25</f>
        <v>66.707734428473643</v>
      </c>
      <c r="C109" s="409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3525.4531757812501</v>
      </c>
      <c r="H109" s="25">
        <f>IF(B109&lt;62,0,'Combined Retirement'!$I$14)</f>
        <v>2192</v>
      </c>
      <c r="I109" s="25">
        <f>IF(C109&lt;62,0,'Combined Retirement'!$I$13)</f>
        <v>2420</v>
      </c>
      <c r="J109" s="25">
        <f t="shared" si="3"/>
        <v>7863.2184191855868</v>
      </c>
      <c r="K109" s="25">
        <f t="shared" si="4"/>
        <v>20282.026119384056</v>
      </c>
      <c r="L109" s="25"/>
      <c r="N109" s="25">
        <f>'Combined Retirement'!$C$18/12</f>
        <v>39153.069999999992</v>
      </c>
      <c r="O109" s="25">
        <f t="shared" si="5"/>
        <v>11007.82546143035</v>
      </c>
      <c r="P109" s="25">
        <f t="shared" si="6"/>
        <v>28145.244538569641</v>
      </c>
      <c r="Q109" s="25">
        <f t="array" aca="1" ref="Q109" ca="1">INDEX('Isaac 401k'!L:L,MATCH('Retirement Calculator'!A109,'Isaac 401k'!N:N,0),0)</f>
        <v>1709341.1700276015</v>
      </c>
      <c r="R109" s="25">
        <f t="array" aca="1" ref="R109" ca="1">INDEX('Lorri 401b'!L:L,MATCH('Retirement Calculator'!A109,'Lorri 401b'!N:N,0),0)</f>
        <v>4249168.7062255209</v>
      </c>
      <c r="S109" s="25">
        <f t="shared" ca="1" si="7"/>
        <v>5958509.8762531225</v>
      </c>
    </row>
    <row r="110" spans="1:19" ht="15.75" customHeight="1" x14ac:dyDescent="0.3">
      <c r="A110" s="37">
        <v>54302</v>
      </c>
      <c r="B110" s="409">
        <f t="shared" ref="B110:C110" si="106">($A110-B$9)/365.25</f>
        <v>66.792607802874741</v>
      </c>
      <c r="C110" s="409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3525.4531757812501</v>
      </c>
      <c r="H110" s="25">
        <f>IF(B110&lt;62,0,'Combined Retirement'!$I$14)</f>
        <v>2192</v>
      </c>
      <c r="I110" s="25">
        <f>IF(C110&lt;62,0,'Combined Retirement'!$I$13)</f>
        <v>2420</v>
      </c>
      <c r="J110" s="25">
        <f t="shared" si="3"/>
        <v>7863.2184191855868</v>
      </c>
      <c r="K110" s="25">
        <f t="shared" si="4"/>
        <v>20282.026119384056</v>
      </c>
      <c r="L110" s="25"/>
      <c r="N110" s="25">
        <f>'Combined Retirement'!$C$18/12</f>
        <v>39153.069999999992</v>
      </c>
      <c r="O110" s="25">
        <f t="shared" si="5"/>
        <v>11007.82546143035</v>
      </c>
      <c r="P110" s="25">
        <f t="shared" si="6"/>
        <v>28145.244538569641</v>
      </c>
      <c r="Q110" s="25">
        <f t="array" aca="1" ref="Q110" ca="1">INDEX('Isaac 401k'!L:L,MATCH('Retirement Calculator'!A110,'Isaac 401k'!N:N,0),0)</f>
        <v>1708567.4430734511</v>
      </c>
      <c r="R110" s="25">
        <f t="array" aca="1" ref="R110" ca="1">INDEX('Lorri 401b'!L:L,MATCH('Retirement Calculator'!A110,'Lorri 401b'!N:N,0),0)</f>
        <v>4246507.0412732456</v>
      </c>
      <c r="S110" s="25">
        <f t="shared" ca="1" si="7"/>
        <v>5955074.4843466971</v>
      </c>
    </row>
    <row r="111" spans="1:19" ht="15.75" customHeight="1" x14ac:dyDescent="0.3">
      <c r="A111" s="37">
        <v>54332</v>
      </c>
      <c r="B111" s="409">
        <f t="shared" ref="B111:C111" si="107">($A111-B$9)/365.25</f>
        <v>66.874743326488712</v>
      </c>
      <c r="C111" s="409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3525.4531757812501</v>
      </c>
      <c r="H111" s="25">
        <f>IF(B111&lt;62,0,'Combined Retirement'!$I$14)</f>
        <v>2192</v>
      </c>
      <c r="I111" s="25">
        <f>IF(C111&lt;62,0,'Combined Retirement'!$I$13)</f>
        <v>2420</v>
      </c>
      <c r="J111" s="25">
        <f t="shared" si="3"/>
        <v>7863.2184191855868</v>
      </c>
      <c r="K111" s="25">
        <f t="shared" si="4"/>
        <v>20282.026119384056</v>
      </c>
      <c r="L111" s="25"/>
      <c r="N111" s="25">
        <f>'Combined Retirement'!$C$18/12</f>
        <v>39153.069999999992</v>
      </c>
      <c r="O111" s="25">
        <f t="shared" si="5"/>
        <v>11007.82546143035</v>
      </c>
      <c r="P111" s="25">
        <f t="shared" si="6"/>
        <v>28145.244538569641</v>
      </c>
      <c r="Q111" s="25">
        <f t="array" aca="1" ref="Q111" ca="1">INDEX('Isaac 401k'!L:L,MATCH('Retirement Calculator'!A111,'Isaac 401k'!N:N,0),0)</f>
        <v>1707790.4922569916</v>
      </c>
      <c r="R111" s="25">
        <f t="array" aca="1" ref="R111" ca="1">INDEX('Lorri 401b'!L:L,MATCH('Retirement Calculator'!A111,'Lorri 401b'!N:N,0),0)</f>
        <v>4243834.2860503364</v>
      </c>
      <c r="S111" s="25">
        <f t="shared" ca="1" si="7"/>
        <v>5951624.778307328</v>
      </c>
    </row>
    <row r="112" spans="1:19" ht="15.75" customHeight="1" x14ac:dyDescent="0.3">
      <c r="A112" s="37">
        <v>54363</v>
      </c>
      <c r="B112" s="409">
        <f t="shared" ref="B112:C112" si="108">($A112-B$9)/365.25</f>
        <v>66.959616700889796</v>
      </c>
      <c r="C112" s="409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3525.4531757812501</v>
      </c>
      <c r="H112" s="25">
        <f>IF(B112&lt;62,0,'Combined Retirement'!$I$14)</f>
        <v>2192</v>
      </c>
      <c r="I112" s="25">
        <f>IF(C112&lt;62,0,'Combined Retirement'!$I$13)</f>
        <v>2420</v>
      </c>
      <c r="J112" s="25">
        <f t="shared" si="3"/>
        <v>7863.2184191855868</v>
      </c>
      <c r="K112" s="25">
        <f t="shared" si="4"/>
        <v>20282.026119384056</v>
      </c>
      <c r="L112" s="25"/>
      <c r="N112" s="25">
        <f>'Combined Retirement'!$C$18/12</f>
        <v>39153.069999999992</v>
      </c>
      <c r="O112" s="25">
        <f t="shared" si="5"/>
        <v>11007.82546143035</v>
      </c>
      <c r="P112" s="25">
        <f t="shared" si="6"/>
        <v>28145.244538569641</v>
      </c>
      <c r="Q112" s="25">
        <f t="array" aca="1" ref="Q112" ca="1">INDEX('Isaac 401k'!L:L,MATCH('Retirement Calculator'!A112,'Isaac 401k'!N:N,0),0)</f>
        <v>1707010.3041454635</v>
      </c>
      <c r="R112" s="25">
        <f t="array" aca="1" ref="R112" ca="1">INDEX('Lorri 401b'!L:L,MATCH('Retirement Calculator'!A112,'Lorri 401b'!N:N,0),0)</f>
        <v>4241150.3943473315</v>
      </c>
      <c r="S112" s="25">
        <f t="shared" ca="1" si="7"/>
        <v>5948160.6984927952</v>
      </c>
    </row>
    <row r="113" spans="1:19" ht="15.75" customHeight="1" x14ac:dyDescent="0.3">
      <c r="A113" s="37">
        <v>54393</v>
      </c>
      <c r="B113" s="409">
        <f t="shared" ref="B113:C113" si="109">($A113-B$9)/365.25</f>
        <v>67.041752224503767</v>
      </c>
      <c r="C113" s="409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3525.4531757812501</v>
      </c>
      <c r="H113" s="25">
        <f>IF(B113&lt;62,0,'Combined Retirement'!$I$14)</f>
        <v>2192</v>
      </c>
      <c r="I113" s="25">
        <f>IF(C113&lt;62,0,'Combined Retirement'!$I$13)</f>
        <v>2420</v>
      </c>
      <c r="J113" s="25">
        <f t="shared" si="3"/>
        <v>7863.2184191855868</v>
      </c>
      <c r="K113" s="25">
        <f t="shared" si="4"/>
        <v>20282.026119384056</v>
      </c>
      <c r="L113" s="25"/>
      <c r="N113" s="25">
        <f>'Combined Retirement'!$C$18/12</f>
        <v>39153.069999999992</v>
      </c>
      <c r="O113" s="25">
        <f t="shared" si="5"/>
        <v>11007.82546143035</v>
      </c>
      <c r="P113" s="25">
        <f t="shared" si="6"/>
        <v>28145.244538569641</v>
      </c>
      <c r="Q113" s="25">
        <f t="array" aca="1" ref="Q113" ca="1">INDEX('Isaac 401k'!L:L,MATCH('Retirement Calculator'!A113,'Isaac 401k'!N:N,0),0)</f>
        <v>1706226.8652501374</v>
      </c>
      <c r="R113" s="25">
        <f t="array" aca="1" ref="R113" ca="1">INDEX('Lorri 401b'!L:L,MATCH('Retirement Calculator'!A113,'Lorri 401b'!N:N,0),0)</f>
        <v>4238455.3197622309</v>
      </c>
      <c r="S113" s="25">
        <f t="shared" ca="1" si="7"/>
        <v>5944682.1850123685</v>
      </c>
    </row>
    <row r="114" spans="1:19" ht="15.75" customHeight="1" x14ac:dyDescent="0.3">
      <c r="A114" s="37">
        <v>54424</v>
      </c>
      <c r="B114" s="409">
        <f t="shared" ref="B114:C114" si="110">($A114-B$9)/365.25</f>
        <v>67.126625598904866</v>
      </c>
      <c r="C114" s="409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3525.4531757812501</v>
      </c>
      <c r="H114" s="25">
        <f>IF(B114&lt;62,0,'Combined Retirement'!$I$14)</f>
        <v>2192</v>
      </c>
      <c r="I114" s="25">
        <f>IF(C114&lt;62,0,'Combined Retirement'!$I$13)</f>
        <v>2420</v>
      </c>
      <c r="J114" s="25">
        <f t="shared" si="3"/>
        <v>7863.2184191855868</v>
      </c>
      <c r="K114" s="25">
        <f t="shared" si="4"/>
        <v>20282.026119384056</v>
      </c>
      <c r="L114" s="25"/>
      <c r="N114" s="25">
        <f>'Combined Retirement'!$C$18/12</f>
        <v>39153.069999999992</v>
      </c>
      <c r="O114" s="25">
        <f t="shared" si="5"/>
        <v>11007.82546143035</v>
      </c>
      <c r="P114" s="25">
        <f t="shared" si="6"/>
        <v>28145.244538569641</v>
      </c>
      <c r="Q114" s="25">
        <f t="array" aca="1" ref="Q114" ca="1">INDEX('Isaac 401k'!L:L,MATCH('Retirement Calculator'!A114,'Isaac 401k'!N:N,0),0)</f>
        <v>1705440.1620260808</v>
      </c>
      <c r="R114" s="25">
        <f t="array" aca="1" ref="R114" ca="1">INDEX('Lorri 401b'!L:L,MATCH('Retirement Calculator'!A114,'Lorri 401b'!N:N,0),0)</f>
        <v>4235749.0156996921</v>
      </c>
      <c r="S114" s="25">
        <f t="shared" ca="1" si="7"/>
        <v>5941189.1777257733</v>
      </c>
    </row>
    <row r="115" spans="1:19" ht="15.75" customHeight="1" x14ac:dyDescent="0.3">
      <c r="A115" s="37">
        <v>54455</v>
      </c>
      <c r="B115" s="409">
        <f t="shared" ref="B115:C115" si="111">($A115-B$9)/365.25</f>
        <v>67.21149897330595</v>
      </c>
      <c r="C115" s="409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3525.4531757812501</v>
      </c>
      <c r="H115" s="25">
        <f>IF(B115&lt;62,0,'Combined Retirement'!$I$14)</f>
        <v>2192</v>
      </c>
      <c r="I115" s="25">
        <f>IF(C115&lt;62,0,'Combined Retirement'!$I$13)</f>
        <v>2420</v>
      </c>
      <c r="J115" s="25">
        <f t="shared" si="3"/>
        <v>7863.2184191855868</v>
      </c>
      <c r="K115" s="25">
        <f t="shared" si="4"/>
        <v>20282.026119384056</v>
      </c>
      <c r="L115" s="25"/>
      <c r="N115" s="25">
        <f>'Combined Retirement'!$C$18/12</f>
        <v>39153.069999999992</v>
      </c>
      <c r="O115" s="25">
        <f t="shared" si="5"/>
        <v>11007.82546143035</v>
      </c>
      <c r="P115" s="25">
        <f t="shared" si="6"/>
        <v>28145.244538569641</v>
      </c>
      <c r="Q115" s="25">
        <f t="array" aca="1" ref="Q115" ca="1">INDEX('Isaac 401k'!L:L,MATCH('Retirement Calculator'!A115,'Isaac 401k'!N:N,0),0)</f>
        <v>1704650.1808719239</v>
      </c>
      <c r="R115" s="25">
        <f t="array" aca="1" ref="R115" ca="1">INDEX('Lorri 401b'!L:L,MATCH('Retirement Calculator'!A115,'Lorri 401b'!N:N,0),0)</f>
        <v>4233031.4353702264</v>
      </c>
      <c r="S115" s="25">
        <f t="shared" ca="1" si="7"/>
        <v>5937681.6162421498</v>
      </c>
    </row>
    <row r="116" spans="1:19" ht="15.75" customHeight="1" x14ac:dyDescent="0.3">
      <c r="A116" s="37">
        <v>54483</v>
      </c>
      <c r="B116" s="409">
        <f t="shared" ref="B116:C116" si="112">($A116-B$9)/365.25</f>
        <v>67.288158795345652</v>
      </c>
      <c r="C116" s="409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3525.4531757812501</v>
      </c>
      <c r="H116" s="25">
        <f>IF(B116&lt;62,0,'Combined Retirement'!$I$14)</f>
        <v>2192</v>
      </c>
      <c r="I116" s="25">
        <f>IF(C116&lt;62,0,'Combined Retirement'!$I$13)</f>
        <v>2420</v>
      </c>
      <c r="J116" s="25">
        <f t="shared" si="3"/>
        <v>7863.2184191855868</v>
      </c>
      <c r="K116" s="25">
        <f t="shared" si="4"/>
        <v>20282.026119384056</v>
      </c>
      <c r="L116" s="25"/>
      <c r="N116" s="25">
        <f>'Combined Retirement'!$C$18/12</f>
        <v>39153.069999999992</v>
      </c>
      <c r="O116" s="25">
        <f t="shared" si="5"/>
        <v>11007.82546143035</v>
      </c>
      <c r="P116" s="25">
        <f t="shared" si="6"/>
        <v>28145.244538569641</v>
      </c>
      <c r="Q116" s="25">
        <f t="array" aca="1" ref="Q116" ca="1">INDEX('Isaac 401k'!L:L,MATCH('Retirement Calculator'!A116,'Isaac 401k'!N:N,0),0)</f>
        <v>1703856.9081296248</v>
      </c>
      <c r="R116" s="25">
        <f t="array" aca="1" ref="R116" ca="1">INDEX('Lorri 401b'!L:L,MATCH('Retirement Calculator'!A116,'Lorri 401b'!N:N,0),0)</f>
        <v>4230302.5317893876</v>
      </c>
      <c r="S116" s="25">
        <f t="shared" ca="1" si="7"/>
        <v>5934159.4399190126</v>
      </c>
    </row>
    <row r="117" spans="1:19" ht="15.75" customHeight="1" x14ac:dyDescent="0.3">
      <c r="A117" s="37">
        <v>54514</v>
      </c>
      <c r="B117" s="409">
        <f t="shared" ref="B117:C117" si="113">($A117-B$9)/365.25</f>
        <v>67.37303216974675</v>
      </c>
      <c r="C117" s="409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3525.4531757812501</v>
      </c>
      <c r="H117" s="25">
        <f>IF(B117&lt;62,0,'Combined Retirement'!$I$14)</f>
        <v>2192</v>
      </c>
      <c r="I117" s="25">
        <f>IF(C117&lt;62,0,'Combined Retirement'!$I$13)</f>
        <v>2420</v>
      </c>
      <c r="J117" s="25">
        <f t="shared" si="3"/>
        <v>7863.2184191855868</v>
      </c>
      <c r="K117" s="25">
        <f t="shared" si="4"/>
        <v>20282.026119384056</v>
      </c>
      <c r="L117" s="25"/>
      <c r="N117" s="25">
        <f>'Combined Retirement'!$C$18/12</f>
        <v>39153.069999999992</v>
      </c>
      <c r="O117" s="25">
        <f t="shared" si="5"/>
        <v>11007.82546143035</v>
      </c>
      <c r="P117" s="25">
        <f t="shared" si="6"/>
        <v>28145.244538569641</v>
      </c>
      <c r="Q117" s="25">
        <f t="array" aca="1" ref="Q117" ca="1">INDEX('Isaac 401k'!L:L,MATCH('Retirement Calculator'!A117,'Isaac 401k'!N:N,0),0)</f>
        <v>1703060.3300842326</v>
      </c>
      <c r="R117" s="25">
        <f t="array" aca="1" ref="R117" ca="1">INDEX('Lorri 401b'!L:L,MATCH('Retirement Calculator'!A117,'Lorri 401b'!N:N,0),0)</f>
        <v>4227562.2577769617</v>
      </c>
      <c r="S117" s="25">
        <f t="shared" ca="1" si="7"/>
        <v>5930622.5878611943</v>
      </c>
    </row>
    <row r="118" spans="1:19" ht="15.75" customHeight="1" x14ac:dyDescent="0.3">
      <c r="A118" s="37">
        <v>54544</v>
      </c>
      <c r="B118" s="409">
        <f t="shared" ref="B118:C118" si="114">($A118-B$9)/365.25</f>
        <v>67.455167693360707</v>
      </c>
      <c r="C118" s="409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3525.4531757812501</v>
      </c>
      <c r="H118" s="25">
        <f>IF(B118&lt;62,0,'Combined Retirement'!$I$14)</f>
        <v>2192</v>
      </c>
      <c r="I118" s="25">
        <f>IF(C118&lt;62,0,'Combined Retirement'!$I$13)</f>
        <v>2420</v>
      </c>
      <c r="J118" s="25">
        <f t="shared" si="3"/>
        <v>7863.2184191855868</v>
      </c>
      <c r="K118" s="25">
        <f t="shared" si="4"/>
        <v>20282.026119384056</v>
      </c>
      <c r="L118" s="25"/>
      <c r="N118" s="25">
        <f>'Combined Retirement'!$C$18/12</f>
        <v>39153.069999999992</v>
      </c>
      <c r="O118" s="25">
        <f t="shared" si="5"/>
        <v>11007.82546143035</v>
      </c>
      <c r="P118" s="25">
        <f t="shared" si="6"/>
        <v>28145.244538569641</v>
      </c>
      <c r="Q118" s="25">
        <f t="array" aca="1" ref="Q118" ca="1">INDEX('Isaac 401k'!L:L,MATCH('Retirement Calculator'!A118,'Isaac 401k'!N:N,0),0)</f>
        <v>1702260.4329636514</v>
      </c>
      <c r="R118" s="25">
        <f t="array" aca="1" ref="R118" ca="1">INDEX('Lorri 401b'!L:L,MATCH('Retirement Calculator'!A118,'Lorri 401b'!N:N,0),0)</f>
        <v>4224810.5659561511</v>
      </c>
      <c r="S118" s="25">
        <f t="shared" ca="1" si="7"/>
        <v>5927070.9989198027</v>
      </c>
    </row>
    <row r="119" spans="1:19" ht="15.75" customHeight="1" x14ac:dyDescent="0.3">
      <c r="A119" s="37">
        <v>54575</v>
      </c>
      <c r="B119" s="409">
        <f t="shared" ref="B119:C119" si="115">($A119-B$9)/365.25</f>
        <v>67.540041067761805</v>
      </c>
      <c r="C119" s="409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3525.4531757812501</v>
      </c>
      <c r="H119" s="25">
        <f>IF(B119&lt;62,0,'Combined Retirement'!$I$14)</f>
        <v>2192</v>
      </c>
      <c r="I119" s="25">
        <f>IF(C119&lt;62,0,'Combined Retirement'!$I$13)</f>
        <v>2420</v>
      </c>
      <c r="J119" s="25">
        <f t="shared" si="3"/>
        <v>7863.2184191855868</v>
      </c>
      <c r="K119" s="25">
        <f t="shared" si="4"/>
        <v>20282.026119384056</v>
      </c>
      <c r="L119" s="25"/>
      <c r="N119" s="25">
        <f>'Combined Retirement'!$C$18/12</f>
        <v>39153.069999999992</v>
      </c>
      <c r="O119" s="25">
        <f t="shared" si="5"/>
        <v>11007.82546143035</v>
      </c>
      <c r="P119" s="25">
        <f t="shared" si="6"/>
        <v>28145.244538569641</v>
      </c>
      <c r="Q119" s="25">
        <f t="array" aca="1" ref="Q119" ca="1">INDEX('Isaac 401k'!L:L,MATCH('Retirement Calculator'!A119,'Isaac 401k'!N:N,0),0)</f>
        <v>1701457.2029384011</v>
      </c>
      <c r="R119" s="25">
        <f t="array" aca="1" ref="R119" ca="1">INDEX('Lorri 401b'!L:L,MATCH('Retirement Calculator'!A119,'Lorri 401b'!N:N,0),0)</f>
        <v>4222047.4087527534</v>
      </c>
      <c r="S119" s="25">
        <f t="shared" ca="1" si="7"/>
        <v>5923504.6116911545</v>
      </c>
    </row>
    <row r="120" spans="1:19" ht="15.75" customHeight="1" x14ac:dyDescent="0.3">
      <c r="A120" s="37">
        <v>54605</v>
      </c>
      <c r="B120" s="409">
        <f t="shared" ref="B120:C120" si="116">($A120-B$9)/365.25</f>
        <v>67.622176591375776</v>
      </c>
      <c r="C120" s="409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3525.4531757812501</v>
      </c>
      <c r="H120" s="25">
        <f>IF(B120&lt;62,0,'Combined Retirement'!$I$14)</f>
        <v>2192</v>
      </c>
      <c r="I120" s="25">
        <f>IF(C120&lt;62,0,'Combined Retirement'!$I$13)</f>
        <v>2420</v>
      </c>
      <c r="J120" s="25">
        <f t="shared" si="3"/>
        <v>7863.2184191855868</v>
      </c>
      <c r="K120" s="25">
        <f t="shared" si="4"/>
        <v>20282.026119384056</v>
      </c>
      <c r="L120" s="25"/>
      <c r="N120" s="25">
        <f>'Combined Retirement'!$C$18/12</f>
        <v>39153.069999999992</v>
      </c>
      <c r="O120" s="25">
        <f t="shared" si="5"/>
        <v>11007.82546143035</v>
      </c>
      <c r="P120" s="25">
        <f t="shared" si="6"/>
        <v>28145.244538569641</v>
      </c>
      <c r="Q120" s="25">
        <f t="array" aca="1" ref="Q120" ca="1">INDEX('Isaac 401k'!L:L,MATCH('Retirement Calculator'!A120,'Isaac 401k'!N:N,0),0)</f>
        <v>1700650.626121379</v>
      </c>
      <c r="R120" s="25">
        <f t="array" aca="1" ref="R120" ca="1">INDEX('Lorri 401b'!L:L,MATCH('Retirement Calculator'!A120,'Lorri 401b'!N:N,0),0)</f>
        <v>4219272.7383943414</v>
      </c>
      <c r="S120" s="25">
        <f t="shared" ca="1" si="7"/>
        <v>5919923.3645157199</v>
      </c>
    </row>
    <row r="121" spans="1:19" ht="15.75" customHeight="1" x14ac:dyDescent="0.3">
      <c r="A121" s="37">
        <v>54636</v>
      </c>
      <c r="B121" s="409">
        <f t="shared" ref="B121:C121" si="117">($A121-B$9)/365.25</f>
        <v>67.707049965776861</v>
      </c>
      <c r="C121" s="409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3525.4531757812501</v>
      </c>
      <c r="H121" s="25">
        <f>IF(B121&lt;62,0,'Combined Retirement'!$I$14)</f>
        <v>2192</v>
      </c>
      <c r="I121" s="25">
        <f>IF(C121&lt;62,0,'Combined Retirement'!$I$13)</f>
        <v>2420</v>
      </c>
      <c r="J121" s="25">
        <f t="shared" si="3"/>
        <v>7863.2184191855868</v>
      </c>
      <c r="K121" s="25">
        <f t="shared" si="4"/>
        <v>20282.026119384056</v>
      </c>
      <c r="L121" s="25"/>
      <c r="N121" s="25">
        <f>'Combined Retirement'!$C$18/12</f>
        <v>39153.069999999992</v>
      </c>
      <c r="O121" s="25">
        <f t="shared" si="5"/>
        <v>11007.82546143035</v>
      </c>
      <c r="P121" s="25">
        <f t="shared" si="6"/>
        <v>28145.244538569641</v>
      </c>
      <c r="Q121" s="25">
        <f t="array" aca="1" ref="Q121" ca="1">INDEX('Isaac 401k'!L:L,MATCH('Retirement Calculator'!A121,'Isaac 401k'!N:N,0),0)</f>
        <v>1699840.6885676191</v>
      </c>
      <c r="R121" s="25">
        <f t="array" aca="1" ref="R121" ca="1">INDEX('Lorri 401b'!L:L,MATCH('Retirement Calculator'!A121,'Lorri 401b'!N:N,0),0)</f>
        <v>4216486.5069094365</v>
      </c>
      <c r="S121" s="25">
        <f t="shared" ca="1" si="7"/>
        <v>5916327.1954770554</v>
      </c>
    </row>
    <row r="122" spans="1:19" ht="15.75" customHeight="1" x14ac:dyDescent="0.3">
      <c r="A122" s="37">
        <v>54667</v>
      </c>
      <c r="B122" s="409">
        <f t="shared" ref="B122:C122" si="118">($A122-B$9)/365.25</f>
        <v>67.791923340177959</v>
      </c>
      <c r="C122" s="409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3525.4531757812501</v>
      </c>
      <c r="H122" s="25">
        <f>IF(B122&lt;62,0,'Combined Retirement'!$I$14)</f>
        <v>2192</v>
      </c>
      <c r="I122" s="25">
        <f>IF(C122&lt;62,0,'Combined Retirement'!$I$13)</f>
        <v>2420</v>
      </c>
      <c r="J122" s="25">
        <f t="shared" si="3"/>
        <v>7863.2184191855868</v>
      </c>
      <c r="K122" s="25">
        <f t="shared" si="4"/>
        <v>20282.026119384056</v>
      </c>
      <c r="L122" s="25"/>
      <c r="N122" s="25">
        <f>'Combined Retirement'!$C$18/12</f>
        <v>39153.069999999992</v>
      </c>
      <c r="O122" s="25">
        <f t="shared" si="5"/>
        <v>11007.82546143035</v>
      </c>
      <c r="P122" s="25">
        <f t="shared" si="6"/>
        <v>28145.244538569641</v>
      </c>
      <c r="Q122" s="25">
        <f t="array" aca="1" ref="Q122" ca="1">INDEX('Isaac 401k'!L:L,MATCH('Retirement Calculator'!A122,'Isaac 401k'!N:N,0),0)</f>
        <v>1699027.3762740518</v>
      </c>
      <c r="R122" s="25">
        <f t="array" aca="1" ref="R122" ca="1">INDEX('Lorri 401b'!L:L,MATCH('Retirement Calculator'!A122,'Lorri 401b'!N:N,0),0)</f>
        <v>4213688.6661266778</v>
      </c>
      <c r="S122" s="25">
        <f t="shared" ca="1" si="7"/>
        <v>5912716.0424007298</v>
      </c>
    </row>
    <row r="123" spans="1:19" ht="15.75" customHeight="1" x14ac:dyDescent="0.3">
      <c r="A123" s="37">
        <v>54697</v>
      </c>
      <c r="B123" s="409">
        <f t="shared" ref="B123:C123" si="119">($A123-B$9)/365.25</f>
        <v>67.87405886379193</v>
      </c>
      <c r="C123" s="409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3525.4531757812501</v>
      </c>
      <c r="H123" s="25">
        <f>IF(B123&lt;62,0,'Combined Retirement'!$I$14)</f>
        <v>2192</v>
      </c>
      <c r="I123" s="25">
        <f>IF(C123&lt;62,0,'Combined Retirement'!$I$13)</f>
        <v>2420</v>
      </c>
      <c r="J123" s="25">
        <f t="shared" si="3"/>
        <v>7863.2184191855868</v>
      </c>
      <c r="K123" s="25">
        <f t="shared" si="4"/>
        <v>20282.026119384056</v>
      </c>
      <c r="L123" s="25"/>
      <c r="N123" s="25">
        <f>'Combined Retirement'!$C$18/12</f>
        <v>39153.069999999992</v>
      </c>
      <c r="O123" s="25">
        <f t="shared" si="5"/>
        <v>11007.82546143035</v>
      </c>
      <c r="P123" s="25">
        <f t="shared" si="6"/>
        <v>28145.244538569641</v>
      </c>
      <c r="Q123" s="25">
        <f t="array" aca="1" ref="Q123" ca="1">INDEX('Isaac 401k'!L:L,MATCH('Retirement Calculator'!A123,'Isaac 401k'!N:N,0),0)</f>
        <v>1698210.6751792615</v>
      </c>
      <c r="R123" s="25">
        <f t="array" aca="1" ref="R123" ca="1">INDEX('Lorri 401b'!L:L,MATCH('Retirement Calculator'!A123,'Lorri 401b'!N:N,0),0)</f>
        <v>4210879.1676739911</v>
      </c>
      <c r="S123" s="25">
        <f t="shared" ca="1" si="7"/>
        <v>5909089.8428532528</v>
      </c>
    </row>
    <row r="124" spans="1:19" ht="15.75" customHeight="1" x14ac:dyDescent="0.3">
      <c r="A124" s="37">
        <v>54728</v>
      </c>
      <c r="B124" s="409">
        <f t="shared" ref="B124:C124" si="120">($A124-B$9)/365.25</f>
        <v>67.958932238193015</v>
      </c>
      <c r="C124" s="409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3525.4531757812501</v>
      </c>
      <c r="H124" s="25">
        <f>IF(B124&lt;62,0,'Combined Retirement'!$I$14)</f>
        <v>2192</v>
      </c>
      <c r="I124" s="25">
        <f>IF(C124&lt;62,0,'Combined Retirement'!$I$13)</f>
        <v>2420</v>
      </c>
      <c r="J124" s="25">
        <f t="shared" si="3"/>
        <v>7863.2184191855868</v>
      </c>
      <c r="K124" s="25">
        <f t="shared" si="4"/>
        <v>20282.026119384056</v>
      </c>
      <c r="L124" s="25"/>
      <c r="N124" s="25">
        <f>'Combined Retirement'!$C$18/12</f>
        <v>39153.069999999992</v>
      </c>
      <c r="O124" s="25">
        <f t="shared" si="5"/>
        <v>11007.82546143035</v>
      </c>
      <c r="P124" s="25">
        <f t="shared" si="6"/>
        <v>28145.244538569641</v>
      </c>
      <c r="Q124" s="25">
        <f t="array" aca="1" ref="Q124" ca="1">INDEX('Isaac 401k'!L:L,MATCH('Retirement Calculator'!A124,'Isaac 401k'!N:N,0),0)</f>
        <v>1697390.5711632429</v>
      </c>
      <c r="R124" s="25">
        <f t="array" aca="1" ref="R124" ca="1">INDEX('Lorri 401b'!L:L,MATCH('Retirement Calculator'!A124,'Lorri 401b'!N:N,0),0)</f>
        <v>4208057.9629777512</v>
      </c>
      <c r="S124" s="25">
        <f t="shared" ca="1" si="7"/>
        <v>5905448.5341409938</v>
      </c>
    </row>
    <row r="125" spans="1:19" ht="15.75" customHeight="1" x14ac:dyDescent="0.3">
      <c r="A125" s="37">
        <v>54758</v>
      </c>
      <c r="B125" s="409">
        <f t="shared" ref="B125:C125" si="121">($A125-B$9)/365.25</f>
        <v>68.041067761806985</v>
      </c>
      <c r="C125" s="409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3525.4531757812501</v>
      </c>
      <c r="H125" s="25">
        <f>IF(B125&lt;62,0,'Combined Retirement'!$I$14)</f>
        <v>2192</v>
      </c>
      <c r="I125" s="25">
        <f>IF(C125&lt;62,0,'Combined Retirement'!$I$13)</f>
        <v>2420</v>
      </c>
      <c r="J125" s="25">
        <f t="shared" si="3"/>
        <v>7863.2184191855868</v>
      </c>
      <c r="K125" s="25">
        <f t="shared" si="4"/>
        <v>20282.026119384056</v>
      </c>
      <c r="L125" s="25"/>
      <c r="N125" s="25">
        <f>'Combined Retirement'!$C$18/12</f>
        <v>39153.069999999992</v>
      </c>
      <c r="O125" s="25">
        <f t="shared" si="5"/>
        <v>11007.82546143035</v>
      </c>
      <c r="P125" s="25">
        <f t="shared" si="6"/>
        <v>28145.244538569641</v>
      </c>
      <c r="Q125" s="25">
        <f t="array" aca="1" ref="Q125" ca="1">INDEX('Isaac 401k'!L:L,MATCH('Retirement Calculator'!A125,'Isaac 401k'!N:N,0),0)</f>
        <v>1696567.0500471576</v>
      </c>
      <c r="R125" s="25">
        <f t="array" aca="1" ref="R125" ca="1">INDEX('Lorri 401b'!L:L,MATCH('Retirement Calculator'!A125,'Lorri 401b'!N:N,0),0)</f>
        <v>4205225.0032619433</v>
      </c>
      <c r="S125" s="25">
        <f t="shared" ca="1" si="7"/>
        <v>5901792.0533091007</v>
      </c>
    </row>
    <row r="126" spans="1:19" ht="15.75" customHeight="1" x14ac:dyDescent="0.3">
      <c r="A126" s="37">
        <v>54789</v>
      </c>
      <c r="B126" s="409">
        <f t="shared" ref="B126:C126" si="122">($A126-B$9)/365.25</f>
        <v>68.12594113620807</v>
      </c>
      <c r="C126" s="409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3525.4531757812501</v>
      </c>
      <c r="H126" s="25">
        <f>IF(B126&lt;62,0,'Combined Retirement'!$I$14)</f>
        <v>2192</v>
      </c>
      <c r="I126" s="25">
        <f>IF(C126&lt;62,0,'Combined Retirement'!$I$13)</f>
        <v>2420</v>
      </c>
      <c r="J126" s="25">
        <f t="shared" si="3"/>
        <v>7863.2184191855868</v>
      </c>
      <c r="K126" s="25">
        <f t="shared" si="4"/>
        <v>20282.026119384056</v>
      </c>
      <c r="L126" s="25"/>
      <c r="N126" s="25">
        <f>'Combined Retirement'!$C$18/12</f>
        <v>39153.069999999992</v>
      </c>
      <c r="O126" s="25">
        <f t="shared" si="5"/>
        <v>11007.82546143035</v>
      </c>
      <c r="P126" s="25">
        <f t="shared" si="6"/>
        <v>28145.244538569641</v>
      </c>
      <c r="Q126" s="25">
        <f t="array" aca="1" ref="Q126" ca="1">INDEX('Isaac 401k'!L:L,MATCH('Retirement Calculator'!A126,'Isaac 401k'!N:N,0),0)</f>
        <v>1695740.0975930884</v>
      </c>
      <c r="R126" s="25">
        <f t="array" aca="1" ref="R126" ca="1">INDEX('Lorri 401b'!L:L,MATCH('Retirement Calculator'!A126,'Lorri 401b'!N:N,0),0)</f>
        <v>4202380.2395473197</v>
      </c>
      <c r="S126" s="25">
        <f t="shared" ca="1" si="7"/>
        <v>5898120.3371404083</v>
      </c>
    </row>
    <row r="127" spans="1:19" ht="15.75" customHeight="1" x14ac:dyDescent="0.3">
      <c r="A127" s="37">
        <v>54820</v>
      </c>
      <c r="B127" s="409">
        <f t="shared" ref="B127:C127" si="123">($A127-B$9)/365.25</f>
        <v>68.210814510609168</v>
      </c>
      <c r="C127" s="409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3525.4531757812501</v>
      </c>
      <c r="H127" s="25">
        <f>IF(B127&lt;62,0,'Combined Retirement'!$I$14)</f>
        <v>2192</v>
      </c>
      <c r="I127" s="25">
        <f>IF(C127&lt;62,0,'Combined Retirement'!$I$13)</f>
        <v>2420</v>
      </c>
      <c r="J127" s="25">
        <f t="shared" si="3"/>
        <v>7863.2184191855868</v>
      </c>
      <c r="K127" s="25">
        <f t="shared" si="4"/>
        <v>20282.026119384056</v>
      </c>
      <c r="L127" s="25"/>
      <c r="N127" s="25">
        <f>'Combined Retirement'!$C$18/12</f>
        <v>39153.069999999992</v>
      </c>
      <c r="O127" s="25">
        <f t="shared" si="5"/>
        <v>11007.82546143035</v>
      </c>
      <c r="P127" s="25">
        <f t="shared" si="6"/>
        <v>28145.244538569641</v>
      </c>
      <c r="Q127" s="25">
        <f t="array" aca="1" ref="Q127" ca="1">INDEX('Isaac 401k'!L:L,MATCH('Retirement Calculator'!A127,'Isaac 401k'!N:N,0),0)</f>
        <v>1694909.6995037941</v>
      </c>
      <c r="R127" s="25">
        <f t="array" aca="1" ref="R127" ca="1">INDEX('Lorri 401b'!L:L,MATCH('Retirement Calculator'!A127,'Lorri 401b'!N:N,0),0)</f>
        <v>4199523.6226505525</v>
      </c>
      <c r="S127" s="25">
        <f t="shared" ca="1" si="7"/>
        <v>5894433.3221543469</v>
      </c>
    </row>
    <row r="128" spans="1:19" ht="15.75" customHeight="1" x14ac:dyDescent="0.3">
      <c r="A128" s="37">
        <v>54848</v>
      </c>
      <c r="B128" s="409">
        <f t="shared" ref="B128:C128" si="124">($A128-B$9)/365.25</f>
        <v>68.28747433264887</v>
      </c>
      <c r="C128" s="409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3525.4531757812501</v>
      </c>
      <c r="H128" s="25">
        <f>IF(B128&lt;62,0,'Combined Retirement'!$I$14)</f>
        <v>2192</v>
      </c>
      <c r="I128" s="25">
        <f>IF(C128&lt;62,0,'Combined Retirement'!$I$13)</f>
        <v>2420</v>
      </c>
      <c r="J128" s="25">
        <f t="shared" si="3"/>
        <v>7863.2184191855868</v>
      </c>
      <c r="K128" s="25">
        <f t="shared" si="4"/>
        <v>20282.026119384056</v>
      </c>
      <c r="L128" s="25"/>
      <c r="N128" s="25">
        <f>'Combined Retirement'!$C$18/12</f>
        <v>39153.069999999992</v>
      </c>
      <c r="O128" s="25">
        <f t="shared" si="5"/>
        <v>11007.82546143035</v>
      </c>
      <c r="P128" s="25">
        <f t="shared" si="6"/>
        <v>28145.244538569641</v>
      </c>
      <c r="Q128" s="25">
        <f t="array" aca="1" ref="Q128" ca="1">INDEX('Isaac 401k'!L:L,MATCH('Retirement Calculator'!A128,'Isaac 401k'!N:N,0),0)</f>
        <v>1694075.841422461</v>
      </c>
      <c r="R128" s="25">
        <f t="array" aca="1" ref="R128" ca="1">INDEX('Lorri 401b'!L:L,MATCH('Retirement Calculator'!A128,'Lorri 401b'!N:N,0),0)</f>
        <v>4196655.1031833822</v>
      </c>
      <c r="S128" s="25">
        <f t="shared" ca="1" si="7"/>
        <v>5890730.9446058432</v>
      </c>
    </row>
    <row r="129" spans="1:19" ht="15.75" customHeight="1" x14ac:dyDescent="0.3">
      <c r="A129" s="37">
        <v>54879</v>
      </c>
      <c r="B129" s="409">
        <f t="shared" ref="B129:C129" si="125">($A129-B$9)/365.25</f>
        <v>68.372347707049968</v>
      </c>
      <c r="C129" s="409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3525.4531757812501</v>
      </c>
      <c r="H129" s="25">
        <f>IF(B129&lt;62,0,'Combined Retirement'!$I$14)</f>
        <v>2192</v>
      </c>
      <c r="I129" s="25">
        <f>IF(C129&lt;62,0,'Combined Retirement'!$I$13)</f>
        <v>2420</v>
      </c>
      <c r="J129" s="25">
        <f t="shared" si="3"/>
        <v>7863.2184191855868</v>
      </c>
      <c r="K129" s="25">
        <f t="shared" si="4"/>
        <v>20282.026119384056</v>
      </c>
      <c r="L129" s="25"/>
      <c r="N129" s="25">
        <f>'Combined Retirement'!$C$18/12</f>
        <v>39153.069999999992</v>
      </c>
      <c r="O129" s="25">
        <f t="shared" si="5"/>
        <v>11007.82546143035</v>
      </c>
      <c r="P129" s="25">
        <f t="shared" si="6"/>
        <v>28145.244538569641</v>
      </c>
      <c r="Q129" s="25">
        <f t="array" aca="1" ref="Q129" ca="1">INDEX('Isaac 401k'!L:L,MATCH('Retirement Calculator'!A129,'Isaac 401k'!N:N,0),0)</f>
        <v>1693238.5089324557</v>
      </c>
      <c r="R129" s="25">
        <f t="array" aca="1" ref="R129" ca="1">INDEX('Lorri 401b'!L:L,MATCH('Retirement Calculator'!A129,'Lorri 401b'!N:N,0),0)</f>
        <v>4193774.6315517649</v>
      </c>
      <c r="S129" s="25">
        <f t="shared" ca="1" si="7"/>
        <v>5887013.1404842203</v>
      </c>
    </row>
    <row r="130" spans="1:19" ht="15.75" customHeight="1" x14ac:dyDescent="0.3">
      <c r="A130" s="37">
        <v>54909</v>
      </c>
      <c r="B130" s="409">
        <f t="shared" ref="B130:C130" si="126">($A130-B$9)/365.25</f>
        <v>68.454483230663925</v>
      </c>
      <c r="C130" s="409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3525.4531757812501</v>
      </c>
      <c r="H130" s="25">
        <f>IF(B130&lt;62,0,'Combined Retirement'!$I$14)</f>
        <v>2192</v>
      </c>
      <c r="I130" s="25">
        <f>IF(C130&lt;62,0,'Combined Retirement'!$I$13)</f>
        <v>2420</v>
      </c>
      <c r="J130" s="25">
        <f t="shared" si="3"/>
        <v>7863.2184191855868</v>
      </c>
      <c r="K130" s="25">
        <f t="shared" si="4"/>
        <v>20282.026119384056</v>
      </c>
      <c r="L130" s="25"/>
      <c r="N130" s="25">
        <f>'Combined Retirement'!$C$18/12</f>
        <v>39153.069999999992</v>
      </c>
      <c r="O130" s="25">
        <f t="shared" si="5"/>
        <v>11007.82546143035</v>
      </c>
      <c r="P130" s="25">
        <f t="shared" si="6"/>
        <v>28145.244538569641</v>
      </c>
      <c r="Q130" s="25">
        <f t="array" aca="1" ref="Q130" ca="1">INDEX('Isaac 401k'!L:L,MATCH('Retirement Calculator'!A130,'Isaac 401k'!N:N,0),0)</f>
        <v>1692397.6875570754</v>
      </c>
      <c r="R130" s="25">
        <f t="array" aca="1" ref="R130" ca="1">INDEX('Lorri 401b'!L:L,MATCH('Retirement Calculator'!A130,'Lorri 401b'!N:N,0),0)</f>
        <v>4190882.157955016</v>
      </c>
      <c r="S130" s="25">
        <f t="shared" ca="1" si="7"/>
        <v>5883279.8455120912</v>
      </c>
    </row>
    <row r="131" spans="1:19" ht="15.75" customHeight="1" x14ac:dyDescent="0.3">
      <c r="A131" s="37">
        <v>54940</v>
      </c>
      <c r="B131" s="409">
        <f t="shared" ref="B131:C131" si="127">($A131-B$9)/365.25</f>
        <v>68.539356605065024</v>
      </c>
      <c r="C131" s="409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3525.4531757812501</v>
      </c>
      <c r="H131" s="25">
        <f>IF(B131&lt;62,0,'Combined Retirement'!$I$14)</f>
        <v>2192</v>
      </c>
      <c r="I131" s="25">
        <f>IF(C131&lt;62,0,'Combined Retirement'!$I$13)</f>
        <v>2420</v>
      </c>
      <c r="J131" s="25">
        <f t="shared" si="3"/>
        <v>7863.2184191855868</v>
      </c>
      <c r="K131" s="25">
        <f t="shared" si="4"/>
        <v>20282.026119384056</v>
      </c>
      <c r="L131" s="25"/>
      <c r="N131" s="25">
        <f>'Combined Retirement'!$C$18/12</f>
        <v>39153.069999999992</v>
      </c>
      <c r="O131" s="25">
        <f t="shared" si="5"/>
        <v>11007.82546143035</v>
      </c>
      <c r="P131" s="25">
        <f t="shared" si="6"/>
        <v>28145.244538569641</v>
      </c>
      <c r="Q131" s="25">
        <f t="array" aca="1" ref="Q131" ca="1">INDEX('Isaac 401k'!L:L,MATCH('Retirement Calculator'!A131,'Isaac 401k'!N:N,0),0)</f>
        <v>1691553.3627592977</v>
      </c>
      <c r="R131" s="25">
        <f t="array" aca="1" ref="R131" ca="1">INDEX('Lorri 401b'!L:L,MATCH('Retirement Calculator'!A131,'Lorri 401b'!N:N,0),0)</f>
        <v>4187977.632384947</v>
      </c>
      <c r="S131" s="25">
        <f t="shared" ca="1" si="7"/>
        <v>5879530.9951442443</v>
      </c>
    </row>
    <row r="132" spans="1:19" ht="15.75" customHeight="1" x14ac:dyDescent="0.3">
      <c r="A132" s="37">
        <v>54970</v>
      </c>
      <c r="B132" s="409">
        <f t="shared" ref="B132:C132" si="128">($A132-B$9)/365.25</f>
        <v>68.62149212867898</v>
      </c>
      <c r="C132" s="409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3525.4531757812501</v>
      </c>
      <c r="H132" s="25">
        <f>IF(B132&lt;62,0,'Combined Retirement'!$I$14)</f>
        <v>2192</v>
      </c>
      <c r="I132" s="25">
        <f>IF(C132&lt;62,0,'Combined Retirement'!$I$13)</f>
        <v>2420</v>
      </c>
      <c r="J132" s="25">
        <f t="shared" si="3"/>
        <v>7863.2184191855868</v>
      </c>
      <c r="K132" s="25">
        <f t="shared" si="4"/>
        <v>20282.026119384056</v>
      </c>
      <c r="L132" s="25"/>
      <c r="N132" s="25">
        <f>'Combined Retirement'!$C$18/12</f>
        <v>39153.069999999992</v>
      </c>
      <c r="O132" s="25">
        <f t="shared" si="5"/>
        <v>11007.82546143035</v>
      </c>
      <c r="P132" s="25">
        <f t="shared" si="6"/>
        <v>28145.244538569641</v>
      </c>
      <c r="Q132" s="25">
        <f t="array" aca="1" ref="Q132" ca="1">INDEX('Isaac 401k'!L:L,MATCH('Retirement Calculator'!A132,'Isaac 401k'!N:N,0),0)</f>
        <v>1690705.5199415293</v>
      </c>
      <c r="R132" s="25">
        <f t="array" aca="1" ref="R132" ca="1">INDEX('Lorri 401b'!L:L,MATCH('Retirement Calculator'!A132,'Lorri 401b'!N:N,0),0)</f>
        <v>4185061.0046250029</v>
      </c>
      <c r="S132" s="25">
        <f t="shared" ca="1" si="7"/>
        <v>5875766.5245665321</v>
      </c>
    </row>
    <row r="133" spans="1:19" ht="15.75" customHeight="1" x14ac:dyDescent="0.3">
      <c r="A133" s="37">
        <v>55001</v>
      </c>
      <c r="B133" s="409">
        <f t="shared" ref="B133:C133" si="129">($A133-B$9)/365.25</f>
        <v>68.706365503080079</v>
      </c>
      <c r="C133" s="409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3525.4531757812501</v>
      </c>
      <c r="H133" s="25">
        <f>IF(B133&lt;62,0,'Combined Retirement'!$I$14)</f>
        <v>2192</v>
      </c>
      <c r="I133" s="25">
        <f>IF(C133&lt;62,0,'Combined Retirement'!$I$13)</f>
        <v>2420</v>
      </c>
      <c r="J133" s="25">
        <f t="shared" si="3"/>
        <v>7863.2184191855868</v>
      </c>
      <c r="K133" s="25">
        <f t="shared" si="4"/>
        <v>20282.026119384056</v>
      </c>
      <c r="L133" s="25"/>
      <c r="N133" s="25">
        <f>'Combined Retirement'!$C$18/12</f>
        <v>39153.069999999992</v>
      </c>
      <c r="O133" s="25">
        <f t="shared" si="5"/>
        <v>11007.82546143035</v>
      </c>
      <c r="P133" s="25">
        <f t="shared" si="6"/>
        <v>28145.244538569641</v>
      </c>
      <c r="Q133" s="25">
        <f t="array" aca="1" ref="Q133" ca="1">INDEX('Isaac 401k'!L:L,MATCH('Retirement Calculator'!A133,'Isaac 401k'!N:N,0),0)</f>
        <v>1689854.1444453534</v>
      </c>
      <c r="R133" s="25">
        <f t="array" aca="1" ref="R133" ca="1">INDEX('Lorri 401b'!L:L,MATCH('Retirement Calculator'!A133,'Lorri 401b'!N:N,0),0)</f>
        <v>4182132.2242493923</v>
      </c>
      <c r="S133" s="25">
        <f t="shared" ca="1" si="7"/>
        <v>5871986.3686947459</v>
      </c>
    </row>
    <row r="134" spans="1:19" ht="15.75" customHeight="1" x14ac:dyDescent="0.3">
      <c r="A134" s="37">
        <v>55032</v>
      </c>
      <c r="B134" s="409">
        <f t="shared" ref="B134:C134" si="130">($A134-B$9)/365.25</f>
        <v>68.791238877481177</v>
      </c>
      <c r="C134" s="409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3525.4531757812501</v>
      </c>
      <c r="H134" s="25">
        <f>IF(B134&lt;62,0,'Combined Retirement'!$I$14)</f>
        <v>2192</v>
      </c>
      <c r="I134" s="25">
        <f>IF(C134&lt;62,0,'Combined Retirement'!$I$13)</f>
        <v>2420</v>
      </c>
      <c r="J134" s="25">
        <f t="shared" si="3"/>
        <v>7863.2184191855868</v>
      </c>
      <c r="K134" s="25">
        <f t="shared" si="4"/>
        <v>20282.026119384056</v>
      </c>
      <c r="L134" s="25"/>
      <c r="N134" s="25">
        <f>'Combined Retirement'!$C$18/12</f>
        <v>39153.069999999992</v>
      </c>
      <c r="O134" s="25">
        <f t="shared" si="5"/>
        <v>11007.82546143035</v>
      </c>
      <c r="P134" s="25">
        <f t="shared" si="6"/>
        <v>28145.244538569641</v>
      </c>
      <c r="Q134" s="25">
        <f t="array" aca="1" ref="Q134" ca="1">INDEX('Isaac 401k'!L:L,MATCH('Retirement Calculator'!A134,'Isaac 401k'!N:N,0),0)</f>
        <v>1688999.2215512767</v>
      </c>
      <c r="R134" s="25">
        <f t="array" aca="1" ref="R134" ca="1">INDEX('Lorri 401b'!L:L,MATCH('Retirement Calculator'!A134,'Lorri 401b'!N:N,0),0)</f>
        <v>4179191.2406222168</v>
      </c>
      <c r="S134" s="25">
        <f t="shared" ca="1" si="7"/>
        <v>5868190.4621734936</v>
      </c>
    </row>
    <row r="135" spans="1:19" ht="15.75" customHeight="1" x14ac:dyDescent="0.3">
      <c r="A135" s="37">
        <v>55062</v>
      </c>
      <c r="B135" s="409">
        <f t="shared" ref="B135:C135" si="131">($A135-B$9)/365.25</f>
        <v>68.873374401095134</v>
      </c>
      <c r="C135" s="409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3525.4531757812501</v>
      </c>
      <c r="H135" s="25">
        <f>IF(B135&lt;62,0,'Combined Retirement'!$I$14)</f>
        <v>2192</v>
      </c>
      <c r="I135" s="25">
        <f>IF(C135&lt;62,0,'Combined Retirement'!$I$13)</f>
        <v>2420</v>
      </c>
      <c r="J135" s="25">
        <f t="shared" si="3"/>
        <v>7863.2184191855868</v>
      </c>
      <c r="K135" s="25">
        <f t="shared" si="4"/>
        <v>20282.026119384056</v>
      </c>
      <c r="L135" s="25"/>
      <c r="N135" s="25">
        <f>'Combined Retirement'!$C$18/12</f>
        <v>39153.069999999992</v>
      </c>
      <c r="O135" s="25">
        <f t="shared" si="5"/>
        <v>11007.82546143035</v>
      </c>
      <c r="P135" s="25">
        <f t="shared" si="6"/>
        <v>28145.244538569641</v>
      </c>
      <c r="Q135" s="25">
        <f t="array" aca="1" ref="Q135" ca="1">INDEX('Isaac 401k'!L:L,MATCH('Retirement Calculator'!A135,'Isaac 401k'!N:N,0),0)</f>
        <v>1688140.7364784749</v>
      </c>
      <c r="R135" s="25">
        <f t="array" aca="1" ref="R135" ca="1">INDEX('Lorri 401b'!L:L,MATCH('Retirement Calculator'!A135,'Lorri 401b'!N:N,0),0)</f>
        <v>4176238.0028965948</v>
      </c>
      <c r="S135" s="25">
        <f t="shared" ca="1" si="7"/>
        <v>5864378.7393750697</v>
      </c>
    </row>
    <row r="136" spans="1:19" ht="15.75" customHeight="1" x14ac:dyDescent="0.3">
      <c r="A136" s="37">
        <v>55093</v>
      </c>
      <c r="B136" s="409">
        <f t="shared" ref="B136:C136" si="132">($A136-B$9)/365.25</f>
        <v>68.958247775496233</v>
      </c>
      <c r="C136" s="409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3525.4531757812501</v>
      </c>
      <c r="H136" s="25">
        <f>IF(B136&lt;62,0,'Combined Retirement'!$I$14)</f>
        <v>2192</v>
      </c>
      <c r="I136" s="25">
        <f>IF(C136&lt;62,0,'Combined Retirement'!$I$13)</f>
        <v>2420</v>
      </c>
      <c r="J136" s="25">
        <f t="shared" si="3"/>
        <v>7863.2184191855868</v>
      </c>
      <c r="K136" s="25">
        <f t="shared" si="4"/>
        <v>20282.026119384056</v>
      </c>
      <c r="L136" s="25"/>
      <c r="N136" s="25">
        <f>'Combined Retirement'!$C$18/12</f>
        <v>39153.069999999992</v>
      </c>
      <c r="O136" s="25">
        <f t="shared" si="5"/>
        <v>11007.82546143035</v>
      </c>
      <c r="P136" s="25">
        <f t="shared" si="6"/>
        <v>28145.244538569641</v>
      </c>
      <c r="Q136" s="25">
        <f t="array" aca="1" ref="Q136" ca="1">INDEX('Isaac 401k'!L:L,MATCH('Retirement Calculator'!A136,'Isaac 401k'!N:N,0),0)</f>
        <v>1687278.6743845365</v>
      </c>
      <c r="R136" s="25">
        <f t="array" aca="1" ref="R136" ca="1">INDEX('Lorri 401b'!L:L,MATCH('Retirement Calculator'!A136,'Lorri 401b'!N:N,0),0)</f>
        <v>4173272.4600137826</v>
      </c>
      <c r="S136" s="25">
        <f t="shared" ca="1" si="7"/>
        <v>5860551.1343983188</v>
      </c>
    </row>
    <row r="137" spans="1:19" ht="15.75" customHeight="1" x14ac:dyDescent="0.3">
      <c r="A137" s="37">
        <v>55123</v>
      </c>
      <c r="B137" s="409">
        <f t="shared" ref="B137:C137" si="133">($A137-B$9)/365.25</f>
        <v>69.040383299110204</v>
      </c>
      <c r="C137" s="409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3525.4531757812501</v>
      </c>
      <c r="H137" s="25">
        <f>IF(B137&lt;62,0,'Combined Retirement'!$I$14)</f>
        <v>2192</v>
      </c>
      <c r="I137" s="25">
        <f>IF(C137&lt;62,0,'Combined Retirement'!$I$13)</f>
        <v>2420</v>
      </c>
      <c r="J137" s="25">
        <f t="shared" si="3"/>
        <v>7863.2184191855868</v>
      </c>
      <c r="K137" s="25">
        <f t="shared" si="4"/>
        <v>20282.026119384056</v>
      </c>
      <c r="L137" s="25"/>
      <c r="N137" s="25">
        <f>'Combined Retirement'!$C$18/12</f>
        <v>39153.069999999992</v>
      </c>
      <c r="O137" s="25">
        <f t="shared" si="5"/>
        <v>11007.82546143035</v>
      </c>
      <c r="P137" s="25">
        <f t="shared" si="6"/>
        <v>28145.244538569641</v>
      </c>
      <c r="Q137" s="25">
        <f t="array" aca="1" ref="Q137" ca="1">INDEX('Isaac 401k'!L:L,MATCH('Retirement Calculator'!A137,'Isaac 401k'!N:N,0),0)</f>
        <v>1686413.0203652065</v>
      </c>
      <c r="R137" s="25">
        <f t="array" aca="1" ref="R137" ca="1">INDEX('Lorri 401b'!L:L,MATCH('Retirement Calculator'!A137,'Lorri 401b'!N:N,0),0)</f>
        <v>4170294.5607022918</v>
      </c>
      <c r="S137" s="25">
        <f t="shared" ca="1" si="7"/>
        <v>5856707.5810674988</v>
      </c>
    </row>
    <row r="138" spans="1:19" ht="15.75" customHeight="1" x14ac:dyDescent="0.3">
      <c r="A138" s="37">
        <v>55154</v>
      </c>
      <c r="B138" s="409">
        <f t="shared" ref="B138:C138" si="134">($A138-B$9)/365.25</f>
        <v>69.125256673511288</v>
      </c>
      <c r="C138" s="409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3525.4531757812501</v>
      </c>
      <c r="H138" s="25">
        <f>IF(B138&lt;62,0,'Combined Retirement'!$I$14)</f>
        <v>2192</v>
      </c>
      <c r="I138" s="25">
        <f>IF(C138&lt;62,0,'Combined Retirement'!$I$13)</f>
        <v>2420</v>
      </c>
      <c r="J138" s="25">
        <f t="shared" si="3"/>
        <v>7863.2184191855868</v>
      </c>
      <c r="K138" s="25">
        <f t="shared" si="4"/>
        <v>20282.026119384056</v>
      </c>
      <c r="L138" s="25"/>
      <c r="N138" s="25">
        <f>'Combined Retirement'!$C$18/12</f>
        <v>39153.069999999992</v>
      </c>
      <c r="O138" s="25">
        <f t="shared" si="5"/>
        <v>11007.82546143035</v>
      </c>
      <c r="P138" s="25">
        <f t="shared" si="6"/>
        <v>28145.244538569641</v>
      </c>
      <c r="Q138" s="25">
        <f t="array" aca="1" ref="Q138" ca="1">INDEX('Isaac 401k'!L:L,MATCH('Retirement Calculator'!A138,'Isaac 401k'!N:N,0),0)</f>
        <v>1685543.7594541293</v>
      </c>
      <c r="R138" s="25">
        <f t="array" aca="1" ref="R138" ca="1">INDEX('Lorri 401b'!L:L,MATCH('Retirement Calculator'!A138,'Lorri 401b'!N:N,0),0)</f>
        <v>4167304.2534770034</v>
      </c>
      <c r="S138" s="25">
        <f t="shared" ca="1" si="7"/>
        <v>5852848.0129311327</v>
      </c>
    </row>
    <row r="139" spans="1:19" ht="15.75" customHeight="1" x14ac:dyDescent="0.3">
      <c r="A139" s="37">
        <v>55185</v>
      </c>
      <c r="B139" s="409">
        <f t="shared" ref="B139:C139" si="135">($A139-B$9)/365.25</f>
        <v>69.210130047912386</v>
      </c>
      <c r="C139" s="409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3525.4531757812501</v>
      </c>
      <c r="H139" s="25">
        <f>IF(B139&lt;62,0,'Combined Retirement'!$I$14)</f>
        <v>2192</v>
      </c>
      <c r="I139" s="25">
        <f>IF(C139&lt;62,0,'Combined Retirement'!$I$13)</f>
        <v>2420</v>
      </c>
      <c r="J139" s="25">
        <f t="shared" si="3"/>
        <v>7863.2184191855868</v>
      </c>
      <c r="K139" s="25">
        <f t="shared" si="4"/>
        <v>20282.026119384056</v>
      </c>
      <c r="L139" s="25"/>
      <c r="N139" s="25">
        <f>'Combined Retirement'!$C$18/12</f>
        <v>39153.069999999992</v>
      </c>
      <c r="O139" s="25">
        <f t="shared" si="5"/>
        <v>11007.82546143035</v>
      </c>
      <c r="P139" s="25">
        <f t="shared" si="6"/>
        <v>28145.244538569641</v>
      </c>
      <c r="Q139" s="25">
        <f t="array" aca="1" ref="Q139" ca="1">INDEX('Isaac 401k'!L:L,MATCH('Retirement Calculator'!A139,'Isaac 401k'!N:N,0),0)</f>
        <v>1684670.8766225893</v>
      </c>
      <c r="R139" s="25">
        <f t="array" aca="1" ref="R139" ca="1">INDEX('Lorri 401b'!L:L,MATCH('Retirement Calculator'!A139,'Lorri 401b'!N:N,0),0)</f>
        <v>4164301.4866382764</v>
      </c>
      <c r="S139" s="25">
        <f t="shared" ca="1" si="7"/>
        <v>5848972.3632608652</v>
      </c>
    </row>
    <row r="140" spans="1:19" ht="15.75" customHeight="1" x14ac:dyDescent="0.3">
      <c r="A140" s="37">
        <v>55213</v>
      </c>
      <c r="B140" s="409">
        <f t="shared" ref="B140:C140" si="136">($A140-B$9)/365.25</f>
        <v>69.286789869952088</v>
      </c>
      <c r="C140" s="409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3525.4531757812501</v>
      </c>
      <c r="H140" s="25">
        <f>IF(B140&lt;62,0,'Combined Retirement'!$I$14)</f>
        <v>2192</v>
      </c>
      <c r="I140" s="25">
        <f>IF(C140&lt;62,0,'Combined Retirement'!$I$13)</f>
        <v>2420</v>
      </c>
      <c r="J140" s="25">
        <f t="shared" si="3"/>
        <v>7863.2184191855868</v>
      </c>
      <c r="K140" s="25">
        <f t="shared" si="4"/>
        <v>20282.026119384056</v>
      </c>
      <c r="L140" s="25"/>
      <c r="N140" s="25">
        <f>'Combined Retirement'!$C$18/12</f>
        <v>39153.069999999992</v>
      </c>
      <c r="O140" s="25">
        <f t="shared" si="5"/>
        <v>11007.82546143035</v>
      </c>
      <c r="P140" s="25">
        <f t="shared" si="6"/>
        <v>28145.244538569641</v>
      </c>
      <c r="Q140" s="25">
        <f t="array" aca="1" ref="Q140" ca="1">INDEX('Isaac 401k'!L:L,MATCH('Retirement Calculator'!A140,'Isaac 401k'!N:N,0),0)</f>
        <v>1683794.3567792512</v>
      </c>
      <c r="R140" s="25">
        <f t="array" aca="1" ref="R140" ca="1">INDEX('Lorri 401b'!L:L,MATCH('Retirement Calculator'!A140,'Lorri 401b'!N:N,0),0)</f>
        <v>4161286.2082710546</v>
      </c>
      <c r="S140" s="25">
        <f t="shared" ca="1" si="7"/>
        <v>5845080.5650503058</v>
      </c>
    </row>
    <row r="141" spans="1:19" ht="15.75" customHeight="1" x14ac:dyDescent="0.3">
      <c r="A141" s="37">
        <v>55244</v>
      </c>
      <c r="B141" s="409">
        <f t="shared" ref="B141:C141" si="137">($A141-B$9)/365.25</f>
        <v>69.371663244353186</v>
      </c>
      <c r="C141" s="409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3525.4531757812501</v>
      </c>
      <c r="H141" s="25">
        <f>IF(B141&lt;62,0,'Combined Retirement'!$I$14)</f>
        <v>2192</v>
      </c>
      <c r="I141" s="25">
        <f>IF(C141&lt;62,0,'Combined Retirement'!$I$13)</f>
        <v>2420</v>
      </c>
      <c r="J141" s="25">
        <f t="shared" si="3"/>
        <v>7863.2184191855868</v>
      </c>
      <c r="K141" s="25">
        <f t="shared" si="4"/>
        <v>20282.026119384056</v>
      </c>
      <c r="L141" s="25"/>
      <c r="N141" s="25">
        <f>'Combined Retirement'!$C$18/12</f>
        <v>39153.069999999992</v>
      </c>
      <c r="O141" s="25">
        <f t="shared" si="5"/>
        <v>11007.82546143035</v>
      </c>
      <c r="P141" s="25">
        <f t="shared" si="6"/>
        <v>28145.244538569641</v>
      </c>
      <c r="Q141" s="25">
        <f t="array" aca="1" ref="Q141" ca="1">INDEX('Isaac 401k'!L:L,MATCH('Retirement Calculator'!A141,'Isaac 401k'!N:N,0),0)</f>
        <v>1682914.1847698994</v>
      </c>
      <c r="R141" s="25">
        <f t="array" aca="1" ref="R141" ca="1">INDEX('Lorri 401b'!L:L,MATCH('Retirement Calculator'!A141,'Lorri 401b'!N:N,0),0)</f>
        <v>4158258.3662439692</v>
      </c>
      <c r="S141" s="25">
        <f t="shared" ca="1" si="7"/>
        <v>5841172.5510138683</v>
      </c>
    </row>
    <row r="142" spans="1:19" ht="15.75" customHeight="1" x14ac:dyDescent="0.3">
      <c r="A142" s="37">
        <v>55274</v>
      </c>
      <c r="B142" s="409">
        <f t="shared" ref="B142:C142" si="138">($A142-B$9)/365.25</f>
        <v>69.453798767967143</v>
      </c>
      <c r="C142" s="409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3525.4531757812501</v>
      </c>
      <c r="H142" s="25">
        <f>IF(B142&lt;62,0,'Combined Retirement'!$I$14)</f>
        <v>2192</v>
      </c>
      <c r="I142" s="25">
        <f>IF(C142&lt;62,0,'Combined Retirement'!$I$13)</f>
        <v>2420</v>
      </c>
      <c r="J142" s="25">
        <f t="shared" si="3"/>
        <v>7863.2184191855868</v>
      </c>
      <c r="K142" s="25">
        <f t="shared" si="4"/>
        <v>20282.026119384056</v>
      </c>
      <c r="L142" s="25"/>
      <c r="N142" s="25">
        <f>'Combined Retirement'!$C$18/12</f>
        <v>39153.069999999992</v>
      </c>
      <c r="O142" s="25">
        <f t="shared" si="5"/>
        <v>11007.82546143035</v>
      </c>
      <c r="P142" s="25">
        <f t="shared" si="6"/>
        <v>28145.244538569641</v>
      </c>
      <c r="Q142" s="25">
        <f t="array" aca="1" ref="Q142" ca="1">INDEX('Isaac 401k'!L:L,MATCH('Retirement Calculator'!A142,'Isaac 401k'!N:N,0),0)</f>
        <v>1682030.3453771751</v>
      </c>
      <c r="R142" s="25">
        <f t="array" aca="1" ref="R142" ca="1">INDEX('Lorri 401b'!L:L,MATCH('Retirement Calculator'!A142,'Lorri 401b'!N:N,0),0)</f>
        <v>4155217.9082084377</v>
      </c>
      <c r="S142" s="25">
        <f t="shared" ca="1" si="7"/>
        <v>5837248.2535856124</v>
      </c>
    </row>
    <row r="143" spans="1:19" ht="15.75" customHeight="1" x14ac:dyDescent="0.3">
      <c r="A143" s="37">
        <v>55305</v>
      </c>
      <c r="B143" s="409">
        <f t="shared" ref="B143:C143" si="139">($A143-B$9)/365.25</f>
        <v>69.538672142368242</v>
      </c>
      <c r="C143" s="409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3525.4531757812501</v>
      </c>
      <c r="H143" s="25">
        <f>IF(B143&lt;62,0,'Combined Retirement'!$I$14)</f>
        <v>2192</v>
      </c>
      <c r="I143" s="25">
        <f>IF(C143&lt;62,0,'Combined Retirement'!$I$13)</f>
        <v>2420</v>
      </c>
      <c r="J143" s="25">
        <f t="shared" si="3"/>
        <v>7863.2184191855868</v>
      </c>
      <c r="K143" s="25">
        <f t="shared" si="4"/>
        <v>20282.026119384056</v>
      </c>
      <c r="L143" s="25"/>
      <c r="N143" s="25">
        <f>'Combined Retirement'!$C$18/12</f>
        <v>39153.069999999992</v>
      </c>
      <c r="O143" s="25">
        <f t="shared" si="5"/>
        <v>11007.82546143035</v>
      </c>
      <c r="P143" s="25">
        <f t="shared" si="6"/>
        <v>28145.244538569641</v>
      </c>
      <c r="Q143" s="25">
        <f t="array" aca="1" ref="Q143" ca="1">INDEX('Isaac 401k'!L:L,MATCH('Retirement Calculator'!A143,'Isaac 401k'!N:N,0),0)</f>
        <v>1681142.8233203145</v>
      </c>
      <c r="R143" s="25">
        <f t="array" aca="1" ref="R143" ca="1">INDEX('Lorri 401b'!L:L,MATCH('Retirement Calculator'!A143,'Lorri 401b'!N:N,0),0)</f>
        <v>4152164.7815977582</v>
      </c>
      <c r="S143" s="25">
        <f t="shared" ca="1" si="7"/>
        <v>5833307.6049180729</v>
      </c>
    </row>
    <row r="144" spans="1:19" ht="15.75" customHeight="1" x14ac:dyDescent="0.3">
      <c r="A144" s="37">
        <v>55335</v>
      </c>
      <c r="B144" s="409">
        <f t="shared" ref="B144:C144" si="140">($A144-B$9)/365.25</f>
        <v>69.620807665982198</v>
      </c>
      <c r="C144" s="409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3525.4531757812501</v>
      </c>
      <c r="H144" s="25">
        <f>IF(B144&lt;62,0,'Combined Retirement'!$I$14)</f>
        <v>2192</v>
      </c>
      <c r="I144" s="25">
        <f>IF(C144&lt;62,0,'Combined Retirement'!$I$13)</f>
        <v>2420</v>
      </c>
      <c r="J144" s="25">
        <f t="shared" si="3"/>
        <v>7863.2184191855868</v>
      </c>
      <c r="K144" s="25">
        <f t="shared" si="4"/>
        <v>20282.026119384056</v>
      </c>
      <c r="L144" s="25"/>
      <c r="N144" s="25">
        <f>'Combined Retirement'!$C$18/12</f>
        <v>39153.069999999992</v>
      </c>
      <c r="O144" s="25">
        <f t="shared" si="5"/>
        <v>11007.82546143035</v>
      </c>
      <c r="P144" s="25">
        <f t="shared" si="6"/>
        <v>28145.244538569641</v>
      </c>
      <c r="Q144" s="25">
        <f t="array" aca="1" ref="Q144" ca="1">INDEX('Isaac 401k'!L:L,MATCH('Retirement Calculator'!A144,'Isaac 401k'!N:N,0),0)</f>
        <v>1680251.6032548836</v>
      </c>
      <c r="R144" s="25">
        <f t="array" aca="1" ref="R144" ca="1">INDEX('Lorri 401b'!L:L,MATCH('Retirement Calculator'!A144,'Lorri 401b'!N:N,0),0)</f>
        <v>4149098.9336262005</v>
      </c>
      <c r="S144" s="25">
        <f t="shared" ca="1" si="7"/>
        <v>5829350.5368810836</v>
      </c>
    </row>
    <row r="145" spans="1:19" ht="15.75" customHeight="1" x14ac:dyDescent="0.3">
      <c r="A145" s="37">
        <v>55366</v>
      </c>
      <c r="B145" s="409">
        <f t="shared" ref="B145:C145" si="141">($A145-B$9)/365.25</f>
        <v>69.705681040383297</v>
      </c>
      <c r="C145" s="409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3525.4531757812501</v>
      </c>
      <c r="H145" s="25">
        <f>IF(B145&lt;62,0,'Combined Retirement'!$I$14)</f>
        <v>2192</v>
      </c>
      <c r="I145" s="25">
        <f>IF(C145&lt;62,0,'Combined Retirement'!$I$13)</f>
        <v>2420</v>
      </c>
      <c r="J145" s="25">
        <f t="shared" si="3"/>
        <v>7863.2184191855868</v>
      </c>
      <c r="K145" s="25">
        <f t="shared" si="4"/>
        <v>20282.026119384056</v>
      </c>
      <c r="L145" s="25"/>
      <c r="N145" s="25">
        <f>'Combined Retirement'!$C$18/12</f>
        <v>39153.069999999992</v>
      </c>
      <c r="O145" s="25">
        <f t="shared" si="5"/>
        <v>11007.82546143035</v>
      </c>
      <c r="P145" s="25">
        <f t="shared" si="6"/>
        <v>28145.244538569641</v>
      </c>
      <c r="Q145" s="25">
        <f t="array" aca="1" ref="Q145" ca="1">INDEX('Isaac 401k'!L:L,MATCH('Retirement Calculator'!A145,'Isaac 401k'!N:N,0),0)</f>
        <v>1679356.6697725134</v>
      </c>
      <c r="R145" s="25">
        <f t="array" aca="1" ref="R145" ca="1">INDEX('Lorri 401b'!L:L,MATCH('Retirement Calculator'!A145,'Lorri 401b'!N:N,0),0)</f>
        <v>4146020.3112880951</v>
      </c>
      <c r="S145" s="25">
        <f t="shared" ca="1" si="7"/>
        <v>5825376.9810606083</v>
      </c>
    </row>
    <row r="146" spans="1:19" ht="15.75" customHeight="1" x14ac:dyDescent="0.3">
      <c r="A146" s="37">
        <v>55397</v>
      </c>
      <c r="B146" s="409">
        <f t="shared" ref="B146:C146" si="142">($A146-B$9)/365.25</f>
        <v>69.790554414784395</v>
      </c>
      <c r="C146" s="409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3525.4531757812501</v>
      </c>
      <c r="H146" s="25">
        <f>IF(B146&lt;62,0,'Combined Retirement'!$I$14)</f>
        <v>2192</v>
      </c>
      <c r="I146" s="25">
        <f>IF(C146&lt;62,0,'Combined Retirement'!$I$13)</f>
        <v>2420</v>
      </c>
      <c r="J146" s="25">
        <f t="shared" si="3"/>
        <v>7863.2184191855868</v>
      </c>
      <c r="K146" s="25">
        <f t="shared" si="4"/>
        <v>20282.026119384056</v>
      </c>
      <c r="L146" s="25"/>
      <c r="N146" s="25">
        <f>'Combined Retirement'!$C$18/12</f>
        <v>39153.069999999992</v>
      </c>
      <c r="O146" s="25">
        <f t="shared" si="5"/>
        <v>11007.82546143035</v>
      </c>
      <c r="P146" s="25">
        <f t="shared" si="6"/>
        <v>28145.244538569641</v>
      </c>
      <c r="Q146" s="25">
        <f t="array" aca="1" ref="Q146" ca="1">INDEX('Isaac 401k'!L:L,MATCH('Retirement Calculator'!A146,'Isaac 401k'!N:N,0),0)</f>
        <v>1678458.0074006333</v>
      </c>
      <c r="R146" s="25">
        <f t="array" aca="1" ref="R146" ca="1">INDEX('Lorri 401b'!L:L,MATCH('Retirement Calculator'!A146,'Lorri 401b'!N:N,0),0)</f>
        <v>4142928.861356914</v>
      </c>
      <c r="S146" s="25">
        <f t="shared" ca="1" si="7"/>
        <v>5821386.8687575478</v>
      </c>
    </row>
    <row r="147" spans="1:19" ht="15.75" customHeight="1" x14ac:dyDescent="0.3">
      <c r="A147" s="37">
        <v>55427</v>
      </c>
      <c r="B147" s="409">
        <f t="shared" ref="B147:C147" si="143">($A147-B$9)/365.25</f>
        <v>69.872689938398352</v>
      </c>
      <c r="C147" s="409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3525.4531757812501</v>
      </c>
      <c r="H147" s="25">
        <f>IF(B147&lt;62,0,'Combined Retirement'!$I$14)</f>
        <v>2192</v>
      </c>
      <c r="I147" s="25">
        <f>IF(C147&lt;62,0,'Combined Retirement'!$I$13)</f>
        <v>2420</v>
      </c>
      <c r="J147" s="25">
        <f t="shared" si="3"/>
        <v>7863.2184191855868</v>
      </c>
      <c r="K147" s="25">
        <f t="shared" si="4"/>
        <v>20282.026119384056</v>
      </c>
      <c r="L147" s="25"/>
      <c r="N147" s="25">
        <f>'Combined Retirement'!$C$18/12</f>
        <v>39153.069999999992</v>
      </c>
      <c r="O147" s="25">
        <f t="shared" si="5"/>
        <v>11007.82546143035</v>
      </c>
      <c r="P147" s="25">
        <f t="shared" si="6"/>
        <v>28145.244538569641</v>
      </c>
      <c r="Q147" s="25">
        <f t="array" aca="1" ref="Q147" ca="1">INDEX('Isaac 401k'!L:L,MATCH('Retirement Calculator'!A147,'Isaac 401k'!N:N,0),0)</f>
        <v>1677555.6006022037</v>
      </c>
      <c r="R147" s="25">
        <f t="array" aca="1" ref="R147" ca="1">INDEX('Lorri 401b'!L:L,MATCH('Retirement Calculator'!A147,'Lorri 401b'!N:N,0),0)</f>
        <v>4139824.5303843529</v>
      </c>
      <c r="S147" s="25">
        <f t="shared" ca="1" si="7"/>
        <v>5817380.1309865564</v>
      </c>
    </row>
    <row r="148" spans="1:19" ht="15.75" customHeight="1" x14ac:dyDescent="0.3">
      <c r="A148" s="37">
        <v>55458</v>
      </c>
      <c r="B148" s="409">
        <f t="shared" ref="B148:C148" si="144">($A148-B$9)/365.25</f>
        <v>69.957563312799451</v>
      </c>
      <c r="C148" s="409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3525.4531757812501</v>
      </c>
      <c r="H148" s="25">
        <f>IF(B148&lt;62,0,'Combined Retirement'!$I$14)</f>
        <v>2192</v>
      </c>
      <c r="I148" s="25">
        <f>IF(C148&lt;62,0,'Combined Retirement'!$I$13)</f>
        <v>2420</v>
      </c>
      <c r="J148" s="25">
        <f t="shared" si="3"/>
        <v>7863.2184191855868</v>
      </c>
      <c r="K148" s="25">
        <f t="shared" si="4"/>
        <v>20282.026119384056</v>
      </c>
      <c r="L148" s="25"/>
      <c r="N148" s="25">
        <f>'Combined Retirement'!$C$18/12</f>
        <v>39153.069999999992</v>
      </c>
      <c r="O148" s="25">
        <f t="shared" si="5"/>
        <v>11007.82546143035</v>
      </c>
      <c r="P148" s="25">
        <f t="shared" si="6"/>
        <v>28145.244538569641</v>
      </c>
      <c r="Q148" s="25">
        <f t="array" aca="1" ref="Q148" ca="1">INDEX('Isaac 401k'!L:L,MATCH('Retirement Calculator'!A148,'Isaac 401k'!N:N,0),0)</f>
        <v>1676649.4337754473</v>
      </c>
      <c r="R148" s="25">
        <f t="array" aca="1" ref="R148" ca="1">INDEX('Lorri 401b'!L:L,MATCH('Retirement Calculator'!A148,'Lorri 401b'!N:N,0),0)</f>
        <v>4136707.2646994065</v>
      </c>
      <c r="S148" s="25">
        <f t="shared" ca="1" si="7"/>
        <v>5813356.6984748542</v>
      </c>
    </row>
    <row r="149" spans="1:19" ht="15.75" customHeight="1" x14ac:dyDescent="0.3">
      <c r="A149" s="37">
        <v>55488</v>
      </c>
      <c r="B149" s="409">
        <f t="shared" ref="B149:C149" si="145">($A149-B$9)/365.25</f>
        <v>70.039698836413422</v>
      </c>
      <c r="C149" s="409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3525.4531757812501</v>
      </c>
      <c r="H149" s="25">
        <f>IF(B149&lt;62,0,'Combined Retirement'!$I$14)</f>
        <v>2192</v>
      </c>
      <c r="I149" s="25">
        <f>IF(C149&lt;62,0,'Combined Retirement'!$I$13)</f>
        <v>2420</v>
      </c>
      <c r="J149" s="25">
        <f t="shared" si="3"/>
        <v>7863.2184191855868</v>
      </c>
      <c r="K149" s="25">
        <f t="shared" si="4"/>
        <v>20282.026119384056</v>
      </c>
      <c r="L149" s="25"/>
      <c r="N149" s="25">
        <f>'Combined Retirement'!$C$18/12</f>
        <v>39153.069999999992</v>
      </c>
      <c r="O149" s="25">
        <f t="shared" si="5"/>
        <v>11007.82546143035</v>
      </c>
      <c r="P149" s="25">
        <f t="shared" si="6"/>
        <v>28145.244538569641</v>
      </c>
      <c r="Q149" s="25">
        <f t="array" aca="1" ref="Q149" ca="1">INDEX('Isaac 401k'!L:L,MATCH('Retirement Calculator'!A149,'Isaac 401k'!N:N,0),0)</f>
        <v>1675739.4912535795</v>
      </c>
      <c r="R149" s="25">
        <f t="array" aca="1" ref="R149" ca="1">INDEX('Lorri 401b'!L:L,MATCH('Retirement Calculator'!A149,'Lorri 401b'!N:N,0),0)</f>
        <v>4133577.0104074394</v>
      </c>
      <c r="S149" s="25">
        <f t="shared" ca="1" si="7"/>
        <v>5809316.5016610194</v>
      </c>
    </row>
    <row r="150" spans="1:19" ht="15.75" customHeight="1" x14ac:dyDescent="0.3">
      <c r="A150" s="37">
        <v>55519</v>
      </c>
      <c r="B150" s="409">
        <f t="shared" ref="B150:C150" si="146">($A150-B$9)/365.25</f>
        <v>70.124572210814506</v>
      </c>
      <c r="C150" s="409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3525.4531757812501</v>
      </c>
      <c r="H150" s="25">
        <f>IF(B150&lt;62,0,'Combined Retirement'!$I$14)</f>
        <v>2192</v>
      </c>
      <c r="I150" s="25">
        <f>IF(C150&lt;62,0,'Combined Retirement'!$I$13)</f>
        <v>2420</v>
      </c>
      <c r="J150" s="25">
        <f t="shared" si="3"/>
        <v>7863.2184191855868</v>
      </c>
      <c r="K150" s="25">
        <f t="shared" si="4"/>
        <v>20282.026119384056</v>
      </c>
      <c r="L150" s="25"/>
      <c r="N150" s="25">
        <f>'Combined Retirement'!$C$18/12</f>
        <v>39153.069999999992</v>
      </c>
      <c r="O150" s="25">
        <f t="shared" si="5"/>
        <v>11007.82546143035</v>
      </c>
      <c r="P150" s="25">
        <f t="shared" si="6"/>
        <v>28145.244538569641</v>
      </c>
      <c r="Q150" s="25">
        <f t="array" aca="1" ref="Q150" ca="1">INDEX('Isaac 401k'!L:L,MATCH('Retirement Calculator'!A150,'Isaac 401k'!N:N,0),0)</f>
        <v>1674825.7573045371</v>
      </c>
      <c r="R150" s="25">
        <f t="array" aca="1" ref="R150" ca="1">INDEX('Lorri 401b'!L:L,MATCH('Retirement Calculator'!A150,'Lorri 401b'!N:N,0),0)</f>
        <v>4130433.7133892556</v>
      </c>
      <c r="S150" s="25">
        <f t="shared" ca="1" si="7"/>
        <v>5805259.4706937931</v>
      </c>
    </row>
    <row r="151" spans="1:19" ht="15.75" customHeight="1" x14ac:dyDescent="0.3">
      <c r="A151" s="37">
        <v>55550</v>
      </c>
      <c r="B151" s="409">
        <f t="shared" ref="B151:C151" si="147">($A151-B$9)/365.25</f>
        <v>70.209445585215605</v>
      </c>
      <c r="C151" s="409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3525.4531757812501</v>
      </c>
      <c r="H151" s="25">
        <f>IF(B151&lt;62,0,'Combined Retirement'!$I$14)</f>
        <v>2192</v>
      </c>
      <c r="I151" s="25">
        <f>IF(C151&lt;62,0,'Combined Retirement'!$I$13)</f>
        <v>2420</v>
      </c>
      <c r="J151" s="25">
        <f t="shared" si="3"/>
        <v>7863.2184191855868</v>
      </c>
      <c r="K151" s="25">
        <f t="shared" si="4"/>
        <v>20282.026119384056</v>
      </c>
      <c r="L151" s="25"/>
      <c r="N151" s="25">
        <f>'Combined Retirement'!$C$18/12</f>
        <v>39153.069999999992</v>
      </c>
      <c r="O151" s="25">
        <f t="shared" si="5"/>
        <v>11007.82546143035</v>
      </c>
      <c r="P151" s="25">
        <f t="shared" si="6"/>
        <v>28145.244538569641</v>
      </c>
      <c r="Q151" s="25">
        <f t="array" aca="1" ref="Q151" ca="1">INDEX('Isaac 401k'!L:L,MATCH('Retirement Calculator'!A151,'Isaac 401k'!N:N,0),0)</f>
        <v>1673908.2161307072</v>
      </c>
      <c r="R151" s="25">
        <f t="array" aca="1" ref="R151" ca="1">INDEX('Lorri 401b'!L:L,MATCH('Retirement Calculator'!A151,'Lorri 401b'!N:N,0),0)</f>
        <v>4127277.3193001626</v>
      </c>
      <c r="S151" s="25">
        <f t="shared" ca="1" si="7"/>
        <v>5801185.53543087</v>
      </c>
    </row>
    <row r="152" spans="1:19" ht="15.75" customHeight="1" x14ac:dyDescent="0.3">
      <c r="A152" s="37">
        <v>55579</v>
      </c>
      <c r="B152" s="409">
        <f t="shared" ref="B152:C152" si="148">($A152-B$9)/365.25</f>
        <v>70.288843258042434</v>
      </c>
      <c r="C152" s="409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3525.4531757812501</v>
      </c>
      <c r="H152" s="25">
        <f>IF(B152&lt;62,0,'Combined Retirement'!$I$14)</f>
        <v>2192</v>
      </c>
      <c r="I152" s="25">
        <f>IF(C152&lt;62,0,'Combined Retirement'!$I$13)</f>
        <v>2420</v>
      </c>
      <c r="J152" s="25">
        <f t="shared" si="3"/>
        <v>7863.2184191855868</v>
      </c>
      <c r="K152" s="25">
        <f t="shared" si="4"/>
        <v>20282.026119384056</v>
      </c>
      <c r="L152" s="25"/>
      <c r="N152" s="25">
        <f>'Combined Retirement'!$C$18/12</f>
        <v>39153.069999999992</v>
      </c>
      <c r="O152" s="25">
        <f t="shared" si="5"/>
        <v>11007.82546143035</v>
      </c>
      <c r="P152" s="25">
        <f t="shared" si="6"/>
        <v>28145.244538569641</v>
      </c>
      <c r="Q152" s="25">
        <f t="array" aca="1" ref="Q152" ca="1">INDEX('Isaac 401k'!L:L,MATCH('Retirement Calculator'!A152,'Isaac 401k'!N:N,0),0)</f>
        <v>1672986.851868653</v>
      </c>
      <c r="R152" s="25">
        <f t="array" aca="1" ref="R152" ca="1">INDEX('Lorri 401b'!L:L,MATCH('Retirement Calculator'!A152,'Lorri 401b'!N:N,0),0)</f>
        <v>4124107.7735690321</v>
      </c>
      <c r="S152" s="25">
        <f t="shared" ca="1" si="7"/>
        <v>5797094.6254376853</v>
      </c>
    </row>
    <row r="153" spans="1:19" ht="15.75" customHeight="1" x14ac:dyDescent="0.3">
      <c r="A153" s="37">
        <v>55610</v>
      </c>
      <c r="B153" s="409">
        <f t="shared" ref="B153:C153" si="149">($A153-B$9)/365.25</f>
        <v>70.373716632443532</v>
      </c>
      <c r="C153" s="409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3525.4531757812501</v>
      </c>
      <c r="H153" s="25">
        <f>IF(B153&lt;62,0,'Combined Retirement'!$I$14)</f>
        <v>2192</v>
      </c>
      <c r="I153" s="25">
        <f>IF(C153&lt;62,0,'Combined Retirement'!$I$13)</f>
        <v>2420</v>
      </c>
      <c r="J153" s="25">
        <f t="shared" si="3"/>
        <v>7863.2184191855868</v>
      </c>
      <c r="K153" s="25">
        <f t="shared" si="4"/>
        <v>20282.026119384056</v>
      </c>
      <c r="L153" s="25"/>
      <c r="N153" s="25">
        <f>'Combined Retirement'!$C$18/12</f>
        <v>39153.069999999992</v>
      </c>
      <c r="O153" s="25">
        <f t="shared" si="5"/>
        <v>11007.82546143035</v>
      </c>
      <c r="P153" s="25">
        <f t="shared" si="6"/>
        <v>28145.244538569641</v>
      </c>
      <c r="Q153" s="25">
        <f t="array" aca="1" ref="Q153" ca="1">INDEX('Isaac 401k'!L:L,MATCH('Retirement Calculator'!A153,'Isaac 401k'!N:N,0),0)</f>
        <v>1672061.6485888402</v>
      </c>
      <c r="R153" s="25">
        <f t="array" aca="1" ref="R153" ca="1">INDEX('Lorri 401b'!L:L,MATCH('Retirement Calculator'!A153,'Lorri 401b'!N:N,0),0)</f>
        <v>4120925.021397355</v>
      </c>
      <c r="S153" s="25">
        <f t="shared" ca="1" si="7"/>
        <v>5792986.6699861949</v>
      </c>
    </row>
    <row r="154" spans="1:19" ht="15.75" customHeight="1" x14ac:dyDescent="0.3">
      <c r="A154" s="37">
        <v>55640</v>
      </c>
      <c r="B154" s="409">
        <f t="shared" ref="B154:C154" si="150">($A154-B$9)/365.25</f>
        <v>70.455852156057489</v>
      </c>
      <c r="C154" s="409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3525.4531757812501</v>
      </c>
      <c r="H154" s="25">
        <f>IF(B154&lt;62,0,'Combined Retirement'!$I$14)</f>
        <v>2192</v>
      </c>
      <c r="I154" s="25">
        <f>IF(C154&lt;62,0,'Combined Retirement'!$I$13)</f>
        <v>2420</v>
      </c>
      <c r="J154" s="25">
        <f t="shared" si="3"/>
        <v>7863.2184191855868</v>
      </c>
      <c r="K154" s="25">
        <f t="shared" si="4"/>
        <v>20282.026119384056</v>
      </c>
      <c r="L154" s="25"/>
      <c r="N154" s="25">
        <f>'Combined Retirement'!$C$18/12</f>
        <v>39153.069999999992</v>
      </c>
      <c r="O154" s="25">
        <f t="shared" si="5"/>
        <v>11007.82546143035</v>
      </c>
      <c r="P154" s="25">
        <f t="shared" si="6"/>
        <v>28145.244538569641</v>
      </c>
      <c r="Q154" s="25">
        <f t="array" aca="1" ref="Q154" ca="1">INDEX('Isaac 401k'!L:L,MATCH('Retirement Calculator'!A154,'Isaac 401k'!N:N,0),0)</f>
        <v>1671132.5902953614</v>
      </c>
      <c r="R154" s="25">
        <f t="array" aca="1" ref="R154" ca="1">INDEX('Lorri 401b'!L:L,MATCH('Retirement Calculator'!A154,'Lorri 401b'!N:N,0),0)</f>
        <v>4117729.0077582961</v>
      </c>
      <c r="S154" s="25">
        <f t="shared" ca="1" si="7"/>
        <v>5788861.5980536574</v>
      </c>
    </row>
    <row r="155" spans="1:19" ht="15.75" customHeight="1" x14ac:dyDescent="0.3">
      <c r="A155" s="37">
        <v>55671</v>
      </c>
      <c r="B155" s="409">
        <f t="shared" ref="B155:C155" si="151">($A155-B$9)/365.25</f>
        <v>70.540725530458587</v>
      </c>
      <c r="C155" s="409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3525.4531757812501</v>
      </c>
      <c r="H155" s="25">
        <f>IF(B155&lt;62,0,'Combined Retirement'!$I$14)</f>
        <v>2192</v>
      </c>
      <c r="I155" s="25">
        <f>IF(C155&lt;62,0,'Combined Retirement'!$I$13)</f>
        <v>2420</v>
      </c>
      <c r="J155" s="25">
        <f t="shared" si="3"/>
        <v>7863.2184191855868</v>
      </c>
      <c r="K155" s="25">
        <f t="shared" si="4"/>
        <v>20282.026119384056</v>
      </c>
      <c r="L155" s="25"/>
      <c r="N155" s="25">
        <f>'Combined Retirement'!$C$18/12</f>
        <v>39153.069999999992</v>
      </c>
      <c r="O155" s="25">
        <f t="shared" si="5"/>
        <v>11007.82546143035</v>
      </c>
      <c r="P155" s="25">
        <f t="shared" si="6"/>
        <v>28145.244538569641</v>
      </c>
      <c r="Q155" s="25">
        <f t="array" aca="1" ref="Q155" ca="1">INDEX('Isaac 401k'!L:L,MATCH('Retirement Calculator'!A155,'Isaac 401k'!N:N,0),0)</f>
        <v>1670199.6609256598</v>
      </c>
      <c r="R155" s="25">
        <f t="array" aca="1" ref="R155" ca="1">INDEX('Lorri 401b'!L:L,MATCH('Retirement Calculator'!A155,'Lorri 401b'!N:N,0),0)</f>
        <v>4114519.677395741</v>
      </c>
      <c r="S155" s="25">
        <f t="shared" ca="1" si="7"/>
        <v>5784719.3383214008</v>
      </c>
    </row>
    <row r="156" spans="1:19" ht="15.75" customHeight="1" x14ac:dyDescent="0.3">
      <c r="A156" s="37">
        <v>55701</v>
      </c>
      <c r="B156" s="409">
        <f t="shared" ref="B156:C156" si="152">($A156-B$9)/365.25</f>
        <v>70.622861054072558</v>
      </c>
      <c r="C156" s="409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3525.4531757812501</v>
      </c>
      <c r="H156" s="25">
        <f>IF(B156&lt;62,0,'Combined Retirement'!$I$14)</f>
        <v>2192</v>
      </c>
      <c r="I156" s="25">
        <f>IF(C156&lt;62,0,'Combined Retirement'!$I$13)</f>
        <v>2420</v>
      </c>
      <c r="J156" s="25">
        <f t="shared" si="3"/>
        <v>7863.2184191855868</v>
      </c>
      <c r="K156" s="25">
        <f t="shared" si="4"/>
        <v>20282.026119384056</v>
      </c>
      <c r="L156" s="25"/>
      <c r="N156" s="25">
        <f>'Combined Retirement'!$C$18/12</f>
        <v>39153.069999999992</v>
      </c>
      <c r="O156" s="25">
        <f t="shared" si="5"/>
        <v>11007.82546143035</v>
      </c>
      <c r="P156" s="25">
        <f t="shared" si="6"/>
        <v>28145.244538569641</v>
      </c>
      <c r="Q156" s="25">
        <f t="array" aca="1" ref="Q156" ca="1">INDEX('Isaac 401k'!L:L,MATCH('Retirement Calculator'!A156,'Isaac 401k'!N:N,0),0)</f>
        <v>1669262.8443502511</v>
      </c>
      <c r="R156" s="25">
        <f t="array" aca="1" ref="R156" ca="1">INDEX('Lorri 401b'!L:L,MATCH('Retirement Calculator'!A156,'Lorri 401b'!N:N,0),0)</f>
        <v>4111296.9748233417</v>
      </c>
      <c r="S156" s="25">
        <f t="shared" ca="1" si="7"/>
        <v>5780559.8191735931</v>
      </c>
    </row>
    <row r="157" spans="1:19" ht="15.75" customHeight="1" x14ac:dyDescent="0.3">
      <c r="A157" s="37">
        <v>55732</v>
      </c>
      <c r="B157" s="409">
        <f t="shared" ref="B157:C157" si="153">($A157-B$9)/365.25</f>
        <v>70.707734428473643</v>
      </c>
      <c r="C157" s="409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3525.4531757812501</v>
      </c>
      <c r="H157" s="25">
        <f>IF(B157&lt;62,0,'Combined Retirement'!$I$14)</f>
        <v>2192</v>
      </c>
      <c r="I157" s="25">
        <f>IF(C157&lt;62,0,'Combined Retirement'!$I$13)</f>
        <v>2420</v>
      </c>
      <c r="J157" s="25">
        <f t="shared" si="3"/>
        <v>7863.2184191855868</v>
      </c>
      <c r="K157" s="25">
        <f t="shared" si="4"/>
        <v>20282.026119384056</v>
      </c>
      <c r="L157" s="25"/>
      <c r="N157" s="25">
        <f>'Combined Retirement'!$C$18/12</f>
        <v>39153.069999999992</v>
      </c>
      <c r="O157" s="25">
        <f t="shared" si="5"/>
        <v>11007.82546143035</v>
      </c>
      <c r="P157" s="25">
        <f t="shared" si="6"/>
        <v>28145.244538569641</v>
      </c>
      <c r="Q157" s="25">
        <f t="array" aca="1" ref="Q157" ca="1">INDEX('Isaac 401k'!L:L,MATCH('Retirement Calculator'!A157,'Isaac 401k'!N:N,0),0)</f>
        <v>1668322.124372445</v>
      </c>
      <c r="R157" s="25">
        <f t="array" aca="1" ref="R157" ca="1">INDEX('Lorri 401b'!L:L,MATCH('Retirement Calculator'!A157,'Lorri 401b'!N:N,0),0)</f>
        <v>4108060.8443235573</v>
      </c>
      <c r="S157" s="25">
        <f t="shared" ca="1" si="7"/>
        <v>5776382.9686960019</v>
      </c>
    </row>
    <row r="158" spans="1:19" ht="15.75" customHeight="1" x14ac:dyDescent="0.3">
      <c r="A158" s="37">
        <v>55763</v>
      </c>
      <c r="B158" s="409">
        <f t="shared" ref="B158:C158" si="154">($A158-B$9)/365.25</f>
        <v>70.792607802874741</v>
      </c>
      <c r="C158" s="409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3525.4531757812501</v>
      </c>
      <c r="H158" s="25">
        <f>IF(B158&lt;62,0,'Combined Retirement'!$I$14)</f>
        <v>2192</v>
      </c>
      <c r="I158" s="25">
        <f>IF(C158&lt;62,0,'Combined Retirement'!$I$13)</f>
        <v>2420</v>
      </c>
      <c r="J158" s="25">
        <f t="shared" si="3"/>
        <v>7863.2184191855868</v>
      </c>
      <c r="K158" s="25">
        <f t="shared" si="4"/>
        <v>20282.026119384056</v>
      </c>
      <c r="L158" s="25"/>
      <c r="N158" s="25">
        <f>'Combined Retirement'!$C$18/12</f>
        <v>39153.069999999992</v>
      </c>
      <c r="O158" s="25">
        <f t="shared" si="5"/>
        <v>11007.82546143035</v>
      </c>
      <c r="P158" s="25">
        <f t="shared" si="6"/>
        <v>28145.244538569641</v>
      </c>
      <c r="Q158" s="25">
        <f t="array" aca="1" ref="Q158" ca="1">INDEX('Isaac 401k'!L:L,MATCH('Retirement Calculator'!A158,'Isaac 401k'!N:N,0),0)</f>
        <v>1667377.4847280646</v>
      </c>
      <c r="R158" s="25">
        <f t="array" aca="1" ref="R158" ca="1">INDEX('Lorri 401b'!L:L,MATCH('Retirement Calculator'!A158,'Lorri 401b'!N:N,0),0)</f>
        <v>4104811.2299466906</v>
      </c>
      <c r="S158" s="25">
        <f t="shared" ca="1" si="7"/>
        <v>5772188.714674755</v>
      </c>
    </row>
    <row r="159" spans="1:19" ht="15.75" customHeight="1" x14ac:dyDescent="0.3">
      <c r="A159" s="37">
        <v>55793</v>
      </c>
      <c r="B159" s="409">
        <f t="shared" ref="B159:C159" si="155">($A159-B$9)/365.25</f>
        <v>70.874743326488712</v>
      </c>
      <c r="C159" s="409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3525.4531757812501</v>
      </c>
      <c r="H159" s="25">
        <f>IF(B159&lt;62,0,'Combined Retirement'!$I$14)</f>
        <v>2192</v>
      </c>
      <c r="I159" s="25">
        <f>IF(C159&lt;62,0,'Combined Retirement'!$I$13)</f>
        <v>2420</v>
      </c>
      <c r="J159" s="25">
        <f t="shared" si="3"/>
        <v>7863.2184191855868</v>
      </c>
      <c r="K159" s="25">
        <f t="shared" si="4"/>
        <v>20282.026119384056</v>
      </c>
      <c r="L159" s="25"/>
      <c r="N159" s="25">
        <f>'Combined Retirement'!$C$18/12</f>
        <v>39153.069999999992</v>
      </c>
      <c r="O159" s="25">
        <f t="shared" si="5"/>
        <v>11007.82546143035</v>
      </c>
      <c r="P159" s="25">
        <f t="shared" si="6"/>
        <v>28145.244538569641</v>
      </c>
      <c r="Q159" s="25">
        <f t="array" aca="1" ref="Q159" ca="1">INDEX('Isaac 401k'!L:L,MATCH('Retirement Calculator'!A159,'Isaac 401k'!N:N,0),0)</f>
        <v>1666428.9090851659</v>
      </c>
      <c r="R159" s="25">
        <f t="array" aca="1" ref="R159" ca="1">INDEX('Lorri 401b'!L:L,MATCH('Retirement Calculator'!A159,'Lorri 401b'!N:N,0),0)</f>
        <v>4101548.0755099203</v>
      </c>
      <c r="S159" s="25">
        <f t="shared" ca="1" si="7"/>
        <v>5767976.9845950864</v>
      </c>
    </row>
    <row r="160" spans="1:19" ht="15.75" customHeight="1" x14ac:dyDescent="0.3">
      <c r="A160" s="37">
        <v>55824</v>
      </c>
      <c r="B160" s="409">
        <f t="shared" ref="B160:C160" si="156">($A160-B$9)/365.25</f>
        <v>70.959616700889796</v>
      </c>
      <c r="C160" s="409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3525.4531757812501</v>
      </c>
      <c r="H160" s="25">
        <f>IF(B160&lt;62,0,'Combined Retirement'!$I$14)</f>
        <v>2192</v>
      </c>
      <c r="I160" s="25">
        <f>IF(C160&lt;62,0,'Combined Retirement'!$I$13)</f>
        <v>2420</v>
      </c>
      <c r="J160" s="25">
        <f t="shared" si="3"/>
        <v>7863.2184191855868</v>
      </c>
      <c r="K160" s="25">
        <f t="shared" si="4"/>
        <v>20282.026119384056</v>
      </c>
      <c r="L160" s="25"/>
      <c r="N160" s="25">
        <f>'Combined Retirement'!$C$18/12</f>
        <v>39153.069999999992</v>
      </c>
      <c r="O160" s="25">
        <f t="shared" si="5"/>
        <v>11007.82546143035</v>
      </c>
      <c r="P160" s="25">
        <f t="shared" si="6"/>
        <v>28145.244538569641</v>
      </c>
      <c r="Q160" s="25">
        <f t="array" aca="1" ref="Q160" ca="1">INDEX('Isaac 401k'!L:L,MATCH('Retirement Calculator'!A160,'Isaac 401k'!N:N,0),0)</f>
        <v>1665476.3810437552</v>
      </c>
      <c r="R160" s="25">
        <f t="array" aca="1" ref="R160" ca="1">INDEX('Lorri 401b'!L:L,MATCH('Retirement Calculator'!A160,'Lorri 401b'!N:N,0),0)</f>
        <v>4098271.3245963301</v>
      </c>
      <c r="S160" s="25">
        <f t="shared" ca="1" si="7"/>
        <v>5763747.705640085</v>
      </c>
    </row>
    <row r="161" spans="1:19" ht="15.75" customHeight="1" x14ac:dyDescent="0.3">
      <c r="A161" s="37">
        <v>55854</v>
      </c>
      <c r="B161" s="409">
        <f t="shared" ref="B161:C161" si="157">($A161-B$9)/365.25</f>
        <v>71.041752224503767</v>
      </c>
      <c r="C161" s="409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3525.4531757812501</v>
      </c>
      <c r="H161" s="25">
        <f>IF(B161&lt;62,0,'Combined Retirement'!$I$14)</f>
        <v>2192</v>
      </c>
      <c r="I161" s="25">
        <f>IF(C161&lt;62,0,'Combined Retirement'!$I$13)</f>
        <v>2420</v>
      </c>
      <c r="J161" s="25">
        <f t="shared" si="3"/>
        <v>7863.2184191855868</v>
      </c>
      <c r="K161" s="25">
        <f t="shared" si="4"/>
        <v>20282.026119384056</v>
      </c>
      <c r="L161" s="25"/>
      <c r="N161" s="25">
        <f>'Combined Retirement'!$C$18/12</f>
        <v>39153.069999999992</v>
      </c>
      <c r="O161" s="25">
        <f t="shared" si="5"/>
        <v>11007.82546143035</v>
      </c>
      <c r="P161" s="25">
        <f t="shared" si="6"/>
        <v>28145.244538569641</v>
      </c>
      <c r="Q161" s="25">
        <f t="array" aca="1" ref="Q161" ca="1">INDEX('Isaac 401k'!L:L,MATCH('Retirement Calculator'!A161,'Isaac 401k'!N:N,0),0)</f>
        <v>1664519.8841355054</v>
      </c>
      <c r="R161" s="25">
        <f t="array" aca="1" ref="R161" ca="1">INDEX('Lorri 401b'!L:L,MATCH('Retirement Calculator'!A161,'Lorri 401b'!N:N,0),0)</f>
        <v>4094980.9205539334</v>
      </c>
      <c r="S161" s="25">
        <f t="shared" ca="1" si="7"/>
        <v>5759500.804689439</v>
      </c>
    </row>
    <row r="162" spans="1:19" ht="15.75" customHeight="1" x14ac:dyDescent="0.3">
      <c r="A162" s="37">
        <v>55885</v>
      </c>
      <c r="B162" s="409">
        <f t="shared" ref="B162:C162" si="158">($A162-B$9)/365.25</f>
        <v>71.126625598904866</v>
      </c>
      <c r="C162" s="409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3525.4531757812501</v>
      </c>
      <c r="H162" s="25">
        <f>IF(B162&lt;62,0,'Combined Retirement'!$I$14)</f>
        <v>2192</v>
      </c>
      <c r="I162" s="25">
        <f>IF(C162&lt;62,0,'Combined Retirement'!$I$13)</f>
        <v>2420</v>
      </c>
      <c r="J162" s="25">
        <f t="shared" si="3"/>
        <v>7863.2184191855868</v>
      </c>
      <c r="K162" s="25">
        <f t="shared" si="4"/>
        <v>20282.026119384056</v>
      </c>
      <c r="L162" s="25"/>
      <c r="N162" s="25">
        <f>'Combined Retirement'!$C$18/12</f>
        <v>39153.069999999992</v>
      </c>
      <c r="O162" s="25">
        <f t="shared" si="5"/>
        <v>11007.82546143035</v>
      </c>
      <c r="P162" s="25">
        <f t="shared" si="6"/>
        <v>28145.244538569641</v>
      </c>
      <c r="Q162" s="25">
        <f t="array" aca="1" ref="Q162" ca="1">INDEX('Isaac 401k'!L:L,MATCH('Retirement Calculator'!A162,'Isaac 401k'!N:N,0),0)</f>
        <v>1663559.4018234711</v>
      </c>
      <c r="R162" s="25">
        <f t="array" aca="1" ref="R162" ca="1">INDEX('Lorri 401b'!L:L,MATCH('Retirement Calculator'!A162,'Lorri 401b'!N:N,0),0)</f>
        <v>4091676.8064946933</v>
      </c>
      <c r="S162" s="25">
        <f t="shared" ca="1" si="7"/>
        <v>5755236.2083181646</v>
      </c>
    </row>
    <row r="163" spans="1:19" ht="15.75" customHeight="1" x14ac:dyDescent="0.3">
      <c r="A163" s="37">
        <v>55916</v>
      </c>
      <c r="B163" s="409">
        <f t="shared" ref="B163:C163" si="159">($A163-B$9)/365.25</f>
        <v>71.21149897330595</v>
      </c>
      <c r="C163" s="409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3525.4531757812501</v>
      </c>
      <c r="H163" s="25">
        <f>IF(B163&lt;62,0,'Combined Retirement'!$I$14)</f>
        <v>2192</v>
      </c>
      <c r="I163" s="25">
        <f>IF(C163&lt;62,0,'Combined Retirement'!$I$13)</f>
        <v>2420</v>
      </c>
      <c r="J163" s="25">
        <f t="shared" si="3"/>
        <v>7863.2184191855868</v>
      </c>
      <c r="K163" s="25">
        <f t="shared" si="4"/>
        <v>20282.026119384056</v>
      </c>
      <c r="L163" s="25"/>
      <c r="N163" s="25">
        <f>'Combined Retirement'!$C$18/12</f>
        <v>39153.069999999992</v>
      </c>
      <c r="O163" s="25">
        <f t="shared" si="5"/>
        <v>11007.82546143035</v>
      </c>
      <c r="P163" s="25">
        <f t="shared" si="6"/>
        <v>28145.244538569641</v>
      </c>
      <c r="Q163" s="25">
        <f t="array" aca="1" ref="Q163" ca="1">INDEX('Isaac 401k'!L:L,MATCH('Retirement Calculator'!A163,'Isaac 401k'!N:N,0),0)</f>
        <v>1662594.9175018033</v>
      </c>
      <c r="R163" s="25">
        <f t="array" aca="1" ref="R163" ca="1">INDEX('Lorri 401b'!L:L,MATCH('Retirement Calculator'!A163,'Lorri 401b'!N:N,0),0)</f>
        <v>4088358.9252935397</v>
      </c>
      <c r="S163" s="25">
        <f t="shared" ca="1" si="7"/>
        <v>5750953.8427953431</v>
      </c>
    </row>
    <row r="164" spans="1:19" ht="15.75" customHeight="1" x14ac:dyDescent="0.3">
      <c r="A164" s="37">
        <v>55944</v>
      </c>
      <c r="B164" s="409">
        <f t="shared" ref="B164:C164" si="160">($A164-B$9)/365.25</f>
        <v>71.288158795345652</v>
      </c>
      <c r="C164" s="409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3525.4531757812501</v>
      </c>
      <c r="H164" s="25">
        <f>IF(B164&lt;62,0,'Combined Retirement'!$I$14)</f>
        <v>2192</v>
      </c>
      <c r="I164" s="25">
        <f>IF(C164&lt;62,0,'Combined Retirement'!$I$13)</f>
        <v>2420</v>
      </c>
      <c r="J164" s="25">
        <f t="shared" si="3"/>
        <v>7863.2184191855868</v>
      </c>
      <c r="K164" s="25">
        <f t="shared" si="4"/>
        <v>20282.026119384056</v>
      </c>
      <c r="L164" s="25"/>
      <c r="N164" s="25">
        <f>'Combined Retirement'!$C$18/12</f>
        <v>39153.069999999992</v>
      </c>
      <c r="O164" s="25">
        <f t="shared" si="5"/>
        <v>11007.82546143035</v>
      </c>
      <c r="P164" s="25">
        <f t="shared" si="6"/>
        <v>28145.244538569641</v>
      </c>
      <c r="Q164" s="25">
        <f t="array" aca="1" ref="Q164" ca="1">INDEX('Isaac 401k'!L:L,MATCH('Retirement Calculator'!A164,'Isaac 401k'!N:N,0),0)</f>
        <v>1661626.4144954619</v>
      </c>
      <c r="R164" s="25">
        <f t="array" aca="1" ref="R164" ca="1">INDEX('Lorri 401b'!L:L,MATCH('Retirement Calculator'!A164,'Lorri 401b'!N:N,0),0)</f>
        <v>4085027.2195873815</v>
      </c>
      <c r="S164" s="25">
        <f t="shared" ca="1" si="7"/>
        <v>5746653.6340828435</v>
      </c>
    </row>
    <row r="165" spans="1:19" ht="15.75" customHeight="1" x14ac:dyDescent="0.3">
      <c r="A165" s="37">
        <v>55975</v>
      </c>
      <c r="B165" s="409">
        <f t="shared" ref="B165:C165" si="161">($A165-B$9)/365.25</f>
        <v>71.37303216974675</v>
      </c>
      <c r="C165" s="409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3525.4531757812501</v>
      </c>
      <c r="H165" s="25">
        <f>IF(B165&lt;62,0,'Combined Retirement'!$I$14)</f>
        <v>2192</v>
      </c>
      <c r="I165" s="25">
        <f>IF(C165&lt;62,0,'Combined Retirement'!$I$13)</f>
        <v>2420</v>
      </c>
      <c r="J165" s="25">
        <f t="shared" si="3"/>
        <v>7863.2184191855868</v>
      </c>
      <c r="K165" s="25">
        <f t="shared" si="4"/>
        <v>20282.026119384056</v>
      </c>
      <c r="L165" s="25"/>
      <c r="N165" s="25">
        <f>'Combined Retirement'!$C$18/12</f>
        <v>39153.069999999992</v>
      </c>
      <c r="O165" s="25">
        <f t="shared" si="5"/>
        <v>11007.82546143035</v>
      </c>
      <c r="P165" s="25">
        <f t="shared" si="6"/>
        <v>28145.244538569641</v>
      </c>
      <c r="Q165" s="25">
        <f t="array" aca="1" ref="Q165" ca="1">INDEX('Isaac 401k'!L:L,MATCH('Retirement Calculator'!A165,'Isaac 401k'!N:N,0),0)</f>
        <v>1660653.8760599275</v>
      </c>
      <c r="R165" s="25">
        <f t="array" aca="1" ref="R165" ca="1">INDEX('Lorri 401b'!L:L,MATCH('Retirement Calculator'!A165,'Lorri 401b'!N:N,0),0)</f>
        <v>4081681.631774114</v>
      </c>
      <c r="S165" s="25">
        <f t="shared" ca="1" si="7"/>
        <v>5742335.5078340415</v>
      </c>
    </row>
    <row r="166" spans="1:19" ht="15.75" customHeight="1" x14ac:dyDescent="0.3">
      <c r="A166" s="37">
        <v>56005</v>
      </c>
      <c r="B166" s="409">
        <f t="shared" ref="B166:C166" si="162">($A166-B$9)/365.25</f>
        <v>71.455167693360707</v>
      </c>
      <c r="C166" s="409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3525.4531757812501</v>
      </c>
      <c r="H166" s="25">
        <f>IF(B166&lt;62,0,'Combined Retirement'!$I$14)</f>
        <v>2192</v>
      </c>
      <c r="I166" s="25">
        <f>IF(C166&lt;62,0,'Combined Retirement'!$I$13)</f>
        <v>2420</v>
      </c>
      <c r="J166" s="25">
        <f t="shared" si="3"/>
        <v>7863.2184191855868</v>
      </c>
      <c r="K166" s="25">
        <f t="shared" si="4"/>
        <v>20282.026119384056</v>
      </c>
      <c r="L166" s="25"/>
      <c r="N166" s="25">
        <f>'Combined Retirement'!$C$18/12</f>
        <v>39153.069999999992</v>
      </c>
      <c r="O166" s="25">
        <f t="shared" si="5"/>
        <v>11007.82546143035</v>
      </c>
      <c r="P166" s="25">
        <f t="shared" si="6"/>
        <v>28145.244538569641</v>
      </c>
      <c r="Q166" s="25">
        <f t="array" aca="1" ref="Q166" ca="1">INDEX('Isaac 401k'!L:L,MATCH('Retirement Calculator'!A166,'Isaac 401k'!N:N,0),0)</f>
        <v>1659677.2853809115</v>
      </c>
      <c r="R166" s="25">
        <f t="array" aca="1" ref="R166" ca="1">INDEX('Lorri 401b'!L:L,MATCH('Retirement Calculator'!A166,'Lorri 401b'!N:N,0),0)</f>
        <v>4078322.1040116246</v>
      </c>
      <c r="S166" s="25">
        <f t="shared" ca="1" si="7"/>
        <v>5737999.3893925361</v>
      </c>
    </row>
    <row r="167" spans="1:19" ht="15.75" customHeight="1" x14ac:dyDescent="0.3">
      <c r="A167" s="37">
        <v>56036</v>
      </c>
      <c r="B167" s="409">
        <f t="shared" ref="B167:C167" si="163">($A167-B$9)/365.25</f>
        <v>71.540041067761805</v>
      </c>
      <c r="C167" s="409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3525.4531757812501</v>
      </c>
      <c r="H167" s="25">
        <f>IF(B167&lt;62,0,'Combined Retirement'!$I$14)</f>
        <v>2192</v>
      </c>
      <c r="I167" s="25">
        <f>IF(C167&lt;62,0,'Combined Retirement'!$I$13)</f>
        <v>2420</v>
      </c>
      <c r="J167" s="25">
        <f t="shared" si="3"/>
        <v>7863.2184191855868</v>
      </c>
      <c r="K167" s="25">
        <f t="shared" si="4"/>
        <v>20282.026119384056</v>
      </c>
      <c r="L167" s="25"/>
      <c r="N167" s="25">
        <f>'Combined Retirement'!$C$18/12</f>
        <v>39153.069999999992</v>
      </c>
      <c r="O167" s="25">
        <f t="shared" si="5"/>
        <v>11007.82546143035</v>
      </c>
      <c r="P167" s="25">
        <f t="shared" si="6"/>
        <v>28145.244538569641</v>
      </c>
      <c r="Q167" s="25">
        <f t="array" aca="1" ref="Q167" ca="1">INDEX('Isaac 401k'!L:L,MATCH('Retirement Calculator'!A167,'Isaac 401k'!N:N,0),0)</f>
        <v>1658696.6255740665</v>
      </c>
      <c r="R167" s="25">
        <f t="array" aca="1" ref="R167" ca="1">INDEX('Lorri 401b'!L:L,MATCH('Retirement Calculator'!A167,'Lorri 401b'!N:N,0),0)</f>
        <v>4074948.5782167916</v>
      </c>
      <c r="S167" s="25">
        <f t="shared" ca="1" si="7"/>
        <v>5733645.2037908584</v>
      </c>
    </row>
    <row r="168" spans="1:19" ht="15.75" customHeight="1" x14ac:dyDescent="0.3">
      <c r="A168" s="37">
        <v>56066</v>
      </c>
      <c r="B168" s="409">
        <f t="shared" ref="B168:C168" si="164">($A168-B$9)/365.25</f>
        <v>71.622176591375776</v>
      </c>
      <c r="C168" s="409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3525.4531757812501</v>
      </c>
      <c r="H168" s="25">
        <f>IF(B168&lt;62,0,'Combined Retirement'!$I$14)</f>
        <v>2192</v>
      </c>
      <c r="I168" s="25">
        <f>IF(C168&lt;62,0,'Combined Retirement'!$I$13)</f>
        <v>2420</v>
      </c>
      <c r="J168" s="25">
        <f t="shared" si="3"/>
        <v>7863.2184191855868</v>
      </c>
      <c r="K168" s="25">
        <f t="shared" si="4"/>
        <v>20282.026119384056</v>
      </c>
      <c r="L168" s="25"/>
      <c r="N168" s="25">
        <f>'Combined Retirement'!$C$18/12</f>
        <v>39153.069999999992</v>
      </c>
      <c r="O168" s="25">
        <f t="shared" si="5"/>
        <v>11007.82546143035</v>
      </c>
      <c r="P168" s="25">
        <f t="shared" si="6"/>
        <v>28145.244538569641</v>
      </c>
      <c r="Q168" s="25">
        <f t="array" aca="1" ref="Q168" ca="1">INDEX('Isaac 401k'!L:L,MATCH('Retirement Calculator'!A168,'Isaac 401k'!N:N,0),0)</f>
        <v>1657711.8796846929</v>
      </c>
      <c r="R168" s="25">
        <f t="array" aca="1" ref="R168" ca="1">INDEX('Lorri 401b'!L:L,MATCH('Retirement Calculator'!A168,'Lorri 401b'!N:N,0),0)</f>
        <v>4071560.9960644804</v>
      </c>
      <c r="S168" s="25">
        <f t="shared" ca="1" si="7"/>
        <v>5729272.8757491736</v>
      </c>
    </row>
    <row r="169" spans="1:19" ht="15.75" customHeight="1" x14ac:dyDescent="0.3">
      <c r="A169" s="37">
        <v>56097</v>
      </c>
      <c r="B169" s="409">
        <f t="shared" ref="B169:C169" si="165">($A169-B$9)/365.25</f>
        <v>71.707049965776861</v>
      </c>
      <c r="C169" s="409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3525.4531757812501</v>
      </c>
      <c r="H169" s="25">
        <f>IF(B169&lt;62,0,'Combined Retirement'!$I$14)</f>
        <v>2192</v>
      </c>
      <c r="I169" s="25">
        <f>IF(C169&lt;62,0,'Combined Retirement'!$I$13)</f>
        <v>2420</v>
      </c>
      <c r="J169" s="25">
        <f t="shared" si="3"/>
        <v>7863.2184191855868</v>
      </c>
      <c r="K169" s="25">
        <f t="shared" si="4"/>
        <v>20282.026119384056</v>
      </c>
      <c r="L169" s="25"/>
      <c r="N169" s="25">
        <f>'Combined Retirement'!$C$18/12</f>
        <v>39153.069999999992</v>
      </c>
      <c r="O169" s="25">
        <f t="shared" si="5"/>
        <v>11007.82546143035</v>
      </c>
      <c r="P169" s="25">
        <f t="shared" si="6"/>
        <v>28145.244538569641</v>
      </c>
      <c r="Q169" s="25">
        <f t="array" aca="1" ref="Q169" ca="1">INDEX('Isaac 401k'!L:L,MATCH('Retirement Calculator'!A169,'Isaac 401k'!N:N,0),0)</f>
        <v>1656723.0306874469</v>
      </c>
      <c r="R169" s="25">
        <f t="array" aca="1" ref="R169" ca="1">INDEX('Lorri 401b'!L:L,MATCH('Retirement Calculator'!A169,'Lorri 401b'!N:N,0),0)</f>
        <v>4068159.2989865341</v>
      </c>
      <c r="S169" s="25">
        <f t="shared" ca="1" si="7"/>
        <v>5724882.3296739813</v>
      </c>
    </row>
    <row r="170" spans="1:19" ht="15.75" customHeight="1" x14ac:dyDescent="0.3">
      <c r="A170" s="37">
        <v>56128</v>
      </c>
      <c r="B170" s="409">
        <f t="shared" ref="B170:C170" si="166">($A170-B$9)/365.25</f>
        <v>71.791923340177959</v>
      </c>
      <c r="C170" s="409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3525.4531757812501</v>
      </c>
      <c r="H170" s="25">
        <f>IF(B170&lt;62,0,'Combined Retirement'!$I$14)</f>
        <v>2192</v>
      </c>
      <c r="I170" s="25">
        <f>IF(C170&lt;62,0,'Combined Retirement'!$I$13)</f>
        <v>2420</v>
      </c>
      <c r="J170" s="25">
        <f t="shared" si="3"/>
        <v>7863.2184191855868</v>
      </c>
      <c r="K170" s="25">
        <f t="shared" si="4"/>
        <v>20282.026119384056</v>
      </c>
      <c r="L170" s="25"/>
      <c r="N170" s="25">
        <f>'Combined Retirement'!$C$18/12</f>
        <v>39153.069999999992</v>
      </c>
      <c r="O170" s="25">
        <f t="shared" si="5"/>
        <v>11007.82546143035</v>
      </c>
      <c r="P170" s="25">
        <f t="shared" si="6"/>
        <v>28145.244538569641</v>
      </c>
      <c r="Q170" s="25">
        <f t="array" aca="1" ref="Q170" ca="1">INDEX('Isaac 401k'!L:L,MATCH('Retirement Calculator'!A170,'Isaac 401k'!N:N,0),0)</f>
        <v>1655730.0614860458</v>
      </c>
      <c r="R170" s="25">
        <f t="array" aca="1" ref="R170" ca="1">INDEX('Lorri 401b'!L:L,MATCH('Retirement Calculator'!A170,'Lorri 401b'!N:N,0),0)</f>
        <v>4064743.4281707634</v>
      </c>
      <c r="S170" s="25">
        <f t="shared" ca="1" si="7"/>
        <v>5720473.4896568097</v>
      </c>
    </row>
    <row r="171" spans="1:19" ht="15.75" customHeight="1" x14ac:dyDescent="0.3">
      <c r="A171" s="37">
        <v>56158</v>
      </c>
      <c r="B171" s="409">
        <f t="shared" ref="B171:C171" si="167">($A171-B$9)/365.25</f>
        <v>71.87405886379193</v>
      </c>
      <c r="C171" s="409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3525.4531757812501</v>
      </c>
      <c r="H171" s="25">
        <f>IF(B171&lt;62,0,'Combined Retirement'!$I$14)</f>
        <v>2192</v>
      </c>
      <c r="I171" s="25">
        <f>IF(C171&lt;62,0,'Combined Retirement'!$I$13)</f>
        <v>2420</v>
      </c>
      <c r="J171" s="25">
        <f t="shared" si="3"/>
        <v>7863.2184191855868</v>
      </c>
      <c r="K171" s="25">
        <f t="shared" si="4"/>
        <v>20282.026119384056</v>
      </c>
      <c r="L171" s="25"/>
      <c r="N171" s="25">
        <f>'Combined Retirement'!$C$18/12</f>
        <v>39153.069999999992</v>
      </c>
      <c r="O171" s="25">
        <f t="shared" si="5"/>
        <v>11007.82546143035</v>
      </c>
      <c r="P171" s="25">
        <f t="shared" si="6"/>
        <v>28145.244538569641</v>
      </c>
      <c r="Q171" s="25">
        <f t="array" aca="1" ref="Q171" ca="1">INDEX('Isaac 401k'!L:L,MATCH('Retirement Calculator'!A171,'Isaac 401k'!N:N,0),0)</f>
        <v>1654732.9549129722</v>
      </c>
      <c r="R171" s="25">
        <f t="array" aca="1" ref="R171" ca="1">INDEX('Lorri 401b'!L:L,MATCH('Retirement Calculator'!A171,'Lorri 401b'!N:N,0),0)</f>
        <v>4061313.324559927</v>
      </c>
      <c r="S171" s="25">
        <f t="shared" ca="1" si="7"/>
        <v>5716046.2794728987</v>
      </c>
    </row>
    <row r="172" spans="1:19" ht="15.75" customHeight="1" x14ac:dyDescent="0.3">
      <c r="A172" s="37">
        <v>56189</v>
      </c>
      <c r="B172" s="409">
        <f t="shared" ref="B172:C172" si="168">($A172-B$9)/365.25</f>
        <v>71.958932238193015</v>
      </c>
      <c r="C172" s="409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3525.4531757812501</v>
      </c>
      <c r="H172" s="25">
        <f>IF(B172&lt;62,0,'Combined Retirement'!$I$14)</f>
        <v>2192</v>
      </c>
      <c r="I172" s="25">
        <f>IF(C172&lt;62,0,'Combined Retirement'!$I$13)</f>
        <v>2420</v>
      </c>
      <c r="J172" s="25">
        <f t="shared" si="3"/>
        <v>7863.2184191855868</v>
      </c>
      <c r="K172" s="25">
        <f t="shared" si="4"/>
        <v>20282.026119384056</v>
      </c>
      <c r="L172" s="25"/>
      <c r="N172" s="25">
        <f>'Combined Retirement'!$C$18/12</f>
        <v>39153.069999999992</v>
      </c>
      <c r="O172" s="25">
        <f t="shared" si="5"/>
        <v>11007.82546143035</v>
      </c>
      <c r="P172" s="25">
        <f t="shared" si="6"/>
        <v>28145.244538569641</v>
      </c>
      <c r="Q172" s="25">
        <f t="array" aca="1" ref="Q172" ca="1">INDEX('Isaac 401k'!L:L,MATCH('Retirement Calculator'!A172,'Isaac 401k'!N:N,0),0)</f>
        <v>1653731.6937291774</v>
      </c>
      <c r="R172" s="25">
        <f t="array" aca="1" ref="R172" ca="1">INDEX('Lorri 401b'!L:L,MATCH('Retirement Calculator'!A172,'Lorri 401b'!N:N,0),0)</f>
        <v>4057868.9288507118</v>
      </c>
      <c r="S172" s="25">
        <f t="shared" ca="1" si="7"/>
        <v>5711600.6225798894</v>
      </c>
    </row>
    <row r="173" spans="1:19" ht="15.75" customHeight="1" x14ac:dyDescent="0.3">
      <c r="A173" s="37">
        <v>56219</v>
      </c>
      <c r="B173" s="409">
        <f t="shared" ref="B173:C173" si="169">($A173-B$9)/365.25</f>
        <v>72.041067761806985</v>
      </c>
      <c r="C173" s="409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3525.4531757812501</v>
      </c>
      <c r="H173" s="25">
        <f>IF(B173&lt;62,0,'Combined Retirement'!$I$14)</f>
        <v>2192</v>
      </c>
      <c r="I173" s="25">
        <f>IF(C173&lt;62,0,'Combined Retirement'!$I$13)</f>
        <v>2420</v>
      </c>
      <c r="J173" s="25">
        <f t="shared" si="3"/>
        <v>7863.2184191855868</v>
      </c>
      <c r="K173" s="25">
        <f t="shared" si="4"/>
        <v>20282.026119384056</v>
      </c>
      <c r="L173" s="25"/>
      <c r="N173" s="25">
        <f>'Combined Retirement'!$C$18/12</f>
        <v>39153.069999999992</v>
      </c>
      <c r="O173" s="25">
        <f t="shared" si="5"/>
        <v>11007.82546143035</v>
      </c>
      <c r="P173" s="25">
        <f t="shared" si="6"/>
        <v>28145.244538569641</v>
      </c>
      <c r="Q173" s="25">
        <f t="array" aca="1" ref="Q173" ca="1">INDEX('Isaac 401k'!L:L,MATCH('Retirement Calculator'!A173,'Isaac 401k'!N:N,0),0)</f>
        <v>1652726.2606237833</v>
      </c>
      <c r="R173" s="25">
        <f t="array" aca="1" ref="R173" ca="1">INDEX('Lorri 401b'!L:L,MATCH('Retirement Calculator'!A173,'Lorri 401b'!N:N,0),0)</f>
        <v>4054410.1814927082</v>
      </c>
      <c r="S173" s="25">
        <f t="shared" ca="1" si="7"/>
        <v>5707136.4421164915</v>
      </c>
    </row>
    <row r="174" spans="1:19" ht="15.75" customHeight="1" x14ac:dyDescent="0.3">
      <c r="A174" s="37">
        <v>56250</v>
      </c>
      <c r="B174" s="409">
        <f t="shared" ref="B174:C174" si="170">($A174-B$9)/365.25</f>
        <v>72.12594113620807</v>
      </c>
      <c r="C174" s="409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3525.4531757812501</v>
      </c>
      <c r="H174" s="25">
        <f>IF(B174&lt;62,0,'Combined Retirement'!$I$14)</f>
        <v>2192</v>
      </c>
      <c r="I174" s="25">
        <f>IF(C174&lt;62,0,'Combined Retirement'!$I$13)</f>
        <v>2420</v>
      </c>
      <c r="J174" s="25">
        <f t="shared" si="3"/>
        <v>7863.2184191855868</v>
      </c>
      <c r="K174" s="25">
        <f t="shared" si="4"/>
        <v>20282.026119384056</v>
      </c>
      <c r="L174" s="25"/>
      <c r="N174" s="25">
        <f>'Combined Retirement'!$C$18/12</f>
        <v>39153.069999999992</v>
      </c>
      <c r="O174" s="25">
        <f t="shared" si="5"/>
        <v>11007.82546143035</v>
      </c>
      <c r="P174" s="25">
        <f t="shared" si="6"/>
        <v>28145.244538569641</v>
      </c>
      <c r="Q174" s="25">
        <f t="array" aca="1" ref="Q174" ca="1">INDEX('Isaac 401k'!L:L,MATCH('Retirement Calculator'!A174,'Isaac 401k'!N:N,0),0)</f>
        <v>1651716.6382137835</v>
      </c>
      <c r="R174" s="25">
        <f t="array" aca="1" ref="R174" ca="1">INDEX('Lorri 401b'!L:L,MATCH('Retirement Calculator'!A174,'Lorri 401b'!N:N,0),0)</f>
        <v>4050937.0226873797</v>
      </c>
      <c r="S174" s="25">
        <f t="shared" ca="1" si="7"/>
        <v>5702653.6609011628</v>
      </c>
    </row>
    <row r="175" spans="1:19" ht="15.75" customHeight="1" x14ac:dyDescent="0.3">
      <c r="A175" s="37">
        <v>56281</v>
      </c>
      <c r="B175" s="409">
        <f t="shared" ref="B175:C175" si="171">($A175-B$9)/365.25</f>
        <v>72.210814510609168</v>
      </c>
      <c r="C175" s="409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3525.4531757812501</v>
      </c>
      <c r="H175" s="25">
        <f>IF(B175&lt;62,0,'Combined Retirement'!$I$14)</f>
        <v>2192</v>
      </c>
      <c r="I175" s="25">
        <f>IF(C175&lt;62,0,'Combined Retirement'!$I$13)</f>
        <v>2420</v>
      </c>
      <c r="J175" s="25">
        <f t="shared" si="3"/>
        <v>7863.2184191855868</v>
      </c>
      <c r="K175" s="25">
        <f t="shared" si="4"/>
        <v>20282.026119384056</v>
      </c>
      <c r="L175" s="25"/>
      <c r="N175" s="25">
        <f>'Combined Retirement'!$C$18/12</f>
        <v>39153.069999999992</v>
      </c>
      <c r="O175" s="25">
        <f t="shared" si="5"/>
        <v>11007.82546143035</v>
      </c>
      <c r="P175" s="25">
        <f t="shared" si="6"/>
        <v>28145.244538569641</v>
      </c>
      <c r="Q175" s="25">
        <f t="array" aca="1" ref="Q175" ca="1">INDEX('Isaac 401k'!L:L,MATCH('Retirement Calculator'!A175,'Isaac 401k'!N:N,0),0)</f>
        <v>1650702.809043742</v>
      </c>
      <c r="R175" s="25">
        <f t="array" aca="1" ref="R175" ca="1">INDEX('Lorri 401b'!L:L,MATCH('Retirement Calculator'!A175,'Lorri 401b'!N:N,0),0)</f>
        <v>4047449.3923870292</v>
      </c>
      <c r="S175" s="25">
        <f t="shared" ca="1" si="7"/>
        <v>5698152.2014307715</v>
      </c>
    </row>
    <row r="176" spans="1:19" ht="15.75" customHeight="1" x14ac:dyDescent="0.3">
      <c r="A176" s="37">
        <v>56309</v>
      </c>
      <c r="B176" s="409">
        <f t="shared" ref="B176:C176" si="172">($A176-B$9)/365.25</f>
        <v>72.28747433264887</v>
      </c>
      <c r="C176" s="409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3525.4531757812501</v>
      </c>
      <c r="H176" s="25">
        <f>IF(B176&lt;62,0,'Combined Retirement'!$I$14)</f>
        <v>2192</v>
      </c>
      <c r="I176" s="25">
        <f>IF(C176&lt;62,0,'Combined Retirement'!$I$13)</f>
        <v>2420</v>
      </c>
      <c r="J176" s="25">
        <f t="shared" si="3"/>
        <v>7863.2184191855868</v>
      </c>
      <c r="K176" s="25">
        <f t="shared" si="4"/>
        <v>20282.026119384056</v>
      </c>
      <c r="L176" s="25"/>
      <c r="N176" s="25">
        <f>'Combined Retirement'!$C$18/12</f>
        <v>39153.069999999992</v>
      </c>
      <c r="O176" s="25">
        <f t="shared" si="5"/>
        <v>11007.82546143035</v>
      </c>
      <c r="P176" s="25">
        <f t="shared" si="6"/>
        <v>28145.244538569641</v>
      </c>
      <c r="Q176" s="25">
        <f t="array" aca="1" ref="Q176" ca="1">INDEX('Isaac 401k'!L:L,MATCH('Retirement Calculator'!A176,'Isaac 401k'!N:N,0),0)</f>
        <v>1649684.7555854921</v>
      </c>
      <c r="R176" s="25">
        <f t="array" aca="1" ref="R176" ca="1">INDEX('Lorri 401b'!L:L,MATCH('Retirement Calculator'!A176,'Lorri 401b'!N:N,0),0)</f>
        <v>4043947.2302937605</v>
      </c>
      <c r="S176" s="25">
        <f t="shared" ca="1" si="7"/>
        <v>5693631.9858792527</v>
      </c>
    </row>
    <row r="177" spans="1:19" ht="15.75" customHeight="1" x14ac:dyDescent="0.3">
      <c r="A177" s="37">
        <v>56340</v>
      </c>
      <c r="B177" s="409">
        <f t="shared" ref="B177:C177" si="173">($A177-B$9)/365.25</f>
        <v>72.372347707049968</v>
      </c>
      <c r="C177" s="409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3525.4531757812501</v>
      </c>
      <c r="H177" s="25">
        <f>IF(B177&lt;62,0,'Combined Retirement'!$I$14)</f>
        <v>2192</v>
      </c>
      <c r="I177" s="25">
        <f>IF(C177&lt;62,0,'Combined Retirement'!$I$13)</f>
        <v>2420</v>
      </c>
      <c r="J177" s="25">
        <f t="shared" si="3"/>
        <v>7863.2184191855868</v>
      </c>
      <c r="K177" s="25">
        <f t="shared" si="4"/>
        <v>20282.026119384056</v>
      </c>
      <c r="L177" s="25"/>
      <c r="N177" s="25">
        <f>'Combined Retirement'!$C$18/12</f>
        <v>39153.069999999992</v>
      </c>
      <c r="O177" s="25">
        <f t="shared" si="5"/>
        <v>11007.82546143035</v>
      </c>
      <c r="P177" s="25">
        <f t="shared" si="6"/>
        <v>28145.244538569641</v>
      </c>
      <c r="Q177" s="25">
        <f t="array" aca="1" ref="Q177" ca="1">INDEX('Isaac 401k'!L:L,MATCH('Retirement Calculator'!A177,'Isaac 401k'!N:N,0),0)</f>
        <v>1648662.4602378327</v>
      </c>
      <c r="R177" s="25">
        <f t="array" aca="1" ref="R177" ca="1">INDEX('Lorri 401b'!L:L,MATCH('Retirement Calculator'!A177,'Lorri 401b'!N:N,0),0)</f>
        <v>4040430.4758584364</v>
      </c>
      <c r="S177" s="25">
        <f t="shared" ca="1" si="7"/>
        <v>5689092.9360962696</v>
      </c>
    </row>
    <row r="178" spans="1:19" ht="15.75" customHeight="1" x14ac:dyDescent="0.3">
      <c r="A178" s="37">
        <v>56370</v>
      </c>
      <c r="B178" s="409">
        <f t="shared" ref="B178:C178" si="174">($A178-B$9)/365.25</f>
        <v>72.454483230663925</v>
      </c>
      <c r="C178" s="409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3525.4531757812501</v>
      </c>
      <c r="H178" s="25">
        <f>IF(B178&lt;62,0,'Combined Retirement'!$I$14)</f>
        <v>2192</v>
      </c>
      <c r="I178" s="25">
        <f>IF(C178&lt;62,0,'Combined Retirement'!$I$13)</f>
        <v>2420</v>
      </c>
      <c r="J178" s="25">
        <f t="shared" si="3"/>
        <v>7863.2184191855868</v>
      </c>
      <c r="K178" s="25">
        <f t="shared" si="4"/>
        <v>20282.026119384056</v>
      </c>
      <c r="L178" s="25"/>
      <c r="N178" s="25">
        <f>'Combined Retirement'!$C$18/12</f>
        <v>39153.069999999992</v>
      </c>
      <c r="O178" s="25">
        <f t="shared" si="5"/>
        <v>11007.82546143035</v>
      </c>
      <c r="P178" s="25">
        <f t="shared" si="6"/>
        <v>28145.244538569641</v>
      </c>
      <c r="Q178" s="25">
        <f t="array" aca="1" ref="Q178" ca="1">INDEX('Isaac 401k'!L:L,MATCH('Retirement Calculator'!A178,'Isaac 401k'!N:N,0),0)</f>
        <v>1647635.9053262249</v>
      </c>
      <c r="R178" s="25">
        <f t="array" aca="1" ref="R178" ca="1">INDEX('Lorri 401b'!L:L,MATCH('Retirement Calculator'!A178,'Lorri 401b'!N:N,0),0)</f>
        <v>4036899.0682796319</v>
      </c>
      <c r="S178" s="25">
        <f t="shared" ca="1" si="7"/>
        <v>5684534.9736058563</v>
      </c>
    </row>
    <row r="179" spans="1:19" ht="15.75" customHeight="1" x14ac:dyDescent="0.3">
      <c r="A179" s="37">
        <v>56401</v>
      </c>
      <c r="B179" s="409">
        <f t="shared" ref="B179:C179" si="175">($A179-B$9)/365.25</f>
        <v>72.539356605065024</v>
      </c>
      <c r="C179" s="409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3525.4531757812501</v>
      </c>
      <c r="H179" s="25">
        <f>IF(B179&lt;62,0,'Combined Retirement'!$I$14)</f>
        <v>2192</v>
      </c>
      <c r="I179" s="25">
        <f>IF(C179&lt;62,0,'Combined Retirement'!$I$13)</f>
        <v>2420</v>
      </c>
      <c r="J179" s="25">
        <f t="shared" si="3"/>
        <v>7863.2184191855868</v>
      </c>
      <c r="K179" s="25">
        <f t="shared" si="4"/>
        <v>20282.026119384056</v>
      </c>
      <c r="L179" s="25"/>
      <c r="N179" s="25">
        <f>'Combined Retirement'!$C$18/12</f>
        <v>39153.069999999992</v>
      </c>
      <c r="O179" s="25">
        <f t="shared" si="5"/>
        <v>11007.82546143035</v>
      </c>
      <c r="P179" s="25">
        <f t="shared" si="6"/>
        <v>28145.244538569641</v>
      </c>
      <c r="Q179" s="25">
        <f t="array" aca="1" ref="Q179" ca="1">INDEX('Isaac 401k'!L:L,MATCH('Retirement Calculator'!A179,'Isaac 401k'!N:N,0),0)</f>
        <v>1646605.0731024852</v>
      </c>
      <c r="R179" s="25">
        <f t="array" aca="1" ref="R179" ca="1">INDEX('Lorri 401b'!L:L,MATCH('Retirement Calculator'!A179,'Lorri 401b'!N:N,0),0)</f>
        <v>4033352.9465025822</v>
      </c>
      <c r="S179" s="25">
        <f t="shared" ca="1" si="7"/>
        <v>5679958.0196050676</v>
      </c>
    </row>
    <row r="180" spans="1:19" ht="15.75" customHeight="1" x14ac:dyDescent="0.3">
      <c r="A180" s="37">
        <v>56431</v>
      </c>
      <c r="B180" s="409">
        <f t="shared" ref="B180:C180" si="176">($A180-B$9)/365.25</f>
        <v>72.62149212867898</v>
      </c>
      <c r="C180" s="409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3525.4531757812501</v>
      </c>
      <c r="H180" s="25">
        <f>IF(B180&lt;62,0,'Combined Retirement'!$I$14)</f>
        <v>2192</v>
      </c>
      <c r="I180" s="25">
        <f>IF(C180&lt;62,0,'Combined Retirement'!$I$13)</f>
        <v>2420</v>
      </c>
      <c r="J180" s="25">
        <f t="shared" si="3"/>
        <v>7863.2184191855868</v>
      </c>
      <c r="K180" s="25">
        <f t="shared" si="4"/>
        <v>20282.026119384056</v>
      </c>
      <c r="L180" s="25"/>
      <c r="N180" s="25">
        <f>'Combined Retirement'!$C$18/12</f>
        <v>39153.069999999992</v>
      </c>
      <c r="O180" s="25">
        <f t="shared" si="5"/>
        <v>11007.82546143035</v>
      </c>
      <c r="P180" s="25">
        <f t="shared" si="6"/>
        <v>28145.244538569641</v>
      </c>
      <c r="Q180" s="25">
        <f t="array" aca="1" ref="Q180" ca="1">INDEX('Isaac 401k'!L:L,MATCH('Retirement Calculator'!A180,'Isaac 401k'!N:N,0),0)</f>
        <v>1645569.94574448</v>
      </c>
      <c r="R180" s="25">
        <f t="array" aca="1" ref="R180" ca="1">INDEX('Lorri 401b'!L:L,MATCH('Retirement Calculator'!A180,'Lorri 401b'!N:N,0),0)</f>
        <v>4029792.049218128</v>
      </c>
      <c r="S180" s="25">
        <f t="shared" ca="1" si="7"/>
        <v>5675361.9949626084</v>
      </c>
    </row>
    <row r="181" spans="1:19" ht="15.75" customHeight="1" x14ac:dyDescent="0.3">
      <c r="A181" s="37">
        <v>56462</v>
      </c>
      <c r="B181" s="409">
        <f t="shared" ref="B181:C181" si="177">($A181-B$9)/365.25</f>
        <v>72.706365503080079</v>
      </c>
      <c r="C181" s="409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3525.4531757812501</v>
      </c>
      <c r="H181" s="25">
        <f>IF(B181&lt;62,0,'Combined Retirement'!$I$14)</f>
        <v>2192</v>
      </c>
      <c r="I181" s="25">
        <f>IF(C181&lt;62,0,'Combined Retirement'!$I$13)</f>
        <v>2420</v>
      </c>
      <c r="J181" s="25">
        <f t="shared" si="3"/>
        <v>7863.2184191855868</v>
      </c>
      <c r="K181" s="25">
        <f t="shared" si="4"/>
        <v>20282.026119384056</v>
      </c>
      <c r="L181" s="25"/>
      <c r="N181" s="25">
        <f>'Combined Retirement'!$C$18/12</f>
        <v>39153.069999999992</v>
      </c>
      <c r="O181" s="25">
        <f t="shared" si="5"/>
        <v>11007.82546143035</v>
      </c>
      <c r="P181" s="25">
        <f t="shared" si="6"/>
        <v>28145.244538569641</v>
      </c>
      <c r="Q181" s="25">
        <f t="array" aca="1" ref="Q181" ca="1">INDEX('Isaac 401k'!L:L,MATCH('Retirement Calculator'!A181,'Isaac 401k'!N:N,0),0)</f>
        <v>1644530.5053558166</v>
      </c>
      <c r="R181" s="25">
        <f t="array" aca="1" ref="R181" ca="1">INDEX('Lorri 401b'!L:L,MATCH('Retirement Calculator'!A181,'Lorri 401b'!N:N,0),0)</f>
        <v>4026216.3148616552</v>
      </c>
      <c r="S181" s="25">
        <f t="shared" ca="1" si="7"/>
        <v>5670746.8202174716</v>
      </c>
    </row>
    <row r="182" spans="1:19" ht="15.75" customHeight="1" x14ac:dyDescent="0.3">
      <c r="A182" s="37">
        <v>56493</v>
      </c>
      <c r="B182" s="409">
        <f t="shared" ref="B182:C182" si="178">($A182-B$9)/365.25</f>
        <v>72.791238877481177</v>
      </c>
      <c r="C182" s="409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3525.4531757812501</v>
      </c>
      <c r="H182" s="25">
        <f>IF(B182&lt;62,0,'Combined Retirement'!$I$14)</f>
        <v>2192</v>
      </c>
      <c r="I182" s="25">
        <f>IF(C182&lt;62,0,'Combined Retirement'!$I$13)</f>
        <v>2420</v>
      </c>
      <c r="J182" s="25">
        <f t="shared" si="3"/>
        <v>7863.2184191855868</v>
      </c>
      <c r="K182" s="25">
        <f t="shared" si="4"/>
        <v>20282.026119384056</v>
      </c>
      <c r="L182" s="25"/>
      <c r="N182" s="25">
        <f>'Combined Retirement'!$C$18/12</f>
        <v>39153.069999999992</v>
      </c>
      <c r="O182" s="25">
        <f t="shared" si="5"/>
        <v>11007.82546143035</v>
      </c>
      <c r="P182" s="25">
        <f t="shared" si="6"/>
        <v>28145.244538569641</v>
      </c>
      <c r="Q182" s="25">
        <f t="array" aca="1" ref="Q182" ca="1">INDEX('Isaac 401k'!L:L,MATCH('Retirement Calculator'!A182,'Isaac 401k'!N:N,0),0)</f>
        <v>1643486.7339655336</v>
      </c>
      <c r="R182" s="25">
        <f t="array" aca="1" ref="R182" ca="1">INDEX('Lorri 401b'!L:L,MATCH('Retirement Calculator'!A182,'Lorri 401b'!N:N,0),0)</f>
        <v>4022625.6816120306</v>
      </c>
      <c r="S182" s="25">
        <f t="shared" ca="1" si="7"/>
        <v>5666112.4155775644</v>
      </c>
    </row>
    <row r="183" spans="1:19" ht="15.75" customHeight="1" x14ac:dyDescent="0.3">
      <c r="A183" s="37">
        <v>56523</v>
      </c>
      <c r="B183" s="409">
        <f t="shared" ref="B183:C183" si="179">($A183-B$9)/365.25</f>
        <v>72.873374401095134</v>
      </c>
      <c r="C183" s="409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3525.4531757812501</v>
      </c>
      <c r="H183" s="25">
        <f>IF(B183&lt;62,0,'Combined Retirement'!$I$14)</f>
        <v>2192</v>
      </c>
      <c r="I183" s="25">
        <f>IF(C183&lt;62,0,'Combined Retirement'!$I$13)</f>
        <v>2420</v>
      </c>
      <c r="J183" s="25">
        <f t="shared" si="3"/>
        <v>7863.2184191855868</v>
      </c>
      <c r="K183" s="25">
        <f t="shared" si="4"/>
        <v>20282.026119384056</v>
      </c>
      <c r="L183" s="25"/>
      <c r="N183" s="25">
        <f>'Combined Retirement'!$C$18/12</f>
        <v>39153.069999999992</v>
      </c>
      <c r="O183" s="25">
        <f t="shared" si="5"/>
        <v>11007.82546143035</v>
      </c>
      <c r="P183" s="25">
        <f t="shared" si="6"/>
        <v>28145.244538569641</v>
      </c>
      <c r="Q183" s="25">
        <f t="array" aca="1" ref="Q183" ca="1">INDEX('Isaac 401k'!L:L,MATCH('Retirement Calculator'!A183,'Isaac 401k'!N:N,0),0)</f>
        <v>1642438.6135277911</v>
      </c>
      <c r="R183" s="25">
        <f t="array" aca="1" ref="R183" ca="1">INDEX('Lorri 401b'!L:L,MATCH('Retirement Calculator'!A183,'Lorri 401b'!N:N,0),0)</f>
        <v>4019020.0873905327</v>
      </c>
      <c r="S183" s="25">
        <f t="shared" ca="1" si="7"/>
        <v>5661458.7009183243</v>
      </c>
    </row>
    <row r="184" spans="1:19" ht="15.75" customHeight="1" x14ac:dyDescent="0.3">
      <c r="A184" s="37">
        <v>56554</v>
      </c>
      <c r="B184" s="409">
        <f t="shared" ref="B184:C184" si="180">($A184-B$9)/365.25</f>
        <v>72.958247775496233</v>
      </c>
      <c r="C184" s="409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3525.4531757812501</v>
      </c>
      <c r="H184" s="25">
        <f>IF(B184&lt;62,0,'Combined Retirement'!$I$14)</f>
        <v>2192</v>
      </c>
      <c r="I184" s="25">
        <f>IF(C184&lt;62,0,'Combined Retirement'!$I$13)</f>
        <v>2420</v>
      </c>
      <c r="J184" s="25">
        <f t="shared" si="3"/>
        <v>7863.2184191855868</v>
      </c>
      <c r="K184" s="25">
        <f t="shared" si="4"/>
        <v>20282.026119384056</v>
      </c>
      <c r="L184" s="25"/>
      <c r="N184" s="25">
        <f>'Combined Retirement'!$C$18/12</f>
        <v>39153.069999999992</v>
      </c>
      <c r="O184" s="25">
        <f t="shared" si="5"/>
        <v>11007.82546143035</v>
      </c>
      <c r="P184" s="25">
        <f t="shared" si="6"/>
        <v>28145.244538569641</v>
      </c>
      <c r="Q184" s="25">
        <f t="array" aca="1" ref="Q184" ca="1">INDEX('Isaac 401k'!L:L,MATCH('Retirement Calculator'!A184,'Isaac 401k'!N:N,0),0)</f>
        <v>1641386.1259215581</v>
      </c>
      <c r="R184" s="25">
        <f t="array" aca="1" ref="R184" ca="1">INDEX('Lorri 401b'!L:L,MATCH('Retirement Calculator'!A184,'Lorri 401b'!N:N,0),0)</f>
        <v>4015399.4698597784</v>
      </c>
      <c r="S184" s="25">
        <f t="shared" ca="1" si="7"/>
        <v>5656785.5957813365</v>
      </c>
    </row>
    <row r="185" spans="1:19" ht="15.75" customHeight="1" x14ac:dyDescent="0.3">
      <c r="A185" s="37">
        <v>56584</v>
      </c>
      <c r="B185" s="409">
        <f t="shared" ref="B185:C185" si="181">($A185-B$9)/365.25</f>
        <v>73.040383299110204</v>
      </c>
      <c r="C185" s="409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3525.4531757812501</v>
      </c>
      <c r="H185" s="25">
        <f>IF(B185&lt;62,0,'Combined Retirement'!$I$14)</f>
        <v>2192</v>
      </c>
      <c r="I185" s="25">
        <f>IF(C185&lt;62,0,'Combined Retirement'!$I$13)</f>
        <v>2420</v>
      </c>
      <c r="J185" s="25">
        <f t="shared" si="3"/>
        <v>7863.2184191855868</v>
      </c>
      <c r="K185" s="25">
        <f t="shared" si="4"/>
        <v>20282.026119384056</v>
      </c>
      <c r="L185" s="25"/>
      <c r="N185" s="25">
        <f>'Combined Retirement'!$C$18/12</f>
        <v>39153.069999999992</v>
      </c>
      <c r="O185" s="25">
        <f t="shared" si="5"/>
        <v>11007.82546143035</v>
      </c>
      <c r="P185" s="25">
        <f t="shared" si="6"/>
        <v>28145.244538569641</v>
      </c>
      <c r="Q185" s="25">
        <f t="array" aca="1" ref="Q185" ca="1">INDEX('Isaac 401k'!L:L,MATCH('Retirement Calculator'!A185,'Isaac 401k'!N:N,0),0)</f>
        <v>1640329.2529502991</v>
      </c>
      <c r="R185" s="25">
        <f t="array" aca="1" ref="R185" ca="1">INDEX('Lorri 401b'!L:L,MATCH('Retirement Calculator'!A185,'Lorri 401b'!N:N,0),0)</f>
        <v>4011763.7664226461</v>
      </c>
      <c r="S185" s="25">
        <f t="shared" ca="1" si="7"/>
        <v>5652093.0193729457</v>
      </c>
    </row>
    <row r="186" spans="1:19" ht="15.75" customHeight="1" x14ac:dyDescent="0.3">
      <c r="A186" s="37">
        <v>56615</v>
      </c>
      <c r="B186" s="409">
        <f t="shared" ref="B186:C186" si="182">($A186-B$9)/365.25</f>
        <v>73.125256673511288</v>
      </c>
      <c r="C186" s="409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3525.4531757812501</v>
      </c>
      <c r="H186" s="25">
        <f>IF(B186&lt;62,0,'Combined Retirement'!$I$14)</f>
        <v>2192</v>
      </c>
      <c r="I186" s="25">
        <f>IF(C186&lt;62,0,'Combined Retirement'!$I$13)</f>
        <v>2420</v>
      </c>
      <c r="J186" s="25">
        <f t="shared" si="3"/>
        <v>7863.2184191855868</v>
      </c>
      <c r="K186" s="25">
        <f t="shared" si="4"/>
        <v>20282.026119384056</v>
      </c>
      <c r="L186" s="25"/>
      <c r="N186" s="25">
        <f>'Combined Retirement'!$C$18/12</f>
        <v>39153.069999999992</v>
      </c>
      <c r="O186" s="25">
        <f t="shared" si="5"/>
        <v>11007.82546143035</v>
      </c>
      <c r="P186" s="25">
        <f t="shared" si="6"/>
        <v>28145.244538569641</v>
      </c>
      <c r="Q186" s="25">
        <f t="array" aca="1" ref="Q186" ca="1">INDEX('Isaac 401k'!L:L,MATCH('Retirement Calculator'!A186,'Isaac 401k'!N:N,0),0)</f>
        <v>1639267.9763416597</v>
      </c>
      <c r="R186" s="25">
        <f t="array" aca="1" ref="R186" ca="1">INDEX('Lorri 401b'!L:L,MATCH('Retirement Calculator'!A186,'Lorri 401b'!N:N,0),0)</f>
        <v>4008112.9142211922</v>
      </c>
      <c r="S186" s="25">
        <f t="shared" ca="1" si="7"/>
        <v>5647380.8905628519</v>
      </c>
    </row>
    <row r="187" spans="1:19" ht="15.75" customHeight="1" x14ac:dyDescent="0.3">
      <c r="A187" s="37">
        <v>56646</v>
      </c>
      <c r="B187" s="409">
        <f t="shared" ref="B187:C187" si="183">($A187-B$9)/365.25</f>
        <v>73.210130047912386</v>
      </c>
      <c r="C187" s="409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3525.4531757812501</v>
      </c>
      <c r="H187" s="25">
        <f>IF(B187&lt;62,0,'Combined Retirement'!$I$14)</f>
        <v>2192</v>
      </c>
      <c r="I187" s="25">
        <f>IF(C187&lt;62,0,'Combined Retirement'!$I$13)</f>
        <v>2420</v>
      </c>
      <c r="J187" s="25">
        <f t="shared" si="3"/>
        <v>7863.2184191855868</v>
      </c>
      <c r="K187" s="25">
        <f t="shared" si="4"/>
        <v>20282.026119384056</v>
      </c>
      <c r="L187" s="25"/>
      <c r="N187" s="25">
        <f>'Combined Retirement'!$C$18/12</f>
        <v>39153.069999999992</v>
      </c>
      <c r="O187" s="25">
        <f t="shared" si="5"/>
        <v>11007.82546143035</v>
      </c>
      <c r="P187" s="25">
        <f t="shared" si="6"/>
        <v>28145.244538569641</v>
      </c>
      <c r="Q187" s="25">
        <f t="array" aca="1" ref="Q187" ca="1">INDEX('Isaac 401k'!L:L,MATCH('Retirement Calculator'!A187,'Isaac 401k'!N:N,0),0)</f>
        <v>1638202.277747151</v>
      </c>
      <c r="R187" s="25">
        <f t="array" aca="1" ref="R187" ca="1">INDEX('Lorri 401b'!L:L,MATCH('Retirement Calculator'!A187,'Lorri 401b'!N:N,0),0)</f>
        <v>4004446.8501355657</v>
      </c>
      <c r="S187" s="25">
        <f t="shared" ca="1" si="7"/>
        <v>5642649.1278827172</v>
      </c>
    </row>
    <row r="188" spans="1:19" ht="15.75" customHeight="1" x14ac:dyDescent="0.3">
      <c r="A188" s="37">
        <v>56674</v>
      </c>
      <c r="B188" s="409">
        <f t="shared" ref="B188:C188" si="184">($A188-B$9)/365.25</f>
        <v>73.286789869952088</v>
      </c>
      <c r="C188" s="409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3525.4531757812501</v>
      </c>
      <c r="H188" s="25">
        <f>IF(B188&lt;62,0,'Combined Retirement'!$I$14)</f>
        <v>2192</v>
      </c>
      <c r="I188" s="25">
        <f>IF(C188&lt;62,0,'Combined Retirement'!$I$13)</f>
        <v>2420</v>
      </c>
      <c r="J188" s="25">
        <f t="shared" si="3"/>
        <v>7863.2184191855868</v>
      </c>
      <c r="K188" s="25">
        <f t="shared" si="4"/>
        <v>20282.026119384056</v>
      </c>
      <c r="L188" s="25"/>
      <c r="N188" s="25">
        <f>'Combined Retirement'!$C$18/12</f>
        <v>39153.069999999992</v>
      </c>
      <c r="O188" s="25">
        <f t="shared" si="5"/>
        <v>11007.82546143035</v>
      </c>
      <c r="P188" s="25">
        <f t="shared" si="6"/>
        <v>28145.244538569641</v>
      </c>
      <c r="Q188" s="25">
        <f t="array" aca="1" ref="Q188" ca="1">INDEX('Isaac 401k'!L:L,MATCH('Retirement Calculator'!A188,'Isaac 401k'!N:N,0),0)</f>
        <v>1637132.138741832</v>
      </c>
      <c r="R188" s="25">
        <f t="array" aca="1" ref="R188" ca="1">INDEX('Lorri 401b'!L:L,MATCH('Retirement Calculator'!A188,'Lorri 401b'!N:N,0),0)</f>
        <v>4000765.5107829156</v>
      </c>
      <c r="S188" s="25">
        <f t="shared" ca="1" si="7"/>
        <v>5637897.6495247474</v>
      </c>
    </row>
    <row r="189" spans="1:19" ht="15.75" customHeight="1" x14ac:dyDescent="0.3">
      <c r="A189" s="37">
        <v>56705</v>
      </c>
      <c r="B189" s="409">
        <f t="shared" ref="B189:C189" si="185">($A189-B$9)/365.25</f>
        <v>73.371663244353186</v>
      </c>
      <c r="C189" s="409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3525.4531757812501</v>
      </c>
      <c r="H189" s="25">
        <f>IF(B189&lt;62,0,'Combined Retirement'!$I$14)</f>
        <v>2192</v>
      </c>
      <c r="I189" s="25">
        <f>IF(C189&lt;62,0,'Combined Retirement'!$I$13)</f>
        <v>2420</v>
      </c>
      <c r="J189" s="25">
        <f t="shared" si="3"/>
        <v>7863.2184191855868</v>
      </c>
      <c r="K189" s="25">
        <f t="shared" si="4"/>
        <v>20282.026119384056</v>
      </c>
      <c r="L189" s="25"/>
      <c r="N189" s="25">
        <f>'Combined Retirement'!$C$18/12</f>
        <v>39153.069999999992</v>
      </c>
      <c r="O189" s="25">
        <f t="shared" si="5"/>
        <v>11007.82546143035</v>
      </c>
      <c r="P189" s="25">
        <f t="shared" si="6"/>
        <v>28145.244538569641</v>
      </c>
      <c r="Q189" s="25">
        <f t="array" aca="1" ref="Q189" ca="1">INDEX('Isaac 401k'!L:L,MATCH('Retirement Calculator'!A189,'Isaac 401k'!N:N,0),0)</f>
        <v>1636057.5408239907</v>
      </c>
      <c r="R189" s="25">
        <f t="array" aca="1" ref="R189" ca="1">INDEX('Lorri 401b'!L:L,MATCH('Retirement Calculator'!A189,'Lorri 401b'!N:N,0),0)</f>
        <v>3997068.8325162963</v>
      </c>
      <c r="S189" s="25">
        <f t="shared" ca="1" si="7"/>
        <v>5633126.3733402872</v>
      </c>
    </row>
    <row r="190" spans="1:19" ht="15.75" customHeight="1" x14ac:dyDescent="0.3">
      <c r="A190" s="37">
        <v>56735</v>
      </c>
      <c r="B190" s="409">
        <f t="shared" ref="B190:C190" si="186">($A190-B$9)/365.25</f>
        <v>73.453798767967143</v>
      </c>
      <c r="C190" s="409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3525.4531757812501</v>
      </c>
      <c r="H190" s="25">
        <f>IF(B190&lt;62,0,'Combined Retirement'!$I$14)</f>
        <v>2192</v>
      </c>
      <c r="I190" s="25">
        <f>IF(C190&lt;62,0,'Combined Retirement'!$I$13)</f>
        <v>2420</v>
      </c>
      <c r="J190" s="25">
        <f t="shared" si="3"/>
        <v>7863.2184191855868</v>
      </c>
      <c r="K190" s="25">
        <f t="shared" si="4"/>
        <v>20282.026119384056</v>
      </c>
      <c r="L190" s="25"/>
      <c r="N190" s="25">
        <f>'Combined Retirement'!$C$18/12</f>
        <v>39153.069999999992</v>
      </c>
      <c r="O190" s="25">
        <f t="shared" si="5"/>
        <v>11007.82546143035</v>
      </c>
      <c r="P190" s="25">
        <f t="shared" si="6"/>
        <v>28145.244538569641</v>
      </c>
      <c r="Q190" s="25">
        <f t="array" aca="1" ref="Q190" ca="1">INDEX('Isaac 401k'!L:L,MATCH('Retirement Calculator'!A190,'Isaac 401k'!N:N,0),0)</f>
        <v>1634978.4654148251</v>
      </c>
      <c r="R190" s="25">
        <f t="array" aca="1" ref="R190" ca="1">INDEX('Lorri 401b'!L:L,MATCH('Retirement Calculator'!A190,'Lorri 401b'!N:N,0),0)</f>
        <v>3993356.7514235661</v>
      </c>
      <c r="S190" s="25">
        <f t="shared" ca="1" si="7"/>
        <v>5628335.2168383915</v>
      </c>
    </row>
    <row r="191" spans="1:19" ht="15.75" customHeight="1" x14ac:dyDescent="0.3">
      <c r="A191" s="37">
        <v>56766</v>
      </c>
      <c r="B191" s="409">
        <f t="shared" ref="B191:C191" si="187">($A191-B$9)/365.25</f>
        <v>73.538672142368242</v>
      </c>
      <c r="C191" s="409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3525.4531757812501</v>
      </c>
      <c r="H191" s="25">
        <f>IF(B191&lt;62,0,'Combined Retirement'!$I$14)</f>
        <v>2192</v>
      </c>
      <c r="I191" s="25">
        <f>IF(C191&lt;62,0,'Combined Retirement'!$I$13)</f>
        <v>2420</v>
      </c>
      <c r="J191" s="25">
        <f t="shared" si="3"/>
        <v>7863.2184191855868</v>
      </c>
      <c r="K191" s="25">
        <f t="shared" si="4"/>
        <v>20282.026119384056</v>
      </c>
      <c r="L191" s="25"/>
      <c r="N191" s="25">
        <f>'Combined Retirement'!$C$18/12</f>
        <v>39153.069999999992</v>
      </c>
      <c r="O191" s="25">
        <f t="shared" si="5"/>
        <v>11007.82546143035</v>
      </c>
      <c r="P191" s="25">
        <f t="shared" si="6"/>
        <v>28145.244538569641</v>
      </c>
      <c r="Q191" s="25">
        <f t="array" aca="1" ref="Q191" ca="1">INDEX('Isaac 401k'!L:L,MATCH('Retirement Calculator'!A191,'Isaac 401k'!N:N,0),0)</f>
        <v>1633894.8938581212</v>
      </c>
      <c r="R191" s="25">
        <f t="array" aca="1" ref="R191" ca="1">INDEX('Lorri 401b'!L:L,MATCH('Retirement Calculator'!A191,'Lorri 401b'!N:N,0),0)</f>
        <v>3989629.203326283</v>
      </c>
      <c r="S191" s="25">
        <f t="shared" ca="1" si="7"/>
        <v>5623524.0971844047</v>
      </c>
    </row>
    <row r="192" spans="1:19" ht="15.75" customHeight="1" x14ac:dyDescent="0.3">
      <c r="A192" s="37">
        <v>56796</v>
      </c>
      <c r="B192" s="409">
        <f t="shared" ref="B192:C192" si="188">($A192-B$9)/365.25</f>
        <v>73.620807665982198</v>
      </c>
      <c r="C192" s="409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3525.4531757812501</v>
      </c>
      <c r="H192" s="25">
        <f>IF(B192&lt;62,0,'Combined Retirement'!$I$14)</f>
        <v>2192</v>
      </c>
      <c r="I192" s="25">
        <f>IF(C192&lt;62,0,'Combined Retirement'!$I$13)</f>
        <v>2420</v>
      </c>
      <c r="J192" s="25">
        <f t="shared" si="3"/>
        <v>7863.2184191855868</v>
      </c>
      <c r="K192" s="25">
        <f t="shared" si="4"/>
        <v>20282.026119384056</v>
      </c>
      <c r="L192" s="25"/>
      <c r="N192" s="25">
        <f>'Combined Retirement'!$C$18/12</f>
        <v>39153.069999999992</v>
      </c>
      <c r="O192" s="25">
        <f t="shared" si="5"/>
        <v>11007.82546143035</v>
      </c>
      <c r="P192" s="25">
        <f t="shared" si="6"/>
        <v>28145.244538569641</v>
      </c>
      <c r="Q192" s="25">
        <f t="array" aca="1" ref="Q192" ca="1">INDEX('Isaac 401k'!L:L,MATCH('Retirement Calculator'!A192,'Isaac 401k'!N:N,0),0)</f>
        <v>1632806.8074199313</v>
      </c>
      <c r="R192" s="25">
        <f t="array" aca="1" ref="R192" ca="1">INDEX('Lorri 401b'!L:L,MATCH('Retirement Calculator'!A192,'Lorri 401b'!N:N,0),0)</f>
        <v>3985886.1237785947</v>
      </c>
      <c r="S192" s="25">
        <f t="shared" ca="1" si="7"/>
        <v>5618692.9311985262</v>
      </c>
    </row>
    <row r="193" spans="1:19" ht="15.75" customHeight="1" x14ac:dyDescent="0.3">
      <c r="A193" s="37">
        <v>56827</v>
      </c>
      <c r="B193" s="409">
        <f t="shared" ref="B193:C193" si="189">($A193-B$9)/365.25</f>
        <v>73.705681040383297</v>
      </c>
      <c r="C193" s="409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3525.4531757812501</v>
      </c>
      <c r="H193" s="25">
        <f>IF(B193&lt;62,0,'Combined Retirement'!$I$14)</f>
        <v>2192</v>
      </c>
      <c r="I193" s="25">
        <f>IF(C193&lt;62,0,'Combined Retirement'!$I$13)</f>
        <v>2420</v>
      </c>
      <c r="J193" s="25">
        <f t="shared" si="3"/>
        <v>7863.2184191855868</v>
      </c>
      <c r="K193" s="25">
        <f t="shared" si="4"/>
        <v>20282.026119384056</v>
      </c>
      <c r="L193" s="25"/>
      <c r="N193" s="25">
        <f>'Combined Retirement'!$C$18/12</f>
        <v>39153.069999999992</v>
      </c>
      <c r="O193" s="25">
        <f t="shared" si="5"/>
        <v>11007.82546143035</v>
      </c>
      <c r="P193" s="25">
        <f t="shared" si="6"/>
        <v>28145.244538569641</v>
      </c>
      <c r="Q193" s="25">
        <f t="array" aca="1" ref="Q193" ca="1">INDEX('Isaac 401k'!L:L,MATCH('Retirement Calculator'!A193,'Isaac 401k'!N:N,0),0)</f>
        <v>1631714.1872882487</v>
      </c>
      <c r="R193" s="25">
        <f t="array" aca="1" ref="R193" ca="1">INDEX('Lorri 401b'!L:L,MATCH('Retirement Calculator'!A193,'Lorri 401b'!N:N,0),0)</f>
        <v>3982127.4480661242</v>
      </c>
      <c r="S193" s="25">
        <f t="shared" ca="1" si="7"/>
        <v>5613841.6353543727</v>
      </c>
    </row>
    <row r="194" spans="1:19" ht="15.75" customHeight="1" x14ac:dyDescent="0.3">
      <c r="A194" s="37">
        <v>56858</v>
      </c>
      <c r="B194" s="409">
        <f t="shared" ref="B194:C194" si="190">($A194-B$9)/365.25</f>
        <v>73.790554414784395</v>
      </c>
      <c r="C194" s="409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3525.4531757812501</v>
      </c>
      <c r="H194" s="25">
        <f>IF(B194&lt;62,0,'Combined Retirement'!$I$14)</f>
        <v>2192</v>
      </c>
      <c r="I194" s="25">
        <f>IF(C194&lt;62,0,'Combined Retirement'!$I$13)</f>
        <v>2420</v>
      </c>
      <c r="J194" s="25">
        <f t="shared" si="3"/>
        <v>7863.2184191855868</v>
      </c>
      <c r="K194" s="25">
        <f t="shared" si="4"/>
        <v>20282.026119384056</v>
      </c>
      <c r="L194" s="25"/>
      <c r="N194" s="25">
        <f>'Combined Retirement'!$C$18/12</f>
        <v>39153.069999999992</v>
      </c>
      <c r="O194" s="25">
        <f t="shared" si="5"/>
        <v>11007.82546143035</v>
      </c>
      <c r="P194" s="25">
        <f t="shared" si="6"/>
        <v>28145.244538569641</v>
      </c>
      <c r="Q194" s="25">
        <f t="array" aca="1" ref="Q194" ca="1">INDEX('Isaac 401k'!L:L,MATCH('Retirement Calculator'!A194,'Isaac 401k'!N:N,0),0)</f>
        <v>1630617.0145726842</v>
      </c>
      <c r="R194" s="25">
        <f t="array" aca="1" ref="R194" ca="1">INDEX('Lorri 401b'!L:L,MATCH('Retirement Calculator'!A194,'Lorri 401b'!N:N,0),0)</f>
        <v>3978353.1112048519</v>
      </c>
      <c r="S194" s="25">
        <f t="shared" ca="1" si="7"/>
        <v>5608970.1257775361</v>
      </c>
    </row>
    <row r="195" spans="1:19" ht="15.75" customHeight="1" x14ac:dyDescent="0.3">
      <c r="A195" s="37">
        <v>56888</v>
      </c>
      <c r="B195" s="409">
        <f t="shared" ref="B195:C195" si="191">($A195-B$9)/365.25</f>
        <v>73.872689938398352</v>
      </c>
      <c r="C195" s="409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3525.4531757812501</v>
      </c>
      <c r="H195" s="25">
        <f>IF(B195&lt;62,0,'Combined Retirement'!$I$14)</f>
        <v>2192</v>
      </c>
      <c r="I195" s="25">
        <f>IF(C195&lt;62,0,'Combined Retirement'!$I$13)</f>
        <v>2420</v>
      </c>
      <c r="J195" s="25">
        <f t="shared" si="3"/>
        <v>7863.2184191855868</v>
      </c>
      <c r="K195" s="25">
        <f t="shared" si="4"/>
        <v>20282.026119384056</v>
      </c>
      <c r="L195" s="25"/>
      <c r="N195" s="25">
        <f>'Combined Retirement'!$C$18/12</f>
        <v>39153.069999999992</v>
      </c>
      <c r="O195" s="25">
        <f t="shared" si="5"/>
        <v>11007.82546143035</v>
      </c>
      <c r="P195" s="25">
        <f t="shared" si="6"/>
        <v>28145.244538569641</v>
      </c>
      <c r="Q195" s="25">
        <f t="array" aca="1" ref="Q195" ca="1">INDEX('Isaac 401k'!L:L,MATCH('Retirement Calculator'!A195,'Isaac 401k'!N:N,0),0)</f>
        <v>1629515.2703041381</v>
      </c>
      <c r="R195" s="25">
        <f t="array" aca="1" ref="R195" ca="1">INDEX('Lorri 401b'!L:L,MATCH('Retirement Calculator'!A195,'Lorri 401b'!N:N,0),0)</f>
        <v>3974563.0479399906</v>
      </c>
      <c r="S195" s="25">
        <f t="shared" ca="1" si="7"/>
        <v>5604078.3182441285</v>
      </c>
    </row>
    <row r="196" spans="1:19" ht="15.75" customHeight="1" x14ac:dyDescent="0.3">
      <c r="A196" s="37">
        <v>56919</v>
      </c>
      <c r="B196" s="409">
        <f t="shared" ref="B196:C196" si="192">($A196-B$9)/365.25</f>
        <v>73.957563312799451</v>
      </c>
      <c r="C196" s="409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3525.4531757812501</v>
      </c>
      <c r="H196" s="25">
        <f>IF(B196&lt;62,0,'Combined Retirement'!$I$14)</f>
        <v>2192</v>
      </c>
      <c r="I196" s="25">
        <f>IF(C196&lt;62,0,'Combined Retirement'!$I$13)</f>
        <v>2420</v>
      </c>
      <c r="J196" s="25">
        <f t="shared" si="3"/>
        <v>7863.2184191855868</v>
      </c>
      <c r="K196" s="25">
        <f t="shared" si="4"/>
        <v>20282.026119384056</v>
      </c>
      <c r="L196" s="25"/>
      <c r="N196" s="25">
        <f>'Combined Retirement'!$C$18/12</f>
        <v>39153.069999999992</v>
      </c>
      <c r="O196" s="25">
        <f t="shared" si="5"/>
        <v>11007.82546143035</v>
      </c>
      <c r="P196" s="25">
        <f t="shared" si="6"/>
        <v>28145.244538569641</v>
      </c>
      <c r="Q196" s="25">
        <f t="array" aca="1" ref="Q196" ca="1">INDEX('Isaac 401k'!L:L,MATCH('Retirement Calculator'!A196,'Isaac 401k'!N:N,0),0)</f>
        <v>1628408.9354344732</v>
      </c>
      <c r="R196" s="25">
        <f t="array" aca="1" ref="R196" ca="1">INDEX('Lorri 401b'!L:L,MATCH('Retirement Calculator'!A196,'Lorri 401b'!N:N,0),0)</f>
        <v>3970757.192744859</v>
      </c>
      <c r="S196" s="25">
        <f t="shared" ca="1" si="7"/>
        <v>5599166.1281793322</v>
      </c>
    </row>
    <row r="197" spans="1:19" ht="15.75" customHeight="1" x14ac:dyDescent="0.3">
      <c r="A197" s="37">
        <v>56949</v>
      </c>
      <c r="B197" s="409">
        <f t="shared" ref="B197:C197" si="193">($A197-B$9)/365.25</f>
        <v>74.039698836413422</v>
      </c>
      <c r="C197" s="409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3525.4531757812501</v>
      </c>
      <c r="H197" s="25">
        <f>IF(B197&lt;62,0,'Combined Retirement'!$I$14)</f>
        <v>2192</v>
      </c>
      <c r="I197" s="25">
        <f>IF(C197&lt;62,0,'Combined Retirement'!$I$13)</f>
        <v>2420</v>
      </c>
      <c r="J197" s="25">
        <f t="shared" si="3"/>
        <v>7863.2184191855868</v>
      </c>
      <c r="K197" s="25">
        <f t="shared" si="4"/>
        <v>20282.026119384056</v>
      </c>
      <c r="L197" s="25"/>
      <c r="N197" s="25">
        <f>'Combined Retirement'!$C$18/12</f>
        <v>39153.069999999992</v>
      </c>
      <c r="O197" s="25">
        <f t="shared" si="5"/>
        <v>11007.82546143035</v>
      </c>
      <c r="P197" s="25">
        <f t="shared" si="6"/>
        <v>28145.244538569641</v>
      </c>
      <c r="Q197" s="25">
        <f t="array" aca="1" ref="Q197" ca="1">INDEX('Isaac 401k'!L:L,MATCH('Retirement Calculator'!A197,'Isaac 401k'!N:N,0),0)</f>
        <v>1627297.9908361847</v>
      </c>
      <c r="R197" s="25">
        <f t="array" aca="1" ref="R197" ca="1">INDEX('Lorri 401b'!L:L,MATCH('Retirement Calculator'!A197,'Lorri 401b'!N:N,0),0)</f>
        <v>3966935.4798197481</v>
      </c>
      <c r="S197" s="25">
        <f t="shared" ca="1" si="7"/>
        <v>5594233.470655933</v>
      </c>
    </row>
    <row r="198" spans="1:19" ht="15.75" customHeight="1" x14ac:dyDescent="0.3">
      <c r="A198" s="37">
        <v>56980</v>
      </c>
      <c r="B198" s="409">
        <f t="shared" ref="B198:C198" si="194">($A198-B$9)/365.25</f>
        <v>74.124572210814506</v>
      </c>
      <c r="C198" s="409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3525.4531757812501</v>
      </c>
      <c r="H198" s="25">
        <f>IF(B198&lt;62,0,'Combined Retirement'!$I$14)</f>
        <v>2192</v>
      </c>
      <c r="I198" s="25">
        <f>IF(C198&lt;62,0,'Combined Retirement'!$I$13)</f>
        <v>2420</v>
      </c>
      <c r="J198" s="25">
        <f t="shared" si="3"/>
        <v>7863.2184191855868</v>
      </c>
      <c r="K198" s="25">
        <f t="shared" si="4"/>
        <v>20282.026119384056</v>
      </c>
      <c r="L198" s="25"/>
      <c r="N198" s="25">
        <f>'Combined Retirement'!$C$18/12</f>
        <v>39153.069999999992</v>
      </c>
      <c r="O198" s="25">
        <f t="shared" si="5"/>
        <v>11007.82546143035</v>
      </c>
      <c r="P198" s="25">
        <f t="shared" si="6"/>
        <v>28145.244538569641</v>
      </c>
      <c r="Q198" s="25">
        <f t="array" aca="1" ref="Q198" ca="1">INDEX('Isaac 401k'!L:L,MATCH('Retirement Calculator'!A198,'Isaac 401k'!N:N,0),0)</f>
        <v>1626182.41730207</v>
      </c>
      <c r="R198" s="25">
        <f t="array" aca="1" ref="R198" ca="1">INDEX('Lorri 401b'!L:L,MATCH('Retirement Calculator'!A198,'Lorri 401b'!N:N,0),0)</f>
        <v>3963097.8430907824</v>
      </c>
      <c r="S198" s="25">
        <f t="shared" ca="1" si="7"/>
        <v>5589280.2603928521</v>
      </c>
    </row>
    <row r="199" spans="1:19" ht="15.75" customHeight="1" x14ac:dyDescent="0.3">
      <c r="A199" s="37">
        <v>57011</v>
      </c>
      <c r="B199" s="409">
        <f t="shared" ref="B199:C199" si="195">($A199-B$9)/365.25</f>
        <v>74.209445585215605</v>
      </c>
      <c r="C199" s="409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3525.4531757812501</v>
      </c>
      <c r="H199" s="25">
        <f>IF(B199&lt;62,0,'Combined Retirement'!$I$14)</f>
        <v>2192</v>
      </c>
      <c r="I199" s="25">
        <f>IF(C199&lt;62,0,'Combined Retirement'!$I$13)</f>
        <v>2420</v>
      </c>
      <c r="J199" s="25">
        <f t="shared" si="3"/>
        <v>7863.2184191855868</v>
      </c>
      <c r="K199" s="25">
        <f t="shared" si="4"/>
        <v>20282.026119384056</v>
      </c>
      <c r="L199" s="25"/>
      <c r="N199" s="25">
        <f>'Combined Retirement'!$C$18/12</f>
        <v>39153.069999999992</v>
      </c>
      <c r="O199" s="25">
        <f t="shared" si="5"/>
        <v>11007.82546143035</v>
      </c>
      <c r="P199" s="25">
        <f t="shared" si="6"/>
        <v>28145.244538569641</v>
      </c>
      <c r="Q199" s="25">
        <f t="array" aca="1" ref="Q199" ca="1">INDEX('Isaac 401k'!L:L,MATCH('Retirement Calculator'!A199,'Isaac 401k'!N:N,0),0)</f>
        <v>1625062.1955448964</v>
      </c>
      <c r="R199" s="25">
        <f t="array" aca="1" ref="R199" ca="1">INDEX('Lorri 401b'!L:L,MATCH('Retirement Calculator'!A199,'Lorri 401b'!N:N,0),0)</f>
        <v>3959244.2162087793</v>
      </c>
      <c r="S199" s="25">
        <f t="shared" ca="1" si="7"/>
        <v>5584306.4117536759</v>
      </c>
    </row>
    <row r="200" spans="1:19" ht="15.75" customHeight="1" x14ac:dyDescent="0.3">
      <c r="A200" s="37">
        <v>57040</v>
      </c>
      <c r="B200" s="409">
        <f t="shared" ref="B200:C200" si="196">($A200-B$9)/365.25</f>
        <v>74.288843258042434</v>
      </c>
      <c r="C200" s="409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3525.4531757812501</v>
      </c>
      <c r="H200" s="25">
        <f>IF(B200&lt;62,0,'Combined Retirement'!$I$14)</f>
        <v>2192</v>
      </c>
      <c r="I200" s="25">
        <f>IF(C200&lt;62,0,'Combined Retirement'!$I$13)</f>
        <v>2420</v>
      </c>
      <c r="J200" s="25">
        <f t="shared" si="3"/>
        <v>7863.2184191855868</v>
      </c>
      <c r="K200" s="25">
        <f t="shared" si="4"/>
        <v>20282.026119384056</v>
      </c>
      <c r="L200" s="25"/>
      <c r="N200" s="25">
        <f>'Combined Retirement'!$C$18/12</f>
        <v>39153.069999999992</v>
      </c>
      <c r="O200" s="25">
        <f t="shared" si="5"/>
        <v>11007.82546143035</v>
      </c>
      <c r="P200" s="25">
        <f t="shared" si="6"/>
        <v>28145.244538569641</v>
      </c>
      <c r="Q200" s="25">
        <f t="array" aca="1" ref="Q200" ca="1">INDEX('Isaac 401k'!L:L,MATCH('Retirement Calculator'!A200,'Isaac 401k'!N:N,0),0)</f>
        <v>1623937.306197068</v>
      </c>
      <c r="R200" s="25">
        <f t="array" aca="1" ref="R200" ca="1">INDEX('Lorri 401b'!L:L,MATCH('Retirement Calculator'!A200,'Lorri 401b'!N:N,0),0)</f>
        <v>3955374.5325481012</v>
      </c>
      <c r="S200" s="25">
        <f t="shared" ca="1" si="7"/>
        <v>5579311.8387451693</v>
      </c>
    </row>
    <row r="201" spans="1:19" ht="15.75" customHeight="1" x14ac:dyDescent="0.3">
      <c r="A201" s="37">
        <v>57071</v>
      </c>
      <c r="B201" s="409">
        <f t="shared" ref="B201:C201" si="197">($A201-B$9)/365.25</f>
        <v>74.373716632443532</v>
      </c>
      <c r="C201" s="409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3525.4531757812501</v>
      </c>
      <c r="H201" s="25">
        <f>IF(B201&lt;62,0,'Combined Retirement'!$I$14)</f>
        <v>2192</v>
      </c>
      <c r="I201" s="25">
        <f>IF(C201&lt;62,0,'Combined Retirement'!$I$13)</f>
        <v>2420</v>
      </c>
      <c r="J201" s="25">
        <f t="shared" si="3"/>
        <v>7863.2184191855868</v>
      </c>
      <c r="K201" s="25">
        <f t="shared" si="4"/>
        <v>20282.026119384056</v>
      </c>
      <c r="L201" s="25"/>
      <c r="N201" s="25">
        <f>'Combined Retirement'!$C$18/12</f>
        <v>39153.069999999992</v>
      </c>
      <c r="O201" s="25">
        <f t="shared" si="5"/>
        <v>11007.82546143035</v>
      </c>
      <c r="P201" s="25">
        <f t="shared" si="6"/>
        <v>28145.244538569641</v>
      </c>
      <c r="Q201" s="25">
        <f t="array" aca="1" ref="Q201" ca="1">INDEX('Isaac 401k'!L:L,MATCH('Retirement Calculator'!A201,'Isaac 401k'!N:N,0),0)</f>
        <v>1622807.7298102903</v>
      </c>
      <c r="R201" s="25">
        <f t="array" aca="1" ref="R201" ca="1">INDEX('Lorri 401b'!L:L,MATCH('Retirement Calculator'!A201,'Lorri 401b'!N:N,0),0)</f>
        <v>3951488.7252055034</v>
      </c>
      <c r="S201" s="25">
        <f t="shared" ca="1" si="7"/>
        <v>5574296.4550157934</v>
      </c>
    </row>
    <row r="202" spans="1:19" ht="15.75" customHeight="1" x14ac:dyDescent="0.3">
      <c r="A202" s="37">
        <v>57101</v>
      </c>
      <c r="B202" s="409">
        <f t="shared" ref="B202:C202" si="198">($A202-B$9)/365.25</f>
        <v>74.455852156057489</v>
      </c>
      <c r="C202" s="409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3525.4531757812501</v>
      </c>
      <c r="H202" s="25">
        <f>IF(B202&lt;62,0,'Combined Retirement'!$I$14)</f>
        <v>2192</v>
      </c>
      <c r="I202" s="25">
        <f>IF(C202&lt;62,0,'Combined Retirement'!$I$13)</f>
        <v>2420</v>
      </c>
      <c r="J202" s="25">
        <f t="shared" si="3"/>
        <v>7863.2184191855868</v>
      </c>
      <c r="K202" s="25">
        <f t="shared" si="4"/>
        <v>20282.026119384056</v>
      </c>
      <c r="L202" s="25"/>
      <c r="N202" s="25">
        <f>'Combined Retirement'!$C$18/12</f>
        <v>39153.069999999992</v>
      </c>
      <c r="O202" s="25">
        <f t="shared" si="5"/>
        <v>11007.82546143035</v>
      </c>
      <c r="P202" s="25">
        <f t="shared" si="6"/>
        <v>28145.244538569641</v>
      </c>
      <c r="Q202" s="25">
        <f t="array" aca="1" ref="Q202" ca="1">INDEX('Isaac 401k'!L:L,MATCH('Retirement Calculator'!A202,'Isaac 401k'!N:N,0),0)</f>
        <v>1621673.4468552342</v>
      </c>
      <c r="R202" s="25">
        <f t="array" aca="1" ref="R202" ca="1">INDEX('Lorri 401b'!L:L,MATCH('Retirement Calculator'!A202,'Lorri 401b'!N:N,0),0)</f>
        <v>3947586.7269989783</v>
      </c>
      <c r="S202" s="25">
        <f t="shared" ca="1" si="7"/>
        <v>5569260.1738542123</v>
      </c>
    </row>
    <row r="203" spans="1:19" ht="15.75" customHeight="1" x14ac:dyDescent="0.3">
      <c r="A203" s="37">
        <v>57132</v>
      </c>
      <c r="B203" s="409">
        <f t="shared" ref="B203:C203" si="199">($A203-B$9)/365.25</f>
        <v>74.540725530458587</v>
      </c>
      <c r="C203" s="409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3525.4531757812501</v>
      </c>
      <c r="H203" s="25">
        <f>IF(B203&lt;62,0,'Combined Retirement'!$I$14)</f>
        <v>2192</v>
      </c>
      <c r="I203" s="25">
        <f>IF(C203&lt;62,0,'Combined Retirement'!$I$13)</f>
        <v>2420</v>
      </c>
      <c r="J203" s="25">
        <f t="shared" si="3"/>
        <v>7863.2184191855868</v>
      </c>
      <c r="K203" s="25">
        <f t="shared" si="4"/>
        <v>20282.026119384056</v>
      </c>
      <c r="L203" s="25"/>
      <c r="N203" s="25">
        <f>'Combined Retirement'!$C$18/12</f>
        <v>39153.069999999992</v>
      </c>
      <c r="O203" s="25">
        <f t="shared" si="5"/>
        <v>11007.82546143035</v>
      </c>
      <c r="P203" s="25">
        <f t="shared" si="6"/>
        <v>28145.244538569641</v>
      </c>
      <c r="Q203" s="25">
        <f t="array" aca="1" ref="Q203" ca="1">INDEX('Isaac 401k'!L:L,MATCH('Retirement Calculator'!A203,'Isaac 401k'!N:N,0),0)</f>
        <v>1620534.4377211989</v>
      </c>
      <c r="R203" s="25">
        <f t="array" aca="1" ref="R203" ca="1">INDEX('Lorri 401b'!L:L,MATCH('Retirement Calculator'!A203,'Lorri 401b'!N:N,0),0)</f>
        <v>3943668.4704665928</v>
      </c>
      <c r="S203" s="25">
        <f t="shared" ca="1" si="7"/>
        <v>5564202.9081877917</v>
      </c>
    </row>
    <row r="204" spans="1:19" ht="15.75" customHeight="1" x14ac:dyDescent="0.3">
      <c r="A204" s="37">
        <v>57162</v>
      </c>
      <c r="B204" s="409">
        <f t="shared" ref="B204:C204" si="200">($A204-B$9)/365.25</f>
        <v>74.622861054072558</v>
      </c>
      <c r="C204" s="409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3525.4531757812501</v>
      </c>
      <c r="H204" s="25">
        <f>IF(B204&lt;62,0,'Combined Retirement'!$I$14)</f>
        <v>2192</v>
      </c>
      <c r="I204" s="25">
        <f>IF(C204&lt;62,0,'Combined Retirement'!$I$13)</f>
        <v>2420</v>
      </c>
      <c r="J204" s="25">
        <f t="shared" si="3"/>
        <v>7863.2184191855868</v>
      </c>
      <c r="K204" s="25">
        <f t="shared" si="4"/>
        <v>20282.026119384056</v>
      </c>
      <c r="L204" s="25"/>
      <c r="N204" s="25">
        <f>'Combined Retirement'!$C$18/12</f>
        <v>39153.069999999992</v>
      </c>
      <c r="O204" s="25">
        <f t="shared" si="5"/>
        <v>11007.82546143035</v>
      </c>
      <c r="P204" s="25">
        <f t="shared" si="6"/>
        <v>28145.244538569641</v>
      </c>
      <c r="Q204" s="25">
        <f t="array" aca="1" ref="Q204" ca="1">INDEX('Isaac 401k'!L:L,MATCH('Retirement Calculator'!A204,'Isaac 401k'!N:N,0),0)</f>
        <v>1619390.6827157717</v>
      </c>
      <c r="R204" s="25">
        <f t="array" aca="1" ref="R204" ca="1">INDEX('Lorri 401b'!L:L,MATCH('Retirement Calculator'!A204,'Lorri 401b'!N:N,0),0)</f>
        <v>3939733.8878653222</v>
      </c>
      <c r="S204" s="25">
        <f t="shared" ca="1" si="7"/>
        <v>5559124.5705810934</v>
      </c>
    </row>
    <row r="205" spans="1:19" ht="15.75" customHeight="1" x14ac:dyDescent="0.3">
      <c r="A205" s="37">
        <v>57193</v>
      </c>
      <c r="B205" s="409">
        <f t="shared" ref="B205:C205" si="201">($A205-B$9)/365.25</f>
        <v>74.707734428473643</v>
      </c>
      <c r="C205" s="409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3525.4531757812501</v>
      </c>
      <c r="H205" s="25">
        <f>IF(B205&lt;62,0,'Combined Retirement'!$I$14)</f>
        <v>2192</v>
      </c>
      <c r="I205" s="25">
        <f>IF(C205&lt;62,0,'Combined Retirement'!$I$13)</f>
        <v>2420</v>
      </c>
      <c r="J205" s="25">
        <f t="shared" si="3"/>
        <v>7863.2184191855868</v>
      </c>
      <c r="K205" s="25">
        <f t="shared" si="4"/>
        <v>20282.026119384056</v>
      </c>
      <c r="L205" s="25"/>
      <c r="N205" s="25">
        <f>'Combined Retirement'!$C$18/12</f>
        <v>39153.069999999992</v>
      </c>
      <c r="O205" s="25">
        <f t="shared" si="5"/>
        <v>11007.82546143035</v>
      </c>
      <c r="P205" s="25">
        <f t="shared" si="6"/>
        <v>28145.244538569641</v>
      </c>
      <c r="Q205" s="25">
        <f t="array" aca="1" ref="Q205" ca="1">INDEX('Isaac 401k'!L:L,MATCH('Retirement Calculator'!A205,'Isaac 401k'!N:N,0),0)</f>
        <v>1618242.1620644885</v>
      </c>
      <c r="R205" s="25">
        <f t="array" aca="1" ref="R205" ca="1">INDEX('Lorri 401b'!L:L,MATCH('Retirement Calculator'!A205,'Lorri 401b'!N:N,0),0)</f>
        <v>3935782.9111698796</v>
      </c>
      <c r="S205" s="25">
        <f t="shared" ca="1" si="7"/>
        <v>5554025.0732343681</v>
      </c>
    </row>
    <row r="206" spans="1:19" ht="15.75" customHeight="1" x14ac:dyDescent="0.3">
      <c r="A206" s="37">
        <v>57224</v>
      </c>
      <c r="B206" s="409">
        <f t="shared" ref="B206:C206" si="202">($A206-B$9)/365.25</f>
        <v>74.792607802874741</v>
      </c>
      <c r="C206" s="409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3525.4531757812501</v>
      </c>
      <c r="H206" s="25">
        <f>IF(B206&lt;62,0,'Combined Retirement'!$I$14)</f>
        <v>2192</v>
      </c>
      <c r="I206" s="25">
        <f>IF(C206&lt;62,0,'Combined Retirement'!$I$13)</f>
        <v>2420</v>
      </c>
      <c r="J206" s="25">
        <f t="shared" si="3"/>
        <v>7863.2184191855868</v>
      </c>
      <c r="K206" s="25">
        <f t="shared" si="4"/>
        <v>20282.026119384056</v>
      </c>
      <c r="L206" s="25"/>
      <c r="N206" s="25">
        <f>'Combined Retirement'!$C$18/12</f>
        <v>39153.069999999992</v>
      </c>
      <c r="O206" s="25">
        <f t="shared" si="5"/>
        <v>11007.82546143035</v>
      </c>
      <c r="P206" s="25">
        <f t="shared" si="6"/>
        <v>28145.244538569641</v>
      </c>
      <c r="Q206" s="25">
        <f t="array" aca="1" ref="Q206" ca="1">INDEX('Isaac 401k'!L:L,MATCH('Retirement Calculator'!A206,'Isaac 401k'!N:N,0),0)</f>
        <v>1617088.8559104917</v>
      </c>
      <c r="R206" s="25">
        <f t="array" aca="1" ref="R206" ca="1">INDEX('Lorri 401b'!L:L,MATCH('Retirement Calculator'!A206,'Lorri 401b'!N:N,0),0)</f>
        <v>3931815.4720715391</v>
      </c>
      <c r="S206" s="25">
        <f t="shared" ca="1" si="7"/>
        <v>5548904.3279820308</v>
      </c>
    </row>
    <row r="207" spans="1:19" ht="15.75" customHeight="1" x14ac:dyDescent="0.3">
      <c r="A207" s="37">
        <v>57254</v>
      </c>
      <c r="B207" s="409">
        <f t="shared" ref="B207:C207" si="203">($A207-B$9)/365.25</f>
        <v>74.874743326488712</v>
      </c>
      <c r="C207" s="409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3525.4531757812501</v>
      </c>
      <c r="H207" s="25">
        <f>IF(B207&lt;62,0,'Combined Retirement'!$I$14)</f>
        <v>2192</v>
      </c>
      <c r="I207" s="25">
        <f>IF(C207&lt;62,0,'Combined Retirement'!$I$13)</f>
        <v>2420</v>
      </c>
      <c r="J207" s="25">
        <f t="shared" si="3"/>
        <v>7863.2184191855868</v>
      </c>
      <c r="K207" s="25">
        <f t="shared" si="4"/>
        <v>20282.026119384056</v>
      </c>
      <c r="L207" s="25"/>
      <c r="N207" s="25">
        <f>'Combined Retirement'!$C$18/12</f>
        <v>39153.069999999992</v>
      </c>
      <c r="O207" s="25">
        <f t="shared" si="5"/>
        <v>11007.82546143035</v>
      </c>
      <c r="P207" s="25">
        <f t="shared" si="6"/>
        <v>28145.244538569641</v>
      </c>
      <c r="Q207" s="25">
        <f t="array" aca="1" ref="Q207" ca="1">INDEX('Isaac 401k'!L:L,MATCH('Retirement Calculator'!A207,'Isaac 401k'!N:N,0),0)</f>
        <v>1615930.7443141865</v>
      </c>
      <c r="R207" s="25">
        <f t="array" aca="1" ref="R207" ca="1">INDEX('Lorri 401b'!L:L,MATCH('Retirement Calculator'!A207,'Lorri 401b'!N:N,0),0)</f>
        <v>3927831.5019769557</v>
      </c>
      <c r="S207" s="25">
        <f t="shared" ca="1" si="7"/>
        <v>5543762.246291142</v>
      </c>
    </row>
    <row r="208" spans="1:19" ht="15.75" customHeight="1" x14ac:dyDescent="0.3">
      <c r="A208" s="37">
        <v>57285</v>
      </c>
      <c r="B208" s="409">
        <f t="shared" ref="B208:C208" si="204">($A208-B$9)/365.25</f>
        <v>74.959616700889796</v>
      </c>
      <c r="C208" s="409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3525.4531757812501</v>
      </c>
      <c r="H208" s="25">
        <f>IF(B208&lt;62,0,'Combined Retirement'!$I$14)</f>
        <v>2192</v>
      </c>
      <c r="I208" s="25">
        <f>IF(C208&lt;62,0,'Combined Retirement'!$I$13)</f>
        <v>2420</v>
      </c>
      <c r="J208" s="25">
        <f t="shared" si="3"/>
        <v>7863.2184191855868</v>
      </c>
      <c r="K208" s="25">
        <f t="shared" si="4"/>
        <v>20282.026119384056</v>
      </c>
      <c r="L208" s="25"/>
      <c r="N208" s="25">
        <f>'Combined Retirement'!$C$18/12</f>
        <v>39153.069999999992</v>
      </c>
      <c r="O208" s="25">
        <f t="shared" si="5"/>
        <v>11007.82546143035</v>
      </c>
      <c r="P208" s="25">
        <f t="shared" si="6"/>
        <v>28145.244538569641</v>
      </c>
      <c r="Q208" s="25">
        <f t="array" aca="1" ref="Q208" ca="1">INDEX('Isaac 401k'!L:L,MATCH('Retirement Calculator'!A208,'Isaac 401k'!N:N,0),0)</f>
        <v>1614767.8072528967</v>
      </c>
      <c r="R208" s="25">
        <f t="array" aca="1" ref="R208" ca="1">INDEX('Lorri 401b'!L:L,MATCH('Retirement Calculator'!A208,'Lorri 401b'!N:N,0),0)</f>
        <v>3923830.9320069784</v>
      </c>
      <c r="S208" s="25">
        <f t="shared" ca="1" si="7"/>
        <v>5538598.7392598754</v>
      </c>
    </row>
    <row r="209" spans="1:19" ht="15.75" customHeight="1" x14ac:dyDescent="0.3">
      <c r="A209" s="37">
        <v>57315</v>
      </c>
      <c r="B209" s="409">
        <f t="shared" ref="B209:C209" si="205">($A209-B$9)/365.25</f>
        <v>75.041752224503767</v>
      </c>
      <c r="C209" s="409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3525.4531757812501</v>
      </c>
      <c r="H209" s="25">
        <f>IF(B209&lt;62,0,'Combined Retirement'!$I$14)</f>
        <v>2192</v>
      </c>
      <c r="I209" s="25">
        <f>IF(C209&lt;62,0,'Combined Retirement'!$I$13)</f>
        <v>2420</v>
      </c>
      <c r="J209" s="25">
        <f t="shared" si="3"/>
        <v>7863.2184191855868</v>
      </c>
      <c r="K209" s="25">
        <f t="shared" si="4"/>
        <v>20282.026119384056</v>
      </c>
      <c r="L209" s="25"/>
      <c r="N209" s="25">
        <f>'Combined Retirement'!$C$18/12</f>
        <v>39153.069999999992</v>
      </c>
      <c r="O209" s="25">
        <f t="shared" si="5"/>
        <v>11007.82546143035</v>
      </c>
      <c r="P209" s="25">
        <f t="shared" si="6"/>
        <v>28145.244538569641</v>
      </c>
      <c r="Q209" s="25">
        <f t="array" aca="1" ref="Q209" ca="1">INDEX('Isaac 401k'!L:L,MATCH('Retirement Calculator'!A209,'Isaac 401k'!N:N,0),0)</f>
        <v>1613600.0246205183</v>
      </c>
      <c r="R209" s="25">
        <f t="array" aca="1" ref="R209" ca="1">INDEX('Lorri 401b'!L:L,MATCH('Retirement Calculator'!A209,'Lorri 401b'!N:N,0),0)</f>
        <v>3919813.6929954593</v>
      </c>
      <c r="S209" s="25">
        <f t="shared" ca="1" si="7"/>
        <v>5533413.7176159779</v>
      </c>
    </row>
    <row r="210" spans="1:19" ht="15.75" customHeight="1" x14ac:dyDescent="0.3">
      <c r="A210" s="37">
        <v>57346</v>
      </c>
      <c r="B210" s="409">
        <f t="shared" ref="B210:C210" si="206">($A210-B$9)/365.25</f>
        <v>75.126625598904866</v>
      </c>
      <c r="C210" s="409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3525.4531757812501</v>
      </c>
      <c r="H210" s="25">
        <f>IF(B210&lt;62,0,'Combined Retirement'!$I$14)</f>
        <v>2192</v>
      </c>
      <c r="I210" s="25">
        <f>IF(C210&lt;62,0,'Combined Retirement'!$I$13)</f>
        <v>2420</v>
      </c>
      <c r="J210" s="25">
        <f t="shared" si="3"/>
        <v>7863.2184191855868</v>
      </c>
      <c r="K210" s="25">
        <f t="shared" si="4"/>
        <v>20282.026119384056</v>
      </c>
      <c r="L210" s="25"/>
      <c r="N210" s="25">
        <f>'Combined Retirement'!$C$18/12</f>
        <v>39153.069999999992</v>
      </c>
      <c r="O210" s="25">
        <f t="shared" si="5"/>
        <v>11007.82546143035</v>
      </c>
      <c r="P210" s="25">
        <f t="shared" si="6"/>
        <v>28145.244538569641</v>
      </c>
      <c r="Q210" s="25">
        <f t="array" aca="1" ref="Q210" ca="1">INDEX('Isaac 401k'!L:L,MATCH('Retirement Calculator'!A210,'Isaac 401k'!N:N,0),0)</f>
        <v>1612427.3762271716</v>
      </c>
      <c r="R210" s="25">
        <f t="array" aca="1" ref="R210" ca="1">INDEX('Lorri 401b'!L:L,MATCH('Retirement Calculator'!A210,'Lorri 401b'!N:N,0),0)</f>
        <v>3915779.715488059</v>
      </c>
      <c r="S210" s="25">
        <f t="shared" ca="1" si="7"/>
        <v>5528207.0917152306</v>
      </c>
    </row>
    <row r="211" spans="1:19" ht="15.75" customHeight="1" x14ac:dyDescent="0.3">
      <c r="A211" s="37">
        <v>57377</v>
      </c>
      <c r="B211" s="409">
        <f t="shared" ref="B211:C211" si="207">($A211-B$9)/365.25</f>
        <v>75.21149897330595</v>
      </c>
      <c r="C211" s="409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3525.4531757812501</v>
      </c>
      <c r="H211" s="25">
        <f>IF(B211&lt;62,0,'Combined Retirement'!$I$14)</f>
        <v>2192</v>
      </c>
      <c r="I211" s="25">
        <f>IF(C211&lt;62,0,'Combined Retirement'!$I$13)</f>
        <v>2420</v>
      </c>
      <c r="J211" s="25">
        <f t="shared" si="3"/>
        <v>7863.2184191855868</v>
      </c>
      <c r="K211" s="25">
        <f t="shared" si="4"/>
        <v>20282.026119384056</v>
      </c>
      <c r="L211" s="25"/>
      <c r="N211" s="25">
        <f>'Combined Retirement'!$C$18/12</f>
        <v>39153.069999999992</v>
      </c>
      <c r="O211" s="25">
        <f t="shared" si="5"/>
        <v>11007.82546143035</v>
      </c>
      <c r="P211" s="25">
        <f t="shared" si="6"/>
        <v>28145.244538569641</v>
      </c>
      <c r="Q211" s="25">
        <f t="array" aca="1" ref="Q211" ca="1">INDEX('Isaac 401k'!L:L,MATCH('Retirement Calculator'!A211,'Isaac 401k'!N:N,0),0)</f>
        <v>1611249.8417988527</v>
      </c>
      <c r="R211" s="25">
        <f t="array" aca="1" ref="R211" ca="1">INDEX('Lorri 401b'!L:L,MATCH('Retirement Calculator'!A211,'Lorri 401b'!N:N,0),0)</f>
        <v>3911728.9297410445</v>
      </c>
      <c r="S211" s="25">
        <f t="shared" ca="1" si="7"/>
        <v>5522978.7715398967</v>
      </c>
    </row>
    <row r="212" spans="1:19" ht="15.75" customHeight="1" x14ac:dyDescent="0.3">
      <c r="A212" s="37">
        <v>57405</v>
      </c>
      <c r="B212" s="409">
        <f t="shared" ref="B212:C212" si="208">($A212-B$9)/365.25</f>
        <v>75.288158795345652</v>
      </c>
      <c r="C212" s="409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3525.4531757812501</v>
      </c>
      <c r="H212" s="25">
        <f>IF(B212&lt;62,0,'Combined Retirement'!$I$14)</f>
        <v>2192</v>
      </c>
      <c r="I212" s="25">
        <f>IF(C212&lt;62,0,'Combined Retirement'!$I$13)</f>
        <v>2420</v>
      </c>
      <c r="J212" s="25">
        <f t="shared" si="3"/>
        <v>7863.2184191855868</v>
      </c>
      <c r="K212" s="25">
        <f t="shared" si="4"/>
        <v>20282.026119384056</v>
      </c>
      <c r="L212" s="25"/>
      <c r="N212" s="25">
        <f>'Combined Retirement'!$C$18/12</f>
        <v>39153.069999999992</v>
      </c>
      <c r="O212" s="25">
        <f t="shared" si="5"/>
        <v>11007.82546143035</v>
      </c>
      <c r="P212" s="25">
        <f t="shared" si="6"/>
        <v>28145.244538569641</v>
      </c>
      <c r="Q212" s="25">
        <f t="array" aca="1" ref="Q212" ca="1">INDEX('Isaac 401k'!L:L,MATCH('Retirement Calculator'!A212,'Isaac 401k'!N:N,0),0)</f>
        <v>1610067.4009770823</v>
      </c>
      <c r="R212" s="25">
        <f t="array" aca="1" ref="R212" ca="1">INDEX('Lorri 401b'!L:L,MATCH('Retirement Calculator'!A212,'Lorri 401b'!N:N,0),0)</f>
        <v>3907661.2657200843</v>
      </c>
      <c r="S212" s="25">
        <f t="shared" ca="1" si="7"/>
        <v>5517728.6666971669</v>
      </c>
    </row>
    <row r="213" spans="1:19" ht="15.75" customHeight="1" x14ac:dyDescent="0.3">
      <c r="A213" s="37">
        <v>57436</v>
      </c>
      <c r="B213" s="409">
        <f t="shared" ref="B213:C213" si="209">($A213-B$9)/365.25</f>
        <v>75.37303216974675</v>
      </c>
      <c r="C213" s="409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3525.4531757812501</v>
      </c>
      <c r="H213" s="25">
        <f>IF(B213&lt;62,0,'Combined Retirement'!$I$14)</f>
        <v>2192</v>
      </c>
      <c r="I213" s="25">
        <f>IF(C213&lt;62,0,'Combined Retirement'!$I$13)</f>
        <v>2420</v>
      </c>
      <c r="J213" s="25">
        <f t="shared" si="3"/>
        <v>7863.2184191855868</v>
      </c>
      <c r="K213" s="25">
        <f t="shared" si="4"/>
        <v>20282.026119384056</v>
      </c>
      <c r="L213" s="25"/>
      <c r="N213" s="25">
        <f>'Combined Retirement'!$C$18/12</f>
        <v>39153.069999999992</v>
      </c>
      <c r="O213" s="25">
        <f t="shared" si="5"/>
        <v>11007.82546143035</v>
      </c>
      <c r="P213" s="25">
        <f t="shared" si="6"/>
        <v>28145.244538569641</v>
      </c>
      <c r="Q213" s="25">
        <f t="array" aca="1" ref="Q213" ca="1">INDEX('Isaac 401k'!L:L,MATCH('Retirement Calculator'!A213,'Isaac 401k'!N:N,0),0)</f>
        <v>1608880.0333185545</v>
      </c>
      <c r="R213" s="25">
        <f t="array" aca="1" ref="R213" ca="1">INDEX('Lorri 401b'!L:L,MATCH('Retirement Calculator'!A213,'Lorri 401b'!N:N,0),0)</f>
        <v>3903576.6530990368</v>
      </c>
      <c r="S213" s="25">
        <f t="shared" ca="1" si="7"/>
        <v>5512456.6864175908</v>
      </c>
    </row>
    <row r="214" spans="1:19" ht="15.75" customHeight="1" x14ac:dyDescent="0.3">
      <c r="A214" s="37">
        <v>57466</v>
      </c>
      <c r="B214" s="409">
        <f t="shared" ref="B214:C214" si="210">($A214-B$9)/365.25</f>
        <v>75.455167693360707</v>
      </c>
      <c r="C214" s="409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3525.4531757812501</v>
      </c>
      <c r="H214" s="25">
        <f>IF(B214&lt;62,0,'Combined Retirement'!$I$14)</f>
        <v>2192</v>
      </c>
      <c r="I214" s="25">
        <f>IF(C214&lt;62,0,'Combined Retirement'!$I$13)</f>
        <v>2420</v>
      </c>
      <c r="J214" s="25">
        <f t="shared" si="3"/>
        <v>7863.2184191855868</v>
      </c>
      <c r="K214" s="25">
        <f t="shared" si="4"/>
        <v>20282.026119384056</v>
      </c>
      <c r="L214" s="25"/>
      <c r="N214" s="25">
        <f>'Combined Retirement'!$C$18/12</f>
        <v>39153.069999999992</v>
      </c>
      <c r="O214" s="25">
        <f t="shared" si="5"/>
        <v>11007.82546143035</v>
      </c>
      <c r="P214" s="25">
        <f t="shared" si="6"/>
        <v>28145.244538569641</v>
      </c>
      <c r="Q214" s="25">
        <f t="array" aca="1" ref="Q214" ca="1">INDEX('Isaac 401k'!L:L,MATCH('Retirement Calculator'!A214,'Isaac 401k'!N:N,0),0)</f>
        <v>1607687.718294783</v>
      </c>
      <c r="R214" s="25">
        <f t="array" aca="1" ref="R214" ca="1">INDEX('Lorri 401b'!L:L,MATCH('Retirement Calculator'!A214,'Lorri 401b'!N:N,0),0)</f>
        <v>3899475.0212587346</v>
      </c>
      <c r="S214" s="25">
        <f t="shared" ca="1" si="7"/>
        <v>5507162.7395535177</v>
      </c>
    </row>
    <row r="215" spans="1:19" ht="15.75" customHeight="1" x14ac:dyDescent="0.3">
      <c r="A215" s="37">
        <v>57497</v>
      </c>
      <c r="B215" s="409">
        <f t="shared" ref="B215:C215" si="211">($A215-B$9)/365.25</f>
        <v>75.540041067761805</v>
      </c>
      <c r="C215" s="409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3525.4531757812501</v>
      </c>
      <c r="H215" s="25">
        <f>IF(B215&lt;62,0,'Combined Retirement'!$I$14)</f>
        <v>2192</v>
      </c>
      <c r="I215" s="25">
        <f>IF(C215&lt;62,0,'Combined Retirement'!$I$13)</f>
        <v>2420</v>
      </c>
      <c r="J215" s="25">
        <f t="shared" si="3"/>
        <v>7863.2184191855868</v>
      </c>
      <c r="K215" s="25">
        <f t="shared" si="4"/>
        <v>20282.026119384056</v>
      </c>
      <c r="L215" s="25"/>
      <c r="N215" s="25">
        <f>'Combined Retirement'!$C$18/12</f>
        <v>39153.069999999992</v>
      </c>
      <c r="O215" s="25">
        <f t="shared" si="5"/>
        <v>11007.82546143035</v>
      </c>
      <c r="P215" s="25">
        <f t="shared" si="6"/>
        <v>28145.244538569641</v>
      </c>
      <c r="Q215" s="25">
        <f t="array" aca="1" ref="Q215" ca="1">INDEX('Isaac 401k'!L:L,MATCH('Retirement Calculator'!A215,'Isaac 401k'!N:N,0),0)</f>
        <v>1606490.4352917457</v>
      </c>
      <c r="R215" s="25">
        <f t="array" aca="1" ref="R215" ca="1">INDEX('Lorri 401b'!L:L,MATCH('Retirement Calculator'!A215,'Lorri 401b'!N:N,0),0)</f>
        <v>3895356.2992857648</v>
      </c>
      <c r="S215" s="25">
        <f t="shared" ca="1" si="7"/>
        <v>5501846.7345775105</v>
      </c>
    </row>
    <row r="216" spans="1:19" ht="15.75" customHeight="1" x14ac:dyDescent="0.3">
      <c r="A216" s="37">
        <v>57527</v>
      </c>
      <c r="B216" s="409">
        <f t="shared" ref="B216:C216" si="212">($A216-B$9)/365.25</f>
        <v>75.622176591375776</v>
      </c>
      <c r="C216" s="409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3525.4531757812501</v>
      </c>
      <c r="H216" s="25">
        <f>IF(B216&lt;62,0,'Combined Retirement'!$I$14)</f>
        <v>2192</v>
      </c>
      <c r="I216" s="25">
        <f>IF(C216&lt;62,0,'Combined Retirement'!$I$13)</f>
        <v>2420</v>
      </c>
      <c r="J216" s="25">
        <f t="shared" si="3"/>
        <v>7863.2184191855868</v>
      </c>
      <c r="K216" s="25">
        <f t="shared" si="4"/>
        <v>20282.026119384056</v>
      </c>
      <c r="L216" s="25"/>
      <c r="N216" s="25">
        <f>'Combined Retirement'!$C$18/12</f>
        <v>39153.069999999992</v>
      </c>
      <c r="O216" s="25">
        <f t="shared" si="5"/>
        <v>11007.82546143035</v>
      </c>
      <c r="P216" s="25">
        <f t="shared" si="6"/>
        <v>28145.244538569641</v>
      </c>
      <c r="Q216" s="25">
        <f t="array" aca="1" ref="Q216" ca="1">INDEX('Isaac 401k'!L:L,MATCH('Retirement Calculator'!A216,'Isaac 401k'!N:N,0),0)</f>
        <v>1605288.1636095291</v>
      </c>
      <c r="R216" s="25">
        <f t="array" aca="1" ref="R216" ca="1">INDEX('Lorri 401b'!L:L,MATCH('Retirement Calculator'!A216,'Lorri 401b'!N:N,0),0)</f>
        <v>3891220.415971241</v>
      </c>
      <c r="S216" s="25">
        <f t="shared" ca="1" si="7"/>
        <v>5496508.5795807699</v>
      </c>
    </row>
    <row r="217" spans="1:19" ht="15.75" customHeight="1" x14ac:dyDescent="0.3">
      <c r="A217" s="37">
        <v>57558</v>
      </c>
      <c r="B217" s="409">
        <f t="shared" ref="B217:C217" si="213">($A217-B$9)/365.25</f>
        <v>75.707049965776861</v>
      </c>
      <c r="C217" s="409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3525.4531757812501</v>
      </c>
      <c r="H217" s="25">
        <f>IF(B217&lt;62,0,'Combined Retirement'!$I$14)</f>
        <v>2192</v>
      </c>
      <c r="I217" s="25">
        <f>IF(C217&lt;62,0,'Combined Retirement'!$I$13)</f>
        <v>2420</v>
      </c>
      <c r="J217" s="25">
        <f t="shared" si="3"/>
        <v>7863.2184191855868</v>
      </c>
      <c r="K217" s="25">
        <f t="shared" si="4"/>
        <v>20282.026119384056</v>
      </c>
      <c r="L217" s="25"/>
      <c r="N217" s="25">
        <f>'Combined Retirement'!$C$18/12</f>
        <v>39153.069999999992</v>
      </c>
      <c r="O217" s="25">
        <f t="shared" si="5"/>
        <v>11007.82546143035</v>
      </c>
      <c r="P217" s="25">
        <f t="shared" si="6"/>
        <v>28145.244538569641</v>
      </c>
      <c r="Q217" s="25">
        <f t="array" aca="1" ref="Q217" ca="1">INDEX('Isaac 401k'!L:L,MATCH('Retirement Calculator'!A217,'Isaac 401k'!N:N,0),0)</f>
        <v>1604080.88246197</v>
      </c>
      <c r="R217" s="25">
        <f t="array" aca="1" ref="R217" ca="1">INDEX('Lorri 401b'!L:L,MATCH('Retirement Calculator'!A217,'Lorri 401b'!N:N,0),0)</f>
        <v>3887067.2998095732</v>
      </c>
      <c r="S217" s="25">
        <f t="shared" ca="1" si="7"/>
        <v>5491148.182271543</v>
      </c>
    </row>
    <row r="218" spans="1:19" ht="15.75" customHeight="1" x14ac:dyDescent="0.3">
      <c r="A218" s="37">
        <v>57589</v>
      </c>
      <c r="B218" s="409">
        <f t="shared" ref="B218:C218" si="214">($A218-B$9)/365.25</f>
        <v>75.791923340177959</v>
      </c>
      <c r="C218" s="409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3525.4531757812501</v>
      </c>
      <c r="H218" s="25">
        <f>IF(B218&lt;62,0,'Combined Retirement'!$I$14)</f>
        <v>2192</v>
      </c>
      <c r="I218" s="25">
        <f>IF(C218&lt;62,0,'Combined Retirement'!$I$13)</f>
        <v>2420</v>
      </c>
      <c r="J218" s="25">
        <f t="shared" si="3"/>
        <v>7863.2184191855868</v>
      </c>
      <c r="K218" s="25">
        <f t="shared" si="4"/>
        <v>20282.026119384056</v>
      </c>
      <c r="L218" s="25"/>
      <c r="N218" s="25">
        <f>'Combined Retirement'!$C$18/12</f>
        <v>39153.069999999992</v>
      </c>
      <c r="O218" s="25">
        <f t="shared" si="5"/>
        <v>11007.82546143035</v>
      </c>
      <c r="P218" s="25">
        <f t="shared" si="6"/>
        <v>28145.244538569641</v>
      </c>
      <c r="Q218" s="25">
        <f t="array" aca="1" ref="Q218" ca="1">INDEX('Isaac 401k'!L:L,MATCH('Retirement Calculator'!A218,'Isaac 401k'!N:N,0),0)</f>
        <v>1602868.570976296</v>
      </c>
      <c r="R218" s="25">
        <f t="array" aca="1" ref="R218" ca="1">INDEX('Lorri 401b'!L:L,MATCH('Retirement Calculator'!A218,'Lorri 401b'!N:N,0),0)</f>
        <v>3882896.8789972318</v>
      </c>
      <c r="S218" s="25">
        <f t="shared" ca="1" si="7"/>
        <v>5485765.4499735273</v>
      </c>
    </row>
    <row r="219" spans="1:19" ht="15.75" customHeight="1" x14ac:dyDescent="0.3">
      <c r="A219" s="37">
        <v>57619</v>
      </c>
      <c r="B219" s="409">
        <f t="shared" ref="B219:C219" si="215">($A219-B$9)/365.25</f>
        <v>75.87405886379193</v>
      </c>
      <c r="C219" s="409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3525.4531757812501</v>
      </c>
      <c r="H219" s="25">
        <f>IF(B219&lt;62,0,'Combined Retirement'!$I$14)</f>
        <v>2192</v>
      </c>
      <c r="I219" s="25">
        <f>IF(C219&lt;62,0,'Combined Retirement'!$I$13)</f>
        <v>2420</v>
      </c>
      <c r="J219" s="25">
        <f t="shared" si="3"/>
        <v>7863.2184191855868</v>
      </c>
      <c r="K219" s="25">
        <f t="shared" si="4"/>
        <v>20282.026119384056</v>
      </c>
      <c r="L219" s="25"/>
      <c r="N219" s="25">
        <f>'Combined Retirement'!$C$18/12</f>
        <v>39153.069999999992</v>
      </c>
      <c r="O219" s="25">
        <f t="shared" si="5"/>
        <v>11007.82546143035</v>
      </c>
      <c r="P219" s="25">
        <f t="shared" si="6"/>
        <v>28145.244538569641</v>
      </c>
      <c r="Q219" s="25">
        <f t="array" aca="1" ref="Q219" ca="1">INDEX('Isaac 401k'!L:L,MATCH('Retirement Calculator'!A219,'Isaac 401k'!N:N,0),0)</f>
        <v>1601651.208192765</v>
      </c>
      <c r="R219" s="25">
        <f t="array" aca="1" ref="R219" ca="1">INDEX('Lorri 401b'!L:L,MATCH('Retirement Calculator'!A219,'Lorri 401b'!N:N,0),0)</f>
        <v>3878709.0814315057</v>
      </c>
      <c r="S219" s="25">
        <f t="shared" ca="1" si="7"/>
        <v>5480360.289624271</v>
      </c>
    </row>
    <row r="220" spans="1:19" ht="15.75" customHeight="1" x14ac:dyDescent="0.3">
      <c r="A220" s="37">
        <v>57650</v>
      </c>
      <c r="B220" s="409">
        <f t="shared" ref="B220:C220" si="216">($A220-B$9)/365.25</f>
        <v>75.958932238193015</v>
      </c>
      <c r="C220" s="409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3525.4531757812501</v>
      </c>
      <c r="H220" s="25">
        <f>IF(B220&lt;62,0,'Combined Retirement'!$I$14)</f>
        <v>2192</v>
      </c>
      <c r="I220" s="25">
        <f>IF(C220&lt;62,0,'Combined Retirement'!$I$13)</f>
        <v>2420</v>
      </c>
      <c r="J220" s="25">
        <f t="shared" si="3"/>
        <v>7863.2184191855868</v>
      </c>
      <c r="K220" s="25">
        <f t="shared" si="4"/>
        <v>20282.026119384056</v>
      </c>
      <c r="L220" s="25"/>
      <c r="N220" s="25">
        <f>'Combined Retirement'!$C$18/12</f>
        <v>39153.069999999992</v>
      </c>
      <c r="O220" s="25">
        <f t="shared" si="5"/>
        <v>11007.82546143035</v>
      </c>
      <c r="P220" s="25">
        <f t="shared" si="6"/>
        <v>28145.244538569641</v>
      </c>
      <c r="Q220" s="25">
        <f t="array" aca="1" ref="Q220" ca="1">INDEX('Isaac 401k'!L:L,MATCH('Retirement Calculator'!A220,'Isaac 401k'!N:N,0),0)</f>
        <v>1600428.7730643027</v>
      </c>
      <c r="R220" s="25">
        <f t="array" aca="1" ref="R220" ca="1">INDEX('Lorri 401b'!L:L,MATCH('Retirement Calculator'!A220,'Lorri 401b'!N:N,0),0)</f>
        <v>3874503.8347092555</v>
      </c>
      <c r="S220" s="25">
        <f t="shared" ca="1" si="7"/>
        <v>5474932.6077735582</v>
      </c>
    </row>
    <row r="221" spans="1:19" ht="15.75" customHeight="1" x14ac:dyDescent="0.3">
      <c r="A221" s="37">
        <v>57680</v>
      </c>
      <c r="B221" s="409">
        <f t="shared" ref="B221:C221" si="217">($A221-B$9)/365.25</f>
        <v>76.041067761806985</v>
      </c>
      <c r="C221" s="409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3525.4531757812501</v>
      </c>
      <c r="H221" s="25">
        <f>IF(B221&lt;62,0,'Combined Retirement'!$I$14)</f>
        <v>2192</v>
      </c>
      <c r="I221" s="25">
        <f>IF(C221&lt;62,0,'Combined Retirement'!$I$13)</f>
        <v>2420</v>
      </c>
      <c r="J221" s="25">
        <f t="shared" si="3"/>
        <v>7863.2184191855868</v>
      </c>
      <c r="K221" s="25">
        <f t="shared" si="4"/>
        <v>20282.026119384056</v>
      </c>
      <c r="L221" s="25"/>
      <c r="N221" s="25">
        <f>'Combined Retirement'!$C$18/12</f>
        <v>39153.069999999992</v>
      </c>
      <c r="O221" s="25">
        <f t="shared" si="5"/>
        <v>11007.82546143035</v>
      </c>
      <c r="P221" s="25">
        <f t="shared" si="6"/>
        <v>28145.244538569641</v>
      </c>
      <c r="Q221" s="25">
        <f t="array" aca="1" ref="Q221" ca="1">INDEX('Isaac 401k'!L:L,MATCH('Retirement Calculator'!A221,'Isaac 401k'!N:N,0),0)</f>
        <v>1599201.2444561385</v>
      </c>
      <c r="R221" s="25">
        <f t="array" aca="1" ref="R221" ca="1">INDEX('Lorri 401b'!L:L,MATCH('Retirement Calculator'!A221,'Lorri 401b'!N:N,0),0)</f>
        <v>3870281.0661256625</v>
      </c>
      <c r="S221" s="25">
        <f t="shared" ca="1" si="7"/>
        <v>5469482.3105818015</v>
      </c>
    </row>
    <row r="222" spans="1:19" ht="15.75" customHeight="1" x14ac:dyDescent="0.3">
      <c r="A222" s="37">
        <v>57711</v>
      </c>
      <c r="B222" s="409">
        <f t="shared" ref="B222:C222" si="218">($A222-B$9)/365.25</f>
        <v>76.12594113620807</v>
      </c>
      <c r="C222" s="409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3525.4531757812501</v>
      </c>
      <c r="H222" s="25">
        <f>IF(B222&lt;62,0,'Combined Retirement'!$I$14)</f>
        <v>2192</v>
      </c>
      <c r="I222" s="25">
        <f>IF(C222&lt;62,0,'Combined Retirement'!$I$13)</f>
        <v>2420</v>
      </c>
      <c r="J222" s="25">
        <f t="shared" si="3"/>
        <v>7863.2184191855868</v>
      </c>
      <c r="K222" s="25">
        <f t="shared" si="4"/>
        <v>20282.026119384056</v>
      </c>
      <c r="L222" s="25"/>
      <c r="N222" s="25">
        <f>'Combined Retirement'!$C$18/12</f>
        <v>39153.069999999992</v>
      </c>
      <c r="O222" s="25">
        <f t="shared" si="5"/>
        <v>11007.82546143035</v>
      </c>
      <c r="P222" s="25">
        <f t="shared" si="6"/>
        <v>28145.244538569641</v>
      </c>
      <c r="Q222" s="25">
        <f t="array" aca="1" ref="Q222" ca="1">INDEX('Isaac 401k'!L:L,MATCH('Retirement Calculator'!A222,'Isaac 401k'!N:N,0),0)</f>
        <v>1597968.6011454402</v>
      </c>
      <c r="R222" s="25">
        <f t="array" aca="1" ref="R222" ca="1">INDEX('Lorri 401b'!L:L,MATCH('Retirement Calculator'!A222,'Lorri 401b'!N:N,0),0)</f>
        <v>3866040.7026729714</v>
      </c>
      <c r="S222" s="25">
        <f t="shared" ca="1" si="7"/>
        <v>5464009.3038184121</v>
      </c>
    </row>
    <row r="223" spans="1:19" ht="15.75" customHeight="1" x14ac:dyDescent="0.3">
      <c r="A223" s="37">
        <v>57742</v>
      </c>
      <c r="B223" s="409">
        <f t="shared" ref="B223:C223" si="219">($A223-B$9)/365.25</f>
        <v>76.210814510609168</v>
      </c>
      <c r="C223" s="409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3525.4531757812501</v>
      </c>
      <c r="H223" s="25">
        <f>IF(B223&lt;62,0,'Combined Retirement'!$I$14)</f>
        <v>2192</v>
      </c>
      <c r="I223" s="25">
        <f>IF(C223&lt;62,0,'Combined Retirement'!$I$13)</f>
        <v>2420</v>
      </c>
      <c r="J223" s="25">
        <f t="shared" si="3"/>
        <v>7863.2184191855868</v>
      </c>
      <c r="K223" s="25">
        <f t="shared" si="4"/>
        <v>20282.026119384056</v>
      </c>
      <c r="L223" s="25"/>
      <c r="N223" s="25">
        <f>'Combined Retirement'!$C$18/12</f>
        <v>39153.069999999992</v>
      </c>
      <c r="O223" s="25">
        <f t="shared" si="5"/>
        <v>11007.82546143035</v>
      </c>
      <c r="P223" s="25">
        <f t="shared" si="6"/>
        <v>28145.244538569641</v>
      </c>
      <c r="Q223" s="25">
        <f t="array" aca="1" ref="Q223" ca="1">INDEX('Isaac 401k'!L:L,MATCH('Retirement Calculator'!A223,'Isaac 401k'!N:N,0),0)</f>
        <v>1596730.8218209473</v>
      </c>
      <c r="R223" s="25">
        <f t="array" aca="1" ref="R223" ca="1">INDEX('Lorri 401b'!L:L,MATCH('Retirement Calculator'!A223,'Lorri 401b'!N:N,0),0)</f>
        <v>3861782.6710392274</v>
      </c>
      <c r="S223" s="25">
        <f t="shared" ca="1" si="7"/>
        <v>5458513.4928601747</v>
      </c>
    </row>
    <row r="224" spans="1:19" ht="15.75" customHeight="1" x14ac:dyDescent="0.3">
      <c r="A224" s="37">
        <v>57770</v>
      </c>
      <c r="B224" s="409">
        <f t="shared" ref="B224:C224" si="220">($A224-B$9)/365.25</f>
        <v>76.28747433264887</v>
      </c>
      <c r="C224" s="409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3525.4531757812501</v>
      </c>
      <c r="H224" s="25">
        <f>IF(B224&lt;62,0,'Combined Retirement'!$I$14)</f>
        <v>2192</v>
      </c>
      <c r="I224" s="25">
        <f>IF(C224&lt;62,0,'Combined Retirement'!$I$13)</f>
        <v>2420</v>
      </c>
      <c r="J224" s="25">
        <f t="shared" si="3"/>
        <v>7863.2184191855868</v>
      </c>
      <c r="K224" s="25">
        <f t="shared" si="4"/>
        <v>20282.026119384056</v>
      </c>
      <c r="L224" s="25"/>
      <c r="N224" s="25">
        <f>'Combined Retirement'!$C$18/12</f>
        <v>39153.069999999992</v>
      </c>
      <c r="O224" s="25">
        <f t="shared" si="5"/>
        <v>11007.82546143035</v>
      </c>
      <c r="P224" s="25">
        <f t="shared" si="6"/>
        <v>28145.244538569641</v>
      </c>
      <c r="Q224" s="25">
        <f t="array" aca="1" ref="Q224" ca="1">INDEX('Isaac 401k'!L:L,MATCH('Retirement Calculator'!A224,'Isaac 401k'!N:N,0),0)</f>
        <v>1595487.8850826025</v>
      </c>
      <c r="R224" s="25">
        <f t="array" aca="1" ref="R224" ca="1">INDEX('Lorri 401b'!L:L,MATCH('Retirement Calculator'!A224,'Lorri 401b'!N:N,0),0)</f>
        <v>3857506.8976070094</v>
      </c>
      <c r="S224" s="25">
        <f t="shared" ca="1" si="7"/>
        <v>5452994.7826896124</v>
      </c>
    </row>
    <row r="225" spans="1:19" ht="15.75" customHeight="1" x14ac:dyDescent="0.3">
      <c r="A225" s="37">
        <v>57801</v>
      </c>
      <c r="B225" s="409">
        <f t="shared" ref="B225:C225" si="221">($A225-B$9)/365.25</f>
        <v>76.372347707049968</v>
      </c>
      <c r="C225" s="409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3525.4531757812501</v>
      </c>
      <c r="H225" s="25">
        <f>IF(B225&lt;62,0,'Combined Retirement'!$I$14)</f>
        <v>2192</v>
      </c>
      <c r="I225" s="25">
        <f>IF(C225&lt;62,0,'Combined Retirement'!$I$13)</f>
        <v>2420</v>
      </c>
      <c r="J225" s="25">
        <f t="shared" si="3"/>
        <v>7863.2184191855868</v>
      </c>
      <c r="K225" s="25">
        <f t="shared" si="4"/>
        <v>20282.026119384056</v>
      </c>
      <c r="L225" s="25"/>
      <c r="N225" s="25">
        <f>'Combined Retirement'!$C$18/12</f>
        <v>39153.069999999992</v>
      </c>
      <c r="O225" s="25">
        <f t="shared" si="5"/>
        <v>11007.82546143035</v>
      </c>
      <c r="P225" s="25">
        <f t="shared" si="6"/>
        <v>28145.244538569641</v>
      </c>
      <c r="Q225" s="25">
        <f t="array" aca="1" ref="Q225" ca="1">INDEX('Isaac 401k'!L:L,MATCH('Retirement Calculator'!A225,'Isaac 401k'!N:N,0),0)</f>
        <v>1594239.7694411811</v>
      </c>
      <c r="R225" s="25">
        <f t="array" aca="1" ref="R225" ca="1">INDEX('Lorri 401b'!L:L,MATCH('Retirement Calculator'!A225,'Lorri 401b'!N:N,0),0)</f>
        <v>3853213.3084521573</v>
      </c>
      <c r="S225" s="25">
        <f t="shared" ca="1" si="7"/>
        <v>5447453.0778933382</v>
      </c>
    </row>
    <row r="226" spans="1:19" ht="15.75" customHeight="1" x14ac:dyDescent="0.3">
      <c r="A226" s="37">
        <v>57831</v>
      </c>
      <c r="B226" s="409">
        <f t="shared" ref="B226:C226" si="222">($A226-B$9)/365.25</f>
        <v>76.454483230663925</v>
      </c>
      <c r="C226" s="409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3525.4531757812501</v>
      </c>
      <c r="H226" s="25">
        <f>IF(B226&lt;62,0,'Combined Retirement'!$I$14)</f>
        <v>2192</v>
      </c>
      <c r="I226" s="25">
        <f>IF(C226&lt;62,0,'Combined Retirement'!$I$13)</f>
        <v>2420</v>
      </c>
      <c r="J226" s="25">
        <f t="shared" si="3"/>
        <v>7863.2184191855868</v>
      </c>
      <c r="K226" s="25">
        <f t="shared" si="4"/>
        <v>20282.026119384056</v>
      </c>
      <c r="L226" s="25"/>
      <c r="N226" s="25">
        <f>'Combined Retirement'!$C$18/12</f>
        <v>39153.069999999992</v>
      </c>
      <c r="O226" s="25">
        <f t="shared" si="5"/>
        <v>11007.82546143035</v>
      </c>
      <c r="P226" s="25">
        <f t="shared" si="6"/>
        <v>28145.244538569641</v>
      </c>
      <c r="Q226" s="25">
        <f t="array" aca="1" ref="Q226" ca="1">INDEX('Isaac 401k'!L:L,MATCH('Retirement Calculator'!A226,'Isaac 401k'!N:N,0),0)</f>
        <v>1592986.4533179204</v>
      </c>
      <c r="R226" s="25">
        <f t="array" aca="1" ref="R226" ca="1">INDEX('Lorri 401b'!L:L,MATCH('Retirement Calculator'!A226,'Lorri 401b'!N:N,0),0)</f>
        <v>3848901.8293424933</v>
      </c>
      <c r="S226" s="25">
        <f t="shared" ca="1" si="7"/>
        <v>5441888.2826604135</v>
      </c>
    </row>
    <row r="227" spans="1:19" ht="15.75" customHeight="1" x14ac:dyDescent="0.3">
      <c r="A227" s="37">
        <v>57862</v>
      </c>
      <c r="B227" s="409">
        <f t="shared" ref="B227:C227" si="223">($A227-B$9)/365.25</f>
        <v>76.539356605065024</v>
      </c>
      <c r="C227" s="409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3525.4531757812501</v>
      </c>
      <c r="H227" s="25">
        <f>IF(B227&lt;62,0,'Combined Retirement'!$I$14)</f>
        <v>2192</v>
      </c>
      <c r="I227" s="25">
        <f>IF(C227&lt;62,0,'Combined Retirement'!$I$13)</f>
        <v>2420</v>
      </c>
      <c r="J227" s="25">
        <f t="shared" si="3"/>
        <v>7863.2184191855868</v>
      </c>
      <c r="K227" s="25">
        <f t="shared" si="4"/>
        <v>20282.026119384056</v>
      </c>
      <c r="L227" s="25"/>
      <c r="N227" s="25">
        <f>'Combined Retirement'!$C$18/12</f>
        <v>39153.069999999992</v>
      </c>
      <c r="O227" s="25">
        <f t="shared" si="5"/>
        <v>11007.82546143035</v>
      </c>
      <c r="P227" s="25">
        <f t="shared" si="6"/>
        <v>28145.244538569641</v>
      </c>
      <c r="Q227" s="25">
        <f t="array" aca="1" ref="Q227" ca="1">INDEX('Isaac 401k'!L:L,MATCH('Retirement Calculator'!A227,'Isaac 401k'!N:N,0),0)</f>
        <v>1591727.9150441461</v>
      </c>
      <c r="R227" s="25">
        <f t="array" aca="1" ref="R227" ca="1">INDEX('Lorri 401b'!L:L,MATCH('Retirement Calculator'!A227,'Lorri 401b'!N:N,0),0)</f>
        <v>3844572.385736539</v>
      </c>
      <c r="S227" s="25">
        <f t="shared" ca="1" si="7"/>
        <v>5436300.3007806856</v>
      </c>
    </row>
    <row r="228" spans="1:19" ht="15.75" customHeight="1" x14ac:dyDescent="0.3">
      <c r="A228" s="37">
        <v>57892</v>
      </c>
      <c r="B228" s="409">
        <f t="shared" ref="B228:C228" si="224">($A228-B$9)/365.25</f>
        <v>76.62149212867898</v>
      </c>
      <c r="C228" s="409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3525.4531757812501</v>
      </c>
      <c r="H228" s="25">
        <f>IF(B228&lt;62,0,'Combined Retirement'!$I$14)</f>
        <v>2192</v>
      </c>
      <c r="I228" s="25">
        <f>IF(C228&lt;62,0,'Combined Retirement'!$I$13)</f>
        <v>2420</v>
      </c>
      <c r="J228" s="25">
        <f t="shared" si="3"/>
        <v>7863.2184191855868</v>
      </c>
      <c r="K228" s="25">
        <f t="shared" si="4"/>
        <v>20282.026119384056</v>
      </c>
      <c r="L228" s="25"/>
      <c r="N228" s="25">
        <f>'Combined Retirement'!$C$18/12</f>
        <v>39153.069999999992</v>
      </c>
      <c r="O228" s="25">
        <f t="shared" si="5"/>
        <v>11007.82546143035</v>
      </c>
      <c r="P228" s="25">
        <f t="shared" si="6"/>
        <v>28145.244538569641</v>
      </c>
      <c r="Q228" s="25">
        <f t="array" aca="1" ref="Q228" ca="1">INDEX('Isaac 401k'!L:L,MATCH('Retirement Calculator'!A228,'Isaac 401k'!N:N,0),0)</f>
        <v>1590464.1328608978</v>
      </c>
      <c r="R228" s="25">
        <f t="array" aca="1" ref="R228" ca="1">INDEX('Lorri 401b'!L:L,MATCH('Retirement Calculator'!A228,'Lorri 401b'!N:N,0),0)</f>
        <v>3840224.9027822264</v>
      </c>
      <c r="S228" s="25">
        <f t="shared" ca="1" si="7"/>
        <v>5430689.035643124</v>
      </c>
    </row>
    <row r="229" spans="1:19" ht="15.75" customHeight="1" x14ac:dyDescent="0.3">
      <c r="A229" s="37">
        <v>57923</v>
      </c>
      <c r="B229" s="409">
        <f t="shared" ref="B229:C229" si="225">($A229-B$9)/365.25</f>
        <v>76.706365503080079</v>
      </c>
      <c r="C229" s="409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3525.4531757812501</v>
      </c>
      <c r="H229" s="25">
        <f>IF(B229&lt;62,0,'Combined Retirement'!$I$14)</f>
        <v>2192</v>
      </c>
      <c r="I229" s="25">
        <f>IF(C229&lt;62,0,'Combined Retirement'!$I$13)</f>
        <v>2420</v>
      </c>
      <c r="J229" s="25">
        <f t="shared" si="3"/>
        <v>7863.2184191855868</v>
      </c>
      <c r="K229" s="25">
        <f t="shared" si="4"/>
        <v>20282.026119384056</v>
      </c>
      <c r="L229" s="25"/>
      <c r="N229" s="25">
        <f>'Combined Retirement'!$C$18/12</f>
        <v>39153.069999999992</v>
      </c>
      <c r="O229" s="25">
        <f t="shared" si="5"/>
        <v>11007.82546143035</v>
      </c>
      <c r="P229" s="25">
        <f t="shared" si="6"/>
        <v>28145.244538569641</v>
      </c>
      <c r="Q229" s="25">
        <f t="array" aca="1" ref="Q229" ca="1">INDEX('Isaac 401k'!L:L,MATCH('Retirement Calculator'!A229,'Isaac 401k'!N:N,0),0)</f>
        <v>1589195.0849185528</v>
      </c>
      <c r="R229" s="25">
        <f t="array" aca="1" ref="R229" ca="1">INDEX('Lorri 401b'!L:L,MATCH('Retirement Calculator'!A229,'Lorri 401b'!N:N,0),0)</f>
        <v>3835859.3053156044</v>
      </c>
      <c r="S229" s="25">
        <f t="shared" ca="1" si="7"/>
        <v>5425054.3902341574</v>
      </c>
    </row>
    <row r="230" spans="1:19" ht="15.75" customHeight="1" x14ac:dyDescent="0.3">
      <c r="A230" s="37">
        <v>57954</v>
      </c>
      <c r="B230" s="409">
        <f t="shared" ref="B230:C230" si="226">($A230-B$9)/365.25</f>
        <v>76.791238877481177</v>
      </c>
      <c r="C230" s="409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3525.4531757812501</v>
      </c>
      <c r="H230" s="25">
        <f>IF(B230&lt;62,0,'Combined Retirement'!$I$14)</f>
        <v>2192</v>
      </c>
      <c r="I230" s="25">
        <f>IF(C230&lt;62,0,'Combined Retirement'!$I$13)</f>
        <v>2420</v>
      </c>
      <c r="J230" s="25">
        <f t="shared" si="3"/>
        <v>7863.2184191855868</v>
      </c>
      <c r="K230" s="25">
        <f t="shared" si="4"/>
        <v>20282.026119384056</v>
      </c>
      <c r="L230" s="25"/>
      <c r="N230" s="25">
        <f>'Combined Retirement'!$C$18/12</f>
        <v>39153.069999999992</v>
      </c>
      <c r="O230" s="25">
        <f t="shared" si="5"/>
        <v>11007.82546143035</v>
      </c>
      <c r="P230" s="25">
        <f t="shared" si="6"/>
        <v>28145.244538569641</v>
      </c>
      <c r="Q230" s="25">
        <f t="array" aca="1" ref="Q230" ca="1">INDEX('Isaac 401k'!L:L,MATCH('Retirement Calculator'!A230,'Isaac 401k'!N:N,0),0)</f>
        <v>1587920.7492764478</v>
      </c>
      <c r="R230" s="25">
        <f t="array" aca="1" ref="R230" ca="1">INDEX('Lorri 401b'!L:L,MATCH('Retirement Calculator'!A230,'Lorri 401b'!N:N,0),0)</f>
        <v>3831475.5178595381</v>
      </c>
      <c r="S230" s="25">
        <f t="shared" ca="1" si="7"/>
        <v>5419396.2671359861</v>
      </c>
    </row>
    <row r="231" spans="1:19" ht="15.75" customHeight="1" x14ac:dyDescent="0.3">
      <c r="A231" s="37">
        <v>57984</v>
      </c>
      <c r="B231" s="409">
        <f t="shared" ref="B231:C231" si="227">($A231-B$9)/365.25</f>
        <v>76.873374401095134</v>
      </c>
      <c r="C231" s="409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3525.4531757812501</v>
      </c>
      <c r="H231" s="25">
        <f>IF(B231&lt;62,0,'Combined Retirement'!$I$14)</f>
        <v>2192</v>
      </c>
      <c r="I231" s="25">
        <f>IF(C231&lt;62,0,'Combined Retirement'!$I$13)</f>
        <v>2420</v>
      </c>
      <c r="J231" s="25">
        <f t="shared" si="3"/>
        <v>7863.2184191855868</v>
      </c>
      <c r="K231" s="25">
        <f t="shared" si="4"/>
        <v>20282.026119384056</v>
      </c>
      <c r="L231" s="25"/>
      <c r="N231" s="25">
        <f>'Combined Retirement'!$C$18/12</f>
        <v>39153.069999999992</v>
      </c>
      <c r="O231" s="25">
        <f t="shared" si="5"/>
        <v>11007.82546143035</v>
      </c>
      <c r="P231" s="25">
        <f t="shared" si="6"/>
        <v>28145.244538569641</v>
      </c>
      <c r="Q231" s="25">
        <f t="array" aca="1" ref="Q231" ca="1">INDEX('Isaac 401k'!L:L,MATCH('Retirement Calculator'!A231,'Isaac 401k'!N:N,0),0)</f>
        <v>1586641.1039025008</v>
      </c>
      <c r="R231" s="25">
        <f t="array" aca="1" ref="R231" ca="1">INDEX('Lorri 401b'!L:L,MATCH('Retirement Calculator'!A231,'Lorri 401b'!N:N,0),0)</f>
        <v>3827073.4646224049</v>
      </c>
      <c r="S231" s="25">
        <f t="shared" ca="1" si="7"/>
        <v>5413714.5685249055</v>
      </c>
    </row>
    <row r="232" spans="1:19" ht="15.75" customHeight="1" x14ac:dyDescent="0.3">
      <c r="A232" s="37">
        <v>58015</v>
      </c>
      <c r="B232" s="409">
        <f t="shared" ref="B232:C232" si="228">($A232-B$9)/365.25</f>
        <v>76.958247775496233</v>
      </c>
      <c r="C232" s="409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3525.4531757812501</v>
      </c>
      <c r="H232" s="25">
        <f>IF(B232&lt;62,0,'Combined Retirement'!$I$14)</f>
        <v>2192</v>
      </c>
      <c r="I232" s="25">
        <f>IF(C232&lt;62,0,'Combined Retirement'!$I$13)</f>
        <v>2420</v>
      </c>
      <c r="J232" s="25">
        <f t="shared" si="3"/>
        <v>7863.2184191855868</v>
      </c>
      <c r="K232" s="25">
        <f t="shared" si="4"/>
        <v>20282.026119384056</v>
      </c>
      <c r="L232" s="25"/>
      <c r="N232" s="25">
        <f>'Combined Retirement'!$C$18/12</f>
        <v>39153.069999999992</v>
      </c>
      <c r="O232" s="25">
        <f t="shared" si="5"/>
        <v>11007.82546143035</v>
      </c>
      <c r="P232" s="25">
        <f t="shared" si="6"/>
        <v>28145.244538569641</v>
      </c>
      <c r="Q232" s="25">
        <f t="array" aca="1" ref="Q232" ca="1">INDEX('Isaac 401k'!L:L,MATCH('Retirement Calculator'!A232,'Isaac 401k'!N:N,0),0)</f>
        <v>1585356.126672829</v>
      </c>
      <c r="R232" s="25">
        <f t="array" aca="1" ref="R232" ca="1">INDEX('Lorri 401b'!L:L,MATCH('Retirement Calculator'!A232,'Lorri 401b'!N:N,0),0)</f>
        <v>3822653.0694967834</v>
      </c>
      <c r="S232" s="25">
        <f t="shared" ca="1" si="7"/>
        <v>5408009.1961696129</v>
      </c>
    </row>
    <row r="233" spans="1:19" ht="15.75" customHeight="1" x14ac:dyDescent="0.3">
      <c r="A233" s="37">
        <v>58045</v>
      </c>
      <c r="B233" s="409">
        <f t="shared" ref="B233:C233" si="229">($A233-B$9)/365.25</f>
        <v>77.040383299110204</v>
      </c>
      <c r="C233" s="409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3525.4531757812501</v>
      </c>
      <c r="H233" s="25">
        <f>IF(B233&lt;62,0,'Combined Retirement'!$I$14)</f>
        <v>2192</v>
      </c>
      <c r="I233" s="25">
        <f>IF(C233&lt;62,0,'Combined Retirement'!$I$13)</f>
        <v>2420</v>
      </c>
      <c r="J233" s="25">
        <f t="shared" si="3"/>
        <v>7863.2184191855868</v>
      </c>
      <c r="K233" s="25">
        <f t="shared" si="4"/>
        <v>20282.026119384056</v>
      </c>
      <c r="L233" s="25"/>
      <c r="N233" s="25">
        <f>'Combined Retirement'!$C$18/12</f>
        <v>39153.069999999992</v>
      </c>
      <c r="O233" s="25">
        <f t="shared" si="5"/>
        <v>11007.82546143035</v>
      </c>
      <c r="P233" s="25">
        <f t="shared" si="6"/>
        <v>28145.244538569641</v>
      </c>
      <c r="Q233" s="25">
        <f t="array" aca="1" ref="Q233" ca="1">INDEX('Isaac 401k'!L:L,MATCH('Retirement Calculator'!A233,'Isaac 401k'!N:N,0),0)</f>
        <v>1584065.7953713669</v>
      </c>
      <c r="R233" s="25">
        <f t="array" aca="1" ref="R233" ca="1">INDEX('Lorri 401b'!L:L,MATCH('Retirement Calculator'!A233,'Lorri 401b'!N:N,0),0)</f>
        <v>3818214.2560581388</v>
      </c>
      <c r="S233" s="25">
        <f t="shared" ca="1" si="7"/>
        <v>5402280.0514295055</v>
      </c>
    </row>
    <row r="234" spans="1:19" ht="15.75" customHeight="1" x14ac:dyDescent="0.3">
      <c r="A234" s="37">
        <v>58076</v>
      </c>
      <c r="B234" s="409">
        <f t="shared" ref="B234:C234" si="230">($A234-B$9)/365.25</f>
        <v>77.125256673511288</v>
      </c>
      <c r="C234" s="409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3525.4531757812501</v>
      </c>
      <c r="H234" s="25">
        <f>IF(B234&lt;62,0,'Combined Retirement'!$I$14)</f>
        <v>2192</v>
      </c>
      <c r="I234" s="25">
        <f>IF(C234&lt;62,0,'Combined Retirement'!$I$13)</f>
        <v>2420</v>
      </c>
      <c r="J234" s="25">
        <f t="shared" si="3"/>
        <v>7863.2184191855868</v>
      </c>
      <c r="K234" s="25">
        <f t="shared" si="4"/>
        <v>20282.026119384056</v>
      </c>
      <c r="L234" s="25"/>
      <c r="N234" s="25">
        <f>'Combined Retirement'!$C$18/12</f>
        <v>39153.069999999992</v>
      </c>
      <c r="O234" s="25">
        <f t="shared" si="5"/>
        <v>11007.82546143035</v>
      </c>
      <c r="P234" s="25">
        <f t="shared" si="6"/>
        <v>28145.244538569641</v>
      </c>
      <c r="Q234" s="25">
        <f t="array" aca="1" ref="Q234" ca="1">INDEX('Isaac 401k'!L:L,MATCH('Retirement Calculator'!A234,'Isaac 401k'!N:N,0),0)</f>
        <v>1582770.0876894821</v>
      </c>
      <c r="R234" s="25">
        <f t="array" aca="1" ref="R234" ca="1">INDEX('Lorri 401b'!L:L,MATCH('Retirement Calculator'!A234,'Lorri 401b'!N:N,0),0)</f>
        <v>3813756.9475634997</v>
      </c>
      <c r="S234" s="25">
        <f t="shared" ca="1" si="7"/>
        <v>5396527.0352529818</v>
      </c>
    </row>
    <row r="235" spans="1:19" ht="15.75" customHeight="1" x14ac:dyDescent="0.3">
      <c r="A235" s="37">
        <v>58107</v>
      </c>
      <c r="B235" s="409">
        <f t="shared" ref="B235:C235" si="231">($A235-B$9)/365.25</f>
        <v>77.210130047912386</v>
      </c>
      <c r="C235" s="409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3525.4531757812501</v>
      </c>
      <c r="H235" s="25">
        <f>IF(B235&lt;62,0,'Combined Retirement'!$I$14)</f>
        <v>2192</v>
      </c>
      <c r="I235" s="25">
        <f>IF(C235&lt;62,0,'Combined Retirement'!$I$13)</f>
        <v>2420</v>
      </c>
      <c r="J235" s="25">
        <f t="shared" si="3"/>
        <v>7863.2184191855868</v>
      </c>
      <c r="K235" s="25">
        <f t="shared" si="4"/>
        <v>20282.026119384056</v>
      </c>
      <c r="L235" s="25"/>
      <c r="N235" s="25">
        <f>'Combined Retirement'!$C$18/12</f>
        <v>39153.069999999992</v>
      </c>
      <c r="O235" s="25">
        <f t="shared" si="5"/>
        <v>11007.82546143035</v>
      </c>
      <c r="P235" s="25">
        <f t="shared" si="6"/>
        <v>28145.244538569641</v>
      </c>
      <c r="Q235" s="25">
        <f t="array" aca="1" ref="Q235" ca="1">INDEX('Isaac 401k'!L:L,MATCH('Retirement Calculator'!A235,'Isaac 401k'!N:N,0),0)</f>
        <v>1581468.9812255895</v>
      </c>
      <c r="R235" s="25">
        <f t="array" aca="1" ref="R235" ca="1">INDEX('Lorri 401b'!L:L,MATCH('Retirement Calculator'!A235,'Lorri 401b'!N:N,0),0)</f>
        <v>3809281.0669501331</v>
      </c>
      <c r="S235" s="25">
        <f t="shared" ca="1" si="7"/>
        <v>5390750.0481757224</v>
      </c>
    </row>
    <row r="236" spans="1:19" ht="15.75" customHeight="1" x14ac:dyDescent="0.3">
      <c r="A236" s="37">
        <v>58135</v>
      </c>
      <c r="B236" s="409">
        <f t="shared" ref="B236:C236" si="232">($A236-B$9)/365.25</f>
        <v>77.286789869952088</v>
      </c>
      <c r="C236" s="409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3525.4531757812501</v>
      </c>
      <c r="H236" s="25">
        <f>IF(B236&lt;62,0,'Combined Retirement'!$I$14)</f>
        <v>2192</v>
      </c>
      <c r="I236" s="25">
        <f>IF(C236&lt;62,0,'Combined Retirement'!$I$13)</f>
        <v>2420</v>
      </c>
      <c r="J236" s="25">
        <f t="shared" si="3"/>
        <v>7863.2184191855868</v>
      </c>
      <c r="K236" s="25">
        <f t="shared" si="4"/>
        <v>20282.026119384056</v>
      </c>
      <c r="L236" s="25"/>
      <c r="N236" s="25">
        <f>'Combined Retirement'!$C$18/12</f>
        <v>39153.069999999992</v>
      </c>
      <c r="O236" s="25">
        <f t="shared" si="5"/>
        <v>11007.82546143035</v>
      </c>
      <c r="P236" s="25">
        <f t="shared" si="6"/>
        <v>28145.244538569641</v>
      </c>
      <c r="Q236" s="25">
        <f t="array" aca="1" ref="Q236" ca="1">INDEX('Isaac 401k'!L:L,MATCH('Retirement Calculator'!A236,'Isaac 401k'!N:N,0),0)</f>
        <v>1580162.4534847639</v>
      </c>
      <c r="R236" s="25">
        <f t="array" aca="1" ref="R236" ca="1">INDEX('Lorri 401b'!L:L,MATCH('Retirement Calculator'!A236,'Lorri 401b'!N:N,0),0)</f>
        <v>3804786.5368342106</v>
      </c>
      <c r="S236" s="25">
        <f t="shared" ca="1" si="7"/>
        <v>5384948.9903189745</v>
      </c>
    </row>
    <row r="237" spans="1:19" ht="15.75" customHeight="1" x14ac:dyDescent="0.3">
      <c r="A237" s="37">
        <v>58166</v>
      </c>
      <c r="B237" s="409">
        <f t="shared" ref="B237:C237" si="233">($A237-B$9)/365.25</f>
        <v>77.371663244353186</v>
      </c>
      <c r="C237" s="409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3525.4531757812501</v>
      </c>
      <c r="H237" s="25">
        <f>IF(B237&lt;62,0,'Combined Retirement'!$I$14)</f>
        <v>2192</v>
      </c>
      <c r="I237" s="25">
        <f>IF(C237&lt;62,0,'Combined Retirement'!$I$13)</f>
        <v>2420</v>
      </c>
      <c r="J237" s="25">
        <f t="shared" si="3"/>
        <v>7863.2184191855868</v>
      </c>
      <c r="K237" s="25">
        <f t="shared" si="4"/>
        <v>20282.026119384056</v>
      </c>
      <c r="L237" s="25"/>
      <c r="N237" s="25">
        <f>'Combined Retirement'!$C$18/12</f>
        <v>39153.069999999992</v>
      </c>
      <c r="O237" s="25">
        <f t="shared" si="5"/>
        <v>11007.82546143035</v>
      </c>
      <c r="P237" s="25">
        <f t="shared" si="6"/>
        <v>28145.244538569641</v>
      </c>
      <c r="Q237" s="25">
        <f t="array" aca="1" ref="Q237" ca="1">INDEX('Isaac 401k'!L:L,MATCH('Retirement Calculator'!A237,'Isaac 401k'!N:N,0),0)</f>
        <v>1578850.4818783514</v>
      </c>
      <c r="R237" s="25">
        <f t="array" aca="1" ref="R237" ca="1">INDEX('Lorri 401b'!L:L,MATCH('Retirement Calculator'!A237,'Lorri 401b'!N:N,0),0)</f>
        <v>3800273.2795094717</v>
      </c>
      <c r="S237" s="25">
        <f t="shared" ca="1" si="7"/>
        <v>5379123.7613878231</v>
      </c>
    </row>
    <row r="238" spans="1:19" ht="15.75" customHeight="1" x14ac:dyDescent="0.3">
      <c r="A238" s="37">
        <v>58196</v>
      </c>
      <c r="B238" s="409">
        <f t="shared" ref="B238:C238" si="234">($A238-B$9)/365.25</f>
        <v>77.453798767967143</v>
      </c>
      <c r="C238" s="409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3525.4531757812501</v>
      </c>
      <c r="H238" s="25">
        <f>IF(B238&lt;62,0,'Combined Retirement'!$I$14)</f>
        <v>2192</v>
      </c>
      <c r="I238" s="25">
        <f>IF(C238&lt;62,0,'Combined Retirement'!$I$13)</f>
        <v>2420</v>
      </c>
      <c r="J238" s="25">
        <f t="shared" si="3"/>
        <v>7863.2184191855868</v>
      </c>
      <c r="K238" s="25">
        <f t="shared" si="4"/>
        <v>20282.026119384056</v>
      </c>
      <c r="L238" s="25"/>
      <c r="N238" s="25">
        <f>'Combined Retirement'!$C$18/12</f>
        <v>39153.069999999992</v>
      </c>
      <c r="O238" s="25">
        <f t="shared" si="5"/>
        <v>11007.82546143035</v>
      </c>
      <c r="P238" s="25">
        <f t="shared" si="6"/>
        <v>28145.244538569641</v>
      </c>
      <c r="Q238" s="25">
        <f t="array" aca="1" ref="Q238" ca="1">INDEX('Isaac 401k'!L:L,MATCH('Retirement Calculator'!A238,'Isaac 401k'!N:N,0),0)</f>
        <v>1577533.043723579</v>
      </c>
      <c r="R238" s="25">
        <f t="array" aca="1" ref="R238" ca="1">INDEX('Lorri 401b'!L:L,MATCH('Retirement Calculator'!A238,'Lorri 401b'!N:N,0),0)</f>
        <v>3795741.2169458796</v>
      </c>
      <c r="S238" s="25">
        <f t="shared" ca="1" si="7"/>
        <v>5373274.2606694587</v>
      </c>
    </row>
    <row r="239" spans="1:19" ht="15.75" customHeight="1" x14ac:dyDescent="0.3">
      <c r="A239" s="37">
        <v>58227</v>
      </c>
      <c r="B239" s="409">
        <f t="shared" ref="B239:C239" si="235">($A239-B$9)/365.25</f>
        <v>77.538672142368242</v>
      </c>
      <c r="C239" s="409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3525.4531757812501</v>
      </c>
      <c r="H239" s="25">
        <f>IF(B239&lt;62,0,'Combined Retirement'!$I$14)</f>
        <v>2192</v>
      </c>
      <c r="I239" s="25">
        <f>IF(C239&lt;62,0,'Combined Retirement'!$I$13)</f>
        <v>2420</v>
      </c>
      <c r="J239" s="25">
        <f t="shared" si="3"/>
        <v>7863.2184191855868</v>
      </c>
      <c r="K239" s="25">
        <f t="shared" si="4"/>
        <v>20282.026119384056</v>
      </c>
      <c r="L239" s="25"/>
      <c r="N239" s="25">
        <f>'Combined Retirement'!$C$18/12</f>
        <v>39153.069999999992</v>
      </c>
      <c r="O239" s="25">
        <f t="shared" si="5"/>
        <v>11007.82546143035</v>
      </c>
      <c r="P239" s="25">
        <f t="shared" si="6"/>
        <v>28145.244538569641</v>
      </c>
      <c r="Q239" s="25">
        <f t="array" aca="1" ref="Q239" ca="1">INDEX('Isaac 401k'!L:L,MATCH('Retirement Calculator'!A239,'Isaac 401k'!N:N,0),0)</f>
        <v>1576210.1162431617</v>
      </c>
      <c r="R239" s="25">
        <f t="array" aca="1" ref="R239" ca="1">INDEX('Lorri 401b'!L:L,MATCH('Retirement Calculator'!A239,'Lorri 401b'!N:N,0),0)</f>
        <v>3791190.2707882728</v>
      </c>
      <c r="S239" s="25">
        <f t="shared" ca="1" si="7"/>
        <v>5367400.3870314341</v>
      </c>
    </row>
    <row r="240" spans="1:19" ht="15.75" customHeight="1" x14ac:dyDescent="0.3">
      <c r="A240" s="37">
        <v>58257</v>
      </c>
      <c r="B240" s="409">
        <f t="shared" ref="B240:C240" si="236">($A240-B$9)/365.25</f>
        <v>77.620807665982198</v>
      </c>
      <c r="C240" s="409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3525.4531757812501</v>
      </c>
      <c r="H240" s="25">
        <f>IF(B240&lt;62,0,'Combined Retirement'!$I$14)</f>
        <v>2192</v>
      </c>
      <c r="I240" s="25">
        <f>IF(C240&lt;62,0,'Combined Retirement'!$I$13)</f>
        <v>2420</v>
      </c>
      <c r="J240" s="25">
        <f t="shared" si="3"/>
        <v>7863.2184191855868</v>
      </c>
      <c r="K240" s="25">
        <f t="shared" si="4"/>
        <v>20282.026119384056</v>
      </c>
      <c r="L240" s="25"/>
      <c r="N240" s="25">
        <f>'Combined Retirement'!$C$18/12</f>
        <v>39153.069999999992</v>
      </c>
      <c r="O240" s="25">
        <f t="shared" si="5"/>
        <v>11007.82546143035</v>
      </c>
      <c r="P240" s="25">
        <f t="shared" si="6"/>
        <v>28145.244538569641</v>
      </c>
      <c r="Q240" s="25">
        <f t="array" aca="1" ref="Q240" ca="1">INDEX('Isaac 401k'!L:L,MATCH('Retirement Calculator'!A240,'Isaac 401k'!N:N,0),0)</f>
        <v>1574881.6765649093</v>
      </c>
      <c r="R240" s="25">
        <f t="array" aca="1" ref="R240" ca="1">INDEX('Lorri 401b'!L:L,MATCH('Retirement Calculator'!A240,'Lorri 401b'!N:N,0),0)</f>
        <v>3786620.3623550092</v>
      </c>
      <c r="S240" s="25">
        <f t="shared" ca="1" si="7"/>
        <v>5361502.0389199182</v>
      </c>
    </row>
    <row r="241" spans="1:19" ht="15.75" customHeight="1" x14ac:dyDescent="0.3">
      <c r="A241" s="37">
        <v>58288</v>
      </c>
      <c r="B241" s="409">
        <f t="shared" ref="B241:C241" si="237">($A241-B$9)/365.25</f>
        <v>77.705681040383297</v>
      </c>
      <c r="C241" s="409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3525.4531757812501</v>
      </c>
      <c r="H241" s="25">
        <f>IF(B241&lt;62,0,'Combined Retirement'!$I$14)</f>
        <v>2192</v>
      </c>
      <c r="I241" s="25">
        <f>IF(C241&lt;62,0,'Combined Retirement'!$I$13)</f>
        <v>2420</v>
      </c>
      <c r="J241" s="25">
        <f t="shared" si="3"/>
        <v>7863.2184191855868</v>
      </c>
      <c r="K241" s="25">
        <f t="shared" si="4"/>
        <v>20282.026119384056</v>
      </c>
      <c r="L241" s="25"/>
      <c r="N241" s="25">
        <f>'Combined Retirement'!$C$18/12</f>
        <v>39153.069999999992</v>
      </c>
      <c r="O241" s="25">
        <f t="shared" si="5"/>
        <v>11007.82546143035</v>
      </c>
      <c r="P241" s="25">
        <f t="shared" si="6"/>
        <v>28145.244538569641</v>
      </c>
      <c r="Q241" s="25">
        <f t="array" aca="1" ref="Q241" ca="1">INDEX('Isaac 401k'!L:L,MATCH('Retirement Calculator'!A241,'Isaac 401k'!N:N,0),0)</f>
        <v>1573547.7017213309</v>
      </c>
      <c r="R241" s="25">
        <f t="array" aca="1" ref="R241" ca="1">INDEX('Lorri 401b'!L:L,MATCH('Retirement Calculator'!A241,'Lorri 401b'!N:N,0),0)</f>
        <v>3782031.412636607</v>
      </c>
      <c r="S241" s="25">
        <f t="shared" ca="1" si="7"/>
        <v>5355579.1143579381</v>
      </c>
    </row>
    <row r="242" spans="1:19" ht="15.75" customHeight="1" x14ac:dyDescent="0.3">
      <c r="A242" s="37">
        <v>58319</v>
      </c>
      <c r="B242" s="409">
        <f t="shared" ref="B242:C242" si="238">($A242-B$9)/365.25</f>
        <v>77.790554414784395</v>
      </c>
      <c r="C242" s="409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3525.4531757812501</v>
      </c>
      <c r="H242" s="25">
        <f>IF(B242&lt;62,0,'Combined Retirement'!$I$14)</f>
        <v>2192</v>
      </c>
      <c r="I242" s="25">
        <f>IF(C242&lt;62,0,'Combined Retirement'!$I$13)</f>
        <v>2420</v>
      </c>
      <c r="J242" s="25">
        <f t="shared" si="3"/>
        <v>7863.2184191855868</v>
      </c>
      <c r="K242" s="25">
        <f t="shared" si="4"/>
        <v>20282.026119384056</v>
      </c>
      <c r="L242" s="25"/>
      <c r="N242" s="25">
        <f>'Combined Retirement'!$C$18/12</f>
        <v>39153.069999999992</v>
      </c>
      <c r="O242" s="25">
        <f t="shared" si="5"/>
        <v>11007.82546143035</v>
      </c>
      <c r="P242" s="25">
        <f t="shared" si="6"/>
        <v>28145.244538569641</v>
      </c>
      <c r="Q242" s="25">
        <f t="array" aca="1" ref="Q242" ca="1">INDEX('Isaac 401k'!L:L,MATCH('Retirement Calculator'!A242,'Isaac 401k'!N:N,0),0)</f>
        <v>1572208.1686492376</v>
      </c>
      <c r="R242" s="25">
        <f t="array" aca="1" ref="R242" ca="1">INDEX('Lorri 401b'!L:L,MATCH('Retirement Calculator'!A242,'Lorri 401b'!N:N,0),0)</f>
        <v>3777423.3422943782</v>
      </c>
      <c r="S242" s="25">
        <f t="shared" ca="1" si="7"/>
        <v>5349631.5109436158</v>
      </c>
    </row>
    <row r="243" spans="1:19" ht="15.75" customHeight="1" x14ac:dyDescent="0.3">
      <c r="A243" s="37">
        <v>58349</v>
      </c>
      <c r="B243" s="409">
        <f t="shared" ref="B243:C243" si="239">($A243-B$9)/365.25</f>
        <v>77.872689938398352</v>
      </c>
      <c r="C243" s="409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3525.4531757812501</v>
      </c>
      <c r="H243" s="25">
        <f>IF(B243&lt;62,0,'Combined Retirement'!$I$14)</f>
        <v>2192</v>
      </c>
      <c r="I243" s="25">
        <f>IF(C243&lt;62,0,'Combined Retirement'!$I$13)</f>
        <v>2420</v>
      </c>
      <c r="J243" s="25">
        <f t="shared" si="3"/>
        <v>7863.2184191855868</v>
      </c>
      <c r="K243" s="25">
        <f t="shared" si="4"/>
        <v>20282.026119384056</v>
      </c>
      <c r="L243" s="25"/>
      <c r="N243" s="25">
        <f>'Combined Retirement'!$C$18/12</f>
        <v>39153.069999999992</v>
      </c>
      <c r="O243" s="25">
        <f t="shared" si="5"/>
        <v>11007.82546143035</v>
      </c>
      <c r="P243" s="25">
        <f t="shared" si="6"/>
        <v>28145.244538569641</v>
      </c>
      <c r="Q243" s="25">
        <f t="array" aca="1" ref="Q243" ca="1">INDEX('Isaac 401k'!L:L,MATCH('Retirement Calculator'!A243,'Isaac 401k'!N:N,0),0)</f>
        <v>1570863.0541893439</v>
      </c>
      <c r="R243" s="25">
        <f t="array" aca="1" ref="R243" ca="1">INDEX('Lorri 401b'!L:L,MATCH('Retirement Calculator'!A243,'Lorri 401b'!N:N,0),0)</f>
        <v>3772796.0716590565</v>
      </c>
      <c r="S243" s="25">
        <f t="shared" ca="1" si="7"/>
        <v>5343659.1258484004</v>
      </c>
    </row>
    <row r="244" spans="1:19" ht="15.75" customHeight="1" x14ac:dyDescent="0.3">
      <c r="A244" s="37">
        <v>58380</v>
      </c>
      <c r="B244" s="409">
        <f t="shared" ref="B244:C244" si="240">($A244-B$9)/365.25</f>
        <v>77.957563312799451</v>
      </c>
      <c r="C244" s="409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3525.4531757812501</v>
      </c>
      <c r="H244" s="25">
        <f>IF(B244&lt;62,0,'Combined Retirement'!$I$14)</f>
        <v>2192</v>
      </c>
      <c r="I244" s="25">
        <f>IF(C244&lt;62,0,'Combined Retirement'!$I$13)</f>
        <v>2420</v>
      </c>
      <c r="J244" s="25">
        <f t="shared" si="3"/>
        <v>7863.2184191855868</v>
      </c>
      <c r="K244" s="25">
        <f t="shared" si="4"/>
        <v>20282.026119384056</v>
      </c>
      <c r="L244" s="25"/>
      <c r="N244" s="25">
        <f>'Combined Retirement'!$C$18/12</f>
        <v>39153.069999999992</v>
      </c>
      <c r="O244" s="25">
        <f t="shared" si="5"/>
        <v>11007.82546143035</v>
      </c>
      <c r="P244" s="25">
        <f t="shared" si="6"/>
        <v>28145.244538569641</v>
      </c>
      <c r="Q244" s="25">
        <f t="array" aca="1" ref="Q244" ca="1">INDEX('Isaac 401k'!L:L,MATCH('Retirement Calculator'!A244,'Isaac 401k'!N:N,0),0)</f>
        <v>1569512.3350858674</v>
      </c>
      <c r="R244" s="25">
        <f t="array" aca="1" ref="R244" ca="1">INDEX('Lorri 401b'!L:L,MATCH('Retirement Calculator'!A244,'Lorri 401b'!N:N,0),0)</f>
        <v>3768149.5207294212</v>
      </c>
      <c r="S244" s="25">
        <f t="shared" ca="1" si="7"/>
        <v>5337661.8558152886</v>
      </c>
    </row>
    <row r="245" spans="1:19" ht="15.75" customHeight="1" x14ac:dyDescent="0.3">
      <c r="A245" s="37">
        <v>58410</v>
      </c>
      <c r="B245" s="409">
        <f t="shared" ref="B245:C245" si="241">($A245-B$9)/365.25</f>
        <v>78.039698836413422</v>
      </c>
      <c r="C245" s="409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3525.4531757812501</v>
      </c>
      <c r="H245" s="25">
        <f>IF(B245&lt;62,0,'Combined Retirement'!$I$14)</f>
        <v>2192</v>
      </c>
      <c r="I245" s="25">
        <f>IF(C245&lt;62,0,'Combined Retirement'!$I$13)</f>
        <v>2420</v>
      </c>
      <c r="J245" s="25">
        <f t="shared" si="3"/>
        <v>7863.2184191855868</v>
      </c>
      <c r="K245" s="25">
        <f t="shared" si="4"/>
        <v>20282.026119384056</v>
      </c>
      <c r="L245" s="25"/>
      <c r="N245" s="25">
        <f>'Combined Retirement'!$C$18/12</f>
        <v>39153.069999999992</v>
      </c>
      <c r="O245" s="25">
        <f t="shared" si="5"/>
        <v>11007.82546143035</v>
      </c>
      <c r="P245" s="25">
        <f t="shared" si="6"/>
        <v>28145.244538569641</v>
      </c>
      <c r="Q245" s="25">
        <f t="array" aca="1" ref="Q245" ca="1">INDEX('Isaac 401k'!L:L,MATCH('Retirement Calculator'!A245,'Isaac 401k'!N:N,0),0)</f>
        <v>1568155.9879861264</v>
      </c>
      <c r="R245" s="25">
        <f t="array" aca="1" ref="R245" ca="1">INDEX('Lorri 401b'!L:L,MATCH('Retirement Calculator'!A245,'Lorri 401b'!N:N,0),0)</f>
        <v>3763483.6091709123</v>
      </c>
      <c r="S245" s="25">
        <f t="shared" ca="1" si="7"/>
        <v>5331639.5971570387</v>
      </c>
    </row>
    <row r="246" spans="1:19" ht="15.75" customHeight="1" x14ac:dyDescent="0.3">
      <c r="A246" s="37">
        <v>58441</v>
      </c>
      <c r="B246" s="409">
        <f t="shared" ref="B246:C246" si="242">($A246-B$9)/365.25</f>
        <v>78.124572210814506</v>
      </c>
      <c r="C246" s="409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3525.4531757812501</v>
      </c>
      <c r="H246" s="25">
        <f>IF(B246&lt;62,0,'Combined Retirement'!$I$14)</f>
        <v>2192</v>
      </c>
      <c r="I246" s="25">
        <f>IF(C246&lt;62,0,'Combined Retirement'!$I$13)</f>
        <v>2420</v>
      </c>
      <c r="J246" s="25">
        <f t="shared" si="3"/>
        <v>7863.2184191855868</v>
      </c>
      <c r="K246" s="25">
        <f t="shared" si="4"/>
        <v>20282.026119384056</v>
      </c>
      <c r="L246" s="25"/>
      <c r="N246" s="25">
        <f>'Combined Retirement'!$C$18/12</f>
        <v>39153.069999999992</v>
      </c>
      <c r="O246" s="25">
        <f t="shared" si="5"/>
        <v>11007.82546143035</v>
      </c>
      <c r="P246" s="25">
        <f t="shared" si="6"/>
        <v>28145.244538569641</v>
      </c>
      <c r="Q246" s="25">
        <f t="array" aca="1" ref="Q246" ca="1">INDEX('Isaac 401k'!L:L,MATCH('Retirement Calculator'!A246,'Isaac 401k'!N:N,0),0)</f>
        <v>1566793.9894401364</v>
      </c>
      <c r="R246" s="25">
        <f t="array" aca="1" ref="R246" ca="1">INDEX('Lorri 401b'!L:L,MATCH('Retirement Calculator'!A246,'Lorri 401b'!N:N,0),0)</f>
        <v>3758798.2563142432</v>
      </c>
      <c r="S246" s="25">
        <f t="shared" ca="1" si="7"/>
        <v>5325592.2457543798</v>
      </c>
    </row>
    <row r="247" spans="1:19" ht="15.75" customHeight="1" x14ac:dyDescent="0.3">
      <c r="A247" s="37">
        <v>58472</v>
      </c>
      <c r="B247" s="409">
        <f t="shared" ref="B247:C247" si="243">($A247-B$9)/365.25</f>
        <v>78.209445585215605</v>
      </c>
      <c r="C247" s="409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3525.4531757812501</v>
      </c>
      <c r="H247" s="25">
        <f>IF(B247&lt;62,0,'Combined Retirement'!$I$14)</f>
        <v>2192</v>
      </c>
      <c r="I247" s="25">
        <f>IF(C247&lt;62,0,'Combined Retirement'!$I$13)</f>
        <v>2420</v>
      </c>
      <c r="J247" s="25">
        <f t="shared" si="3"/>
        <v>7863.2184191855868</v>
      </c>
      <c r="K247" s="25">
        <f t="shared" si="4"/>
        <v>20282.026119384056</v>
      </c>
      <c r="L247" s="25"/>
      <c r="N247" s="25">
        <f>'Combined Retirement'!$C$18/12</f>
        <v>39153.069999999992</v>
      </c>
      <c r="O247" s="25">
        <f t="shared" si="5"/>
        <v>11007.82546143035</v>
      </c>
      <c r="P247" s="25">
        <f t="shared" si="6"/>
        <v>28145.244538569641</v>
      </c>
      <c r="Q247" s="25">
        <f t="array" aca="1" ref="Q247" ca="1">INDEX('Isaac 401k'!L:L,MATCH('Retirement Calculator'!A247,'Isaac 401k'!N:N,0),0)</f>
        <v>1565426.3159002047</v>
      </c>
      <c r="R247" s="25">
        <f t="array" aca="1" ref="R247" ca="1">INDEX('Lorri 401b'!L:L,MATCH('Retirement Calculator'!A247,'Lorri 401b'!N:N,0),0)</f>
        <v>3754093.3811540045</v>
      </c>
      <c r="S247" s="25">
        <f t="shared" ca="1" si="7"/>
        <v>5319519.6970542092</v>
      </c>
    </row>
    <row r="248" spans="1:19" ht="15.75" customHeight="1" x14ac:dyDescent="0.3">
      <c r="A248" s="37">
        <v>58501</v>
      </c>
      <c r="B248" s="409">
        <f t="shared" ref="B248:C248" si="244">($A248-B$9)/365.25</f>
        <v>78.288843258042434</v>
      </c>
      <c r="C248" s="409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3525.4531757812501</v>
      </c>
      <c r="H248" s="25">
        <f>IF(B248&lt;62,0,'Combined Retirement'!$I$14)</f>
        <v>2192</v>
      </c>
      <c r="I248" s="25">
        <f>IF(C248&lt;62,0,'Combined Retirement'!$I$13)</f>
        <v>2420</v>
      </c>
      <c r="J248" s="25">
        <f t="shared" si="3"/>
        <v>7863.2184191855868</v>
      </c>
      <c r="K248" s="25">
        <f t="shared" si="4"/>
        <v>20282.026119384056</v>
      </c>
      <c r="L248" s="25"/>
      <c r="N248" s="25">
        <f>'Combined Retirement'!$C$18/12</f>
        <v>39153.069999999992</v>
      </c>
      <c r="O248" s="25">
        <f t="shared" si="5"/>
        <v>11007.82546143035</v>
      </c>
      <c r="P248" s="25">
        <f t="shared" si="6"/>
        <v>28145.244538569641</v>
      </c>
      <c r="Q248" s="25">
        <f t="array" aca="1" ref="Q248" ca="1">INDEX('Isaac 401k'!L:L,MATCH('Retirement Calculator'!A248,'Isaac 401k'!N:N,0),0)</f>
        <v>1564052.9437205233</v>
      </c>
      <c r="R248" s="25">
        <f t="array" aca="1" ref="R248" ca="1">INDEX('Lorri 401b'!L:L,MATCH('Retirement Calculator'!A248,'Lorri 401b'!N:N,0),0)</f>
        <v>3749368.9023472648</v>
      </c>
      <c r="S248" s="25">
        <f t="shared" ca="1" si="7"/>
        <v>5313421.8460677881</v>
      </c>
    </row>
    <row r="249" spans="1:19" ht="15.75" customHeight="1" x14ac:dyDescent="0.3">
      <c r="A249" s="37">
        <v>58532</v>
      </c>
      <c r="B249" s="409">
        <f t="shared" ref="B249:C249" si="245">($A249-B$9)/365.25</f>
        <v>78.373716632443532</v>
      </c>
      <c r="C249" s="409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3525.4531757812501</v>
      </c>
      <c r="H249" s="25">
        <f>IF(B249&lt;62,0,'Combined Retirement'!$I$14)</f>
        <v>2192</v>
      </c>
      <c r="I249" s="25">
        <f>IF(C249&lt;62,0,'Combined Retirement'!$I$13)</f>
        <v>2420</v>
      </c>
      <c r="J249" s="25">
        <f t="shared" si="3"/>
        <v>7863.2184191855868</v>
      </c>
      <c r="K249" s="25">
        <f t="shared" si="4"/>
        <v>20282.026119384056</v>
      </c>
      <c r="L249" s="25"/>
      <c r="N249" s="25">
        <f>'Combined Retirement'!$C$18/12</f>
        <v>39153.069999999992</v>
      </c>
      <c r="O249" s="25">
        <f t="shared" si="5"/>
        <v>11007.82546143035</v>
      </c>
      <c r="P249" s="25">
        <f t="shared" si="6"/>
        <v>28145.244538569641</v>
      </c>
      <c r="Q249" s="25">
        <f t="array" aca="1" ref="Q249" ca="1">INDEX('Isaac 401k'!L:L,MATCH('Retirement Calculator'!A249,'Isaac 401k'!N:N,0),0)</f>
        <v>1562673.8491567599</v>
      </c>
      <c r="R249" s="25">
        <f t="array" aca="1" ref="R249" ca="1">INDEX('Lorri 401b'!L:L,MATCH('Retirement Calculator'!A249,'Lorri 401b'!N:N,0),0)</f>
        <v>3744624.7382121636</v>
      </c>
      <c r="S249" s="25">
        <f t="shared" ca="1" si="7"/>
        <v>5307298.5873689232</v>
      </c>
    </row>
    <row r="250" spans="1:19" ht="15.75" customHeight="1" x14ac:dyDescent="0.3">
      <c r="A250" s="37">
        <v>58562</v>
      </c>
      <c r="B250" s="409">
        <f t="shared" ref="B250:C250" si="246">($A250-B$9)/365.25</f>
        <v>78.455852156057489</v>
      </c>
      <c r="C250" s="409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3525.4531757812501</v>
      </c>
      <c r="H250" s="25">
        <f>IF(B250&lt;62,0,'Combined Retirement'!$I$14)</f>
        <v>2192</v>
      </c>
      <c r="I250" s="25">
        <f>IF(C250&lt;62,0,'Combined Retirement'!$I$13)</f>
        <v>2420</v>
      </c>
      <c r="J250" s="25">
        <f t="shared" si="3"/>
        <v>7863.2184191855868</v>
      </c>
      <c r="K250" s="25">
        <f t="shared" si="4"/>
        <v>20282.026119384056</v>
      </c>
      <c r="L250" s="25"/>
      <c r="N250" s="25">
        <f>'Combined Retirement'!$C$18/12</f>
        <v>39153.069999999992</v>
      </c>
      <c r="O250" s="25">
        <f t="shared" si="5"/>
        <v>11007.82546143035</v>
      </c>
      <c r="P250" s="25">
        <f t="shared" si="6"/>
        <v>28145.244538569641</v>
      </c>
      <c r="Q250" s="25">
        <f t="array" aca="1" ref="Q250" ca="1">INDEX('Isaac 401k'!L:L,MATCH('Retirement Calculator'!A250,'Isaac 401k'!N:N,0),0)</f>
        <v>1561289.0083656476</v>
      </c>
      <c r="R250" s="25">
        <f t="array" aca="1" ref="R250" ca="1">INDEX('Lorri 401b'!L:L,MATCH('Retirement Calculator'!A250,'Lorri 401b'!N:N,0),0)</f>
        <v>3739860.8067264995</v>
      </c>
      <c r="S250" s="25">
        <f t="shared" ca="1" si="7"/>
        <v>5301149.8150921473</v>
      </c>
    </row>
    <row r="251" spans="1:19" ht="15.75" customHeight="1" x14ac:dyDescent="0.3">
      <c r="A251" s="37">
        <v>58593</v>
      </c>
      <c r="B251" s="409">
        <f t="shared" ref="B251:C251" si="247">($A251-B$9)/365.25</f>
        <v>78.540725530458587</v>
      </c>
      <c r="C251" s="409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3525.4531757812501</v>
      </c>
      <c r="H251" s="25">
        <f>IF(B251&lt;62,0,'Combined Retirement'!$I$14)</f>
        <v>2192</v>
      </c>
      <c r="I251" s="25">
        <f>IF(C251&lt;62,0,'Combined Retirement'!$I$13)</f>
        <v>2420</v>
      </c>
      <c r="J251" s="25">
        <f t="shared" si="3"/>
        <v>7863.2184191855868</v>
      </c>
      <c r="K251" s="25">
        <f t="shared" si="4"/>
        <v>20282.026119384056</v>
      </c>
      <c r="L251" s="25"/>
      <c r="N251" s="25">
        <f>'Combined Retirement'!$C$18/12</f>
        <v>39153.069999999992</v>
      </c>
      <c r="O251" s="25">
        <f t="shared" si="5"/>
        <v>11007.82546143035</v>
      </c>
      <c r="P251" s="25">
        <f t="shared" si="6"/>
        <v>28145.244538569641</v>
      </c>
      <c r="Q251" s="25">
        <f t="array" aca="1" ref="Q251" ca="1">INDEX('Isaac 401k'!L:L,MATCH('Retirement Calculator'!A251,'Isaac 401k'!N:N,0),0)</f>
        <v>1559898.3974045722</v>
      </c>
      <c r="R251" s="25">
        <f t="array" aca="1" ref="R251" ca="1">INDEX('Lorri 401b'!L:L,MATCH('Retirement Calculator'!A251,'Lorri 401b'!N:N,0),0)</f>
        <v>3735077.0255263117</v>
      </c>
      <c r="S251" s="25">
        <f t="shared" ca="1" si="7"/>
        <v>5294975.4229308842</v>
      </c>
    </row>
    <row r="252" spans="1:19" ht="15.75" customHeight="1" x14ac:dyDescent="0.3">
      <c r="A252" s="37">
        <v>58623</v>
      </c>
      <c r="B252" s="409">
        <f t="shared" ref="B252:C252" si="248">($A252-B$9)/365.25</f>
        <v>78.622861054072558</v>
      </c>
      <c r="C252" s="409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3525.4531757812501</v>
      </c>
      <c r="H252" s="25">
        <f>IF(B252&lt;62,0,'Combined Retirement'!$I$14)</f>
        <v>2192</v>
      </c>
      <c r="I252" s="25">
        <f>IF(C252&lt;62,0,'Combined Retirement'!$I$13)</f>
        <v>2420</v>
      </c>
      <c r="J252" s="25">
        <f t="shared" si="3"/>
        <v>7863.2184191855868</v>
      </c>
      <c r="K252" s="25">
        <f t="shared" si="4"/>
        <v>20282.026119384056</v>
      </c>
      <c r="L252" s="25"/>
      <c r="N252" s="25">
        <f>'Combined Retirement'!$C$18/12</f>
        <v>39153.069999999992</v>
      </c>
      <c r="O252" s="25">
        <f t="shared" si="5"/>
        <v>11007.82546143035</v>
      </c>
      <c r="P252" s="25">
        <f t="shared" si="6"/>
        <v>28145.244538569641</v>
      </c>
      <c r="Q252" s="25">
        <f t="array" aca="1" ref="Q252" ca="1">INDEX('Isaac 401k'!L:L,MATCH('Retirement Calculator'!A252,'Isaac 401k'!N:N,0),0)</f>
        <v>1558501.992231159</v>
      </c>
      <c r="R252" s="25">
        <f t="array" aca="1" ref="R252" ca="1">INDEX('Lorri 401b'!L:L,MATCH('Retirement Calculator'!A252,'Lorri 401b'!N:N,0),0)</f>
        <v>3730273.3119044565</v>
      </c>
      <c r="S252" s="25">
        <f t="shared" ca="1" si="7"/>
        <v>5288775.304135615</v>
      </c>
    </row>
    <row r="253" spans="1:19" ht="15.75" customHeight="1" x14ac:dyDescent="0.3">
      <c r="A253" s="37">
        <v>58654</v>
      </c>
      <c r="B253" s="409">
        <f t="shared" ref="B253:C253" si="249">($A253-B$9)/365.25</f>
        <v>78.707734428473643</v>
      </c>
      <c r="C253" s="409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3525.4531757812501</v>
      </c>
      <c r="H253" s="25">
        <f>IF(B253&lt;62,0,'Combined Retirement'!$I$14)</f>
        <v>2192</v>
      </c>
      <c r="I253" s="25">
        <f>IF(C253&lt;62,0,'Combined Retirement'!$I$13)</f>
        <v>2420</v>
      </c>
      <c r="J253" s="25">
        <f t="shared" si="3"/>
        <v>7863.2184191855868</v>
      </c>
      <c r="K253" s="25">
        <f t="shared" si="4"/>
        <v>20282.026119384056</v>
      </c>
      <c r="L253" s="25"/>
      <c r="N253" s="25">
        <f>'Combined Retirement'!$C$18/12</f>
        <v>39153.069999999992</v>
      </c>
      <c r="O253" s="25">
        <f t="shared" si="5"/>
        <v>11007.82546143035</v>
      </c>
      <c r="P253" s="25">
        <f t="shared" si="6"/>
        <v>28145.244538569641</v>
      </c>
      <c r="Q253" s="25">
        <f t="array" aca="1" ref="Q253" ca="1">INDEX('Isaac 401k'!L:L,MATCH('Retirement Calculator'!A253,'Isaac 401k'!N:N,0),0)</f>
        <v>1557099.7687028567</v>
      </c>
      <c r="R253" s="25">
        <f t="array" aca="1" ref="R253" ca="1">INDEX('Lorri 401b'!L:L,MATCH('Retirement Calculator'!A253,'Lorri 401b'!N:N,0),0)</f>
        <v>3725449.5828091768</v>
      </c>
      <c r="S253" s="25">
        <f t="shared" ca="1" si="7"/>
        <v>5282549.3515120335</v>
      </c>
    </row>
    <row r="254" spans="1:19" ht="15.75" customHeight="1" x14ac:dyDescent="0.3">
      <c r="A254" s="37">
        <v>58685</v>
      </c>
      <c r="B254" s="409">
        <f t="shared" ref="B254:C254" si="250">($A254-B$9)/365.25</f>
        <v>78.792607802874741</v>
      </c>
      <c r="C254" s="409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3525.4531757812501</v>
      </c>
      <c r="H254" s="25">
        <f>IF(B254&lt;62,0,'Combined Retirement'!$I$14)</f>
        <v>2192</v>
      </c>
      <c r="I254" s="25">
        <f>IF(C254&lt;62,0,'Combined Retirement'!$I$13)</f>
        <v>2420</v>
      </c>
      <c r="J254" s="25">
        <f t="shared" si="3"/>
        <v>7863.2184191855868</v>
      </c>
      <c r="K254" s="25">
        <f t="shared" si="4"/>
        <v>20282.026119384056</v>
      </c>
      <c r="L254" s="25"/>
      <c r="N254" s="25">
        <f>'Combined Retirement'!$C$18/12</f>
        <v>39153.069999999992</v>
      </c>
      <c r="O254" s="25">
        <f t="shared" si="5"/>
        <v>11007.82546143035</v>
      </c>
      <c r="P254" s="25">
        <f t="shared" si="6"/>
        <v>28145.244538569641</v>
      </c>
      <c r="Q254" s="25">
        <f t="array" aca="1" ref="Q254" ca="1">INDEX('Isaac 401k'!L:L,MATCH('Retirement Calculator'!A254,'Isaac 401k'!N:N,0),0)</f>
        <v>1555691.7025765197</v>
      </c>
      <c r="R254" s="25">
        <f t="array" aca="1" ref="R254" ca="1">INDEX('Lorri 401b'!L:L,MATCH('Retirement Calculator'!A254,'Lorri 401b'!N:N,0),0)</f>
        <v>3720605.7548426669</v>
      </c>
      <c r="S254" s="25">
        <f t="shared" ca="1" si="7"/>
        <v>5276297.4574191868</v>
      </c>
    </row>
    <row r="255" spans="1:19" ht="15.75" customHeight="1" x14ac:dyDescent="0.3">
      <c r="A255" s="37">
        <v>58715</v>
      </c>
      <c r="B255" s="409">
        <f t="shared" ref="B255:C255" si="251">($A255-B$9)/365.25</f>
        <v>78.874743326488712</v>
      </c>
      <c r="C255" s="409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3525.4531757812501</v>
      </c>
      <c r="H255" s="25">
        <f>IF(B255&lt;62,0,'Combined Retirement'!$I$14)</f>
        <v>2192</v>
      </c>
      <c r="I255" s="25">
        <f>IF(C255&lt;62,0,'Combined Retirement'!$I$13)</f>
        <v>2420</v>
      </c>
      <c r="J255" s="25">
        <f t="shared" si="3"/>
        <v>7863.2184191855868</v>
      </c>
      <c r="K255" s="25">
        <f t="shared" si="4"/>
        <v>20282.026119384056</v>
      </c>
      <c r="L255" s="25"/>
      <c r="N255" s="25">
        <f>'Combined Retirement'!$C$18/12</f>
        <v>39153.069999999992</v>
      </c>
      <c r="O255" s="25">
        <f t="shared" si="5"/>
        <v>11007.82546143035</v>
      </c>
      <c r="P255" s="25">
        <f t="shared" si="6"/>
        <v>28145.244538569641</v>
      </c>
      <c r="Q255" s="25">
        <f t="array" aca="1" ref="Q255" ca="1">INDEX('Isaac 401k'!L:L,MATCH('Retirement Calculator'!A255,'Isaac 401k'!N:N,0),0)</f>
        <v>1554277.7695079898</v>
      </c>
      <c r="R255" s="25">
        <f t="array" aca="1" ref="R255" ca="1">INDEX('Lorri 401b'!L:L,MATCH('Retirement Calculator'!A255,'Lorri 401b'!N:N,0),0)</f>
        <v>3715741.7442596299</v>
      </c>
      <c r="S255" s="25">
        <f t="shared" ca="1" si="7"/>
        <v>5270019.5137676196</v>
      </c>
    </row>
    <row r="256" spans="1:19" ht="15.75" customHeight="1" x14ac:dyDescent="0.3">
      <c r="A256" s="37">
        <v>58746</v>
      </c>
      <c r="B256" s="409">
        <f t="shared" ref="B256:C256" si="252">($A256-B$9)/365.25</f>
        <v>78.959616700889796</v>
      </c>
      <c r="C256" s="409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3525.4531757812501</v>
      </c>
      <c r="H256" s="25">
        <f>IF(B256&lt;62,0,'Combined Retirement'!$I$14)</f>
        <v>2192</v>
      </c>
      <c r="I256" s="25">
        <f>IF(C256&lt;62,0,'Combined Retirement'!$I$13)</f>
        <v>2420</v>
      </c>
      <c r="J256" s="25">
        <f t="shared" si="3"/>
        <v>7863.2184191855868</v>
      </c>
      <c r="K256" s="25">
        <f t="shared" si="4"/>
        <v>20282.026119384056</v>
      </c>
      <c r="L256" s="25"/>
      <c r="N256" s="25">
        <f>'Combined Retirement'!$C$18/12</f>
        <v>39153.069999999992</v>
      </c>
      <c r="O256" s="25">
        <f t="shared" si="5"/>
        <v>11007.82546143035</v>
      </c>
      <c r="P256" s="25">
        <f t="shared" si="6"/>
        <v>28145.244538569641</v>
      </c>
      <c r="Q256" s="25">
        <f t="array" aca="1" ref="Q256" ca="1">INDEX('Isaac 401k'!L:L,MATCH('Retirement Calculator'!A256,'Isaac 401k'!N:N,0),0)</f>
        <v>1552857.9450516743</v>
      </c>
      <c r="R256" s="25">
        <f t="array" aca="1" ref="R256" ca="1">INDEX('Lorri 401b'!L:L,MATCH('Retirement Calculator'!A256,'Lorri 401b'!N:N,0),0)</f>
        <v>3710857.4669658304</v>
      </c>
      <c r="S256" s="25">
        <f t="shared" ca="1" si="7"/>
        <v>5263715.4120175047</v>
      </c>
    </row>
    <row r="257" spans="1:19" ht="15.75" customHeight="1" x14ac:dyDescent="0.3">
      <c r="A257" s="37">
        <v>58776</v>
      </c>
      <c r="B257" s="409">
        <f t="shared" ref="B257:C257" si="253">($A257-B$9)/365.25</f>
        <v>79.041752224503767</v>
      </c>
      <c r="C257" s="409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3525.4531757812501</v>
      </c>
      <c r="H257" s="25">
        <f>IF(B257&lt;62,0,'Combined Retirement'!$I$14)</f>
        <v>2192</v>
      </c>
      <c r="I257" s="25">
        <f>IF(C257&lt;62,0,'Combined Retirement'!$I$13)</f>
        <v>2420</v>
      </c>
      <c r="J257" s="25">
        <f t="shared" si="3"/>
        <v>7863.2184191855868</v>
      </c>
      <c r="K257" s="25">
        <f t="shared" si="4"/>
        <v>20282.026119384056</v>
      </c>
      <c r="L257" s="25"/>
      <c r="N257" s="25">
        <f>'Combined Retirement'!$C$18/12</f>
        <v>39153.069999999992</v>
      </c>
      <c r="O257" s="25">
        <f t="shared" si="5"/>
        <v>11007.82546143035</v>
      </c>
      <c r="P257" s="25">
        <f t="shared" si="6"/>
        <v>28145.244538569641</v>
      </c>
      <c r="Q257" s="25">
        <f t="array" aca="1" ref="Q257" ca="1">INDEX('Isaac 401k'!L:L,MATCH('Retirement Calculator'!A257,'Isaac 401k'!N:N,0),0)</f>
        <v>1551432.2046601239</v>
      </c>
      <c r="R257" s="25">
        <f t="array" aca="1" ref="R257" ca="1">INDEX('Lorri 401b'!L:L,MATCH('Retirement Calculator'!A257,'Lorri 401b'!N:N,0),0)</f>
        <v>3705952.83851664</v>
      </c>
      <c r="S257" s="25">
        <f t="shared" ca="1" si="7"/>
        <v>5257385.0431767637</v>
      </c>
    </row>
    <row r="258" spans="1:19" ht="15.75" customHeight="1" x14ac:dyDescent="0.3">
      <c r="A258" s="37">
        <v>58807</v>
      </c>
      <c r="B258" s="409">
        <f t="shared" ref="B258:C258" si="254">($A258-B$9)/365.25</f>
        <v>79.126625598904866</v>
      </c>
      <c r="C258" s="409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3525.4531757812501</v>
      </c>
      <c r="H258" s="25">
        <f>IF(B258&lt;62,0,'Combined Retirement'!$I$14)</f>
        <v>2192</v>
      </c>
      <c r="I258" s="25">
        <f>IF(C258&lt;62,0,'Combined Retirement'!$I$13)</f>
        <v>2420</v>
      </c>
      <c r="J258" s="25">
        <f t="shared" si="3"/>
        <v>7863.2184191855868</v>
      </c>
      <c r="K258" s="25">
        <f t="shared" si="4"/>
        <v>20282.026119384056</v>
      </c>
      <c r="L258" s="25"/>
      <c r="N258" s="25">
        <f>'Combined Retirement'!$C$18/12</f>
        <v>39153.069999999992</v>
      </c>
      <c r="O258" s="25">
        <f t="shared" si="5"/>
        <v>11007.82546143035</v>
      </c>
      <c r="P258" s="25">
        <f t="shared" si="6"/>
        <v>28145.244538569641</v>
      </c>
      <c r="Q258" s="25">
        <f t="array" aca="1" ref="Q258" ca="1">INDEX('Isaac 401k'!L:L,MATCH('Retirement Calculator'!A258,'Isaac 401k'!N:N,0),0)</f>
        <v>1550000.523683609</v>
      </c>
      <c r="R258" s="25">
        <f t="array" aca="1" ref="R258" ca="1">INDEX('Lorri 401b'!L:L,MATCH('Retirement Calculator'!A258,'Lorri 401b'!N:N,0),0)</f>
        <v>3701027.7741155778</v>
      </c>
      <c r="S258" s="25">
        <f t="shared" ca="1" si="7"/>
        <v>5251028.2977991868</v>
      </c>
    </row>
    <row r="259" spans="1:19" ht="15.75" customHeight="1" x14ac:dyDescent="0.3">
      <c r="A259" s="37">
        <v>58838</v>
      </c>
      <c r="B259" s="409">
        <f t="shared" ref="B259:C259" si="255">($A259-B$9)/365.25</f>
        <v>79.21149897330595</v>
      </c>
      <c r="C259" s="409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3525.4531757812501</v>
      </c>
      <c r="H259" s="25">
        <f>IF(B259&lt;62,0,'Combined Retirement'!$I$14)</f>
        <v>2192</v>
      </c>
      <c r="I259" s="25">
        <f>IF(C259&lt;62,0,'Combined Retirement'!$I$13)</f>
        <v>2420</v>
      </c>
      <c r="J259" s="25">
        <f t="shared" si="3"/>
        <v>7863.2184191855868</v>
      </c>
      <c r="K259" s="25">
        <f t="shared" si="4"/>
        <v>20282.026119384056</v>
      </c>
      <c r="L259" s="25"/>
      <c r="N259" s="25">
        <f>'Combined Retirement'!$C$18/12</f>
        <v>39153.069999999992</v>
      </c>
      <c r="O259" s="25">
        <f t="shared" si="5"/>
        <v>11007.82546143035</v>
      </c>
      <c r="P259" s="25">
        <f t="shared" si="6"/>
        <v>28145.244538569641</v>
      </c>
      <c r="Q259" s="25">
        <f t="array" aca="1" ref="Q259" ca="1">INDEX('Isaac 401k'!L:L,MATCH('Retirement Calculator'!A259,'Isaac 401k'!N:N,0),0)</f>
        <v>1548562.8773696919</v>
      </c>
      <c r="R259" s="25">
        <f t="array" aca="1" ref="R259" ca="1">INDEX('Lorri 401b'!L:L,MATCH('Retirement Calculator'!A259,'Lorri 401b'!N:N,0),0)</f>
        <v>3696082.1886128448</v>
      </c>
      <c r="S259" s="25">
        <f t="shared" ca="1" si="7"/>
        <v>5244645.0659825364</v>
      </c>
    </row>
    <row r="260" spans="1:19" ht="15.75" customHeight="1" x14ac:dyDescent="0.3">
      <c r="A260" s="37">
        <v>58866</v>
      </c>
      <c r="B260" s="409">
        <f t="shared" ref="B260:C260" si="256">($A260-B$9)/365.25</f>
        <v>79.288158795345652</v>
      </c>
      <c r="C260" s="409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3525.4531757812501</v>
      </c>
      <c r="H260" s="25">
        <f>IF(B260&lt;62,0,'Combined Retirement'!$I$14)</f>
        <v>2192</v>
      </c>
      <c r="I260" s="25">
        <f>IF(C260&lt;62,0,'Combined Retirement'!$I$13)</f>
        <v>2420</v>
      </c>
      <c r="J260" s="25">
        <f t="shared" si="3"/>
        <v>7863.2184191855868</v>
      </c>
      <c r="K260" s="25">
        <f t="shared" si="4"/>
        <v>20282.026119384056</v>
      </c>
      <c r="L260" s="25"/>
      <c r="N260" s="25">
        <f>'Combined Retirement'!$C$18/12</f>
        <v>39153.069999999992</v>
      </c>
      <c r="O260" s="25">
        <f t="shared" si="5"/>
        <v>11007.82546143035</v>
      </c>
      <c r="P260" s="25">
        <f t="shared" si="6"/>
        <v>28145.244538569641</v>
      </c>
      <c r="Q260" s="25">
        <f t="array" aca="1" ref="Q260" ca="1">INDEX('Isaac 401k'!L:L,MATCH('Retirement Calculator'!A260,'Isaac 401k'!N:N,0),0)</f>
        <v>1547119.2408628</v>
      </c>
      <c r="R260" s="25">
        <f t="array" aca="1" ref="R260" ca="1">INDEX('Lorri 401b'!L:L,MATCH('Retirement Calculator'!A260,'Lorri 401b'!N:N,0),0)</f>
        <v>3691115.9965038504</v>
      </c>
      <c r="S260" s="25">
        <f t="shared" ca="1" si="7"/>
        <v>5238235.2373666503</v>
      </c>
    </row>
    <row r="261" spans="1:19" ht="15.75" customHeight="1" x14ac:dyDescent="0.3">
      <c r="A261" s="37">
        <v>58897</v>
      </c>
      <c r="B261" s="409">
        <f t="shared" ref="B261:C261" si="257">($A261-B$9)/365.25</f>
        <v>79.37303216974675</v>
      </c>
      <c r="C261" s="409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3525.4531757812501</v>
      </c>
      <c r="H261" s="25">
        <f>IF(B261&lt;62,0,'Combined Retirement'!$I$14)</f>
        <v>2192</v>
      </c>
      <c r="I261" s="25">
        <f>IF(C261&lt;62,0,'Combined Retirement'!$I$13)</f>
        <v>2420</v>
      </c>
      <c r="J261" s="25">
        <f t="shared" si="3"/>
        <v>7863.2184191855868</v>
      </c>
      <c r="K261" s="25">
        <f t="shared" si="4"/>
        <v>20282.026119384056</v>
      </c>
      <c r="L261" s="25"/>
      <c r="N261" s="25">
        <f>'Combined Retirement'!$C$18/12</f>
        <v>39153.069999999992</v>
      </c>
      <c r="O261" s="25">
        <f t="shared" si="5"/>
        <v>11007.82546143035</v>
      </c>
      <c r="P261" s="25">
        <f t="shared" si="6"/>
        <v>28145.244538569641</v>
      </c>
      <c r="Q261" s="25">
        <f t="array" aca="1" ref="Q261" ca="1">INDEX('Isaac 401k'!L:L,MATCH('Retirement Calculator'!A261,'Isaac 401k'!N:N,0),0)</f>
        <v>1545669.5892037961</v>
      </c>
      <c r="R261" s="25">
        <f t="array" aca="1" ref="R261" ca="1">INDEX('Lorri 401b'!L:L,MATCH('Retirement Calculator'!A261,'Lorri 401b'!N:N,0),0)</f>
        <v>3686129.1119277352</v>
      </c>
      <c r="S261" s="25">
        <f t="shared" ca="1" si="7"/>
        <v>5231798.701131531</v>
      </c>
    </row>
    <row r="262" spans="1:19" ht="15.75" customHeight="1" x14ac:dyDescent="0.3">
      <c r="A262" s="37">
        <v>58927</v>
      </c>
      <c r="B262" s="409">
        <f t="shared" ref="B262:C262" si="258">($A262-B$9)/365.25</f>
        <v>79.455167693360707</v>
      </c>
      <c r="C262" s="409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3525.4531757812501</v>
      </c>
      <c r="H262" s="25">
        <f>IF(B262&lt;62,0,'Combined Retirement'!$I$14)</f>
        <v>2192</v>
      </c>
      <c r="I262" s="25">
        <f>IF(C262&lt;62,0,'Combined Retirement'!$I$13)</f>
        <v>2420</v>
      </c>
      <c r="J262" s="25">
        <f t="shared" si="3"/>
        <v>7863.2184191855868</v>
      </c>
      <c r="K262" s="25">
        <f t="shared" si="4"/>
        <v>20282.026119384056</v>
      </c>
      <c r="L262" s="25"/>
      <c r="N262" s="25">
        <f>'Combined Retirement'!$C$18/12</f>
        <v>39153.069999999992</v>
      </c>
      <c r="O262" s="25">
        <f t="shared" si="5"/>
        <v>11007.82546143035</v>
      </c>
      <c r="P262" s="25">
        <f t="shared" si="6"/>
        <v>28145.244538569641</v>
      </c>
      <c r="Q262" s="25">
        <f t="array" aca="1" ref="Q262" ca="1">INDEX('Isaac 401k'!L:L,MATCH('Retirement Calculator'!A262,'Isaac 401k'!N:N,0),0)</f>
        <v>1544213.8973295463</v>
      </c>
      <c r="R262" s="25">
        <f t="array" aca="1" ref="R262" ca="1">INDEX('Lorri 401b'!L:L,MATCH('Retirement Calculator'!A262,'Lorri 401b'!N:N,0),0)</f>
        <v>3681121.4486658862</v>
      </c>
      <c r="S262" s="25">
        <f t="shared" ca="1" si="7"/>
        <v>5225335.3459954327</v>
      </c>
    </row>
    <row r="263" spans="1:19" ht="15.75" customHeight="1" x14ac:dyDescent="0.3">
      <c r="A263" s="37">
        <v>58958</v>
      </c>
      <c r="B263" s="409">
        <f t="shared" ref="B263:C263" si="259">($A263-B$9)/365.25</f>
        <v>79.540041067761805</v>
      </c>
      <c r="C263" s="409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3525.4531757812501</v>
      </c>
      <c r="H263" s="25">
        <f>IF(B263&lt;62,0,'Combined Retirement'!$I$14)</f>
        <v>2192</v>
      </c>
      <c r="I263" s="25">
        <f>IF(C263&lt;62,0,'Combined Retirement'!$I$13)</f>
        <v>2420</v>
      </c>
      <c r="J263" s="25">
        <f t="shared" si="3"/>
        <v>7863.2184191855868</v>
      </c>
      <c r="K263" s="25">
        <f t="shared" si="4"/>
        <v>20282.026119384056</v>
      </c>
      <c r="L263" s="25"/>
      <c r="N263" s="25">
        <f>'Combined Retirement'!$C$18/12</f>
        <v>39153.069999999992</v>
      </c>
      <c r="O263" s="25">
        <f t="shared" si="5"/>
        <v>11007.82546143035</v>
      </c>
      <c r="P263" s="25">
        <f t="shared" si="6"/>
        <v>28145.244538569641</v>
      </c>
      <c r="Q263" s="25">
        <f t="array" aca="1" ref="Q263" ca="1">INDEX('Isaac 401k'!L:L,MATCH('Retirement Calculator'!A263,'Isaac 401k'!N:N,0),0)</f>
        <v>1542752.1400724871</v>
      </c>
      <c r="R263" s="25">
        <f t="array" aca="1" ref="R263" ca="1">INDEX('Lorri 401b'!L:L,MATCH('Retirement Calculator'!A263,'Lorri 401b'!N:N,0),0)</f>
        <v>3676092.9201404462</v>
      </c>
      <c r="S263" s="25">
        <f t="shared" ca="1" si="7"/>
        <v>5218845.0602129335</v>
      </c>
    </row>
    <row r="264" spans="1:19" ht="15.75" customHeight="1" x14ac:dyDescent="0.3">
      <c r="A264" s="37">
        <v>58988</v>
      </c>
      <c r="B264" s="409">
        <f t="shared" ref="B264:C264" si="260">($A264-B$9)/365.25</f>
        <v>79.622176591375776</v>
      </c>
      <c r="C264" s="409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3525.4531757812501</v>
      </c>
      <c r="H264" s="25">
        <f>IF(B264&lt;62,0,'Combined Retirement'!$I$14)</f>
        <v>2192</v>
      </c>
      <c r="I264" s="25">
        <f>IF(C264&lt;62,0,'Combined Retirement'!$I$13)</f>
        <v>2420</v>
      </c>
      <c r="J264" s="25">
        <f t="shared" si="3"/>
        <v>7863.2184191855868</v>
      </c>
      <c r="K264" s="25">
        <f t="shared" si="4"/>
        <v>20282.026119384056</v>
      </c>
      <c r="L264" s="25"/>
      <c r="N264" s="25">
        <f>'Combined Retirement'!$C$18/12</f>
        <v>39153.069999999992</v>
      </c>
      <c r="O264" s="25">
        <f t="shared" si="5"/>
        <v>11007.82546143035</v>
      </c>
      <c r="P264" s="25">
        <f t="shared" si="6"/>
        <v>28145.244538569641</v>
      </c>
      <c r="Q264" s="25">
        <f t="array" aca="1" ref="Q264" ca="1">INDEX('Isaac 401k'!L:L,MATCH('Retirement Calculator'!A264,'Isaac 401k'!N:N,0),0)</f>
        <v>1541284.2921601902</v>
      </c>
      <c r="R264" s="25">
        <f t="array" aca="1" ref="R264" ca="1">INDEX('Lorri 401b'!L:L,MATCH('Retirement Calculator'!A264,'Lorri 401b'!N:N,0),0)</f>
        <v>3671043.4394128164</v>
      </c>
      <c r="S264" s="25">
        <f t="shared" ca="1" si="7"/>
        <v>5212327.7315730061</v>
      </c>
    </row>
    <row r="265" spans="1:19" ht="15.75" customHeight="1" x14ac:dyDescent="0.3">
      <c r="A265" s="37">
        <v>59019</v>
      </c>
      <c r="B265" s="409">
        <f t="shared" ref="B265:C265" si="261">($A265-B$9)/365.25</f>
        <v>79.707049965776861</v>
      </c>
      <c r="C265" s="409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3525.4531757812501</v>
      </c>
      <c r="H265" s="25">
        <f>IF(B265&lt;62,0,'Combined Retirement'!$I$14)</f>
        <v>2192</v>
      </c>
      <c r="I265" s="25">
        <f>IF(C265&lt;62,0,'Combined Retirement'!$I$13)</f>
        <v>2420</v>
      </c>
      <c r="J265" s="25">
        <f t="shared" si="3"/>
        <v>7863.2184191855868</v>
      </c>
      <c r="K265" s="25">
        <f t="shared" si="4"/>
        <v>20282.026119384056</v>
      </c>
      <c r="L265" s="25"/>
      <c r="N265" s="25">
        <f>'Combined Retirement'!$C$18/12</f>
        <v>39153.069999999992</v>
      </c>
      <c r="O265" s="25">
        <f t="shared" si="5"/>
        <v>11007.82546143035</v>
      </c>
      <c r="P265" s="25">
        <f t="shared" si="6"/>
        <v>28145.244538569641</v>
      </c>
      <c r="Q265" s="25">
        <f t="array" aca="1" ref="Q265" ca="1">INDEX('Isaac 401k'!L:L,MATCH('Retirement Calculator'!A265,'Isaac 401k'!N:N,0),0)</f>
        <v>1539810.3282149255</v>
      </c>
      <c r="R265" s="25">
        <f t="array" aca="1" ref="R265" ca="1">INDEX('Lorri 401b'!L:L,MATCH('Retirement Calculator'!A265,'Lorri 401b'!N:N,0),0)</f>
        <v>3665972.9191821553</v>
      </c>
      <c r="S265" s="25">
        <f t="shared" ca="1" si="7"/>
        <v>5205783.247397081</v>
      </c>
    </row>
    <row r="266" spans="1:19" ht="15.75" customHeight="1" x14ac:dyDescent="0.3">
      <c r="A266" s="37">
        <v>59050</v>
      </c>
      <c r="B266" s="409">
        <f t="shared" ref="B266:C266" si="262">($A266-B$9)/365.25</f>
        <v>79.791923340177959</v>
      </c>
      <c r="C266" s="409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3525.4531757812501</v>
      </c>
      <c r="H266" s="25">
        <f>IF(B266&lt;62,0,'Combined Retirement'!$I$14)</f>
        <v>2192</v>
      </c>
      <c r="I266" s="25">
        <f>IF(C266&lt;62,0,'Combined Retirement'!$I$13)</f>
        <v>2420</v>
      </c>
      <c r="J266" s="25">
        <f t="shared" ref="J266:J520" si="263">IF(C266&lt;59.5,P266,P266*$J$7)</f>
        <v>7863.2184191855868</v>
      </c>
      <c r="K266" s="25">
        <f t="shared" ref="K266:K520" si="264">IF(C266&lt;59.5,0,IF(C266&lt;$B$7,0,P266*$K$7))</f>
        <v>20282.026119384056</v>
      </c>
      <c r="L266" s="25"/>
      <c r="N266" s="25">
        <f>'Combined Retirement'!$C$18/12</f>
        <v>39153.069999999992</v>
      </c>
      <c r="O266" s="25">
        <f t="shared" ref="O266:O520" si="265">SUM(E266:I266)</f>
        <v>11007.82546143035</v>
      </c>
      <c r="P266" s="25">
        <f t="shared" ref="P266:P520" si="266">N266-O266</f>
        <v>28145.244538569641</v>
      </c>
      <c r="Q266" s="25">
        <f t="array" aca="1" ref="Q266" ca="1">INDEX('Isaac 401k'!L:L,MATCH('Retirement Calculator'!A266,'Isaac 401k'!N:N,0),0)</f>
        <v>1538330.2227532221</v>
      </c>
      <c r="R266" s="25">
        <f t="array" aca="1" ref="R266" ca="1">INDEX('Lorri 401b'!L:L,MATCH('Retirement Calculator'!A266,'Lorri 401b'!N:N,0),0)</f>
        <v>3660881.271783866</v>
      </c>
      <c r="S266" s="25">
        <f t="shared" ref="S266:S520" ca="1" si="267">SUM(Q266:R266)</f>
        <v>5199211.4945370881</v>
      </c>
    </row>
    <row r="267" spans="1:19" ht="15.75" customHeight="1" x14ac:dyDescent="0.3">
      <c r="A267" s="37">
        <v>59080</v>
      </c>
      <c r="B267" s="409">
        <f t="shared" ref="B267:C267" si="268">($A267-B$9)/365.25</f>
        <v>79.87405886379193</v>
      </c>
      <c r="C267" s="409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3525.4531757812501</v>
      </c>
      <c r="H267" s="25">
        <f>IF(B267&lt;62,0,'Combined Retirement'!$I$14)</f>
        <v>2192</v>
      </c>
      <c r="I267" s="25">
        <f>IF(C267&lt;62,0,'Combined Retirement'!$I$13)</f>
        <v>2420</v>
      </c>
      <c r="J267" s="25">
        <f t="shared" si="263"/>
        <v>7863.2184191855868</v>
      </c>
      <c r="K267" s="25">
        <f t="shared" si="264"/>
        <v>20282.026119384056</v>
      </c>
      <c r="L267" s="25"/>
      <c r="N267" s="25">
        <f>'Combined Retirement'!$C$18/12</f>
        <v>39153.069999999992</v>
      </c>
      <c r="O267" s="25">
        <f t="shared" si="265"/>
        <v>11007.82546143035</v>
      </c>
      <c r="P267" s="25">
        <f t="shared" si="266"/>
        <v>28145.244538569641</v>
      </c>
      <c r="Q267" s="25">
        <f t="array" aca="1" ref="Q267" ca="1">INDEX('Isaac 401k'!L:L,MATCH('Retirement Calculator'!A267,'Isaac 401k'!N:N,0),0)</f>
        <v>1536843.9501854284</v>
      </c>
      <c r="R267" s="25">
        <f t="array" aca="1" ref="R267" ca="1">INDEX('Lorri 401b'!L:L,MATCH('Retirement Calculator'!A267,'Lorri 401b'!N:N,0),0)</f>
        <v>3655768.4091880838</v>
      </c>
      <c r="S267" s="25">
        <f t="shared" ca="1" si="267"/>
        <v>5192612.3593735117</v>
      </c>
    </row>
    <row r="268" spans="1:19" ht="15.75" customHeight="1" x14ac:dyDescent="0.3">
      <c r="A268" s="37">
        <v>59111</v>
      </c>
      <c r="B268" s="409">
        <f t="shared" ref="B268:C268" si="269">($A268-B$9)/365.25</f>
        <v>79.958932238193015</v>
      </c>
      <c r="C268" s="409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3525.4531757812501</v>
      </c>
      <c r="H268" s="25">
        <f>IF(B268&lt;62,0,'Combined Retirement'!$I$14)</f>
        <v>2192</v>
      </c>
      <c r="I268" s="25">
        <f>IF(C268&lt;62,0,'Combined Retirement'!$I$13)</f>
        <v>2420</v>
      </c>
      <c r="J268" s="25">
        <f t="shared" si="263"/>
        <v>7863.2184191855868</v>
      </c>
      <c r="K268" s="25">
        <f t="shared" si="264"/>
        <v>20282.026119384056</v>
      </c>
      <c r="L268" s="25"/>
      <c r="N268" s="25">
        <f>'Combined Retirement'!$C$18/12</f>
        <v>39153.069999999992</v>
      </c>
      <c r="O268" s="25">
        <f t="shared" si="265"/>
        <v>11007.82546143035</v>
      </c>
      <c r="P268" s="25">
        <f t="shared" si="266"/>
        <v>28145.244538569641</v>
      </c>
      <c r="Q268" s="25">
        <f t="array" aca="1" ref="Q268" ca="1">INDEX('Isaac 401k'!L:L,MATCH('Retirement Calculator'!A268,'Isaac 401k'!N:N,0),0)</f>
        <v>1535351.4848152688</v>
      </c>
      <c r="R268" s="25">
        <f t="array" aca="1" ref="R268" ca="1">INDEX('Lorri 401b'!L:L,MATCH('Retirement Calculator'!A268,'Lorri 401b'!N:N,0),0)</f>
        <v>3650634.242998153</v>
      </c>
      <c r="S268" s="25">
        <f t="shared" ca="1" si="267"/>
        <v>5185985.7278134217</v>
      </c>
    </row>
    <row r="269" spans="1:19" ht="15.75" customHeight="1" x14ac:dyDescent="0.3">
      <c r="A269" s="37">
        <v>59141</v>
      </c>
      <c r="B269" s="409">
        <f t="shared" ref="B269:C269" si="270">($A269-B$9)/365.25</f>
        <v>80.041067761806985</v>
      </c>
      <c r="C269" s="409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3525.4531757812501</v>
      </c>
      <c r="H269" s="25">
        <f>IF(B269&lt;62,0,'Combined Retirement'!$I$14)</f>
        <v>2192</v>
      </c>
      <c r="I269" s="25">
        <f>IF(C269&lt;62,0,'Combined Retirement'!$I$13)</f>
        <v>2420</v>
      </c>
      <c r="J269" s="25">
        <f t="shared" si="263"/>
        <v>7863.2184191855868</v>
      </c>
      <c r="K269" s="25">
        <f t="shared" si="264"/>
        <v>20282.026119384056</v>
      </c>
      <c r="L269" s="25"/>
      <c r="N269" s="25">
        <f>'Combined Retirement'!$C$18/12</f>
        <v>39153.069999999992</v>
      </c>
      <c r="O269" s="25">
        <f t="shared" si="265"/>
        <v>11007.82546143035</v>
      </c>
      <c r="P269" s="25">
        <f t="shared" si="266"/>
        <v>28145.244538569641</v>
      </c>
      <c r="Q269" s="25">
        <f t="array" aca="1" ref="Q269" ca="1">INDEX('Isaac 401k'!L:L,MATCH('Retirement Calculator'!A269,'Isaac 401k'!N:N,0),0)</f>
        <v>1533852.8008394002</v>
      </c>
      <c r="R269" s="25">
        <f t="array" aca="1" ref="R269" ca="1">INDEX('Lorri 401b'!L:L,MATCH('Retirement Calculator'!A269,'Lorri 401b'!N:N,0),0)</f>
        <v>3645478.6844490971</v>
      </c>
      <c r="S269" s="25">
        <f t="shared" ca="1" si="267"/>
        <v>5179331.4852884971</v>
      </c>
    </row>
    <row r="270" spans="1:19" ht="15.75" customHeight="1" x14ac:dyDescent="0.3">
      <c r="A270" s="37">
        <v>59172</v>
      </c>
      <c r="B270" s="409">
        <f t="shared" ref="B270:C270" si="271">($A270-B$9)/365.25</f>
        <v>80.12594113620807</v>
      </c>
      <c r="C270" s="409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3525.4531757812501</v>
      </c>
      <c r="H270" s="25">
        <f>IF(B270&lt;62,0,'Combined Retirement'!$I$14)</f>
        <v>2192</v>
      </c>
      <c r="I270" s="25">
        <f>IF(C270&lt;62,0,'Combined Retirement'!$I$13)</f>
        <v>2420</v>
      </c>
      <c r="J270" s="25">
        <f t="shared" si="263"/>
        <v>7863.2184191855868</v>
      </c>
      <c r="K270" s="25">
        <f t="shared" si="264"/>
        <v>20282.026119384056</v>
      </c>
      <c r="L270" s="25"/>
      <c r="N270" s="25">
        <f>'Combined Retirement'!$C$18/12</f>
        <v>39153.069999999992</v>
      </c>
      <c r="O270" s="25">
        <f t="shared" si="265"/>
        <v>11007.82546143035</v>
      </c>
      <c r="P270" s="25">
        <f t="shared" si="266"/>
        <v>28145.244538569641</v>
      </c>
      <c r="Q270" s="25">
        <f t="array" aca="1" ref="Q270" ca="1">INDEX('Isaac 401k'!L:L,MATCH('Retirement Calculator'!A270,'Isaac 401k'!N:N,0),0)</f>
        <v>1532347.8723469654</v>
      </c>
      <c r="R270" s="25">
        <f t="array" aca="1" ref="R270" ca="1">INDEX('Lorri 401b'!L:L,MATCH('Retirement Calculator'!A270,'Lorri 401b'!N:N,0),0)</f>
        <v>3640301.6444060868</v>
      </c>
      <c r="S270" s="25">
        <f t="shared" ca="1" si="267"/>
        <v>5172649.5167530524</v>
      </c>
    </row>
    <row r="271" spans="1:19" ht="15.75" customHeight="1" x14ac:dyDescent="0.3">
      <c r="A271" s="37">
        <v>59203</v>
      </c>
      <c r="B271" s="409">
        <f t="shared" ref="B271:C271" si="272">($A271-B$9)/365.25</f>
        <v>80.210814510609168</v>
      </c>
      <c r="C271" s="409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3525.4531757812501</v>
      </c>
      <c r="H271" s="25">
        <f>IF(B271&lt;62,0,'Combined Retirement'!$I$14)</f>
        <v>2192</v>
      </c>
      <c r="I271" s="25">
        <f>IF(C271&lt;62,0,'Combined Retirement'!$I$13)</f>
        <v>2420</v>
      </c>
      <c r="J271" s="25">
        <f t="shared" si="263"/>
        <v>7863.2184191855868</v>
      </c>
      <c r="K271" s="25">
        <f t="shared" si="264"/>
        <v>20282.026119384056</v>
      </c>
      <c r="L271" s="25"/>
      <c r="N271" s="25">
        <f>'Combined Retirement'!$C$18/12</f>
        <v>39153.069999999992</v>
      </c>
      <c r="O271" s="25">
        <f t="shared" si="265"/>
        <v>11007.82546143035</v>
      </c>
      <c r="P271" s="25">
        <f t="shared" si="266"/>
        <v>28145.244538569641</v>
      </c>
      <c r="Q271" s="25">
        <f t="array" aca="1" ref="Q271" ca="1">INDEX('Isaac 401k'!L:L,MATCH('Retirement Calculator'!A271,'Isaac 401k'!N:N,0),0)</f>
        <v>1530836.6733191456</v>
      </c>
      <c r="R271" s="25">
        <f t="array" aca="1" ref="R271" ca="1">INDEX('Lorri 401b'!L:L,MATCH('Retirement Calculator'!A271,'Lorri 401b'!N:N,0),0)</f>
        <v>3635103.0333628976</v>
      </c>
      <c r="S271" s="25">
        <f t="shared" ca="1" si="267"/>
        <v>5165939.7066820432</v>
      </c>
    </row>
    <row r="272" spans="1:19" ht="15.75" customHeight="1" x14ac:dyDescent="0.3">
      <c r="A272" s="37">
        <v>59231</v>
      </c>
      <c r="B272" s="409">
        <f t="shared" ref="B272:C272" si="273">($A272-B$9)/365.25</f>
        <v>80.28747433264887</v>
      </c>
      <c r="C272" s="409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3525.4531757812501</v>
      </c>
      <c r="H272" s="25">
        <f>IF(B272&lt;62,0,'Combined Retirement'!$I$14)</f>
        <v>2192</v>
      </c>
      <c r="I272" s="25">
        <f>IF(C272&lt;62,0,'Combined Retirement'!$I$13)</f>
        <v>2420</v>
      </c>
      <c r="J272" s="25">
        <f t="shared" si="263"/>
        <v>7863.2184191855868</v>
      </c>
      <c r="K272" s="25">
        <f t="shared" si="264"/>
        <v>20282.026119384056</v>
      </c>
      <c r="L272" s="25"/>
      <c r="N272" s="25">
        <f>'Combined Retirement'!$C$18/12</f>
        <v>39153.069999999992</v>
      </c>
      <c r="O272" s="25">
        <f t="shared" si="265"/>
        <v>11007.82546143035</v>
      </c>
      <c r="P272" s="25">
        <f t="shared" si="266"/>
        <v>28145.244538569641</v>
      </c>
      <c r="Q272" s="25">
        <f t="array" aca="1" ref="Q272" ca="1">INDEX('Isaac 401k'!L:L,MATCH('Retirement Calculator'!A272,'Isaac 401k'!N:N,0),0)</f>
        <v>1529319.1776287097</v>
      </c>
      <c r="R272" s="25">
        <f t="array" aca="1" ref="R272" ca="1">INDEX('Lorri 401b'!L:L,MATCH('Retirement Calculator'!A272,'Lorri 401b'!N:N,0),0)</f>
        <v>3629882.7614403614</v>
      </c>
      <c r="S272" s="25">
        <f t="shared" ca="1" si="267"/>
        <v>5159201.9390690709</v>
      </c>
    </row>
    <row r="273" spans="1:19" ht="15.75" customHeight="1" x14ac:dyDescent="0.3">
      <c r="A273" s="37">
        <v>59262</v>
      </c>
      <c r="B273" s="409">
        <f t="shared" ref="B273:C273" si="274">($A273-B$9)/365.25</f>
        <v>80.372347707049968</v>
      </c>
      <c r="C273" s="409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3525.4531757812501</v>
      </c>
      <c r="H273" s="25">
        <f>IF(B273&lt;62,0,'Combined Retirement'!$I$14)</f>
        <v>2192</v>
      </c>
      <c r="I273" s="25">
        <f>IF(C273&lt;62,0,'Combined Retirement'!$I$13)</f>
        <v>2420</v>
      </c>
      <c r="J273" s="25">
        <f t="shared" si="263"/>
        <v>7863.2184191855868</v>
      </c>
      <c r="K273" s="25">
        <f t="shared" si="264"/>
        <v>20282.026119384056</v>
      </c>
      <c r="L273" s="25"/>
      <c r="N273" s="25">
        <f>'Combined Retirement'!$C$18/12</f>
        <v>39153.069999999992</v>
      </c>
      <c r="O273" s="25">
        <f t="shared" si="265"/>
        <v>11007.82546143035</v>
      </c>
      <c r="P273" s="25">
        <f t="shared" si="266"/>
        <v>28145.244538569641</v>
      </c>
      <c r="Q273" s="25">
        <f t="array" aca="1" ref="Q273" ca="1">INDEX('Isaac 401k'!L:L,MATCH('Retirement Calculator'!A273,'Isaac 401k'!N:N,0),0)</f>
        <v>1527795.3590395637</v>
      </c>
      <c r="R273" s="25">
        <f t="array" aca="1" ref="R273" ca="1">INDEX('Lorri 401b'!L:L,MATCH('Retirement Calculator'!A273,'Lorri 401b'!N:N,0),0)</f>
        <v>3624640.7383848149</v>
      </c>
      <c r="S273" s="25">
        <f t="shared" ca="1" si="267"/>
        <v>5152436.0974243786</v>
      </c>
    </row>
    <row r="274" spans="1:19" ht="15.75" customHeight="1" x14ac:dyDescent="0.3">
      <c r="A274" s="37">
        <v>59292</v>
      </c>
      <c r="B274" s="409">
        <f t="shared" ref="B274:C274" si="275">($A274-B$9)/365.25</f>
        <v>80.454483230663925</v>
      </c>
      <c r="C274" s="409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3525.4531757812501</v>
      </c>
      <c r="H274" s="25">
        <f>IF(B274&lt;62,0,'Combined Retirement'!$I$14)</f>
        <v>2192</v>
      </c>
      <c r="I274" s="25">
        <f>IF(C274&lt;62,0,'Combined Retirement'!$I$13)</f>
        <v>2420</v>
      </c>
      <c r="J274" s="25">
        <f t="shared" si="263"/>
        <v>7863.2184191855868</v>
      </c>
      <c r="K274" s="25">
        <f t="shared" si="264"/>
        <v>20282.026119384056</v>
      </c>
      <c r="L274" s="25"/>
      <c r="N274" s="25">
        <f>'Combined Retirement'!$C$18/12</f>
        <v>39153.069999999992</v>
      </c>
      <c r="O274" s="25">
        <f t="shared" si="265"/>
        <v>11007.82546143035</v>
      </c>
      <c r="P274" s="25">
        <f t="shared" si="266"/>
        <v>28145.244538569641</v>
      </c>
      <c r="Q274" s="25">
        <f t="array" aca="1" ref="Q274" ca="1">INDEX('Isaac 401k'!L:L,MATCH('Retirement Calculator'!A274,'Isaac 401k'!N:N,0),0)</f>
        <v>1526265.1912062962</v>
      </c>
      <c r="R274" s="25">
        <f t="array" aca="1" ref="R274" ca="1">INDEX('Lorri 401b'!L:L,MATCH('Retirement Calculator'!A274,'Lorri 401b'!N:N,0),0)</f>
        <v>3619376.8735665367</v>
      </c>
      <c r="S274" s="25">
        <f t="shared" ca="1" si="267"/>
        <v>5145642.0647728331</v>
      </c>
    </row>
    <row r="275" spans="1:19" ht="15.75" customHeight="1" x14ac:dyDescent="0.3">
      <c r="A275" s="37">
        <v>59323</v>
      </c>
      <c r="B275" s="409">
        <f t="shared" ref="B275:C275" si="276">($A275-B$9)/365.25</f>
        <v>80.539356605065024</v>
      </c>
      <c r="C275" s="409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3525.4531757812501</v>
      </c>
      <c r="H275" s="25">
        <f>IF(B275&lt;62,0,'Combined Retirement'!$I$14)</f>
        <v>2192</v>
      </c>
      <c r="I275" s="25">
        <f>IF(C275&lt;62,0,'Combined Retirement'!$I$13)</f>
        <v>2420</v>
      </c>
      <c r="J275" s="25">
        <f t="shared" si="263"/>
        <v>7863.2184191855868</v>
      </c>
      <c r="K275" s="25">
        <f t="shared" si="264"/>
        <v>20282.026119384056</v>
      </c>
      <c r="L275" s="25"/>
      <c r="N275" s="25">
        <f>'Combined Retirement'!$C$18/12</f>
        <v>39153.069999999992</v>
      </c>
      <c r="O275" s="25">
        <f t="shared" si="265"/>
        <v>11007.82546143035</v>
      </c>
      <c r="P275" s="25">
        <f t="shared" si="266"/>
        <v>28145.244538569641</v>
      </c>
      <c r="Q275" s="25">
        <f t="array" aca="1" ref="Q275" ca="1">INDEX('Isaac 401k'!L:L,MATCH('Retirement Calculator'!A275,'Isaac 401k'!N:N,0),0)</f>
        <v>1524728.6476737235</v>
      </c>
      <c r="R275" s="25">
        <f t="array" aca="1" ref="R275" ca="1">INDEX('Lorri 401b'!L:L,MATCH('Retirement Calculator'!A275,'Lorri 401b'!N:N,0),0)</f>
        <v>3614091.0759781827</v>
      </c>
      <c r="S275" s="25">
        <f t="shared" ca="1" si="267"/>
        <v>5138819.7236519065</v>
      </c>
    </row>
    <row r="276" spans="1:19" ht="15.75" customHeight="1" x14ac:dyDescent="0.3">
      <c r="A276" s="37">
        <v>59353</v>
      </c>
      <c r="B276" s="409">
        <f t="shared" ref="B276:C276" si="277">($A276-B$9)/365.25</f>
        <v>80.62149212867898</v>
      </c>
      <c r="C276" s="409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3525.4531757812501</v>
      </c>
      <c r="H276" s="25">
        <f>IF(B276&lt;62,0,'Combined Retirement'!$I$14)</f>
        <v>2192</v>
      </c>
      <c r="I276" s="25">
        <f>IF(C276&lt;62,0,'Combined Retirement'!$I$13)</f>
        <v>2420</v>
      </c>
      <c r="J276" s="25">
        <f t="shared" si="263"/>
        <v>7863.2184191855868</v>
      </c>
      <c r="K276" s="25">
        <f t="shared" si="264"/>
        <v>20282.026119384056</v>
      </c>
      <c r="L276" s="25"/>
      <c r="N276" s="25">
        <f>'Combined Retirement'!$C$18/12</f>
        <v>39153.069999999992</v>
      </c>
      <c r="O276" s="25">
        <f t="shared" si="265"/>
        <v>11007.82546143035</v>
      </c>
      <c r="P276" s="25">
        <f t="shared" si="266"/>
        <v>28145.244538569641</v>
      </c>
      <c r="Q276" s="25">
        <f t="array" aca="1" ref="Q276" ca="1">INDEX('Isaac 401k'!L:L,MATCH('Retirement Calculator'!A276,'Isaac 401k'!N:N,0),0)</f>
        <v>1523185.7018764319</v>
      </c>
      <c r="R276" s="25">
        <f t="array" aca="1" ref="R276" ca="1">INDEX('Lorri 401b'!L:L,MATCH('Retirement Calculator'!A276,'Lorri 401b'!N:N,0),0)</f>
        <v>3608783.2542332103</v>
      </c>
      <c r="S276" s="25">
        <f t="shared" ca="1" si="267"/>
        <v>5131968.9561096421</v>
      </c>
    </row>
    <row r="277" spans="1:19" ht="15.75" customHeight="1" x14ac:dyDescent="0.3">
      <c r="A277" s="37">
        <v>59384</v>
      </c>
      <c r="B277" s="409">
        <f t="shared" ref="B277:C277" si="278">($A277-B$9)/365.25</f>
        <v>80.706365503080079</v>
      </c>
      <c r="C277" s="409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3525.4531757812501</v>
      </c>
      <c r="H277" s="25">
        <f>IF(B277&lt;62,0,'Combined Retirement'!$I$14)</f>
        <v>2192</v>
      </c>
      <c r="I277" s="25">
        <f>IF(C277&lt;62,0,'Combined Retirement'!$I$13)</f>
        <v>2420</v>
      </c>
      <c r="J277" s="25">
        <f t="shared" si="263"/>
        <v>7863.2184191855868</v>
      </c>
      <c r="K277" s="25">
        <f t="shared" si="264"/>
        <v>20282.026119384056</v>
      </c>
      <c r="L277" s="25"/>
      <c r="N277" s="25">
        <f>'Combined Retirement'!$C$18/12</f>
        <v>39153.069999999992</v>
      </c>
      <c r="O277" s="25">
        <f t="shared" si="265"/>
        <v>11007.82546143035</v>
      </c>
      <c r="P277" s="25">
        <f t="shared" si="266"/>
        <v>28145.244538569641</v>
      </c>
      <c r="Q277" s="25">
        <f t="array" aca="1" ref="Q277" ca="1">INDEX('Isaac 401k'!L:L,MATCH('Retirement Calculator'!A277,'Isaac 401k'!N:N,0),0)</f>
        <v>1521636.3271383182</v>
      </c>
      <c r="R277" s="25">
        <f t="array" aca="1" ref="R277" ca="1">INDEX('Lorri 401b'!L:L,MATCH('Retirement Calculator'!A277,'Lorri 401b'!N:N,0),0)</f>
        <v>3603453.3165643006</v>
      </c>
      <c r="S277" s="25">
        <f t="shared" ca="1" si="267"/>
        <v>5125089.6437026188</v>
      </c>
    </row>
    <row r="278" spans="1:19" ht="15.75" customHeight="1" x14ac:dyDescent="0.3">
      <c r="A278" s="37">
        <v>59415</v>
      </c>
      <c r="B278" s="409">
        <f t="shared" ref="B278:C278" si="279">($A278-B$9)/365.25</f>
        <v>80.791238877481177</v>
      </c>
      <c r="C278" s="409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3525.4531757812501</v>
      </c>
      <c r="H278" s="25">
        <f>IF(B278&lt;62,0,'Combined Retirement'!$I$14)</f>
        <v>2192</v>
      </c>
      <c r="I278" s="25">
        <f>IF(C278&lt;62,0,'Combined Retirement'!$I$13)</f>
        <v>2420</v>
      </c>
      <c r="J278" s="25">
        <f t="shared" si="263"/>
        <v>7863.2184191855868</v>
      </c>
      <c r="K278" s="25">
        <f t="shared" si="264"/>
        <v>20282.026119384056</v>
      </c>
      <c r="L278" s="25"/>
      <c r="N278" s="25">
        <f>'Combined Retirement'!$C$18/12</f>
        <v>39153.069999999992</v>
      </c>
      <c r="O278" s="25">
        <f t="shared" si="265"/>
        <v>11007.82546143035</v>
      </c>
      <c r="P278" s="25">
        <f t="shared" si="266"/>
        <v>28145.244538569641</v>
      </c>
      <c r="Q278" s="25">
        <f t="array" aca="1" ref="Q278" ca="1">INDEX('Isaac 401k'!L:L,MATCH('Retirement Calculator'!A278,'Isaac 401k'!N:N,0),0)</f>
        <v>1520080.496672129</v>
      </c>
      <c r="R278" s="25">
        <f t="array" aca="1" ref="R278" ca="1">INDEX('Lorri 401b'!L:L,MATCH('Retirement Calculator'!A278,'Lorri 401b'!N:N,0),0)</f>
        <v>3598101.1708217706</v>
      </c>
      <c r="S278" s="25">
        <f t="shared" ca="1" si="267"/>
        <v>5118181.6674938994</v>
      </c>
    </row>
    <row r="279" spans="1:19" ht="15.75" customHeight="1" x14ac:dyDescent="0.3">
      <c r="A279" s="37">
        <v>59445</v>
      </c>
      <c r="B279" s="409">
        <f t="shared" ref="B279:C279" si="280">($A279-B$9)/365.25</f>
        <v>80.873374401095134</v>
      </c>
      <c r="C279" s="409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3525.4531757812501</v>
      </c>
      <c r="H279" s="25">
        <f>IF(B279&lt;62,0,'Combined Retirement'!$I$14)</f>
        <v>2192</v>
      </c>
      <c r="I279" s="25">
        <f>IF(C279&lt;62,0,'Combined Retirement'!$I$13)</f>
        <v>2420</v>
      </c>
      <c r="J279" s="25">
        <f t="shared" si="263"/>
        <v>7863.2184191855868</v>
      </c>
      <c r="K279" s="25">
        <f t="shared" si="264"/>
        <v>20282.026119384056</v>
      </c>
      <c r="L279" s="25"/>
      <c r="N279" s="25">
        <f>'Combined Retirement'!$C$18/12</f>
        <v>39153.069999999992</v>
      </c>
      <c r="O279" s="25">
        <f t="shared" si="265"/>
        <v>11007.82546143035</v>
      </c>
      <c r="P279" s="25">
        <f t="shared" si="266"/>
        <v>28145.244538569641</v>
      </c>
      <c r="Q279" s="25">
        <f t="array" aca="1" ref="Q279" ca="1">INDEX('Isaac 401k'!L:L,MATCH('Retirement Calculator'!A279,'Isaac 401k'!N:N,0),0)</f>
        <v>1518518.1835789974</v>
      </c>
      <c r="R279" s="25">
        <f t="array" aca="1" ref="R279" ca="1">INDEX('Lorri 401b'!L:L,MATCH('Retirement Calculator'!A279,'Lorri 401b'!N:N,0),0)</f>
        <v>3592726.7244719798</v>
      </c>
      <c r="S279" s="25">
        <f t="shared" ca="1" si="267"/>
        <v>5111244.9080509767</v>
      </c>
    </row>
    <row r="280" spans="1:19" ht="15.75" customHeight="1" x14ac:dyDescent="0.3">
      <c r="A280" s="37">
        <v>59476</v>
      </c>
      <c r="B280" s="409">
        <f t="shared" ref="B280:C280" si="281">($A280-B$9)/365.25</f>
        <v>80.958247775496233</v>
      </c>
      <c r="C280" s="409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3525.4531757812501</v>
      </c>
      <c r="H280" s="25">
        <f>IF(B280&lt;62,0,'Combined Retirement'!$I$14)</f>
        <v>2192</v>
      </c>
      <c r="I280" s="25">
        <f>IF(C280&lt;62,0,'Combined Retirement'!$I$13)</f>
        <v>2420</v>
      </c>
      <c r="J280" s="25">
        <f t="shared" si="263"/>
        <v>7863.2184191855868</v>
      </c>
      <c r="K280" s="25">
        <f t="shared" si="264"/>
        <v>20282.026119384056</v>
      </c>
      <c r="L280" s="25"/>
      <c r="N280" s="25">
        <f>'Combined Retirement'!$C$18/12</f>
        <v>39153.069999999992</v>
      </c>
      <c r="O280" s="25">
        <f t="shared" si="265"/>
        <v>11007.82546143035</v>
      </c>
      <c r="P280" s="25">
        <f t="shared" si="266"/>
        <v>28145.244538569641</v>
      </c>
      <c r="Q280" s="25">
        <f t="array" aca="1" ref="Q280" ca="1">INDEX('Isaac 401k'!L:L,MATCH('Retirement Calculator'!A280,'Isaac 401k'!N:N,0),0)</f>
        <v>1516949.3608479777</v>
      </c>
      <c r="R280" s="25">
        <f t="array" aca="1" ref="R280" ca="1">INDEX('Lorri 401b'!L:L,MATCH('Retirement Calculator'!A280,'Lorri 401b'!N:N,0),0)</f>
        <v>3587329.8845957317</v>
      </c>
      <c r="S280" s="25">
        <f t="shared" ca="1" si="267"/>
        <v>5104279.2454437092</v>
      </c>
    </row>
    <row r="281" spans="1:19" ht="15.75" customHeight="1" x14ac:dyDescent="0.3">
      <c r="A281" s="37">
        <v>59506</v>
      </c>
      <c r="B281" s="409">
        <f t="shared" ref="B281:C281" si="282">($A281-B$9)/365.25</f>
        <v>81.040383299110204</v>
      </c>
      <c r="C281" s="409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3525.4531757812501</v>
      </c>
      <c r="H281" s="25">
        <f>IF(B281&lt;62,0,'Combined Retirement'!$I$14)</f>
        <v>2192</v>
      </c>
      <c r="I281" s="25">
        <f>IF(C281&lt;62,0,'Combined Retirement'!$I$13)</f>
        <v>2420</v>
      </c>
      <c r="J281" s="25">
        <f t="shared" si="263"/>
        <v>7863.2184191855868</v>
      </c>
      <c r="K281" s="25">
        <f t="shared" si="264"/>
        <v>20282.026119384056</v>
      </c>
      <c r="L281" s="25"/>
      <c r="N281" s="25">
        <f>'Combined Retirement'!$C$18/12</f>
        <v>39153.069999999992</v>
      </c>
      <c r="O281" s="25">
        <f t="shared" si="265"/>
        <v>11007.82546143035</v>
      </c>
      <c r="P281" s="25">
        <f t="shared" si="266"/>
        <v>28145.244538569641</v>
      </c>
      <c r="Q281" s="25">
        <f t="array" aca="1" ref="Q281" ca="1">INDEX('Isaac 401k'!L:L,MATCH('Retirement Calculator'!A281,'Isaac 401k'!N:N,0),0)</f>
        <v>1515374.0013555787</v>
      </c>
      <c r="R281" s="25">
        <f t="array" aca="1" ref="R281" ca="1">INDEX('Lorri 401b'!L:L,MATCH('Retirement Calculator'!A281,'Lorri 401b'!N:N,0),0)</f>
        <v>3581910.5578866657</v>
      </c>
      <c r="S281" s="25">
        <f t="shared" ca="1" si="267"/>
        <v>5097284.5592422448</v>
      </c>
    </row>
    <row r="282" spans="1:19" ht="15.75" customHeight="1" x14ac:dyDescent="0.3">
      <c r="A282" s="37">
        <v>59537</v>
      </c>
      <c r="B282" s="409">
        <f t="shared" ref="B282:C282" si="283">($A282-B$9)/365.25</f>
        <v>81.125256673511288</v>
      </c>
      <c r="C282" s="409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3525.4531757812501</v>
      </c>
      <c r="H282" s="25">
        <f>IF(B282&lt;62,0,'Combined Retirement'!$I$14)</f>
        <v>2192</v>
      </c>
      <c r="I282" s="25">
        <f>IF(C282&lt;62,0,'Combined Retirement'!$I$13)</f>
        <v>2420</v>
      </c>
      <c r="J282" s="25">
        <f t="shared" si="263"/>
        <v>7863.2184191855868</v>
      </c>
      <c r="K282" s="25">
        <f t="shared" si="264"/>
        <v>20282.026119384056</v>
      </c>
      <c r="L282" s="25"/>
      <c r="N282" s="25">
        <f>'Combined Retirement'!$C$18/12</f>
        <v>39153.069999999992</v>
      </c>
      <c r="O282" s="25">
        <f t="shared" si="265"/>
        <v>11007.82546143035</v>
      </c>
      <c r="P282" s="25">
        <f t="shared" si="266"/>
        <v>28145.244538569641</v>
      </c>
      <c r="Q282" s="25">
        <f t="array" aca="1" ref="Q282" ca="1">INDEX('Isaac 401k'!L:L,MATCH('Retirement Calculator'!A282,'Isaac 401k'!N:N,0),0)</f>
        <v>1513792.0778652946</v>
      </c>
      <c r="R282" s="25">
        <f t="array" aca="1" ref="R282" ca="1">INDEX('Lorri 401b'!L:L,MATCH('Retirement Calculator'!A282,'Lorri 401b'!N:N,0),0)</f>
        <v>3576468.6506496454</v>
      </c>
      <c r="S282" s="25">
        <f t="shared" ca="1" si="267"/>
        <v>5090260.7285149395</v>
      </c>
    </row>
    <row r="283" spans="1:19" ht="15.75" customHeight="1" x14ac:dyDescent="0.3">
      <c r="A283" s="37">
        <v>59568</v>
      </c>
      <c r="B283" s="409">
        <f t="shared" ref="B283:C283" si="284">($A283-B$9)/365.25</f>
        <v>81.210130047912386</v>
      </c>
      <c r="C283" s="409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3525.4531757812501</v>
      </c>
      <c r="H283" s="25">
        <f>IF(B283&lt;62,0,'Combined Retirement'!$I$14)</f>
        <v>2192</v>
      </c>
      <c r="I283" s="25">
        <f>IF(C283&lt;62,0,'Combined Retirement'!$I$13)</f>
        <v>2420</v>
      </c>
      <c r="J283" s="25">
        <f t="shared" si="263"/>
        <v>7863.2184191855868</v>
      </c>
      <c r="K283" s="25">
        <f t="shared" si="264"/>
        <v>20282.026119384056</v>
      </c>
      <c r="L283" s="25"/>
      <c r="N283" s="25">
        <f>'Combined Retirement'!$C$18/12</f>
        <v>39153.069999999992</v>
      </c>
      <c r="O283" s="25">
        <f t="shared" si="265"/>
        <v>11007.82546143035</v>
      </c>
      <c r="P283" s="25">
        <f t="shared" si="266"/>
        <v>28145.244538569641</v>
      </c>
      <c r="Q283" s="25">
        <f t="array" aca="1" ref="Q283" ca="1">INDEX('Isaac 401k'!L:L,MATCH('Retirement Calculator'!A283,'Isaac 401k'!N:N,0),0)</f>
        <v>1512203.5630271344</v>
      </c>
      <c r="R283" s="25">
        <f t="array" aca="1" ref="R283" ca="1">INDEX('Lorri 401b'!L:L,MATCH('Retirement Calculator'!A283,'Lorri 401b'!N:N,0),0)</f>
        <v>3571004.0687991376</v>
      </c>
      <c r="S283" s="25">
        <f t="shared" ca="1" si="267"/>
        <v>5083207.6318262722</v>
      </c>
    </row>
    <row r="284" spans="1:19" ht="15.75" customHeight="1" x14ac:dyDescent="0.3">
      <c r="A284" s="37">
        <v>59596</v>
      </c>
      <c r="B284" s="409">
        <f t="shared" ref="B284:C284" si="285">($A284-B$9)/365.25</f>
        <v>81.286789869952088</v>
      </c>
      <c r="C284" s="409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3525.4531757812501</v>
      </c>
      <c r="H284" s="25">
        <f>IF(B284&lt;62,0,'Combined Retirement'!$I$14)</f>
        <v>2192</v>
      </c>
      <c r="I284" s="25">
        <f>IF(C284&lt;62,0,'Combined Retirement'!$I$13)</f>
        <v>2420</v>
      </c>
      <c r="J284" s="25">
        <f t="shared" si="263"/>
        <v>7863.2184191855868</v>
      </c>
      <c r="K284" s="25">
        <f t="shared" si="264"/>
        <v>20282.026119384056</v>
      </c>
      <c r="L284" s="25"/>
      <c r="N284" s="25">
        <f>'Combined Retirement'!$C$18/12</f>
        <v>39153.069999999992</v>
      </c>
      <c r="O284" s="25">
        <f t="shared" si="265"/>
        <v>11007.82546143035</v>
      </c>
      <c r="P284" s="25">
        <f t="shared" si="266"/>
        <v>28145.244538569641</v>
      </c>
      <c r="Q284" s="25">
        <f t="array" aca="1" ref="Q284" ca="1">INDEX('Isaac 401k'!L:L,MATCH('Retirement Calculator'!A284,'Isaac 401k'!N:N,0),0)</f>
        <v>1510608.4293771486</v>
      </c>
      <c r="R284" s="25">
        <f t="array" aca="1" ref="R284" ca="1">INDEX('Lorri 401b'!L:L,MATCH('Retirement Calculator'!A284,'Lorri 401b'!N:N,0),0)</f>
        <v>3565516.7178575858</v>
      </c>
      <c r="S284" s="25">
        <f t="shared" ca="1" si="267"/>
        <v>5076125.1472347341</v>
      </c>
    </row>
    <row r="285" spans="1:19" ht="15.75" customHeight="1" x14ac:dyDescent="0.3">
      <c r="A285" s="37">
        <v>59627</v>
      </c>
      <c r="B285" s="409">
        <f t="shared" ref="B285:C285" si="286">($A285-B$9)/365.25</f>
        <v>81.371663244353186</v>
      </c>
      <c r="C285" s="409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3525.4531757812501</v>
      </c>
      <c r="H285" s="25">
        <f>IF(B285&lt;62,0,'Combined Retirement'!$I$14)</f>
        <v>2192</v>
      </c>
      <c r="I285" s="25">
        <f>IF(C285&lt;62,0,'Combined Retirement'!$I$13)</f>
        <v>2420</v>
      </c>
      <c r="J285" s="25">
        <f t="shared" si="263"/>
        <v>7863.2184191855868</v>
      </c>
      <c r="K285" s="25">
        <f t="shared" si="264"/>
        <v>20282.026119384056</v>
      </c>
      <c r="L285" s="25"/>
      <c r="N285" s="25">
        <f>'Combined Retirement'!$C$18/12</f>
        <v>39153.069999999992</v>
      </c>
      <c r="O285" s="25">
        <f t="shared" si="265"/>
        <v>11007.82546143035</v>
      </c>
      <c r="P285" s="25">
        <f t="shared" si="266"/>
        <v>28145.244538569641</v>
      </c>
      <c r="Q285" s="25">
        <f t="array" aca="1" ref="Q285" ca="1">INDEX('Isaac 401k'!L:L,MATCH('Retirement Calculator'!A285,'Isaac 401k'!N:N,0),0)</f>
        <v>1509006.6493369546</v>
      </c>
      <c r="R285" s="25">
        <f t="array" aca="1" ref="R285" ca="1">INDEX('Lorri 401b'!L:L,MATCH('Retirement Calculator'!A285,'Lorri 401b'!N:N,0),0)</f>
        <v>3560006.5029537776</v>
      </c>
      <c r="S285" s="25">
        <f t="shared" ca="1" si="267"/>
        <v>5069013.1522907317</v>
      </c>
    </row>
    <row r="286" spans="1:19" ht="15.75" customHeight="1" x14ac:dyDescent="0.3">
      <c r="A286" s="37">
        <v>59657</v>
      </c>
      <c r="B286" s="409">
        <f t="shared" ref="B286:C286" si="287">($A286-B$9)/365.25</f>
        <v>81.453798767967143</v>
      </c>
      <c r="C286" s="409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3525.4531757812501</v>
      </c>
      <c r="H286" s="25">
        <f>IF(B286&lt;62,0,'Combined Retirement'!$I$14)</f>
        <v>2192</v>
      </c>
      <c r="I286" s="25">
        <f>IF(C286&lt;62,0,'Combined Retirement'!$I$13)</f>
        <v>2420</v>
      </c>
      <c r="J286" s="25">
        <f t="shared" si="263"/>
        <v>7863.2184191855868</v>
      </c>
      <c r="K286" s="25">
        <f t="shared" si="264"/>
        <v>20282.026119384056</v>
      </c>
      <c r="L286" s="25"/>
      <c r="N286" s="25">
        <f>'Combined Retirement'!$C$18/12</f>
        <v>39153.069999999992</v>
      </c>
      <c r="O286" s="25">
        <f t="shared" si="265"/>
        <v>11007.82546143035</v>
      </c>
      <c r="P286" s="25">
        <f t="shared" si="266"/>
        <v>28145.244538569641</v>
      </c>
      <c r="Q286" s="25">
        <f t="array" aca="1" ref="Q286" ca="1">INDEX('Isaac 401k'!L:L,MATCH('Retirement Calculator'!A286,'Isaac 401k'!N:N,0),0)</f>
        <v>1507398.1952132597</v>
      </c>
      <c r="R286" s="25">
        <f t="array" aca="1" ref="R286" ca="1">INDEX('Lorri 401b'!L:L,MATCH('Retirement Calculator'!A286,'Lorri 401b'!N:N,0),0)</f>
        <v>3554473.3288212037</v>
      </c>
      <c r="S286" s="25">
        <f t="shared" ca="1" si="267"/>
        <v>5061871.5240344629</v>
      </c>
    </row>
    <row r="287" spans="1:19" ht="15.75" customHeight="1" x14ac:dyDescent="0.3">
      <c r="A287" s="37">
        <v>59688</v>
      </c>
      <c r="B287" s="409">
        <f t="shared" ref="B287:C287" si="288">($A287-B$9)/365.25</f>
        <v>81.538672142368242</v>
      </c>
      <c r="C287" s="409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3525.4531757812501</v>
      </c>
      <c r="H287" s="25">
        <f>IF(B287&lt;62,0,'Combined Retirement'!$I$14)</f>
        <v>2192</v>
      </c>
      <c r="I287" s="25">
        <f>IF(C287&lt;62,0,'Combined Retirement'!$I$13)</f>
        <v>2420</v>
      </c>
      <c r="J287" s="25">
        <f t="shared" si="263"/>
        <v>7863.2184191855868</v>
      </c>
      <c r="K287" s="25">
        <f t="shared" si="264"/>
        <v>20282.026119384056</v>
      </c>
      <c r="L287" s="25"/>
      <c r="N287" s="25">
        <f>'Combined Retirement'!$C$18/12</f>
        <v>39153.069999999992</v>
      </c>
      <c r="O287" s="25">
        <f t="shared" si="265"/>
        <v>11007.82546143035</v>
      </c>
      <c r="P287" s="25">
        <f t="shared" si="266"/>
        <v>28145.244538569641</v>
      </c>
      <c r="Q287" s="25">
        <f t="array" aca="1" ref="Q287" ca="1">INDEX('Isaac 401k'!L:L,MATCH('Retirement Calculator'!A287,'Isaac 401k'!N:N,0),0)</f>
        <v>1505783.0391973827</v>
      </c>
      <c r="R287" s="25">
        <f t="array" aca="1" ref="R287" ca="1">INDEX('Lorri 401b'!L:L,MATCH('Retirement Calculator'!A287,'Lorri 401b'!N:N,0),0)</f>
        <v>3548917.0997964107</v>
      </c>
      <c r="S287" s="25">
        <f t="shared" ca="1" si="267"/>
        <v>5054700.1389937932</v>
      </c>
    </row>
    <row r="288" spans="1:19" ht="15.75" customHeight="1" x14ac:dyDescent="0.3">
      <c r="A288" s="37">
        <v>59718</v>
      </c>
      <c r="B288" s="409">
        <f t="shared" ref="B288:C288" si="289">($A288-B$9)/365.25</f>
        <v>81.620807665982198</v>
      </c>
      <c r="C288" s="409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3525.4531757812501</v>
      </c>
      <c r="H288" s="25">
        <f>IF(B288&lt;62,0,'Combined Retirement'!$I$14)</f>
        <v>2192</v>
      </c>
      <c r="I288" s="25">
        <f>IF(C288&lt;62,0,'Combined Retirement'!$I$13)</f>
        <v>2420</v>
      </c>
      <c r="J288" s="25">
        <f t="shared" si="263"/>
        <v>7863.2184191855868</v>
      </c>
      <c r="K288" s="25">
        <f t="shared" si="264"/>
        <v>20282.026119384056</v>
      </c>
      <c r="L288" s="25"/>
      <c r="N288" s="25">
        <f>'Combined Retirement'!$C$18/12</f>
        <v>39153.069999999992</v>
      </c>
      <c r="O288" s="25">
        <f t="shared" si="265"/>
        <v>11007.82546143035</v>
      </c>
      <c r="P288" s="25">
        <f t="shared" si="266"/>
        <v>28145.244538569641</v>
      </c>
      <c r="Q288" s="25">
        <f t="array" aca="1" ref="Q288" ca="1">INDEX('Isaac 401k'!L:L,MATCH('Retirement Calculator'!A288,'Isaac 401k'!N:N,0),0)</f>
        <v>1504161.1533647729</v>
      </c>
      <c r="R288" s="25">
        <f t="array" aca="1" ref="R288" ca="1">INDEX('Lorri 401b'!L:L,MATCH('Retirement Calculator'!A288,'Lorri 401b'!N:N,0),0)</f>
        <v>3543337.7198173478</v>
      </c>
      <c r="S288" s="25">
        <f t="shared" ca="1" si="267"/>
        <v>5047498.8731821207</v>
      </c>
    </row>
    <row r="289" spans="1:19" ht="15.75" customHeight="1" x14ac:dyDescent="0.3">
      <c r="A289" s="37">
        <v>59749</v>
      </c>
      <c r="B289" s="409">
        <f t="shared" ref="B289:C289" si="290">($A289-B$9)/365.25</f>
        <v>81.705681040383297</v>
      </c>
      <c r="C289" s="409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3525.4531757812501</v>
      </c>
      <c r="H289" s="25">
        <f>IF(B289&lt;62,0,'Combined Retirement'!$I$14)</f>
        <v>2192</v>
      </c>
      <c r="I289" s="25">
        <f>IF(C289&lt;62,0,'Combined Retirement'!$I$13)</f>
        <v>2420</v>
      </c>
      <c r="J289" s="25">
        <f t="shared" si="263"/>
        <v>7863.2184191855868</v>
      </c>
      <c r="K289" s="25">
        <f t="shared" si="264"/>
        <v>20282.026119384056</v>
      </c>
      <c r="L289" s="25"/>
      <c r="N289" s="25">
        <f>'Combined Retirement'!$C$18/12</f>
        <v>39153.069999999992</v>
      </c>
      <c r="O289" s="25">
        <f t="shared" si="265"/>
        <v>11007.82546143035</v>
      </c>
      <c r="P289" s="25">
        <f t="shared" si="266"/>
        <v>28145.244538569641</v>
      </c>
      <c r="Q289" s="25">
        <f t="array" aca="1" ref="Q289" ca="1">INDEX('Isaac 401k'!L:L,MATCH('Retirement Calculator'!A289,'Isaac 401k'!N:N,0),0)</f>
        <v>1502532.5096745272</v>
      </c>
      <c r="R289" s="25">
        <f t="array" aca="1" ref="R289" ca="1">INDEX('Lorri 401b'!L:L,MATCH('Retirement Calculator'!A289,'Lorri 401b'!N:N,0),0)</f>
        <v>3537735.0924217054</v>
      </c>
      <c r="S289" s="25">
        <f t="shared" ca="1" si="267"/>
        <v>5040267.6020962326</v>
      </c>
    </row>
    <row r="290" spans="1:19" ht="15.75" customHeight="1" x14ac:dyDescent="0.3">
      <c r="A290" s="37">
        <v>59780</v>
      </c>
      <c r="B290" s="409">
        <f t="shared" ref="B290:C290" si="291">($A290-B$9)/365.25</f>
        <v>81.790554414784395</v>
      </c>
      <c r="C290" s="409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3525.4531757812501</v>
      </c>
      <c r="H290" s="25">
        <f>IF(B290&lt;62,0,'Combined Retirement'!$I$14)</f>
        <v>2192</v>
      </c>
      <c r="I290" s="25">
        <f>IF(C290&lt;62,0,'Combined Retirement'!$I$13)</f>
        <v>2420</v>
      </c>
      <c r="J290" s="25">
        <f t="shared" si="263"/>
        <v>7863.2184191855868</v>
      </c>
      <c r="K290" s="25">
        <f t="shared" si="264"/>
        <v>20282.026119384056</v>
      </c>
      <c r="L290" s="25"/>
      <c r="N290" s="25">
        <f>'Combined Retirement'!$C$18/12</f>
        <v>39153.069999999992</v>
      </c>
      <c r="O290" s="25">
        <f t="shared" si="265"/>
        <v>11007.82546143035</v>
      </c>
      <c r="P290" s="25">
        <f t="shared" si="266"/>
        <v>28145.244538569641</v>
      </c>
      <c r="Q290" s="25">
        <f t="array" aca="1" ref="Q290" ca="1">INDEX('Isaac 401k'!L:L,MATCH('Retirement Calculator'!A290,'Isaac 401k'!N:N,0),0)</f>
        <v>1500897.0799689055</v>
      </c>
      <c r="R290" s="25">
        <f t="array" aca="1" ref="R290" ca="1">INDEX('Lorri 401b'!L:L,MATCH('Retirement Calculator'!A290,'Lorri 401b'!N:N,0),0)</f>
        <v>3532109.1207452477</v>
      </c>
      <c r="S290" s="25">
        <f t="shared" ca="1" si="267"/>
        <v>5033006.2007141532</v>
      </c>
    </row>
    <row r="291" spans="1:19" ht="15.75" customHeight="1" x14ac:dyDescent="0.3">
      <c r="A291" s="37">
        <v>59810</v>
      </c>
      <c r="B291" s="409">
        <f t="shared" ref="B291:C291" si="292">($A291-B$9)/365.25</f>
        <v>81.872689938398352</v>
      </c>
      <c r="C291" s="409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3525.4531757812501</v>
      </c>
      <c r="H291" s="25">
        <f>IF(B291&lt;62,0,'Combined Retirement'!$I$14)</f>
        <v>2192</v>
      </c>
      <c r="I291" s="25">
        <f>IF(C291&lt;62,0,'Combined Retirement'!$I$13)</f>
        <v>2420</v>
      </c>
      <c r="J291" s="25">
        <f t="shared" si="263"/>
        <v>7863.2184191855868</v>
      </c>
      <c r="K291" s="25">
        <f t="shared" si="264"/>
        <v>20282.026119384056</v>
      </c>
      <c r="L291" s="25"/>
      <c r="N291" s="25">
        <f>'Combined Retirement'!$C$18/12</f>
        <v>39153.069999999992</v>
      </c>
      <c r="O291" s="25">
        <f t="shared" si="265"/>
        <v>11007.82546143035</v>
      </c>
      <c r="P291" s="25">
        <f t="shared" si="266"/>
        <v>28145.244538569641</v>
      </c>
      <c r="Q291" s="25">
        <f t="array" aca="1" ref="Q291" ca="1">INDEX('Isaac 401k'!L:L,MATCH('Retirement Calculator'!A291,'Isaac 401k'!N:N,0),0)</f>
        <v>1499254.8359728437</v>
      </c>
      <c r="R291" s="25">
        <f t="array" aca="1" ref="R291" ca="1">INDEX('Lorri 401b'!L:L,MATCH('Retirement Calculator'!A291,'Lorri 401b'!N:N,0),0)</f>
        <v>3526459.707520138</v>
      </c>
      <c r="S291" s="25">
        <f t="shared" ca="1" si="267"/>
        <v>5025714.5434929822</v>
      </c>
    </row>
    <row r="292" spans="1:19" ht="15.75" customHeight="1" x14ac:dyDescent="0.3">
      <c r="A292" s="37">
        <v>59841</v>
      </c>
      <c r="B292" s="409">
        <f t="shared" ref="B292:C292" si="293">($A292-B$9)/365.25</f>
        <v>81.957563312799451</v>
      </c>
      <c r="C292" s="409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3525.4531757812501</v>
      </c>
      <c r="H292" s="25">
        <f>IF(B292&lt;62,0,'Combined Retirement'!$I$14)</f>
        <v>2192</v>
      </c>
      <c r="I292" s="25">
        <f>IF(C292&lt;62,0,'Combined Retirement'!$I$13)</f>
        <v>2420</v>
      </c>
      <c r="J292" s="25">
        <f t="shared" si="263"/>
        <v>7863.2184191855868</v>
      </c>
      <c r="K292" s="25">
        <f t="shared" si="264"/>
        <v>20282.026119384056</v>
      </c>
      <c r="L292" s="25"/>
      <c r="N292" s="25">
        <f>'Combined Retirement'!$C$18/12</f>
        <v>39153.069999999992</v>
      </c>
      <c r="O292" s="25">
        <f t="shared" si="265"/>
        <v>11007.82546143035</v>
      </c>
      <c r="P292" s="25">
        <f t="shared" si="266"/>
        <v>28145.244538569641</v>
      </c>
      <c r="Q292" s="25">
        <f t="array" aca="1" ref="Q292" ca="1">INDEX('Isaac 401k'!L:L,MATCH('Retirement Calculator'!A292,'Isaac 401k'!N:N,0),0)</f>
        <v>1497605.7492934649</v>
      </c>
      <c r="R292" s="25">
        <f t="array" aca="1" ref="R292" ca="1">INDEX('Lorri 401b'!L:L,MATCH('Retirement Calculator'!A292,'Lorri 401b'!N:N,0),0)</f>
        <v>3520786.7550732573</v>
      </c>
      <c r="S292" s="25">
        <f t="shared" ca="1" si="267"/>
        <v>5018392.504366722</v>
      </c>
    </row>
    <row r="293" spans="1:19" ht="15.75" customHeight="1" x14ac:dyDescent="0.3">
      <c r="A293" s="37">
        <v>59871</v>
      </c>
      <c r="B293" s="409">
        <f t="shared" ref="B293:C293" si="294">($A293-B$9)/365.25</f>
        <v>82.039698836413422</v>
      </c>
      <c r="C293" s="409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3525.4531757812501</v>
      </c>
      <c r="H293" s="25">
        <f>IF(B293&lt;62,0,'Combined Retirement'!$I$14)</f>
        <v>2192</v>
      </c>
      <c r="I293" s="25">
        <f>IF(C293&lt;62,0,'Combined Retirement'!$I$13)</f>
        <v>2420</v>
      </c>
      <c r="J293" s="25">
        <f t="shared" si="263"/>
        <v>7863.2184191855868</v>
      </c>
      <c r="K293" s="25">
        <f t="shared" si="264"/>
        <v>20282.026119384056</v>
      </c>
      <c r="L293" s="25"/>
      <c r="N293" s="25">
        <f>'Combined Retirement'!$C$18/12</f>
        <v>39153.069999999992</v>
      </c>
      <c r="O293" s="25">
        <f t="shared" si="265"/>
        <v>11007.82546143035</v>
      </c>
      <c r="P293" s="25">
        <f t="shared" si="266"/>
        <v>28145.244538569641</v>
      </c>
      <c r="Q293" s="25">
        <f t="array" aca="1" ref="Q293" ca="1">INDEX('Isaac 401k'!L:L,MATCH('Retirement Calculator'!A293,'Isaac 401k'!N:N,0),0)</f>
        <v>1495949.7914195887</v>
      </c>
      <c r="R293" s="25">
        <f t="array" aca="1" ref="R293" ca="1">INDEX('Lorri 401b'!L:L,MATCH('Retirement Calculator'!A293,'Lorri 401b'!N:N,0),0)</f>
        <v>3515090.1653245143</v>
      </c>
      <c r="S293" s="25">
        <f t="shared" ca="1" si="267"/>
        <v>5011039.9567441028</v>
      </c>
    </row>
    <row r="294" spans="1:19" ht="15.75" customHeight="1" x14ac:dyDescent="0.3">
      <c r="A294" s="37">
        <v>59902</v>
      </c>
      <c r="B294" s="409">
        <f t="shared" ref="B294:C294" si="295">($A294-B$9)/365.25</f>
        <v>82.124572210814506</v>
      </c>
      <c r="C294" s="409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3525.4531757812501</v>
      </c>
      <c r="H294" s="25">
        <f>IF(B294&lt;62,0,'Combined Retirement'!$I$14)</f>
        <v>2192</v>
      </c>
      <c r="I294" s="25">
        <f>IF(C294&lt;62,0,'Combined Retirement'!$I$13)</f>
        <v>2420</v>
      </c>
      <c r="J294" s="25">
        <f t="shared" si="263"/>
        <v>7863.2184191855868</v>
      </c>
      <c r="K294" s="25">
        <f t="shared" si="264"/>
        <v>20282.026119384056</v>
      </c>
      <c r="L294" s="25"/>
      <c r="N294" s="25">
        <f>'Combined Retirement'!$C$18/12</f>
        <v>39153.069999999992</v>
      </c>
      <c r="O294" s="25">
        <f t="shared" si="265"/>
        <v>11007.82546143035</v>
      </c>
      <c r="P294" s="25">
        <f t="shared" si="266"/>
        <v>28145.244538569641</v>
      </c>
      <c r="Q294" s="25">
        <f t="array" aca="1" ref="Q294" ca="1">INDEX('Isaac 401k'!L:L,MATCH('Retirement Calculator'!A294,'Isaac 401k'!N:N,0),0)</f>
        <v>1494286.933721238</v>
      </c>
      <c r="R294" s="25">
        <f t="array" aca="1" ref="R294" ca="1">INDEX('Lorri 401b'!L:L,MATCH('Retirement Calculator'!A294,'Lorri 401b'!N:N,0),0)</f>
        <v>3509369.8397851516</v>
      </c>
      <c r="S294" s="25">
        <f t="shared" ca="1" si="267"/>
        <v>5003656.7735063899</v>
      </c>
    </row>
    <row r="295" spans="1:19" ht="15.75" customHeight="1" x14ac:dyDescent="0.3">
      <c r="A295" s="37">
        <v>59933</v>
      </c>
      <c r="B295" s="409">
        <f t="shared" ref="B295:C295" si="296">($A295-B$9)/365.25</f>
        <v>82.209445585215605</v>
      </c>
      <c r="C295" s="409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3525.4531757812501</v>
      </c>
      <c r="H295" s="25">
        <f>IF(B295&lt;62,0,'Combined Retirement'!$I$14)</f>
        <v>2192</v>
      </c>
      <c r="I295" s="25">
        <f>IF(C295&lt;62,0,'Combined Retirement'!$I$13)</f>
        <v>2420</v>
      </c>
      <c r="J295" s="25">
        <f t="shared" si="263"/>
        <v>7863.2184191855868</v>
      </c>
      <c r="K295" s="25">
        <f t="shared" si="264"/>
        <v>20282.026119384056</v>
      </c>
      <c r="L295" s="25"/>
      <c r="N295" s="25">
        <f>'Combined Retirement'!$C$18/12</f>
        <v>39153.069999999992</v>
      </c>
      <c r="O295" s="25">
        <f t="shared" si="265"/>
        <v>11007.82546143035</v>
      </c>
      <c r="P295" s="25">
        <f t="shared" si="266"/>
        <v>28145.244538569641</v>
      </c>
      <c r="Q295" s="25">
        <f t="array" aca="1" ref="Q295" ca="1">INDEX('Isaac 401k'!L:L,MATCH('Retirement Calculator'!A295,'Isaac 401k'!N:N,0),0)</f>
        <v>1492617.1474491444</v>
      </c>
      <c r="R295" s="25">
        <f t="array" aca="1" ref="R295" ca="1">INDEX('Lorri 401b'!L:L,MATCH('Retirement Calculator'!A295,'Lorri 401b'!N:N,0),0)</f>
        <v>3503625.6795560415</v>
      </c>
      <c r="S295" s="25">
        <f t="shared" ca="1" si="267"/>
        <v>4996242.8270051861</v>
      </c>
    </row>
    <row r="296" spans="1:19" ht="15.75" customHeight="1" x14ac:dyDescent="0.3">
      <c r="A296" s="37">
        <v>59962</v>
      </c>
      <c r="B296" s="409">
        <f t="shared" ref="B296:C296" si="297">($A296-B$9)/365.25</f>
        <v>82.288843258042434</v>
      </c>
      <c r="C296" s="409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3525.4531757812501</v>
      </c>
      <c r="H296" s="25">
        <f>IF(B296&lt;62,0,'Combined Retirement'!$I$14)</f>
        <v>2192</v>
      </c>
      <c r="I296" s="25">
        <f>IF(C296&lt;62,0,'Combined Retirement'!$I$13)</f>
        <v>2420</v>
      </c>
      <c r="J296" s="25">
        <f t="shared" si="263"/>
        <v>7863.2184191855868</v>
      </c>
      <c r="K296" s="25">
        <f t="shared" si="264"/>
        <v>20282.026119384056</v>
      </c>
      <c r="L296" s="25"/>
      <c r="N296" s="25">
        <f>'Combined Retirement'!$C$18/12</f>
        <v>39153.069999999992</v>
      </c>
      <c r="O296" s="25">
        <f t="shared" si="265"/>
        <v>11007.82546143035</v>
      </c>
      <c r="P296" s="25">
        <f t="shared" si="266"/>
        <v>28145.244538569641</v>
      </c>
      <c r="Q296" s="25">
        <f t="array" aca="1" ref="Q296" ca="1">INDEX('Isaac 401k'!L:L,MATCH('Retirement Calculator'!A296,'Isaac 401k'!N:N,0),0)</f>
        <v>1490940.4037342502</v>
      </c>
      <c r="R296" s="25">
        <f t="array" aca="1" ref="R296" ca="1">INDEX('Lorri 401b'!L:L,MATCH('Retirement Calculator'!A296,'Lorri 401b'!N:N,0),0)</f>
        <v>3497857.5853259768</v>
      </c>
      <c r="S296" s="25">
        <f t="shared" ca="1" si="267"/>
        <v>4988797.9890602268</v>
      </c>
    </row>
    <row r="297" spans="1:19" ht="15.75" customHeight="1" x14ac:dyDescent="0.3">
      <c r="A297" s="37">
        <v>59993</v>
      </c>
      <c r="B297" s="409">
        <f t="shared" ref="B297:C297" si="298">($A297-B$9)/365.25</f>
        <v>82.373716632443532</v>
      </c>
      <c r="C297" s="409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3525.4531757812501</v>
      </c>
      <c r="H297" s="25">
        <f>IF(B297&lt;62,0,'Combined Retirement'!$I$14)</f>
        <v>2192</v>
      </c>
      <c r="I297" s="25">
        <f>IF(C297&lt;62,0,'Combined Retirement'!$I$13)</f>
        <v>2420</v>
      </c>
      <c r="J297" s="25">
        <f t="shared" si="263"/>
        <v>7863.2184191855868</v>
      </c>
      <c r="K297" s="25">
        <f t="shared" si="264"/>
        <v>20282.026119384056</v>
      </c>
      <c r="L297" s="25"/>
      <c r="N297" s="25">
        <f>'Combined Retirement'!$C$18/12</f>
        <v>39153.069999999992</v>
      </c>
      <c r="O297" s="25">
        <f t="shared" si="265"/>
        <v>11007.82546143035</v>
      </c>
      <c r="P297" s="25">
        <f t="shared" si="266"/>
        <v>28145.244538569641</v>
      </c>
      <c r="Q297" s="25">
        <f t="array" aca="1" ref="Q297" ca="1">INDEX('Isaac 401k'!L:L,MATCH('Retirement Calculator'!A297,'Isaac 401k'!N:N,0),0)</f>
        <v>1489256.6735872107</v>
      </c>
      <c r="R297" s="25">
        <f t="array" aca="1" ref="R297" ca="1">INDEX('Lorri 401b'!L:L,MATCH('Retirement Calculator'!A297,'Lorri 401b'!N:N,0),0)</f>
        <v>3492065.4573699539</v>
      </c>
      <c r="S297" s="25">
        <f t="shared" ca="1" si="267"/>
        <v>4981322.1309571648</v>
      </c>
    </row>
    <row r="298" spans="1:19" ht="15.75" customHeight="1" x14ac:dyDescent="0.3">
      <c r="A298" s="37">
        <v>60023</v>
      </c>
      <c r="B298" s="409">
        <f t="shared" ref="B298:C298" si="299">($A298-B$9)/365.25</f>
        <v>82.455852156057489</v>
      </c>
      <c r="C298" s="409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3525.4531757812501</v>
      </c>
      <c r="H298" s="25">
        <f>IF(B298&lt;62,0,'Combined Retirement'!$I$14)</f>
        <v>2192</v>
      </c>
      <c r="I298" s="25">
        <f>IF(C298&lt;62,0,'Combined Retirement'!$I$13)</f>
        <v>2420</v>
      </c>
      <c r="J298" s="25">
        <f t="shared" si="263"/>
        <v>7863.2184191855868</v>
      </c>
      <c r="K298" s="25">
        <f t="shared" si="264"/>
        <v>20282.026119384056</v>
      </c>
      <c r="L298" s="25"/>
      <c r="N298" s="25">
        <f>'Combined Retirement'!$C$18/12</f>
        <v>39153.069999999992</v>
      </c>
      <c r="O298" s="25">
        <f t="shared" si="265"/>
        <v>11007.82546143035</v>
      </c>
      <c r="P298" s="25">
        <f t="shared" si="266"/>
        <v>28145.244538569641</v>
      </c>
      <c r="Q298" s="25">
        <f t="array" aca="1" ref="Q298" ca="1">INDEX('Isaac 401k'!L:L,MATCH('Retirement Calculator'!A298,'Isaac 401k'!N:N,0),0)</f>
        <v>1487565.927897892</v>
      </c>
      <c r="R298" s="25">
        <f t="array" aca="1" ref="R298" ca="1">INDEX('Lorri 401b'!L:L,MATCH('Retirement Calculator'!A298,'Lorri 401b'!N:N,0),0)</f>
        <v>3486249.1955474471</v>
      </c>
      <c r="S298" s="25">
        <f t="shared" ca="1" si="267"/>
        <v>4973815.1234453395</v>
      </c>
    </row>
    <row r="299" spans="1:19" ht="15.75" customHeight="1" x14ac:dyDescent="0.3">
      <c r="A299" s="37">
        <v>60054</v>
      </c>
      <c r="B299" s="409">
        <f t="shared" ref="B299:C299" si="300">($A299-B$9)/365.25</f>
        <v>82.540725530458587</v>
      </c>
      <c r="C299" s="409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3525.4531757812501</v>
      </c>
      <c r="H299" s="25">
        <f>IF(B299&lt;62,0,'Combined Retirement'!$I$14)</f>
        <v>2192</v>
      </c>
      <c r="I299" s="25">
        <f>IF(C299&lt;62,0,'Combined Retirement'!$I$13)</f>
        <v>2420</v>
      </c>
      <c r="J299" s="25">
        <f t="shared" si="263"/>
        <v>7863.2184191855868</v>
      </c>
      <c r="K299" s="25">
        <f t="shared" si="264"/>
        <v>20282.026119384056</v>
      </c>
      <c r="L299" s="25"/>
      <c r="N299" s="25">
        <f>'Combined Retirement'!$C$18/12</f>
        <v>39153.069999999992</v>
      </c>
      <c r="O299" s="25">
        <f t="shared" si="265"/>
        <v>11007.82546143035</v>
      </c>
      <c r="P299" s="25">
        <f t="shared" si="266"/>
        <v>28145.244538569641</v>
      </c>
      <c r="Q299" s="25">
        <f t="array" aca="1" ref="Q299" ca="1">INDEX('Isaac 401k'!L:L,MATCH('Retirement Calculator'!A299,'Isaac 401k'!N:N,0),0)</f>
        <v>1485868.1374348677</v>
      </c>
      <c r="R299" s="25">
        <f t="array" aca="1" ref="R299" ca="1">INDEX('Lorri 401b'!L:L,MATCH('Retirement Calculator'!A299,'Lorri 401b'!N:N,0),0)</f>
        <v>3480408.6993006798</v>
      </c>
      <c r="S299" s="25">
        <f t="shared" ca="1" si="267"/>
        <v>4966276.8367355475</v>
      </c>
    </row>
    <row r="300" spans="1:19" ht="15.75" customHeight="1" x14ac:dyDescent="0.3">
      <c r="A300" s="37">
        <v>60084</v>
      </c>
      <c r="B300" s="409">
        <f t="shared" ref="B300:C300" si="301">($A300-B$9)/365.25</f>
        <v>82.622861054072558</v>
      </c>
      <c r="C300" s="409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3525.4531757812501</v>
      </c>
      <c r="H300" s="25">
        <f>IF(B300&lt;62,0,'Combined Retirement'!$I$14)</f>
        <v>2192</v>
      </c>
      <c r="I300" s="25">
        <f>IF(C300&lt;62,0,'Combined Retirement'!$I$13)</f>
        <v>2420</v>
      </c>
      <c r="J300" s="25">
        <f t="shared" si="263"/>
        <v>7863.2184191855868</v>
      </c>
      <c r="K300" s="25">
        <f t="shared" si="264"/>
        <v>20282.026119384056</v>
      </c>
      <c r="L300" s="25"/>
      <c r="N300" s="25">
        <f>'Combined Retirement'!$C$18/12</f>
        <v>39153.069999999992</v>
      </c>
      <c r="O300" s="25">
        <f t="shared" si="265"/>
        <v>11007.82546143035</v>
      </c>
      <c r="P300" s="25">
        <f t="shared" si="266"/>
        <v>28145.244538569641</v>
      </c>
      <c r="Q300" s="25">
        <f t="array" aca="1" ref="Q300" ca="1">INDEX('Isaac 401k'!L:L,MATCH('Retirement Calculator'!A300,'Isaac 401k'!N:N,0),0)</f>
        <v>1484163.2728449141</v>
      </c>
      <c r="R300" s="25">
        <f t="array" aca="1" ref="R300" ca="1">INDEX('Lorri 401b'!L:L,MATCH('Retirement Calculator'!A300,'Lorri 401b'!N:N,0),0)</f>
        <v>3474543.8676528847</v>
      </c>
      <c r="S300" s="25">
        <f t="shared" ca="1" si="267"/>
        <v>4958707.140497799</v>
      </c>
    </row>
    <row r="301" spans="1:19" ht="15.75" customHeight="1" x14ac:dyDescent="0.3">
      <c r="A301" s="37">
        <v>60115</v>
      </c>
      <c r="B301" s="409">
        <f t="shared" ref="B301:C301" si="302">($A301-B$9)/365.25</f>
        <v>82.707734428473643</v>
      </c>
      <c r="C301" s="409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3525.4531757812501</v>
      </c>
      <c r="H301" s="25">
        <f>IF(B301&lt;62,0,'Combined Retirement'!$I$14)</f>
        <v>2192</v>
      </c>
      <c r="I301" s="25">
        <f>IF(C301&lt;62,0,'Combined Retirement'!$I$13)</f>
        <v>2420</v>
      </c>
      <c r="J301" s="25">
        <f t="shared" si="263"/>
        <v>7863.2184191855868</v>
      </c>
      <c r="K301" s="25">
        <f t="shared" si="264"/>
        <v>20282.026119384056</v>
      </c>
      <c r="L301" s="25"/>
      <c r="N301" s="25">
        <f>'Combined Retirement'!$C$18/12</f>
        <v>39153.069999999992</v>
      </c>
      <c r="O301" s="25">
        <f t="shared" si="265"/>
        <v>11007.82546143035</v>
      </c>
      <c r="P301" s="25">
        <f t="shared" si="266"/>
        <v>28145.244538569641</v>
      </c>
      <c r="Q301" s="25">
        <f t="array" aca="1" ref="Q301" ca="1">INDEX('Isaac 401k'!L:L,MATCH('Retirement Calculator'!A301,'Isaac 401k'!N:N,0),0)</f>
        <v>1482451.3046525023</v>
      </c>
      <c r="R301" s="25">
        <f t="array" aca="1" ref="R301" ca="1">INDEX('Lorri 401b'!L:L,MATCH('Retirement Calculator'!A301,'Lorri 401b'!N:N,0),0)</f>
        <v>3468654.599206557</v>
      </c>
      <c r="S301" s="25">
        <f t="shared" ca="1" si="267"/>
        <v>4951105.9038590593</v>
      </c>
    </row>
    <row r="302" spans="1:19" ht="15.75" customHeight="1" x14ac:dyDescent="0.3">
      <c r="A302" s="37">
        <v>60146</v>
      </c>
      <c r="B302" s="409">
        <f t="shared" ref="B302:C302" si="303">($A302-B$9)/365.25</f>
        <v>82.792607802874741</v>
      </c>
      <c r="C302" s="409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3525.4531757812501</v>
      </c>
      <c r="H302" s="25">
        <f>IF(B302&lt;62,0,'Combined Retirement'!$I$14)</f>
        <v>2192</v>
      </c>
      <c r="I302" s="25">
        <f>IF(C302&lt;62,0,'Combined Retirement'!$I$13)</f>
        <v>2420</v>
      </c>
      <c r="J302" s="25">
        <f t="shared" si="263"/>
        <v>7863.2184191855868</v>
      </c>
      <c r="K302" s="25">
        <f t="shared" si="264"/>
        <v>20282.026119384056</v>
      </c>
      <c r="L302" s="25"/>
      <c r="N302" s="25">
        <f>'Combined Retirement'!$C$18/12</f>
        <v>39153.069999999992</v>
      </c>
      <c r="O302" s="25">
        <f t="shared" si="265"/>
        <v>11007.82546143035</v>
      </c>
      <c r="P302" s="25">
        <f t="shared" si="266"/>
        <v>28145.244538569641</v>
      </c>
      <c r="Q302" s="25">
        <f t="array" aca="1" ref="Q302" ca="1">INDEX('Isaac 401k'!L:L,MATCH('Retirement Calculator'!A302,'Isaac 401k'!N:N,0),0)</f>
        <v>1480732.2032592888</v>
      </c>
      <c r="R302" s="25">
        <f t="array" aca="1" ref="R302" ca="1">INDEX('Lorri 401b'!L:L,MATCH('Retirement Calculator'!A302,'Lorri 401b'!N:N,0),0)</f>
        <v>3462740.792141703</v>
      </c>
      <c r="S302" s="25">
        <f t="shared" ca="1" si="267"/>
        <v>4943472.9954009913</v>
      </c>
    </row>
    <row r="303" spans="1:19" ht="15.75" customHeight="1" x14ac:dyDescent="0.3">
      <c r="A303" s="37">
        <v>60176</v>
      </c>
      <c r="B303" s="409">
        <f t="shared" ref="B303:C303" si="304">($A303-B$9)/365.25</f>
        <v>82.874743326488712</v>
      </c>
      <c r="C303" s="409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3525.4531757812501</v>
      </c>
      <c r="H303" s="25">
        <f>IF(B303&lt;62,0,'Combined Retirement'!$I$14)</f>
        <v>2192</v>
      </c>
      <c r="I303" s="25">
        <f>IF(C303&lt;62,0,'Combined Retirement'!$I$13)</f>
        <v>2420</v>
      </c>
      <c r="J303" s="25">
        <f t="shared" si="263"/>
        <v>7863.2184191855868</v>
      </c>
      <c r="K303" s="25">
        <f t="shared" si="264"/>
        <v>20282.026119384056</v>
      </c>
      <c r="L303" s="25"/>
      <c r="N303" s="25">
        <f>'Combined Retirement'!$C$18/12</f>
        <v>39153.069999999992</v>
      </c>
      <c r="O303" s="25">
        <f t="shared" si="265"/>
        <v>11007.82546143035</v>
      </c>
      <c r="P303" s="25">
        <f t="shared" si="266"/>
        <v>28145.244538569641</v>
      </c>
      <c r="Q303" s="25">
        <f t="array" aca="1" ref="Q303" ca="1">INDEX('Isaac 401k'!L:L,MATCH('Retirement Calculator'!A303,'Isaac 401k'!N:N,0),0)</f>
        <v>1479005.9389436035</v>
      </c>
      <c r="R303" s="25">
        <f t="array" aca="1" ref="R303" ca="1">INDEX('Lorri 401b'!L:L,MATCH('Retirement Calculator'!A303,'Lorri 401b'!N:N,0),0)</f>
        <v>3456802.3442140785</v>
      </c>
      <c r="S303" s="25">
        <f t="shared" ca="1" si="267"/>
        <v>4935808.283157682</v>
      </c>
    </row>
    <row r="304" spans="1:19" ht="15.75" customHeight="1" x14ac:dyDescent="0.3">
      <c r="A304" s="37">
        <v>60207</v>
      </c>
      <c r="B304" s="409">
        <f t="shared" ref="B304:C304" si="305">($A304-B$9)/365.25</f>
        <v>82.959616700889796</v>
      </c>
      <c r="C304" s="409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3525.4531757812501</v>
      </c>
      <c r="H304" s="25">
        <f>IF(B304&lt;62,0,'Combined Retirement'!$I$14)</f>
        <v>2192</v>
      </c>
      <c r="I304" s="25">
        <f>IF(C304&lt;62,0,'Combined Retirement'!$I$13)</f>
        <v>2420</v>
      </c>
      <c r="J304" s="25">
        <f t="shared" si="263"/>
        <v>7863.2184191855868</v>
      </c>
      <c r="K304" s="25">
        <f t="shared" si="264"/>
        <v>20282.026119384056</v>
      </c>
      <c r="L304" s="25"/>
      <c r="N304" s="25">
        <f>'Combined Retirement'!$C$18/12</f>
        <v>39153.069999999992</v>
      </c>
      <c r="O304" s="25">
        <f t="shared" si="265"/>
        <v>11007.82546143035</v>
      </c>
      <c r="P304" s="25">
        <f t="shared" si="266"/>
        <v>28145.244538569641</v>
      </c>
      <c r="Q304" s="25">
        <f t="array" aca="1" ref="Q304" ca="1">INDEX('Isaac 401k'!L:L,MATCH('Retirement Calculator'!A304,'Isaac 401k'!N:N,0),0)</f>
        <v>1477272.4818599364</v>
      </c>
      <c r="R304" s="25">
        <f t="array" aca="1" ref="R304" ca="1">INDEX('Lorri 401b'!L:L,MATCH('Retirement Calculator'!A304,'Lorri 401b'!N:N,0),0)</f>
        <v>3450839.1527534225</v>
      </c>
      <c r="S304" s="25">
        <f t="shared" ca="1" si="267"/>
        <v>4928111.6346133593</v>
      </c>
    </row>
    <row r="305" spans="1:19" ht="15.75" customHeight="1" x14ac:dyDescent="0.3">
      <c r="A305" s="37">
        <v>60237</v>
      </c>
      <c r="B305" s="409">
        <f t="shared" ref="B305:C305" si="306">($A305-B$9)/365.25</f>
        <v>83.041752224503767</v>
      </c>
      <c r="C305" s="409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3525.4531757812501</v>
      </c>
      <c r="H305" s="25">
        <f>IF(B305&lt;62,0,'Combined Retirement'!$I$14)</f>
        <v>2192</v>
      </c>
      <c r="I305" s="25">
        <f>IF(C305&lt;62,0,'Combined Retirement'!$I$13)</f>
        <v>2420</v>
      </c>
      <c r="J305" s="25">
        <f t="shared" si="263"/>
        <v>7863.2184191855868</v>
      </c>
      <c r="K305" s="25">
        <f t="shared" si="264"/>
        <v>20282.026119384056</v>
      </c>
      <c r="L305" s="25"/>
      <c r="N305" s="25">
        <f>'Combined Retirement'!$C$18/12</f>
        <v>39153.069999999992</v>
      </c>
      <c r="O305" s="25">
        <f t="shared" si="265"/>
        <v>11007.82546143035</v>
      </c>
      <c r="P305" s="25">
        <f t="shared" si="266"/>
        <v>28145.244538569641</v>
      </c>
      <c r="Q305" s="25">
        <f t="array" aca="1" ref="Q305" ca="1">INDEX('Isaac 401k'!L:L,MATCH('Retirement Calculator'!A305,'Isaac 401k'!N:N,0),0)</f>
        <v>1475531.8020384205</v>
      </c>
      <c r="R305" s="25">
        <f t="array" aca="1" ref="R305" ca="1">INDEX('Lorri 401b'!L:L,MATCH('Retirement Calculator'!A305,'Lorri 401b'!N:N,0),0)</f>
        <v>3444851.1146616805</v>
      </c>
      <c r="S305" s="25">
        <f t="shared" ca="1" si="267"/>
        <v>4920382.9167001005</v>
      </c>
    </row>
    <row r="306" spans="1:19" ht="15.75" customHeight="1" x14ac:dyDescent="0.3">
      <c r="A306" s="37">
        <v>60268</v>
      </c>
      <c r="B306" s="409">
        <f t="shared" ref="B306:C306" si="307">($A306-B$9)/365.25</f>
        <v>83.126625598904866</v>
      </c>
      <c r="C306" s="409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3525.4531757812501</v>
      </c>
      <c r="H306" s="25">
        <f>IF(B306&lt;62,0,'Combined Retirement'!$I$14)</f>
        <v>2192</v>
      </c>
      <c r="I306" s="25">
        <f>IF(C306&lt;62,0,'Combined Retirement'!$I$13)</f>
        <v>2420</v>
      </c>
      <c r="J306" s="25">
        <f t="shared" si="263"/>
        <v>7863.2184191855868</v>
      </c>
      <c r="K306" s="25">
        <f t="shared" si="264"/>
        <v>20282.026119384056</v>
      </c>
      <c r="L306" s="25"/>
      <c r="N306" s="25">
        <f>'Combined Retirement'!$C$18/12</f>
        <v>39153.069999999992</v>
      </c>
      <c r="O306" s="25">
        <f t="shared" si="265"/>
        <v>11007.82546143035</v>
      </c>
      <c r="P306" s="25">
        <f t="shared" si="266"/>
        <v>28145.244538569641</v>
      </c>
      <c r="Q306" s="25">
        <f t="array" aca="1" ref="Q306" ca="1">INDEX('Isaac 401k'!L:L,MATCH('Retirement Calculator'!A306,'Isaac 401k'!N:N,0),0)</f>
        <v>1473783.8693843151</v>
      </c>
      <c r="R306" s="25">
        <f t="array" aca="1" ref="R306" ca="1">INDEX('Lorri 401b'!L:L,MATCH('Retirement Calculator'!A306,'Lorri 401b'!N:N,0),0)</f>
        <v>3438838.1264112229</v>
      </c>
      <c r="S306" s="25">
        <f t="shared" ca="1" si="267"/>
        <v>4912621.9957955377</v>
      </c>
    </row>
    <row r="307" spans="1:19" ht="15.75" customHeight="1" x14ac:dyDescent="0.3">
      <c r="A307" s="37">
        <v>60299</v>
      </c>
      <c r="B307" s="409">
        <f t="shared" ref="B307:C307" si="308">($A307-B$9)/365.25</f>
        <v>83.21149897330595</v>
      </c>
      <c r="C307" s="409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3525.4531757812501</v>
      </c>
      <c r="H307" s="25">
        <f>IF(B307&lt;62,0,'Combined Retirement'!$I$14)</f>
        <v>2192</v>
      </c>
      <c r="I307" s="25">
        <f>IF(C307&lt;62,0,'Combined Retirement'!$I$13)</f>
        <v>2420</v>
      </c>
      <c r="J307" s="25">
        <f t="shared" si="263"/>
        <v>7863.2184191855868</v>
      </c>
      <c r="K307" s="25">
        <f t="shared" si="264"/>
        <v>20282.026119384056</v>
      </c>
      <c r="L307" s="25"/>
      <c r="N307" s="25">
        <f>'Combined Retirement'!$C$18/12</f>
        <v>39153.069999999992</v>
      </c>
      <c r="O307" s="25">
        <f t="shared" si="265"/>
        <v>11007.82546143035</v>
      </c>
      <c r="P307" s="25">
        <f t="shared" si="266"/>
        <v>28145.244538569641</v>
      </c>
      <c r="Q307" s="25">
        <f t="array" aca="1" ref="Q307" ca="1">INDEX('Isaac 401k'!L:L,MATCH('Retirement Calculator'!A307,'Isaac 401k'!N:N,0),0)</f>
        <v>1472028.6536774843</v>
      </c>
      <c r="R307" s="25">
        <f t="array" aca="1" ref="R307" ca="1">INDEX('Lorri 401b'!L:L,MATCH('Retirement Calculator'!A307,'Lorri 401b'!N:N,0),0)</f>
        <v>3432800.0840430548</v>
      </c>
      <c r="S307" s="25">
        <f t="shared" ca="1" si="267"/>
        <v>4904828.7377205389</v>
      </c>
    </row>
    <row r="308" spans="1:19" ht="15.75" customHeight="1" x14ac:dyDescent="0.3">
      <c r="A308" s="37">
        <v>60327</v>
      </c>
      <c r="B308" s="409">
        <f t="shared" ref="B308:C308" si="309">($A308-B$9)/365.25</f>
        <v>83.288158795345652</v>
      </c>
      <c r="C308" s="409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3525.4531757812501</v>
      </c>
      <c r="H308" s="25">
        <f>IF(B308&lt;62,0,'Combined Retirement'!$I$14)</f>
        <v>2192</v>
      </c>
      <c r="I308" s="25">
        <f>IF(C308&lt;62,0,'Combined Retirement'!$I$13)</f>
        <v>2420</v>
      </c>
      <c r="J308" s="25">
        <f t="shared" si="263"/>
        <v>7863.2184191855868</v>
      </c>
      <c r="K308" s="25">
        <f t="shared" si="264"/>
        <v>20282.026119384056</v>
      </c>
      <c r="L308" s="25"/>
      <c r="N308" s="25">
        <f>'Combined Retirement'!$C$18/12</f>
        <v>39153.069999999992</v>
      </c>
      <c r="O308" s="25">
        <f t="shared" si="265"/>
        <v>11007.82546143035</v>
      </c>
      <c r="P308" s="25">
        <f t="shared" si="266"/>
        <v>28145.244538569641</v>
      </c>
      <c r="Q308" s="25">
        <f t="array" aca="1" ref="Q308" ca="1">INDEX('Isaac 401k'!L:L,MATCH('Retirement Calculator'!A308,'Isaac 401k'!N:N,0),0)</f>
        <v>1470266.124571875</v>
      </c>
      <c r="R308" s="25">
        <f t="array" aca="1" ref="R308" ca="1">INDEX('Lorri 401b'!L:L,MATCH('Retirement Calculator'!A308,'Lorri 401b'!N:N,0),0)</f>
        <v>3426736.8831650196</v>
      </c>
      <c r="S308" s="25">
        <f t="shared" ca="1" si="267"/>
        <v>4897003.0077368943</v>
      </c>
    </row>
    <row r="309" spans="1:19" ht="15.75" customHeight="1" x14ac:dyDescent="0.3">
      <c r="A309" s="37">
        <v>60358</v>
      </c>
      <c r="B309" s="409">
        <f t="shared" ref="B309:C309" si="310">($A309-B$9)/365.25</f>
        <v>83.37303216974675</v>
      </c>
      <c r="C309" s="409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3525.4531757812501</v>
      </c>
      <c r="H309" s="25">
        <f>IF(B309&lt;62,0,'Combined Retirement'!$I$14)</f>
        <v>2192</v>
      </c>
      <c r="I309" s="25">
        <f>IF(C309&lt;62,0,'Combined Retirement'!$I$13)</f>
        <v>2420</v>
      </c>
      <c r="J309" s="25">
        <f t="shared" si="263"/>
        <v>7863.2184191855868</v>
      </c>
      <c r="K309" s="25">
        <f t="shared" si="264"/>
        <v>20282.026119384056</v>
      </c>
      <c r="L309" s="25"/>
      <c r="N309" s="25">
        <f>'Combined Retirement'!$C$18/12</f>
        <v>39153.069999999992</v>
      </c>
      <c r="O309" s="25">
        <f t="shared" si="265"/>
        <v>11007.82546143035</v>
      </c>
      <c r="P309" s="25">
        <f t="shared" si="266"/>
        <v>28145.244538569641</v>
      </c>
      <c r="Q309" s="25">
        <f t="array" aca="1" ref="Q309" ca="1">INDEX('Isaac 401k'!L:L,MATCH('Retirement Calculator'!A309,'Isaac 401k'!N:N,0),0)</f>
        <v>1468496.2515949921</v>
      </c>
      <c r="R309" s="25">
        <f t="array" aca="1" ref="R309" ca="1">INDEX('Lorri 401b'!L:L,MATCH('Retirement Calculator'!A309,'Lorri 401b'!N:N,0),0)</f>
        <v>3420648.4189499924</v>
      </c>
      <c r="S309" s="25">
        <f t="shared" ca="1" si="267"/>
        <v>4889144.6705449848</v>
      </c>
    </row>
    <row r="310" spans="1:19" ht="15.75" customHeight="1" x14ac:dyDescent="0.3">
      <c r="A310" s="37">
        <v>60388</v>
      </c>
      <c r="B310" s="409">
        <f t="shared" ref="B310:C310" si="311">($A310-B$9)/365.25</f>
        <v>83.455167693360707</v>
      </c>
      <c r="C310" s="409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3525.4531757812501</v>
      </c>
      <c r="H310" s="25">
        <f>IF(B310&lt;62,0,'Combined Retirement'!$I$14)</f>
        <v>2192</v>
      </c>
      <c r="I310" s="25">
        <f>IF(C310&lt;62,0,'Combined Retirement'!$I$13)</f>
        <v>2420</v>
      </c>
      <c r="J310" s="25">
        <f t="shared" si="263"/>
        <v>7863.2184191855868</v>
      </c>
      <c r="K310" s="25">
        <f t="shared" si="264"/>
        <v>20282.026119384056</v>
      </c>
      <c r="L310" s="25"/>
      <c r="N310" s="25">
        <f>'Combined Retirement'!$C$18/12</f>
        <v>39153.069999999992</v>
      </c>
      <c r="O310" s="25">
        <f t="shared" si="265"/>
        <v>11007.82546143035</v>
      </c>
      <c r="P310" s="25">
        <f t="shared" si="266"/>
        <v>28145.244538569641</v>
      </c>
      <c r="Q310" s="25">
        <f t="array" aca="1" ref="Q310" ca="1">INDEX('Isaac 401k'!L:L,MATCH('Retirement Calculator'!A310,'Isaac 401k'!N:N,0),0)</f>
        <v>1466719.0041473724</v>
      </c>
      <c r="R310" s="25">
        <f t="array" aca="1" ref="R310" ca="1">INDEX('Lorri 401b'!L:L,MATCH('Retirement Calculator'!A310,'Lorri 401b'!N:N,0),0)</f>
        <v>3414534.5861340691</v>
      </c>
      <c r="S310" s="25">
        <f t="shared" ca="1" si="267"/>
        <v>4881253.5902814418</v>
      </c>
    </row>
    <row r="311" spans="1:19" ht="15.75" customHeight="1" x14ac:dyDescent="0.3">
      <c r="A311" s="37">
        <v>60419</v>
      </c>
      <c r="B311" s="409">
        <f t="shared" ref="B311:C311" si="312">($A311-B$9)/365.25</f>
        <v>83.540041067761805</v>
      </c>
      <c r="C311" s="409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3525.4531757812501</v>
      </c>
      <c r="H311" s="25">
        <f>IF(B311&lt;62,0,'Combined Retirement'!$I$14)</f>
        <v>2192</v>
      </c>
      <c r="I311" s="25">
        <f>IF(C311&lt;62,0,'Combined Retirement'!$I$13)</f>
        <v>2420</v>
      </c>
      <c r="J311" s="25">
        <f t="shared" si="263"/>
        <v>7863.2184191855868</v>
      </c>
      <c r="K311" s="25">
        <f t="shared" si="264"/>
        <v>20282.026119384056</v>
      </c>
      <c r="L311" s="25"/>
      <c r="N311" s="25">
        <f>'Combined Retirement'!$C$18/12</f>
        <v>39153.069999999992</v>
      </c>
      <c r="O311" s="25">
        <f t="shared" si="265"/>
        <v>11007.82546143035</v>
      </c>
      <c r="P311" s="25">
        <f t="shared" si="266"/>
        <v>28145.244538569641</v>
      </c>
      <c r="Q311" s="25">
        <f t="array" aca="1" ref="Q311" ca="1">INDEX('Isaac 401k'!L:L,MATCH('Retirement Calculator'!A311,'Isaac 401k'!N:N,0),0)</f>
        <v>1464934.3515020544</v>
      </c>
      <c r="R311" s="25">
        <f t="array" aca="1" ref="R311" ca="1">INDEX('Lorri 401b'!L:L,MATCH('Retirement Calculator'!A311,'Lorri 401b'!N:N,0),0)</f>
        <v>3408395.2790147462</v>
      </c>
      <c r="S311" s="25">
        <f t="shared" ca="1" si="267"/>
        <v>4873329.630516801</v>
      </c>
    </row>
    <row r="312" spans="1:19" ht="15.75" customHeight="1" x14ac:dyDescent="0.3">
      <c r="A312" s="37">
        <v>60449</v>
      </c>
      <c r="B312" s="409">
        <f t="shared" ref="B312:C312" si="313">($A312-B$9)/365.25</f>
        <v>83.622176591375776</v>
      </c>
      <c r="C312" s="409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3525.4531757812501</v>
      </c>
      <c r="H312" s="25">
        <f>IF(B312&lt;62,0,'Combined Retirement'!$I$14)</f>
        <v>2192</v>
      </c>
      <c r="I312" s="25">
        <f>IF(C312&lt;62,0,'Combined Retirement'!$I$13)</f>
        <v>2420</v>
      </c>
      <c r="J312" s="25">
        <f t="shared" si="263"/>
        <v>7863.2184191855868</v>
      </c>
      <c r="K312" s="25">
        <f t="shared" si="264"/>
        <v>20282.026119384056</v>
      </c>
      <c r="L312" s="25"/>
      <c r="N312" s="25">
        <f>'Combined Retirement'!$C$18/12</f>
        <v>39153.069999999992</v>
      </c>
      <c r="O312" s="25">
        <f t="shared" si="265"/>
        <v>11007.82546143035</v>
      </c>
      <c r="P312" s="25">
        <f t="shared" si="266"/>
        <v>28145.244538569641</v>
      </c>
      <c r="Q312" s="25">
        <f t="array" aca="1" ref="Q312" ca="1">INDEX('Isaac 401k'!L:L,MATCH('Retirement Calculator'!A312,'Isaac 401k'!N:N,0),0)</f>
        <v>1463142.2628040474</v>
      </c>
      <c r="R312" s="25">
        <f t="array" aca="1" ref="R312" ca="1">INDEX('Lorri 401b'!L:L,MATCH('Retirement Calculator'!A312,'Lorri 401b'!N:N,0),0)</f>
        <v>3402230.3914490929</v>
      </c>
      <c r="S312" s="25">
        <f t="shared" ca="1" si="267"/>
        <v>4865372.6542531401</v>
      </c>
    </row>
    <row r="313" spans="1:19" ht="15.75" customHeight="1" x14ac:dyDescent="0.3">
      <c r="A313" s="37">
        <v>60480</v>
      </c>
      <c r="B313" s="409">
        <f t="shared" ref="B313:C313" si="314">($A313-B$9)/365.25</f>
        <v>83.707049965776861</v>
      </c>
      <c r="C313" s="409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3525.4531757812501</v>
      </c>
      <c r="H313" s="25">
        <f>IF(B313&lt;62,0,'Combined Retirement'!$I$14)</f>
        <v>2192</v>
      </c>
      <c r="I313" s="25">
        <f>IF(C313&lt;62,0,'Combined Retirement'!$I$13)</f>
        <v>2420</v>
      </c>
      <c r="J313" s="25">
        <f t="shared" si="263"/>
        <v>7863.2184191855868</v>
      </c>
      <c r="K313" s="25">
        <f t="shared" si="264"/>
        <v>20282.026119384056</v>
      </c>
      <c r="L313" s="25"/>
      <c r="N313" s="25">
        <f>'Combined Retirement'!$C$18/12</f>
        <v>39153.069999999992</v>
      </c>
      <c r="O313" s="25">
        <f t="shared" si="265"/>
        <v>11007.82546143035</v>
      </c>
      <c r="P313" s="25">
        <f t="shared" si="266"/>
        <v>28145.244538569641</v>
      </c>
      <c r="Q313" s="25">
        <f t="array" aca="1" ref="Q313" ca="1">INDEX('Isaac 401k'!L:L,MATCH('Retirement Calculator'!A313,'Isaac 401k'!N:N,0),0)</f>
        <v>1461342.7070697988</v>
      </c>
      <c r="R313" s="25">
        <f t="array" aca="1" ref="R313" ca="1">INDEX('Lorri 401b'!L:L,MATCH('Retirement Calculator'!A313,'Lorri 401b'!N:N,0),0)</f>
        <v>3396039.8168519163</v>
      </c>
      <c r="S313" s="25">
        <f t="shared" ca="1" si="267"/>
        <v>4857382.5239217151</v>
      </c>
    </row>
    <row r="314" spans="1:19" ht="15.75" customHeight="1" x14ac:dyDescent="0.3">
      <c r="A314" s="37">
        <v>60511</v>
      </c>
      <c r="B314" s="409">
        <f t="shared" ref="B314:C314" si="315">($A314-B$9)/365.25</f>
        <v>83.791923340177959</v>
      </c>
      <c r="C314" s="409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3525.4531757812501</v>
      </c>
      <c r="H314" s="25">
        <f>IF(B314&lt;62,0,'Combined Retirement'!$I$14)</f>
        <v>2192</v>
      </c>
      <c r="I314" s="25">
        <f>IF(C314&lt;62,0,'Combined Retirement'!$I$13)</f>
        <v>2420</v>
      </c>
      <c r="J314" s="25">
        <f t="shared" si="263"/>
        <v>7863.2184191855868</v>
      </c>
      <c r="K314" s="25">
        <f t="shared" si="264"/>
        <v>20282.026119384056</v>
      </c>
      <c r="L314" s="25"/>
      <c r="N314" s="25">
        <f>'Combined Retirement'!$C$18/12</f>
        <v>39153.069999999992</v>
      </c>
      <c r="O314" s="25">
        <f t="shared" si="265"/>
        <v>11007.82546143035</v>
      </c>
      <c r="P314" s="25">
        <f t="shared" si="266"/>
        <v>28145.244538569641</v>
      </c>
      <c r="Q314" s="25">
        <f t="array" aca="1" ref="Q314" ca="1">INDEX('Isaac 401k'!L:L,MATCH('Retirement Calculator'!A314,'Isaac 401k'!N:N,0),0)</f>
        <v>1459535.6531866575</v>
      </c>
      <c r="R314" s="25">
        <f t="array" aca="1" ref="R314" ca="1">INDEX('Lorri 401b'!L:L,MATCH('Retirement Calculator'!A314,'Lorri 401b'!N:N,0),0)</f>
        <v>3389823.448193918</v>
      </c>
      <c r="S314" s="25">
        <f t="shared" ca="1" si="267"/>
        <v>4849359.1013805754</v>
      </c>
    </row>
    <row r="315" spans="1:19" ht="15.75" customHeight="1" x14ac:dyDescent="0.3">
      <c r="A315" s="37">
        <v>60541</v>
      </c>
      <c r="B315" s="409">
        <f t="shared" ref="B315:C315" si="316">($A315-B$9)/365.25</f>
        <v>83.87405886379193</v>
      </c>
      <c r="C315" s="409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3525.4531757812501</v>
      </c>
      <c r="H315" s="25">
        <f>IF(B315&lt;62,0,'Combined Retirement'!$I$14)</f>
        <v>2192</v>
      </c>
      <c r="I315" s="25">
        <f>IF(C315&lt;62,0,'Combined Retirement'!$I$13)</f>
        <v>2420</v>
      </c>
      <c r="J315" s="25">
        <f t="shared" si="263"/>
        <v>7863.2184191855868</v>
      </c>
      <c r="K315" s="25">
        <f t="shared" si="264"/>
        <v>20282.026119384056</v>
      </c>
      <c r="L315" s="25"/>
      <c r="N315" s="25">
        <f>'Combined Retirement'!$C$18/12</f>
        <v>39153.069999999992</v>
      </c>
      <c r="O315" s="25">
        <f t="shared" si="265"/>
        <v>11007.82546143035</v>
      </c>
      <c r="P315" s="25">
        <f t="shared" si="266"/>
        <v>28145.244538569641</v>
      </c>
      <c r="Q315" s="25">
        <f t="array" aca="1" ref="Q315" ca="1">INDEX('Isaac 401k'!L:L,MATCH('Retirement Calculator'!A315,'Isaac 401k'!N:N,0),0)</f>
        <v>1457721.0699123363</v>
      </c>
      <c r="R315" s="25">
        <f t="array" aca="1" ref="R315" ca="1">INDEX('Lorri 401b'!L:L,MATCH('Retirement Calculator'!A315,'Lorri 401b'!N:N,0),0)</f>
        <v>3383581.1779998448</v>
      </c>
      <c r="S315" s="25">
        <f t="shared" ca="1" si="267"/>
        <v>4841302.2479121815</v>
      </c>
    </row>
    <row r="316" spans="1:19" ht="15.75" customHeight="1" x14ac:dyDescent="0.3">
      <c r="A316" s="37">
        <v>60572</v>
      </c>
      <c r="B316" s="409">
        <f t="shared" ref="B316:C316" si="317">($A316-B$9)/365.25</f>
        <v>83.958932238193015</v>
      </c>
      <c r="C316" s="409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3525.4531757812501</v>
      </c>
      <c r="H316" s="25">
        <f>IF(B316&lt;62,0,'Combined Retirement'!$I$14)</f>
        <v>2192</v>
      </c>
      <c r="I316" s="25">
        <f>IF(C316&lt;62,0,'Combined Retirement'!$I$13)</f>
        <v>2420</v>
      </c>
      <c r="J316" s="25">
        <f t="shared" si="263"/>
        <v>7863.2184191855868</v>
      </c>
      <c r="K316" s="25">
        <f t="shared" si="264"/>
        <v>20282.026119384056</v>
      </c>
      <c r="L316" s="25"/>
      <c r="N316" s="25">
        <f>'Combined Retirement'!$C$18/12</f>
        <v>39153.069999999992</v>
      </c>
      <c r="O316" s="25">
        <f t="shared" si="265"/>
        <v>11007.82546143035</v>
      </c>
      <c r="P316" s="25">
        <f t="shared" si="266"/>
        <v>28145.244538569641</v>
      </c>
      <c r="Q316" s="25">
        <f t="array" aca="1" ref="Q316" ca="1">INDEX('Isaac 401k'!L:L,MATCH('Retirement Calculator'!A316,'Isaac 401k'!N:N,0),0)</f>
        <v>1455898.9258743722</v>
      </c>
      <c r="R316" s="25">
        <f t="array" aca="1" ref="R316" ca="1">INDEX('Lorri 401b'!L:L,MATCH('Retirement Calculator'!A316,'Lorri 401b'!N:N,0),0)</f>
        <v>3377312.8983466295</v>
      </c>
      <c r="S316" s="25">
        <f t="shared" ca="1" si="267"/>
        <v>4833211.8242210019</v>
      </c>
    </row>
    <row r="317" spans="1:19" ht="15.75" customHeight="1" x14ac:dyDescent="0.3">
      <c r="A317" s="37">
        <v>60602</v>
      </c>
      <c r="B317" s="409">
        <f t="shared" ref="B317:C317" si="318">($A317-B$9)/365.25</f>
        <v>84.041067761806985</v>
      </c>
      <c r="C317" s="409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3525.4531757812501</v>
      </c>
      <c r="H317" s="25">
        <f>IF(B317&lt;62,0,'Combined Retirement'!$I$14)</f>
        <v>2192</v>
      </c>
      <c r="I317" s="25">
        <f>IF(C317&lt;62,0,'Combined Retirement'!$I$13)</f>
        <v>2420</v>
      </c>
      <c r="J317" s="25">
        <f t="shared" si="263"/>
        <v>7863.2184191855868</v>
      </c>
      <c r="K317" s="25">
        <f t="shared" si="264"/>
        <v>20282.026119384056</v>
      </c>
      <c r="L317" s="25"/>
      <c r="N317" s="25">
        <f>'Combined Retirement'!$C$18/12</f>
        <v>39153.069999999992</v>
      </c>
      <c r="O317" s="25">
        <f t="shared" si="265"/>
        <v>11007.82546143035</v>
      </c>
      <c r="P317" s="25">
        <f t="shared" si="266"/>
        <v>28145.244538569641</v>
      </c>
      <c r="Q317" s="25">
        <f t="array" aca="1" ref="Q317" ca="1">INDEX('Isaac 401k'!L:L,MATCH('Retirement Calculator'!A317,'Isaac 401k'!N:N,0),0)</f>
        <v>1454069.1895695832</v>
      </c>
      <c r="R317" s="25">
        <f t="array" aca="1" ref="R317" ca="1">INDEX('Lorri 401b'!L:L,MATCH('Retirement Calculator'!A317,'Lorri 401b'!N:N,0),0)</f>
        <v>3371018.5008615255</v>
      </c>
      <c r="S317" s="25">
        <f t="shared" ca="1" si="267"/>
        <v>4825087.6904311087</v>
      </c>
    </row>
    <row r="318" spans="1:19" ht="15.75" customHeight="1" x14ac:dyDescent="0.3">
      <c r="A318" s="37">
        <v>60633</v>
      </c>
      <c r="B318" s="409">
        <f t="shared" ref="B318:C318" si="319">($A318-B$9)/365.25</f>
        <v>84.12594113620807</v>
      </c>
      <c r="C318" s="409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3525.4531757812501</v>
      </c>
      <c r="H318" s="25">
        <f>IF(B318&lt;62,0,'Combined Retirement'!$I$14)</f>
        <v>2192</v>
      </c>
      <c r="I318" s="25">
        <f>IF(C318&lt;62,0,'Combined Retirement'!$I$13)</f>
        <v>2420</v>
      </c>
      <c r="J318" s="25">
        <f t="shared" si="263"/>
        <v>7863.2184191855868</v>
      </c>
      <c r="K318" s="25">
        <f t="shared" si="264"/>
        <v>20282.026119384056</v>
      </c>
      <c r="L318" s="25"/>
      <c r="N318" s="25">
        <f>'Combined Retirement'!$C$18/12</f>
        <v>39153.069999999992</v>
      </c>
      <c r="O318" s="25">
        <f t="shared" si="265"/>
        <v>11007.82546143035</v>
      </c>
      <c r="P318" s="25">
        <f t="shared" si="266"/>
        <v>28145.244538569641</v>
      </c>
      <c r="Q318" s="25">
        <f t="array" aca="1" ref="Q318" ca="1">INDEX('Isaac 401k'!L:L,MATCH('Retirement Calculator'!A318,'Isaac 401k'!N:N,0),0)</f>
        <v>1452231.8293635242</v>
      </c>
      <c r="R318" s="25">
        <f t="array" aca="1" ref="R318" ca="1">INDEX('Lorri 401b'!L:L,MATCH('Retirement Calculator'!A318,'Lorri 401b'!N:N,0),0)</f>
        <v>3364697.8767202338</v>
      </c>
      <c r="S318" s="25">
        <f t="shared" ca="1" si="267"/>
        <v>4816929.7060837578</v>
      </c>
    </row>
    <row r="319" spans="1:19" ht="15.75" customHeight="1" x14ac:dyDescent="0.3">
      <c r="A319" s="37">
        <v>60664</v>
      </c>
      <c r="B319" s="409">
        <f t="shared" ref="B319:C319" si="320">($A319-B$9)/365.25</f>
        <v>84.210814510609168</v>
      </c>
      <c r="C319" s="409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3525.4531757812501</v>
      </c>
      <c r="H319" s="25">
        <f>IF(B319&lt;62,0,'Combined Retirement'!$I$14)</f>
        <v>2192</v>
      </c>
      <c r="I319" s="25">
        <f>IF(C319&lt;62,0,'Combined Retirement'!$I$13)</f>
        <v>2420</v>
      </c>
      <c r="J319" s="25">
        <f t="shared" si="263"/>
        <v>7863.2184191855868</v>
      </c>
      <c r="K319" s="25">
        <f t="shared" si="264"/>
        <v>20282.026119384056</v>
      </c>
      <c r="L319" s="25"/>
      <c r="N319" s="25">
        <f>'Combined Retirement'!$C$18/12</f>
        <v>39153.069999999992</v>
      </c>
      <c r="O319" s="25">
        <f t="shared" si="265"/>
        <v>11007.82546143035</v>
      </c>
      <c r="P319" s="25">
        <f t="shared" si="266"/>
        <v>28145.244538569641</v>
      </c>
      <c r="Q319" s="25">
        <f t="array" aca="1" ref="Q319" ca="1">INDEX('Isaac 401k'!L:L,MATCH('Retirement Calculator'!A319,'Isaac 401k'!N:N,0),0)</f>
        <v>1450386.81348994</v>
      </c>
      <c r="R319" s="25">
        <f t="array" aca="1" ref="R319" ca="1">INDEX('Lorri 401b'!L:L,MATCH('Retirement Calculator'!A319,'Lorri 401b'!N:N,0),0)</f>
        <v>3358350.9166450202</v>
      </c>
      <c r="S319" s="25">
        <f t="shared" ca="1" si="267"/>
        <v>4808737.7301349603</v>
      </c>
    </row>
    <row r="320" spans="1:19" ht="15.75" customHeight="1" x14ac:dyDescent="0.3">
      <c r="A320" s="37">
        <v>60692</v>
      </c>
      <c r="B320" s="409">
        <f t="shared" ref="B320:C320" si="321">($A320-B$9)/365.25</f>
        <v>84.28747433264887</v>
      </c>
      <c r="C320" s="409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3525.4531757812501</v>
      </c>
      <c r="H320" s="25">
        <f>IF(B320&lt;62,0,'Combined Retirement'!$I$14)</f>
        <v>2192</v>
      </c>
      <c r="I320" s="25">
        <f>IF(C320&lt;62,0,'Combined Retirement'!$I$13)</f>
        <v>2420</v>
      </c>
      <c r="J320" s="25">
        <f t="shared" si="263"/>
        <v>7863.2184191855868</v>
      </c>
      <c r="K320" s="25">
        <f t="shared" si="264"/>
        <v>20282.026119384056</v>
      </c>
      <c r="L320" s="25"/>
      <c r="N320" s="25">
        <f>'Combined Retirement'!$C$18/12</f>
        <v>39153.069999999992</v>
      </c>
      <c r="O320" s="25">
        <f t="shared" si="265"/>
        <v>11007.82546143035</v>
      </c>
      <c r="P320" s="25">
        <f t="shared" si="266"/>
        <v>28145.244538569641</v>
      </c>
      <c r="Q320" s="25">
        <f t="array" aca="1" ref="Q320" ca="1">INDEX('Isaac 401k'!L:L,MATCH('Retirement Calculator'!A320,'Isaac 401k'!N:N,0),0)</f>
        <v>1448534.1100502159</v>
      </c>
      <c r="R320" s="25">
        <f t="array" aca="1" ref="R320" ca="1">INDEX('Lorri 401b'!L:L,MATCH('Retirement Calculator'!A320,'Lorri 401b'!N:N,0),0)</f>
        <v>3351977.5109028262</v>
      </c>
      <c r="S320" s="25">
        <f t="shared" ca="1" si="267"/>
        <v>4800511.6209530421</v>
      </c>
    </row>
    <row r="321" spans="1:19" ht="15.75" customHeight="1" x14ac:dyDescent="0.3">
      <c r="A321" s="37">
        <v>60723</v>
      </c>
      <c r="B321" s="409">
        <f t="shared" ref="B321:C321" si="322">($A321-B$9)/365.25</f>
        <v>84.372347707049968</v>
      </c>
      <c r="C321" s="409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3525.4531757812501</v>
      </c>
      <c r="H321" s="25">
        <f>IF(B321&lt;62,0,'Combined Retirement'!$I$14)</f>
        <v>2192</v>
      </c>
      <c r="I321" s="25">
        <f>IF(C321&lt;62,0,'Combined Retirement'!$I$13)</f>
        <v>2420</v>
      </c>
      <c r="J321" s="25">
        <f t="shared" si="263"/>
        <v>7863.2184191855868</v>
      </c>
      <c r="K321" s="25">
        <f t="shared" si="264"/>
        <v>20282.026119384056</v>
      </c>
      <c r="L321" s="25"/>
      <c r="N321" s="25">
        <f>'Combined Retirement'!$C$18/12</f>
        <v>39153.069999999992</v>
      </c>
      <c r="O321" s="25">
        <f t="shared" si="265"/>
        <v>11007.82546143035</v>
      </c>
      <c r="P321" s="25">
        <f t="shared" si="266"/>
        <v>28145.244538569641</v>
      </c>
      <c r="Q321" s="25">
        <f t="array" aca="1" ref="Q321" ca="1">INDEX('Isaac 401k'!L:L,MATCH('Retirement Calculator'!A321,'Isaac 401k'!N:N,0),0)</f>
        <v>1446673.6870128261</v>
      </c>
      <c r="R321" s="25">
        <f t="array" aca="1" ref="R321" ca="1">INDEX('Lorri 401b'!L:L,MATCH('Retirement Calculator'!A321,'Lorri 401b'!N:N,0),0)</f>
        <v>3345577.5493033733</v>
      </c>
      <c r="S321" s="25">
        <f t="shared" ca="1" si="267"/>
        <v>4792251.2363161994</v>
      </c>
    </row>
    <row r="322" spans="1:19" ht="15.75" customHeight="1" x14ac:dyDescent="0.3">
      <c r="A322" s="37">
        <v>60753</v>
      </c>
      <c r="B322" s="409">
        <f t="shared" ref="B322:C322" si="323">($A322-B$9)/365.25</f>
        <v>84.454483230663925</v>
      </c>
      <c r="C322" s="409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3525.4531757812501</v>
      </c>
      <c r="H322" s="25">
        <f>IF(B322&lt;62,0,'Combined Retirement'!$I$14)</f>
        <v>2192</v>
      </c>
      <c r="I322" s="25">
        <f>IF(C322&lt;62,0,'Combined Retirement'!$I$13)</f>
        <v>2420</v>
      </c>
      <c r="J322" s="25">
        <f t="shared" si="263"/>
        <v>7863.2184191855868</v>
      </c>
      <c r="K322" s="25">
        <f t="shared" si="264"/>
        <v>20282.026119384056</v>
      </c>
      <c r="L322" s="25"/>
      <c r="N322" s="25">
        <f>'Combined Retirement'!$C$18/12</f>
        <v>39153.069999999992</v>
      </c>
      <c r="O322" s="25">
        <f t="shared" si="265"/>
        <v>11007.82546143035</v>
      </c>
      <c r="P322" s="25">
        <f t="shared" si="266"/>
        <v>28145.244538569641</v>
      </c>
      <c r="Q322" s="25">
        <f t="array" aca="1" ref="Q322" ca="1">INDEX('Isaac 401k'!L:L,MATCH('Retirement Calculator'!A322,'Isaac 401k'!N:N,0),0)</f>
        <v>1444805.5122127808</v>
      </c>
      <c r="R322" s="25">
        <f t="array" aca="1" ref="R322" ca="1">INDEX('Lorri 401b'!L:L,MATCH('Retirement Calculator'!A322,'Lorri 401b'!N:N,0),0)</f>
        <v>3339150.9211972561</v>
      </c>
      <c r="S322" s="25">
        <f t="shared" ca="1" si="267"/>
        <v>4783956.4334100373</v>
      </c>
    </row>
    <row r="323" spans="1:19" ht="15.75" customHeight="1" x14ac:dyDescent="0.3">
      <c r="A323" s="37">
        <v>60784</v>
      </c>
      <c r="B323" s="409">
        <f t="shared" ref="B323:C323" si="324">($A323-B$9)/365.25</f>
        <v>84.539356605065024</v>
      </c>
      <c r="C323" s="409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3525.4531757812501</v>
      </c>
      <c r="H323" s="25">
        <f>IF(B323&lt;62,0,'Combined Retirement'!$I$14)</f>
        <v>2192</v>
      </c>
      <c r="I323" s="25">
        <f>IF(C323&lt;62,0,'Combined Retirement'!$I$13)</f>
        <v>2420</v>
      </c>
      <c r="J323" s="25">
        <f t="shared" si="263"/>
        <v>7863.2184191855868</v>
      </c>
      <c r="K323" s="25">
        <f t="shared" si="264"/>
        <v>20282.026119384056</v>
      </c>
      <c r="L323" s="25"/>
      <c r="N323" s="25">
        <f>'Combined Retirement'!$C$18/12</f>
        <v>39153.069999999992</v>
      </c>
      <c r="O323" s="25">
        <f t="shared" si="265"/>
        <v>11007.82546143035</v>
      </c>
      <c r="P323" s="25">
        <f t="shared" si="266"/>
        <v>28145.244538569641</v>
      </c>
      <c r="Q323" s="25">
        <f t="array" aca="1" ref="Q323" ca="1">INDEX('Isaac 401k'!L:L,MATCH('Retirement Calculator'!A323,'Isaac 401k'!N:N,0),0)</f>
        <v>1442929.5533510684</v>
      </c>
      <c r="R323" s="25">
        <f t="array" aca="1" ref="R323" ca="1">INDEX('Lorri 401b'!L:L,MATCH('Retirement Calculator'!A323,'Lorri 401b'!N:N,0),0)</f>
        <v>3332697.5154740298</v>
      </c>
      <c r="S323" s="25">
        <f t="shared" ca="1" si="267"/>
        <v>4775627.0688250978</v>
      </c>
    </row>
    <row r="324" spans="1:19" ht="15.75" customHeight="1" x14ac:dyDescent="0.3">
      <c r="A324" s="37">
        <v>60814</v>
      </c>
      <c r="B324" s="409">
        <f t="shared" ref="B324:C324" si="325">($A324-B$9)/365.25</f>
        <v>84.62149212867898</v>
      </c>
      <c r="C324" s="409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3525.4531757812501</v>
      </c>
      <c r="H324" s="25">
        <f>IF(B324&lt;62,0,'Combined Retirement'!$I$14)</f>
        <v>2192</v>
      </c>
      <c r="I324" s="25">
        <f>IF(C324&lt;62,0,'Combined Retirement'!$I$13)</f>
        <v>2420</v>
      </c>
      <c r="J324" s="25">
        <f t="shared" si="263"/>
        <v>7863.2184191855868</v>
      </c>
      <c r="K324" s="25">
        <f t="shared" si="264"/>
        <v>20282.026119384056</v>
      </c>
      <c r="L324" s="25"/>
      <c r="N324" s="25">
        <f>'Combined Retirement'!$C$18/12</f>
        <v>39153.069999999992</v>
      </c>
      <c r="O324" s="25">
        <f t="shared" si="265"/>
        <v>11007.82546143035</v>
      </c>
      <c r="P324" s="25">
        <f t="shared" si="266"/>
        <v>28145.244538569641</v>
      </c>
      <c r="Q324" s="25">
        <f t="array" aca="1" ref="Q324" ca="1">INDEX('Isaac 401k'!L:L,MATCH('Retirement Calculator'!A324,'Isaac 401k'!N:N,0),0)</f>
        <v>1441045.7779940991</v>
      </c>
      <c r="R324" s="25">
        <f t="array" aca="1" ref="R324" ca="1">INDEX('Lorri 401b'!L:L,MATCH('Retirement Calculator'!A324,'Lorri 401b'!N:N,0),0)</f>
        <v>3326217.2205602904</v>
      </c>
      <c r="S324" s="25">
        <f t="shared" ca="1" si="267"/>
        <v>4767262.9985543899</v>
      </c>
    </row>
    <row r="325" spans="1:19" ht="15.75" customHeight="1" x14ac:dyDescent="0.3">
      <c r="A325" s="37">
        <v>60845</v>
      </c>
      <c r="B325" s="409">
        <f t="shared" ref="B325:C325" si="326">($A325-B$9)/365.25</f>
        <v>84.706365503080079</v>
      </c>
      <c r="C325" s="409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3525.4531757812501</v>
      </c>
      <c r="H325" s="25">
        <f>IF(B325&lt;62,0,'Combined Retirement'!$I$14)</f>
        <v>2192</v>
      </c>
      <c r="I325" s="25">
        <f>IF(C325&lt;62,0,'Combined Retirement'!$I$13)</f>
        <v>2420</v>
      </c>
      <c r="J325" s="25">
        <f t="shared" si="263"/>
        <v>7863.2184191855868</v>
      </c>
      <c r="K325" s="25">
        <f t="shared" si="264"/>
        <v>20282.026119384056</v>
      </c>
      <c r="L325" s="25"/>
      <c r="N325" s="25">
        <f>'Combined Retirement'!$C$18/12</f>
        <v>39153.069999999992</v>
      </c>
      <c r="O325" s="25">
        <f t="shared" si="265"/>
        <v>11007.82546143035</v>
      </c>
      <c r="P325" s="25">
        <f t="shared" si="266"/>
        <v>28145.244538569641</v>
      </c>
      <c r="Q325" s="25">
        <f t="array" aca="1" ref="Q325" ca="1">INDEX('Isaac 401k'!L:L,MATCH('Retirement Calculator'!A325,'Isaac 401k'!N:N,0),0)</f>
        <v>1439154.1535731424</v>
      </c>
      <c r="R325" s="25">
        <f t="array" aca="1" ref="R325" ca="1">INDEX('Lorri 401b'!L:L,MATCH('Retirement Calculator'!A325,'Lorri 401b'!N:N,0),0)</f>
        <v>3319709.9244177435</v>
      </c>
      <c r="S325" s="25">
        <f t="shared" ca="1" si="267"/>
        <v>4758864.0779908858</v>
      </c>
    </row>
    <row r="326" spans="1:19" ht="15.75" customHeight="1" x14ac:dyDescent="0.3">
      <c r="A326" s="37">
        <v>60876</v>
      </c>
      <c r="B326" s="409">
        <f t="shared" ref="B326:C326" si="327">($A326-B$9)/365.25</f>
        <v>84.791238877481177</v>
      </c>
      <c r="C326" s="409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3525.4531757812501</v>
      </c>
      <c r="H326" s="25">
        <f>IF(B326&lt;62,0,'Combined Retirement'!$I$14)</f>
        <v>2192</v>
      </c>
      <c r="I326" s="25">
        <f>IF(C326&lt;62,0,'Combined Retirement'!$I$13)</f>
        <v>2420</v>
      </c>
      <c r="J326" s="25">
        <f t="shared" si="263"/>
        <v>7863.2184191855868</v>
      </c>
      <c r="K326" s="25">
        <f t="shared" si="264"/>
        <v>20282.026119384056</v>
      </c>
      <c r="L326" s="25"/>
      <c r="N326" s="25">
        <f>'Combined Retirement'!$C$18/12</f>
        <v>39153.069999999992</v>
      </c>
      <c r="O326" s="25">
        <f t="shared" si="265"/>
        <v>11007.82546143035</v>
      </c>
      <c r="P326" s="25">
        <f t="shared" si="266"/>
        <v>28145.244538569641</v>
      </c>
      <c r="Q326" s="25">
        <f t="array" aca="1" ref="Q326" ca="1">INDEX('Isaac 401k'!L:L,MATCH('Retirement Calculator'!A326,'Isaac 401k'!N:N,0),0)</f>
        <v>1437254.6473837649</v>
      </c>
      <c r="R326" s="25">
        <f t="array" aca="1" ref="R326" ca="1">INDEX('Lorri 401b'!L:L,MATCH('Retirement Calculator'!A326,'Lorri 401b'!N:N,0),0)</f>
        <v>3313175.5145412693</v>
      </c>
      <c r="S326" s="25">
        <f t="shared" ca="1" si="267"/>
        <v>4750430.1619250346</v>
      </c>
    </row>
    <row r="327" spans="1:19" ht="15.75" customHeight="1" x14ac:dyDescent="0.3">
      <c r="A327" s="37">
        <v>60906</v>
      </c>
      <c r="B327" s="409">
        <f t="shared" ref="B327:C327" si="328">($A327-B$9)/365.25</f>
        <v>84.873374401095134</v>
      </c>
      <c r="C327" s="409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3525.4531757812501</v>
      </c>
      <c r="H327" s="25">
        <f>IF(B327&lt;62,0,'Combined Retirement'!$I$14)</f>
        <v>2192</v>
      </c>
      <c r="I327" s="25">
        <f>IF(C327&lt;62,0,'Combined Retirement'!$I$13)</f>
        <v>2420</v>
      </c>
      <c r="J327" s="25">
        <f t="shared" si="263"/>
        <v>7863.2184191855868</v>
      </c>
      <c r="K327" s="25">
        <f t="shared" si="264"/>
        <v>20282.026119384056</v>
      </c>
      <c r="L327" s="25"/>
      <c r="N327" s="25">
        <f>'Combined Retirement'!$C$18/12</f>
        <v>39153.069999999992</v>
      </c>
      <c r="O327" s="25">
        <f t="shared" si="265"/>
        <v>11007.82546143035</v>
      </c>
      <c r="P327" s="25">
        <f t="shared" si="266"/>
        <v>28145.244538569641</v>
      </c>
      <c r="Q327" s="25">
        <f t="array" aca="1" ref="Q327" ca="1">INDEX('Isaac 401k'!L:L,MATCH('Retirement Calculator'!A327,'Isaac 401k'!N:N,0),0)</f>
        <v>1435347.226585265</v>
      </c>
      <c r="R327" s="25">
        <f t="array" aca="1" ref="R327" ca="1">INDEX('Lorri 401b'!L:L,MATCH('Retirement Calculator'!A327,'Lorri 401b'!N:N,0),0)</f>
        <v>3306613.8779569766</v>
      </c>
      <c r="S327" s="25">
        <f t="shared" ca="1" si="267"/>
        <v>4741961.1045422414</v>
      </c>
    </row>
    <row r="328" spans="1:19" ht="15.75" customHeight="1" x14ac:dyDescent="0.3">
      <c r="A328" s="37">
        <v>60937</v>
      </c>
      <c r="B328" s="409">
        <f t="shared" ref="B328:C328" si="329">($A328-B$9)/365.25</f>
        <v>84.958247775496233</v>
      </c>
      <c r="C328" s="409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3525.4531757812501</v>
      </c>
      <c r="H328" s="25">
        <f>IF(B328&lt;62,0,'Combined Retirement'!$I$14)</f>
        <v>2192</v>
      </c>
      <c r="I328" s="25">
        <f>IF(C328&lt;62,0,'Combined Retirement'!$I$13)</f>
        <v>2420</v>
      </c>
      <c r="J328" s="25">
        <f t="shared" si="263"/>
        <v>7863.2184191855868</v>
      </c>
      <c r="K328" s="25">
        <f t="shared" si="264"/>
        <v>20282.026119384056</v>
      </c>
      <c r="L328" s="25"/>
      <c r="N328" s="25">
        <f>'Combined Retirement'!$C$18/12</f>
        <v>39153.069999999992</v>
      </c>
      <c r="O328" s="25">
        <f t="shared" si="265"/>
        <v>11007.82546143035</v>
      </c>
      <c r="P328" s="25">
        <f t="shared" si="266"/>
        <v>28145.244538569641</v>
      </c>
      <c r="Q328" s="25">
        <f t="array" aca="1" ref="Q328" ca="1">INDEX('Isaac 401k'!L:L,MATCH('Retirement Calculator'!A328,'Isaac 401k'!N:N,0),0)</f>
        <v>1433431.8582001047</v>
      </c>
      <c r="R328" s="25">
        <f t="array" aca="1" ref="R328" ca="1">INDEX('Lorri 401b'!L:L,MATCH('Retirement Calculator'!A328,'Lorri 401b'!N:N,0),0)</f>
        <v>3300024.9012202495</v>
      </c>
      <c r="S328" s="25">
        <f t="shared" ca="1" si="267"/>
        <v>4733456.7594203539</v>
      </c>
    </row>
    <row r="329" spans="1:19" ht="15.75" customHeight="1" x14ac:dyDescent="0.3">
      <c r="A329" s="37">
        <v>60967</v>
      </c>
      <c r="B329" s="409">
        <f t="shared" ref="B329:C329" si="330">($A329-B$9)/365.25</f>
        <v>85.040383299110204</v>
      </c>
      <c r="C329" s="409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3525.4531757812501</v>
      </c>
      <c r="H329" s="25">
        <f>IF(B329&lt;62,0,'Combined Retirement'!$I$14)</f>
        <v>2192</v>
      </c>
      <c r="I329" s="25">
        <f>IF(C329&lt;62,0,'Combined Retirement'!$I$13)</f>
        <v>2420</v>
      </c>
      <c r="J329" s="25">
        <f t="shared" si="263"/>
        <v>7863.2184191855868</v>
      </c>
      <c r="K329" s="25">
        <f t="shared" si="264"/>
        <v>20282.026119384056</v>
      </c>
      <c r="L329" s="25"/>
      <c r="N329" s="25">
        <f>'Combined Retirement'!$C$18/12</f>
        <v>39153.069999999992</v>
      </c>
      <c r="O329" s="25">
        <f t="shared" si="265"/>
        <v>11007.82546143035</v>
      </c>
      <c r="P329" s="25">
        <f t="shared" si="266"/>
        <v>28145.244538569641</v>
      </c>
      <c r="Q329" s="25">
        <f t="array" aca="1" ref="Q329" ca="1">INDEX('Isaac 401k'!L:L,MATCH('Retirement Calculator'!A329,'Isaac 401k'!N:N,0),0)</f>
        <v>1431508.5091133395</v>
      </c>
      <c r="R329" s="25">
        <f t="array" aca="1" ref="R329" ca="1">INDEX('Lorri 401b'!L:L,MATCH('Retirement Calculator'!A329,'Lorri 401b'!N:N,0),0)</f>
        <v>3293408.4704137859</v>
      </c>
      <c r="S329" s="25">
        <f t="shared" ca="1" si="267"/>
        <v>4724916.9795271251</v>
      </c>
    </row>
    <row r="330" spans="1:19" ht="15.75" customHeight="1" x14ac:dyDescent="0.3">
      <c r="A330" s="37">
        <v>60998</v>
      </c>
      <c r="B330" s="409">
        <f t="shared" ref="B330:C330" si="331">($A330-B$9)/365.25</f>
        <v>85.125256673511288</v>
      </c>
      <c r="C330" s="409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3525.4531757812501</v>
      </c>
      <c r="H330" s="25">
        <f>IF(B330&lt;62,0,'Combined Retirement'!$I$14)</f>
        <v>2192</v>
      </c>
      <c r="I330" s="25">
        <f>IF(C330&lt;62,0,'Combined Retirement'!$I$13)</f>
        <v>2420</v>
      </c>
      <c r="J330" s="25">
        <f t="shared" si="263"/>
        <v>7863.2184191855868</v>
      </c>
      <c r="K330" s="25">
        <f t="shared" si="264"/>
        <v>20282.026119384056</v>
      </c>
      <c r="L330" s="25"/>
      <c r="N330" s="25">
        <f>'Combined Retirement'!$C$18/12</f>
        <v>39153.069999999992</v>
      </c>
      <c r="O330" s="25">
        <f t="shared" si="265"/>
        <v>11007.82546143035</v>
      </c>
      <c r="P330" s="25">
        <f t="shared" si="266"/>
        <v>28145.244538569641</v>
      </c>
      <c r="Q330" s="25">
        <f t="array" aca="1" ref="Q330" ca="1">INDEX('Isaac 401k'!L:L,MATCH('Retirement Calculator'!A330,'Isaac 401k'!N:N,0),0)</f>
        <v>1429577.1460720461</v>
      </c>
      <c r="R330" s="25">
        <f t="array" aca="1" ref="R330" ca="1">INDEX('Lorri 401b'!L:L,MATCH('Retirement Calculator'!A330,'Lorri 401b'!N:N,0),0)</f>
        <v>3286764.4711456285</v>
      </c>
      <c r="S330" s="25">
        <f t="shared" ca="1" si="267"/>
        <v>4716341.6172176749</v>
      </c>
    </row>
    <row r="331" spans="1:19" ht="15.75" customHeight="1" x14ac:dyDescent="0.3">
      <c r="A331" s="37">
        <v>61029</v>
      </c>
      <c r="B331" s="409">
        <f t="shared" ref="B331:C331" si="332">($A331-B$9)/365.25</f>
        <v>85.210130047912386</v>
      </c>
      <c r="C331" s="409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3525.4531757812501</v>
      </c>
      <c r="H331" s="25">
        <f>IF(B331&lt;62,0,'Combined Retirement'!$I$14)</f>
        <v>2192</v>
      </c>
      <c r="I331" s="25">
        <f>IF(C331&lt;62,0,'Combined Retirement'!$I$13)</f>
        <v>2420</v>
      </c>
      <c r="J331" s="25">
        <f t="shared" si="263"/>
        <v>7863.2184191855868</v>
      </c>
      <c r="K331" s="25">
        <f t="shared" si="264"/>
        <v>20282.026119384056</v>
      </c>
      <c r="L331" s="25"/>
      <c r="N331" s="25">
        <f>'Combined Retirement'!$C$18/12</f>
        <v>39153.069999999992</v>
      </c>
      <c r="O331" s="25">
        <f t="shared" si="265"/>
        <v>11007.82546143035</v>
      </c>
      <c r="P331" s="25">
        <f t="shared" si="266"/>
        <v>28145.244538569641</v>
      </c>
      <c r="Q331" s="25">
        <f t="array" aca="1" ref="Q331" ca="1">INDEX('Isaac 401k'!L:L,MATCH('Retirement Calculator'!A331,'Isaac 401k'!N:N,0),0)</f>
        <v>1427637.7356847473</v>
      </c>
      <c r="R331" s="25">
        <f t="array" aca="1" ref="R331" ca="1">INDEX('Lorri 401b'!L:L,MATCH('Retirement Calculator'!A331,'Lorri 401b'!N:N,0),0)</f>
        <v>3280092.7885471871</v>
      </c>
      <c r="S331" s="25">
        <f t="shared" ca="1" si="267"/>
        <v>4707730.5242319349</v>
      </c>
    </row>
    <row r="332" spans="1:19" ht="15.75" customHeight="1" x14ac:dyDescent="0.3">
      <c r="A332" s="37">
        <v>61057</v>
      </c>
      <c r="B332" s="409">
        <f t="shared" ref="B332:C332" si="333">($A332-B$9)/365.25</f>
        <v>85.286789869952088</v>
      </c>
      <c r="C332" s="409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3525.4531757812501</v>
      </c>
      <c r="H332" s="25">
        <f>IF(B332&lt;62,0,'Combined Retirement'!$I$14)</f>
        <v>2192</v>
      </c>
      <c r="I332" s="25">
        <f>IF(C332&lt;62,0,'Combined Retirement'!$I$13)</f>
        <v>2420</v>
      </c>
      <c r="J332" s="25">
        <f t="shared" si="263"/>
        <v>7863.2184191855868</v>
      </c>
      <c r="K332" s="25">
        <f t="shared" si="264"/>
        <v>20282.026119384056</v>
      </c>
      <c r="L332" s="25"/>
      <c r="N332" s="25">
        <f>'Combined Retirement'!$C$18/12</f>
        <v>39153.069999999992</v>
      </c>
      <c r="O332" s="25">
        <f t="shared" si="265"/>
        <v>11007.82546143035</v>
      </c>
      <c r="P332" s="25">
        <f t="shared" si="266"/>
        <v>28145.244538569641</v>
      </c>
      <c r="Q332" s="25">
        <f t="array" aca="1" ref="Q332" ca="1">INDEX('Isaac 401k'!L:L,MATCH('Retirement Calculator'!A332,'Isaac 401k'!N:N,0),0)</f>
        <v>1425690.2444208348</v>
      </c>
      <c r="R332" s="25">
        <f t="array" aca="1" ref="R332" ca="1">INDEX('Lorri 401b'!L:L,MATCH('Retirement Calculator'!A332,'Lorri 401b'!N:N,0),0)</f>
        <v>3273393.3072712524</v>
      </c>
      <c r="S332" s="25">
        <f t="shared" ca="1" si="267"/>
        <v>4699083.5516920872</v>
      </c>
    </row>
    <row r="333" spans="1:19" ht="15.75" customHeight="1" x14ac:dyDescent="0.3">
      <c r="A333" s="37">
        <v>61088</v>
      </c>
      <c r="B333" s="409">
        <f t="shared" ref="B333:C333" si="334">($A333-B$9)/365.25</f>
        <v>85.371663244353186</v>
      </c>
      <c r="C333" s="409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3525.4531757812501</v>
      </c>
      <c r="H333" s="25">
        <f>IF(B333&lt;62,0,'Combined Retirement'!$I$14)</f>
        <v>2192</v>
      </c>
      <c r="I333" s="25">
        <f>IF(C333&lt;62,0,'Combined Retirement'!$I$13)</f>
        <v>2420</v>
      </c>
      <c r="J333" s="25">
        <f t="shared" si="263"/>
        <v>7863.2184191855868</v>
      </c>
      <c r="K333" s="25">
        <f t="shared" si="264"/>
        <v>20282.026119384056</v>
      </c>
      <c r="L333" s="25"/>
      <c r="N333" s="25">
        <f>'Combined Retirement'!$C$18/12</f>
        <v>39153.069999999992</v>
      </c>
      <c r="O333" s="25">
        <f t="shared" si="265"/>
        <v>11007.82546143035</v>
      </c>
      <c r="P333" s="25">
        <f t="shared" si="266"/>
        <v>28145.244538569641</v>
      </c>
      <c r="Q333" s="25">
        <f t="array" aca="1" ref="Q333" ca="1">INDEX('Isaac 401k'!L:L,MATCH('Retirement Calculator'!A333,'Isaac 401k'!N:N,0),0)</f>
        <v>1423734.6386099893</v>
      </c>
      <c r="R333" s="25">
        <f t="array" aca="1" ref="R333" ca="1">INDEX('Lorri 401b'!L:L,MATCH('Retirement Calculator'!A333,'Lorri 401b'!N:N,0),0)</f>
        <v>3266665.9114900013</v>
      </c>
      <c r="S333" s="25">
        <f t="shared" ca="1" si="267"/>
        <v>4690400.5500999903</v>
      </c>
    </row>
    <row r="334" spans="1:19" ht="15.75" customHeight="1" x14ac:dyDescent="0.3">
      <c r="A334" s="37">
        <v>61118</v>
      </c>
      <c r="B334" s="409">
        <f t="shared" ref="B334:C334" si="335">($A334-B$9)/365.25</f>
        <v>85.453798767967143</v>
      </c>
      <c r="C334" s="409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3525.4531757812501</v>
      </c>
      <c r="H334" s="25">
        <f>IF(B334&lt;62,0,'Combined Retirement'!$I$14)</f>
        <v>2192</v>
      </c>
      <c r="I334" s="25">
        <f>IF(C334&lt;62,0,'Combined Retirement'!$I$13)</f>
        <v>2420</v>
      </c>
      <c r="J334" s="25">
        <f t="shared" si="263"/>
        <v>7863.2184191855868</v>
      </c>
      <c r="K334" s="25">
        <f t="shared" si="264"/>
        <v>20282.026119384056</v>
      </c>
      <c r="L334" s="25"/>
      <c r="N334" s="25">
        <f>'Combined Retirement'!$C$18/12</f>
        <v>39153.069999999992</v>
      </c>
      <c r="O334" s="25">
        <f t="shared" si="265"/>
        <v>11007.82546143035</v>
      </c>
      <c r="P334" s="25">
        <f t="shared" si="266"/>
        <v>28145.244538569641</v>
      </c>
      <c r="Q334" s="25">
        <f t="array" aca="1" ref="Q334" ca="1">INDEX('Isaac 401k'!L:L,MATCH('Retirement Calculator'!A334,'Isaac 401k'!N:N,0),0)</f>
        <v>1421770.8844415988</v>
      </c>
      <c r="R334" s="25">
        <f t="array" aca="1" ref="R334" ca="1">INDEX('Lorri 401b'!L:L,MATCH('Retirement Calculator'!A334,'Lorri 401b'!N:N,0),0)</f>
        <v>3259910.4848929946</v>
      </c>
      <c r="S334" s="25">
        <f t="shared" ca="1" si="267"/>
        <v>4681681.3693345934</v>
      </c>
    </row>
    <row r="335" spans="1:19" ht="15.75" customHeight="1" x14ac:dyDescent="0.3">
      <c r="A335" s="37">
        <v>61149</v>
      </c>
      <c r="B335" s="409">
        <f t="shared" ref="B335:C335" si="336">($A335-B$9)/365.25</f>
        <v>85.538672142368242</v>
      </c>
      <c r="C335" s="409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3525.4531757812501</v>
      </c>
      <c r="H335" s="25">
        <f>IF(B335&lt;62,0,'Combined Retirement'!$I$14)</f>
        <v>2192</v>
      </c>
      <c r="I335" s="25">
        <f>IF(C335&lt;62,0,'Combined Retirement'!$I$13)</f>
        <v>2420</v>
      </c>
      <c r="J335" s="25">
        <f t="shared" si="263"/>
        <v>7863.2184191855868</v>
      </c>
      <c r="K335" s="25">
        <f t="shared" si="264"/>
        <v>20282.026119384056</v>
      </c>
      <c r="L335" s="25"/>
      <c r="N335" s="25">
        <f>'Combined Retirement'!$C$18/12</f>
        <v>39153.069999999992</v>
      </c>
      <c r="O335" s="25">
        <f t="shared" si="265"/>
        <v>11007.82546143035</v>
      </c>
      <c r="P335" s="25">
        <f t="shared" si="266"/>
        <v>28145.244538569641</v>
      </c>
      <c r="Q335" s="25">
        <f t="array" aca="1" ref="Q335" ca="1">INDEX('Isaac 401k'!L:L,MATCH('Retirement Calculator'!A335,'Isaac 401k'!N:N,0),0)</f>
        <v>1419798.9479641733</v>
      </c>
      <c r="R335" s="25">
        <f t="array" aca="1" ref="R335" ca="1">INDEX('Lorri 401b'!L:L,MATCH('Retirement Calculator'!A335,'Lorri 401b'!N:N,0),0)</f>
        <v>3253126.9106851672</v>
      </c>
      <c r="S335" s="25">
        <f t="shared" ca="1" si="267"/>
        <v>4672925.8586493405</v>
      </c>
    </row>
    <row r="336" spans="1:19" ht="15.75" customHeight="1" x14ac:dyDescent="0.3">
      <c r="A336" s="37">
        <v>61179</v>
      </c>
      <c r="B336" s="409">
        <f t="shared" ref="B336:C336" si="337">($A336-B$9)/365.25</f>
        <v>85.620807665982198</v>
      </c>
      <c r="C336" s="409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3525.4531757812501</v>
      </c>
      <c r="H336" s="25">
        <f>IF(B336&lt;62,0,'Combined Retirement'!$I$14)</f>
        <v>2192</v>
      </c>
      <c r="I336" s="25">
        <f>IF(C336&lt;62,0,'Combined Retirement'!$I$13)</f>
        <v>2420</v>
      </c>
      <c r="J336" s="25">
        <f t="shared" si="263"/>
        <v>7863.2184191855868</v>
      </c>
      <c r="K336" s="25">
        <f t="shared" si="264"/>
        <v>20282.026119384056</v>
      </c>
      <c r="L336" s="25"/>
      <c r="N336" s="25">
        <f>'Combined Retirement'!$C$18/12</f>
        <v>39153.069999999992</v>
      </c>
      <c r="O336" s="25">
        <f t="shared" si="265"/>
        <v>11007.82546143035</v>
      </c>
      <c r="P336" s="25">
        <f t="shared" si="266"/>
        <v>28145.244538569641</v>
      </c>
      <c r="Q336" s="25">
        <f t="array" aca="1" ref="Q336" ca="1">INDEX('Isaac 401k'!L:L,MATCH('Retirement Calculator'!A336,'Isaac 401k'!N:N,0),0)</f>
        <v>1417818.7950847584</v>
      </c>
      <c r="R336" s="25">
        <f t="array" aca="1" ref="R336" ca="1">INDEX('Lorri 401b'!L:L,MATCH('Retirement Calculator'!A336,'Lorri 401b'!N:N,0),0)</f>
        <v>3246315.0715848072</v>
      </c>
      <c r="S336" s="25">
        <f t="shared" ca="1" si="267"/>
        <v>4664133.8666695654</v>
      </c>
    </row>
    <row r="337" spans="1:19" ht="15.75" customHeight="1" x14ac:dyDescent="0.3">
      <c r="A337" s="37">
        <v>61210</v>
      </c>
      <c r="B337" s="409">
        <f t="shared" ref="B337:C337" si="338">($A337-B$9)/365.25</f>
        <v>85.705681040383297</v>
      </c>
      <c r="C337" s="409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3525.4531757812501</v>
      </c>
      <c r="H337" s="25">
        <f>IF(B337&lt;62,0,'Combined Retirement'!$I$14)</f>
        <v>2192</v>
      </c>
      <c r="I337" s="25">
        <f>IF(C337&lt;62,0,'Combined Retirement'!$I$13)</f>
        <v>2420</v>
      </c>
      <c r="J337" s="25">
        <f t="shared" si="263"/>
        <v>7863.2184191855868</v>
      </c>
      <c r="K337" s="25">
        <f t="shared" si="264"/>
        <v>20282.026119384056</v>
      </c>
      <c r="L337" s="25"/>
      <c r="N337" s="25">
        <f>'Combined Retirement'!$C$18/12</f>
        <v>39153.069999999992</v>
      </c>
      <c r="O337" s="25">
        <f t="shared" si="265"/>
        <v>11007.82546143035</v>
      </c>
      <c r="P337" s="25">
        <f t="shared" si="266"/>
        <v>28145.244538569641</v>
      </c>
      <c r="Q337" s="25">
        <f t="array" aca="1" ref="Q337" ca="1">INDEX('Isaac 401k'!L:L,MATCH('Retirement Calculator'!A337,'Isaac 401k'!N:N,0),0)</f>
        <v>1415830.3915683459</v>
      </c>
      <c r="R337" s="25">
        <f t="array" aca="1" ref="R337" ca="1">INDEX('Lorri 401b'!L:L,MATCH('Retirement Calculator'!A337,'Lorri 401b'!N:N,0),0)</f>
        <v>3239474.8498215294</v>
      </c>
      <c r="S337" s="25">
        <f t="shared" ca="1" si="267"/>
        <v>4655305.2413898753</v>
      </c>
    </row>
    <row r="338" spans="1:19" ht="15.75" customHeight="1" x14ac:dyDescent="0.3">
      <c r="A338" s="37">
        <v>61241</v>
      </c>
      <c r="B338" s="409">
        <f t="shared" ref="B338:C338" si="339">($A338-B$9)/365.25</f>
        <v>85.790554414784395</v>
      </c>
      <c r="C338" s="409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3525.4531757812501</v>
      </c>
      <c r="H338" s="25">
        <f>IF(B338&lt;62,0,'Combined Retirement'!$I$14)</f>
        <v>2192</v>
      </c>
      <c r="I338" s="25">
        <f>IF(C338&lt;62,0,'Combined Retirement'!$I$13)</f>
        <v>2420</v>
      </c>
      <c r="J338" s="25">
        <f t="shared" si="263"/>
        <v>7863.2184191855868</v>
      </c>
      <c r="K338" s="25">
        <f t="shared" si="264"/>
        <v>20282.026119384056</v>
      </c>
      <c r="L338" s="25"/>
      <c r="N338" s="25">
        <f>'Combined Retirement'!$C$18/12</f>
        <v>39153.069999999992</v>
      </c>
      <c r="O338" s="25">
        <f t="shared" si="265"/>
        <v>11007.82546143035</v>
      </c>
      <c r="P338" s="25">
        <f t="shared" si="266"/>
        <v>28145.244538569641</v>
      </c>
      <c r="Q338" s="25">
        <f t="array" aca="1" ref="Q338" ca="1">INDEX('Isaac 401k'!L:L,MATCH('Retirement Calculator'!A338,'Isaac 401k'!N:N,0),0)</f>
        <v>1413833.7030372818</v>
      </c>
      <c r="R338" s="25">
        <f t="array" aca="1" ref="R338" ca="1">INDEX('Lorri 401b'!L:L,MATCH('Retirement Calculator'!A338,'Lorri 401b'!N:N,0),0)</f>
        <v>3232606.1271342374</v>
      </c>
      <c r="S338" s="25">
        <f t="shared" ca="1" si="267"/>
        <v>4646439.830171519</v>
      </c>
    </row>
    <row r="339" spans="1:19" ht="15.75" customHeight="1" x14ac:dyDescent="0.3">
      <c r="A339" s="37">
        <v>61271</v>
      </c>
      <c r="B339" s="409">
        <f t="shared" ref="B339:C339" si="340">($A339-B$9)/365.25</f>
        <v>85.872689938398352</v>
      </c>
      <c r="C339" s="409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3525.4531757812501</v>
      </c>
      <c r="H339" s="25">
        <f>IF(B339&lt;62,0,'Combined Retirement'!$I$14)</f>
        <v>2192</v>
      </c>
      <c r="I339" s="25">
        <f>IF(C339&lt;62,0,'Combined Retirement'!$I$13)</f>
        <v>2420</v>
      </c>
      <c r="J339" s="25">
        <f t="shared" si="263"/>
        <v>7863.2184191855868</v>
      </c>
      <c r="K339" s="25">
        <f t="shared" si="264"/>
        <v>20282.026119384056</v>
      </c>
      <c r="L339" s="25"/>
      <c r="N339" s="25">
        <f>'Combined Retirement'!$C$18/12</f>
        <v>39153.069999999992</v>
      </c>
      <c r="O339" s="25">
        <f t="shared" si="265"/>
        <v>11007.82546143035</v>
      </c>
      <c r="P339" s="25">
        <f t="shared" si="266"/>
        <v>28145.244538569641</v>
      </c>
      <c r="Q339" s="25">
        <f t="array" aca="1" ref="Q339" ca="1">INDEX('Isaac 401k'!L:L,MATCH('Retirement Calculator'!A339,'Isaac 401k'!N:N,0),0)</f>
        <v>1411828.6949706716</v>
      </c>
      <c r="R339" s="25">
        <f t="array" aca="1" ref="R339" ca="1">INDEX('Lorri 401b'!L:L,MATCH('Retirement Calculator'!A339,'Lorri 401b'!N:N,0),0)</f>
        <v>3225708.784769082</v>
      </c>
      <c r="S339" s="25">
        <f t="shared" ca="1" si="267"/>
        <v>4637537.4797397535</v>
      </c>
    </row>
    <row r="340" spans="1:19" ht="15.75" customHeight="1" x14ac:dyDescent="0.3">
      <c r="A340" s="37">
        <v>61302</v>
      </c>
      <c r="B340" s="409">
        <f t="shared" ref="B340:C340" si="341">($A340-B$9)/365.25</f>
        <v>85.957563312799451</v>
      </c>
      <c r="C340" s="409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3525.4531757812501</v>
      </c>
      <c r="H340" s="25">
        <f>IF(B340&lt;62,0,'Combined Retirement'!$I$14)</f>
        <v>2192</v>
      </c>
      <c r="I340" s="25">
        <f>IF(C340&lt;62,0,'Combined Retirement'!$I$13)</f>
        <v>2420</v>
      </c>
      <c r="J340" s="25">
        <f t="shared" si="263"/>
        <v>7863.2184191855868</v>
      </c>
      <c r="K340" s="25">
        <f t="shared" si="264"/>
        <v>20282.026119384056</v>
      </c>
      <c r="L340" s="25"/>
      <c r="N340" s="25">
        <f>'Combined Retirement'!$C$18/12</f>
        <v>39153.069999999992</v>
      </c>
      <c r="O340" s="25">
        <f t="shared" si="265"/>
        <v>11007.82546143035</v>
      </c>
      <c r="P340" s="25">
        <f t="shared" si="266"/>
        <v>28145.244538569641</v>
      </c>
      <c r="Q340" s="25">
        <f t="array" aca="1" ref="Q340" ca="1">INDEX('Isaac 401k'!L:L,MATCH('Retirement Calculator'!A340,'Isaac 401k'!N:N,0),0)</f>
        <v>1409815.3327037839</v>
      </c>
      <c r="R340" s="25">
        <f t="array" aca="1" ref="R340" ca="1">INDEX('Lorri 401b'!L:L,MATCH('Retirement Calculator'!A340,'Lorri 401b'!N:N,0),0)</f>
        <v>3218782.703477405</v>
      </c>
      <c r="S340" s="25">
        <f t="shared" ca="1" si="267"/>
        <v>4628598.0361811891</v>
      </c>
    </row>
    <row r="341" spans="1:19" ht="15.75" customHeight="1" x14ac:dyDescent="0.3">
      <c r="A341" s="37">
        <v>61332</v>
      </c>
      <c r="B341" s="409">
        <f t="shared" ref="B341:C341" si="342">($A341-B$9)/365.25</f>
        <v>86.039698836413422</v>
      </c>
      <c r="C341" s="409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3525.4531757812501</v>
      </c>
      <c r="H341" s="25">
        <f>IF(B341&lt;62,0,'Combined Retirement'!$I$14)</f>
        <v>2192</v>
      </c>
      <c r="I341" s="25">
        <f>IF(C341&lt;62,0,'Combined Retirement'!$I$13)</f>
        <v>2420</v>
      </c>
      <c r="J341" s="25">
        <f t="shared" si="263"/>
        <v>7863.2184191855868</v>
      </c>
      <c r="K341" s="25">
        <f t="shared" si="264"/>
        <v>20282.026119384056</v>
      </c>
      <c r="L341" s="25"/>
      <c r="N341" s="25">
        <f>'Combined Retirement'!$C$18/12</f>
        <v>39153.069999999992</v>
      </c>
      <c r="O341" s="25">
        <f t="shared" si="265"/>
        <v>11007.82546143035</v>
      </c>
      <c r="P341" s="25">
        <f t="shared" si="266"/>
        <v>28145.244538569641</v>
      </c>
      <c r="Q341" s="25">
        <f t="array" aca="1" ref="Q341" ca="1">INDEX('Isaac 401k'!L:L,MATCH('Retirement Calculator'!A341,'Isaac 401k'!N:N,0),0)</f>
        <v>1407793.5814274508</v>
      </c>
      <c r="R341" s="25">
        <f t="array" aca="1" ref="R341" ca="1">INDEX('Lorri 401b'!L:L,MATCH('Retirement Calculator'!A341,'Lorri 401b'!N:N,0),0)</f>
        <v>3211827.7635136796</v>
      </c>
      <c r="S341" s="25">
        <f t="shared" ca="1" si="267"/>
        <v>4619621.3449411299</v>
      </c>
    </row>
    <row r="342" spans="1:19" ht="15.75" customHeight="1" x14ac:dyDescent="0.3">
      <c r="A342" s="37">
        <v>61363</v>
      </c>
      <c r="B342" s="409">
        <f t="shared" ref="B342:C342" si="343">($A342-B$9)/365.25</f>
        <v>86.124572210814506</v>
      </c>
      <c r="C342" s="409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3525.4531757812501</v>
      </c>
      <c r="H342" s="25">
        <f>IF(B342&lt;62,0,'Combined Retirement'!$I$14)</f>
        <v>2192</v>
      </c>
      <c r="I342" s="25">
        <f>IF(C342&lt;62,0,'Combined Retirement'!$I$13)</f>
        <v>2420</v>
      </c>
      <c r="J342" s="25">
        <f t="shared" si="263"/>
        <v>7863.2184191855868</v>
      </c>
      <c r="K342" s="25">
        <f t="shared" si="264"/>
        <v>20282.026119384056</v>
      </c>
      <c r="L342" s="25"/>
      <c r="N342" s="25">
        <f>'Combined Retirement'!$C$18/12</f>
        <v>39153.069999999992</v>
      </c>
      <c r="O342" s="25">
        <f t="shared" si="265"/>
        <v>11007.82546143035</v>
      </c>
      <c r="P342" s="25">
        <f t="shared" si="266"/>
        <v>28145.244538569641</v>
      </c>
      <c r="Q342" s="25">
        <f t="array" aca="1" ref="Q342" ca="1">INDEX('Isaac 401k'!L:L,MATCH('Retirement Calculator'!A342,'Isaac 401k'!N:N,0),0)</f>
        <v>1405763.4061874663</v>
      </c>
      <c r="R342" s="25">
        <f t="array" aca="1" ref="R342" ca="1">INDEX('Lorri 401b'!L:L,MATCH('Retirement Calculator'!A342,'Lorri 401b'!N:N,0),0)</f>
        <v>3204843.8446334386</v>
      </c>
      <c r="S342" s="25">
        <f t="shared" ca="1" si="267"/>
        <v>4610607.250820905</v>
      </c>
    </row>
    <row r="343" spans="1:19" ht="15.75" customHeight="1" x14ac:dyDescent="0.3">
      <c r="A343" s="37">
        <v>61394</v>
      </c>
      <c r="B343" s="409">
        <f t="shared" ref="B343:C343" si="344">($A343-B$9)/365.25</f>
        <v>86.209445585215605</v>
      </c>
      <c r="C343" s="409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3525.4531757812501</v>
      </c>
      <c r="H343" s="25">
        <f>IF(B343&lt;62,0,'Combined Retirement'!$I$14)</f>
        <v>2192</v>
      </c>
      <c r="I343" s="25">
        <f>IF(C343&lt;62,0,'Combined Retirement'!$I$13)</f>
        <v>2420</v>
      </c>
      <c r="J343" s="25">
        <f t="shared" si="263"/>
        <v>7863.2184191855868</v>
      </c>
      <c r="K343" s="25">
        <f t="shared" si="264"/>
        <v>20282.026119384056</v>
      </c>
      <c r="L343" s="25"/>
      <c r="N343" s="25">
        <f>'Combined Retirement'!$C$18/12</f>
        <v>39153.069999999992</v>
      </c>
      <c r="O343" s="25">
        <f t="shared" si="265"/>
        <v>11007.82546143035</v>
      </c>
      <c r="P343" s="25">
        <f t="shared" si="266"/>
        <v>28145.244538569641</v>
      </c>
      <c r="Q343" s="25">
        <f t="array" aca="1" ref="Q343" ca="1">INDEX('Isaac 401k'!L:L,MATCH('Retirement Calculator'!A343,'Isaac 401k'!N:N,0),0)</f>
        <v>1403724.771883982</v>
      </c>
      <c r="R343" s="25">
        <f t="array" aca="1" ref="R343" ca="1">INDEX('Lorri 401b'!L:L,MATCH('Retirement Calculator'!A343,'Lorri 401b'!N:N,0),0)</f>
        <v>3197830.8260911964</v>
      </c>
      <c r="S343" s="25">
        <f t="shared" ca="1" si="267"/>
        <v>4601555.5979751786</v>
      </c>
    </row>
    <row r="344" spans="1:19" ht="15.75" customHeight="1" x14ac:dyDescent="0.3">
      <c r="A344" s="37">
        <v>61423</v>
      </c>
      <c r="B344" s="409">
        <f t="shared" ref="B344:C344" si="345">($A344-B$9)/365.25</f>
        <v>86.288843258042434</v>
      </c>
      <c r="C344" s="409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3525.4531757812501</v>
      </c>
      <c r="H344" s="25">
        <f>IF(B344&lt;62,0,'Combined Retirement'!$I$14)</f>
        <v>2192</v>
      </c>
      <c r="I344" s="25">
        <f>IF(C344&lt;62,0,'Combined Retirement'!$I$13)</f>
        <v>2420</v>
      </c>
      <c r="J344" s="25">
        <f t="shared" si="263"/>
        <v>7863.2184191855868</v>
      </c>
      <c r="K344" s="25">
        <f t="shared" si="264"/>
        <v>20282.026119384056</v>
      </c>
      <c r="L344" s="25"/>
      <c r="N344" s="25">
        <f>'Combined Retirement'!$C$18/12</f>
        <v>39153.069999999992</v>
      </c>
      <c r="O344" s="25">
        <f t="shared" si="265"/>
        <v>11007.82546143035</v>
      </c>
      <c r="P344" s="25">
        <f t="shared" si="266"/>
        <v>28145.244538569641</v>
      </c>
      <c r="Q344" s="25">
        <f t="array" aca="1" ref="Q344" ca="1">INDEX('Isaac 401k'!L:L,MATCH('Retirement Calculator'!A344,'Isaac 401k'!N:N,0),0)</f>
        <v>1401677.6432708998</v>
      </c>
      <c r="R344" s="25">
        <f t="array" aca="1" ref="R344" ca="1">INDEX('Lorri 401b'!L:L,MATCH('Retirement Calculator'!A344,'Lorri 401b'!N:N,0),0)</f>
        <v>3190788.5866383617</v>
      </c>
      <c r="S344" s="25">
        <f t="shared" ca="1" si="267"/>
        <v>4592466.2299092617</v>
      </c>
    </row>
    <row r="345" spans="1:19" ht="15.75" customHeight="1" x14ac:dyDescent="0.3">
      <c r="A345" s="37">
        <v>61454</v>
      </c>
      <c r="B345" s="409">
        <f t="shared" ref="B345:C345" si="346">($A345-B$9)/365.25</f>
        <v>86.373716632443532</v>
      </c>
      <c r="C345" s="409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3525.4531757812501</v>
      </c>
      <c r="H345" s="25">
        <f>IF(B345&lt;62,0,'Combined Retirement'!$I$14)</f>
        <v>2192</v>
      </c>
      <c r="I345" s="25">
        <f>IF(C345&lt;62,0,'Combined Retirement'!$I$13)</f>
        <v>2420</v>
      </c>
      <c r="J345" s="25">
        <f t="shared" si="263"/>
        <v>7863.2184191855868</v>
      </c>
      <c r="K345" s="25">
        <f t="shared" si="264"/>
        <v>20282.026119384056</v>
      </c>
      <c r="L345" s="25"/>
      <c r="N345" s="25">
        <f>'Combined Retirement'!$C$18/12</f>
        <v>39153.069999999992</v>
      </c>
      <c r="O345" s="25">
        <f t="shared" si="265"/>
        <v>11007.82546143035</v>
      </c>
      <c r="P345" s="25">
        <f t="shared" si="266"/>
        <v>28145.244538569641</v>
      </c>
      <c r="Q345" s="25">
        <f t="array" aca="1" ref="Q345" ca="1">INDEX('Isaac 401k'!L:L,MATCH('Retirement Calculator'!A345,'Isaac 401k'!N:N,0),0)</f>
        <v>1399621.9849552631</v>
      </c>
      <c r="R345" s="25">
        <f t="array" aca="1" ref="R345" ca="1">INDEX('Lorri 401b'!L:L,MATCH('Retirement Calculator'!A345,'Lorri 401b'!N:N,0),0)</f>
        <v>3183717.0045211399</v>
      </c>
      <c r="S345" s="25">
        <f t="shared" ca="1" si="267"/>
        <v>4583338.9894764032</v>
      </c>
    </row>
    <row r="346" spans="1:19" ht="15.75" customHeight="1" x14ac:dyDescent="0.3">
      <c r="A346" s="37">
        <v>61484</v>
      </c>
      <c r="B346" s="409">
        <f t="shared" ref="B346:C346" si="347">($A346-B$9)/365.25</f>
        <v>86.455852156057489</v>
      </c>
      <c r="C346" s="409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3525.4531757812501</v>
      </c>
      <c r="H346" s="25">
        <f>IF(B346&lt;62,0,'Combined Retirement'!$I$14)</f>
        <v>2192</v>
      </c>
      <c r="I346" s="25">
        <f>IF(C346&lt;62,0,'Combined Retirement'!$I$13)</f>
        <v>2420</v>
      </c>
      <c r="J346" s="25">
        <f t="shared" si="263"/>
        <v>7863.2184191855868</v>
      </c>
      <c r="K346" s="25">
        <f t="shared" si="264"/>
        <v>20282.026119384056</v>
      </c>
      <c r="L346" s="25"/>
      <c r="N346" s="25">
        <f>'Combined Retirement'!$C$18/12</f>
        <v>39153.069999999992</v>
      </c>
      <c r="O346" s="25">
        <f t="shared" si="265"/>
        <v>11007.82546143035</v>
      </c>
      <c r="P346" s="25">
        <f t="shared" si="266"/>
        <v>28145.244538569641</v>
      </c>
      <c r="Q346" s="25">
        <f t="array" aca="1" ref="Q346" ca="1">INDEX('Isaac 401k'!L:L,MATCH('Retirement Calculator'!A346,'Isaac 401k'!N:N,0),0)</f>
        <v>1397557.7613966444</v>
      </c>
      <c r="R346" s="25">
        <f t="array" aca="1" ref="R346" ca="1">INDEX('Lorri 401b'!L:L,MATCH('Retirement Calculator'!A346,'Lorri 401b'!N:N,0),0)</f>
        <v>3176615.9574784301</v>
      </c>
      <c r="S346" s="25">
        <f t="shared" ca="1" si="267"/>
        <v>4574173.7188750748</v>
      </c>
    </row>
    <row r="347" spans="1:19" ht="15.75" customHeight="1" x14ac:dyDescent="0.3">
      <c r="A347" s="37">
        <v>61515</v>
      </c>
      <c r="B347" s="409">
        <f t="shared" ref="B347:C347" si="348">($A347-B$9)/365.25</f>
        <v>86.540725530458587</v>
      </c>
      <c r="C347" s="409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3525.4531757812501</v>
      </c>
      <c r="H347" s="25">
        <f>IF(B347&lt;62,0,'Combined Retirement'!$I$14)</f>
        <v>2192</v>
      </c>
      <c r="I347" s="25">
        <f>IF(C347&lt;62,0,'Combined Retirement'!$I$13)</f>
        <v>2420</v>
      </c>
      <c r="J347" s="25">
        <f t="shared" si="263"/>
        <v>7863.2184191855868</v>
      </c>
      <c r="K347" s="25">
        <f t="shared" si="264"/>
        <v>20282.026119384056</v>
      </c>
      <c r="L347" s="25"/>
      <c r="N347" s="25">
        <f>'Combined Retirement'!$C$18/12</f>
        <v>39153.069999999992</v>
      </c>
      <c r="O347" s="25">
        <f t="shared" si="265"/>
        <v>11007.82546143035</v>
      </c>
      <c r="P347" s="25">
        <f t="shared" si="266"/>
        <v>28145.244538569641</v>
      </c>
      <c r="Q347" s="25">
        <f t="array" aca="1" ref="Q347" ca="1">INDEX('Isaac 401k'!L:L,MATCH('Retirement Calculator'!A347,'Isaac 401k'!N:N,0),0)</f>
        <v>1395484.9369065315</v>
      </c>
      <c r="R347" s="25">
        <f t="array" aca="1" ref="R347" ca="1">INDEX('Lorri 401b'!L:L,MATCH('Retirement Calculator'!A347,'Lorri 401b'!N:N,0),0)</f>
        <v>3169485.3227397087</v>
      </c>
      <c r="S347" s="25">
        <f t="shared" ca="1" si="267"/>
        <v>4564970.2596462406</v>
      </c>
    </row>
    <row r="348" spans="1:19" ht="15.75" customHeight="1" x14ac:dyDescent="0.3">
      <c r="A348" s="37">
        <v>61545</v>
      </c>
      <c r="B348" s="409">
        <f t="shared" ref="B348:C348" si="349">($A348-B$9)/365.25</f>
        <v>86.622861054072558</v>
      </c>
      <c r="C348" s="409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3525.4531757812501</v>
      </c>
      <c r="H348" s="25">
        <f>IF(B348&lt;62,0,'Combined Retirement'!$I$14)</f>
        <v>2192</v>
      </c>
      <c r="I348" s="25">
        <f>IF(C348&lt;62,0,'Combined Retirement'!$I$13)</f>
        <v>2420</v>
      </c>
      <c r="J348" s="25">
        <f t="shared" si="263"/>
        <v>7863.2184191855868</v>
      </c>
      <c r="K348" s="25">
        <f t="shared" si="264"/>
        <v>20282.026119384056</v>
      </c>
      <c r="L348" s="25"/>
      <c r="N348" s="25">
        <f>'Combined Retirement'!$C$18/12</f>
        <v>39153.069999999992</v>
      </c>
      <c r="O348" s="25">
        <f t="shared" si="265"/>
        <v>11007.82546143035</v>
      </c>
      <c r="P348" s="25">
        <f t="shared" si="266"/>
        <v>28145.244538569641</v>
      </c>
      <c r="Q348" s="25">
        <f t="array" aca="1" ref="Q348" ca="1">INDEX('Isaac 401k'!L:L,MATCH('Retirement Calculator'!A348,'Isaac 401k'!N:N,0),0)</f>
        <v>1393403.4756477098</v>
      </c>
      <c r="R348" s="25">
        <f t="array" aca="1" ref="R348" ca="1">INDEX('Lorri 401b'!L:L,MATCH('Retirement Calculator'!A348,'Lorri 401b'!N:N,0),0)</f>
        <v>3162324.9770229096</v>
      </c>
      <c r="S348" s="25">
        <f t="shared" ca="1" si="267"/>
        <v>4555728.4526706189</v>
      </c>
    </row>
    <row r="349" spans="1:19" ht="15.75" customHeight="1" x14ac:dyDescent="0.3">
      <c r="A349" s="37">
        <v>61576</v>
      </c>
      <c r="B349" s="409">
        <f t="shared" ref="B349:C349" si="350">($A349-B$9)/365.25</f>
        <v>86.707734428473643</v>
      </c>
      <c r="C349" s="409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3525.4531757812501</v>
      </c>
      <c r="H349" s="25">
        <f>IF(B349&lt;62,0,'Combined Retirement'!$I$14)</f>
        <v>2192</v>
      </c>
      <c r="I349" s="25">
        <f>IF(C349&lt;62,0,'Combined Retirement'!$I$13)</f>
        <v>2420</v>
      </c>
      <c r="J349" s="25">
        <f t="shared" si="263"/>
        <v>7863.2184191855868</v>
      </c>
      <c r="K349" s="25">
        <f t="shared" si="264"/>
        <v>20282.026119384056</v>
      </c>
      <c r="L349" s="25"/>
      <c r="N349" s="25">
        <f>'Combined Retirement'!$C$18/12</f>
        <v>39153.069999999992</v>
      </c>
      <c r="O349" s="25">
        <f t="shared" si="265"/>
        <v>11007.82546143035</v>
      </c>
      <c r="P349" s="25">
        <f t="shared" si="266"/>
        <v>28145.244538569641</v>
      </c>
      <c r="Q349" s="25">
        <f t="array" aca="1" ref="Q349" ca="1">INDEX('Isaac 401k'!L:L,MATCH('Retirement Calculator'!A349,'Isaac 401k'!N:N,0),0)</f>
        <v>1391313.341633643</v>
      </c>
      <c r="R349" s="25">
        <f t="array" aca="1" ref="R349" ca="1">INDEX('Lorri 401b'!L:L,MATCH('Retirement Calculator'!A349,'Lorri 401b'!N:N,0),0)</f>
        <v>3155134.7965322901</v>
      </c>
      <c r="S349" s="25">
        <f t="shared" ca="1" si="267"/>
        <v>4546448.1381659331</v>
      </c>
    </row>
    <row r="350" spans="1:19" ht="15.75" customHeight="1" x14ac:dyDescent="0.3">
      <c r="A350" s="37">
        <v>61607</v>
      </c>
      <c r="B350" s="409">
        <f t="shared" ref="B350:C350" si="351">($A350-B$9)/365.25</f>
        <v>86.792607802874741</v>
      </c>
      <c r="C350" s="409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3525.4531757812501</v>
      </c>
      <c r="H350" s="25">
        <f>IF(B350&lt;62,0,'Combined Retirement'!$I$14)</f>
        <v>2192</v>
      </c>
      <c r="I350" s="25">
        <f>IF(C350&lt;62,0,'Combined Retirement'!$I$13)</f>
        <v>2420</v>
      </c>
      <c r="J350" s="25">
        <f t="shared" si="263"/>
        <v>7863.2184191855868</v>
      </c>
      <c r="K350" s="25">
        <f t="shared" si="264"/>
        <v>20282.026119384056</v>
      </c>
      <c r="L350" s="25"/>
      <c r="N350" s="25">
        <f>'Combined Retirement'!$C$18/12</f>
        <v>39153.069999999992</v>
      </c>
      <c r="O350" s="25">
        <f t="shared" si="265"/>
        <v>11007.82546143035</v>
      </c>
      <c r="P350" s="25">
        <f t="shared" si="266"/>
        <v>28145.244538569641</v>
      </c>
      <c r="Q350" s="25">
        <f t="array" aca="1" ref="Q350" ca="1">INDEX('Isaac 401k'!L:L,MATCH('Retirement Calculator'!A350,'Isaac 401k'!N:N,0),0)</f>
        <v>1389214.4987278511</v>
      </c>
      <c r="R350" s="25">
        <f t="array" aca="1" ref="R350" ca="1">INDEX('Lorri 401b'!L:L,MATCH('Retirement Calculator'!A350,'Lorri 401b'!N:N,0),0)</f>
        <v>3147914.6569562932</v>
      </c>
      <c r="S350" s="25">
        <f t="shared" ca="1" si="267"/>
        <v>4537129.1556841442</v>
      </c>
    </row>
    <row r="351" spans="1:19" ht="15.75" customHeight="1" x14ac:dyDescent="0.3">
      <c r="A351" s="37">
        <v>61637</v>
      </c>
      <c r="B351" s="409">
        <f t="shared" ref="B351:C351" si="352">($A351-B$9)/365.25</f>
        <v>86.874743326488712</v>
      </c>
      <c r="C351" s="409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3525.4531757812501</v>
      </c>
      <c r="H351" s="25">
        <f>IF(B351&lt;62,0,'Combined Retirement'!$I$14)</f>
        <v>2192</v>
      </c>
      <c r="I351" s="25">
        <f>IF(C351&lt;62,0,'Combined Retirement'!$I$13)</f>
        <v>2420</v>
      </c>
      <c r="J351" s="25">
        <f t="shared" si="263"/>
        <v>7863.2184191855868</v>
      </c>
      <c r="K351" s="25">
        <f t="shared" si="264"/>
        <v>20282.026119384056</v>
      </c>
      <c r="L351" s="25"/>
      <c r="N351" s="25">
        <f>'Combined Retirement'!$C$18/12</f>
        <v>39153.069999999992</v>
      </c>
      <c r="O351" s="25">
        <f t="shared" si="265"/>
        <v>11007.82546143035</v>
      </c>
      <c r="P351" s="25">
        <f t="shared" si="266"/>
        <v>28145.244538569641</v>
      </c>
      <c r="Q351" s="25">
        <f t="array" aca="1" ref="Q351" ca="1">INDEX('Isaac 401k'!L:L,MATCH('Retirement Calculator'!A351,'Isaac 401k'!N:N,0),0)</f>
        <v>1387106.9106432849</v>
      </c>
      <c r="R351" s="25">
        <f t="array" aca="1" ref="R351" ca="1">INDEX('Lorri 401b'!L:L,MATCH('Retirement Calculator'!A351,'Lorri 401b'!N:N,0),0)</f>
        <v>3140664.4334653965</v>
      </c>
      <c r="S351" s="25">
        <f t="shared" ca="1" si="267"/>
        <v>4527771.3441086812</v>
      </c>
    </row>
    <row r="352" spans="1:19" ht="15.75" customHeight="1" x14ac:dyDescent="0.3">
      <c r="A352" s="37">
        <v>61668</v>
      </c>
      <c r="B352" s="409">
        <f t="shared" ref="B352:C352" si="353">($A352-B$9)/365.25</f>
        <v>86.959616700889796</v>
      </c>
      <c r="C352" s="409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3525.4531757812501</v>
      </c>
      <c r="H352" s="25">
        <f>IF(B352&lt;62,0,'Combined Retirement'!$I$14)</f>
        <v>2192</v>
      </c>
      <c r="I352" s="25">
        <f>IF(C352&lt;62,0,'Combined Retirement'!$I$13)</f>
        <v>2420</v>
      </c>
      <c r="J352" s="25">
        <f t="shared" si="263"/>
        <v>7863.2184191855868</v>
      </c>
      <c r="K352" s="25">
        <f t="shared" si="264"/>
        <v>20282.026119384056</v>
      </c>
      <c r="L352" s="25"/>
      <c r="N352" s="25">
        <f>'Combined Retirement'!$C$18/12</f>
        <v>39153.069999999992</v>
      </c>
      <c r="O352" s="25">
        <f t="shared" si="265"/>
        <v>11007.82546143035</v>
      </c>
      <c r="P352" s="25">
        <f t="shared" si="266"/>
        <v>28145.244538569641</v>
      </c>
      <c r="Q352" s="25">
        <f t="array" aca="1" ref="Q352" ca="1">INDEX('Isaac 401k'!L:L,MATCH('Retirement Calculator'!A352,'Isaac 401k'!N:N,0),0)</f>
        <v>1384990.5409416996</v>
      </c>
      <c r="R352" s="25">
        <f t="array" aca="1" ref="R352" ca="1">INDEX('Lorri 401b'!L:L,MATCH('Retirement Calculator'!A352,'Lorri 401b'!N:N,0),0)</f>
        <v>3133384.0007099542</v>
      </c>
      <c r="S352" s="25">
        <f t="shared" ca="1" si="267"/>
        <v>4518374.5416516541</v>
      </c>
    </row>
    <row r="353" spans="1:19" ht="15.75" customHeight="1" x14ac:dyDescent="0.3">
      <c r="A353" s="37">
        <v>61698</v>
      </c>
      <c r="B353" s="409">
        <f t="shared" ref="B353:C353" si="354">($A353-B$9)/365.25</f>
        <v>87.041752224503767</v>
      </c>
      <c r="C353" s="409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3525.4531757812501</v>
      </c>
      <c r="H353" s="25">
        <f>IF(B353&lt;62,0,'Combined Retirement'!$I$14)</f>
        <v>2192</v>
      </c>
      <c r="I353" s="25">
        <f>IF(C353&lt;62,0,'Combined Retirement'!$I$13)</f>
        <v>2420</v>
      </c>
      <c r="J353" s="25">
        <f t="shared" si="263"/>
        <v>7863.2184191855868</v>
      </c>
      <c r="K353" s="25">
        <f t="shared" si="264"/>
        <v>20282.026119384056</v>
      </c>
      <c r="L353" s="25"/>
      <c r="N353" s="25">
        <f>'Combined Retirement'!$C$18/12</f>
        <v>39153.069999999992</v>
      </c>
      <c r="O353" s="25">
        <f t="shared" si="265"/>
        <v>11007.82546143035</v>
      </c>
      <c r="P353" s="25">
        <f t="shared" si="266"/>
        <v>28145.244538569641</v>
      </c>
      <c r="Q353" s="25">
        <f t="array" aca="1" ref="Q353" ca="1">INDEX('Isaac 401k'!L:L,MATCH('Retirement Calculator'!A353,'Isaac 401k'!N:N,0),0)</f>
        <v>1382865.3530330246</v>
      </c>
      <c r="R353" s="25">
        <f t="array" aca="1" ref="R353" ca="1">INDEX('Lorri 401b'!L:L,MATCH('Retirement Calculator'!A353,'Lorri 401b'!N:N,0),0)</f>
        <v>3126073.2328180308</v>
      </c>
      <c r="S353" s="25">
        <f t="shared" ca="1" si="267"/>
        <v>4508938.5858510556</v>
      </c>
    </row>
    <row r="354" spans="1:19" ht="15.75" customHeight="1" x14ac:dyDescent="0.3">
      <c r="A354" s="37">
        <v>61729</v>
      </c>
      <c r="B354" s="409">
        <f t="shared" ref="B354:C354" si="355">($A354-B$9)/365.25</f>
        <v>87.126625598904866</v>
      </c>
      <c r="C354" s="409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3525.4531757812501</v>
      </c>
      <c r="H354" s="25">
        <f>IF(B354&lt;62,0,'Combined Retirement'!$I$14)</f>
        <v>2192</v>
      </c>
      <c r="I354" s="25">
        <f>IF(C354&lt;62,0,'Combined Retirement'!$I$13)</f>
        <v>2420</v>
      </c>
      <c r="J354" s="25">
        <f t="shared" si="263"/>
        <v>7863.2184191855868</v>
      </c>
      <c r="K354" s="25">
        <f t="shared" si="264"/>
        <v>20282.026119384056</v>
      </c>
      <c r="L354" s="25"/>
      <c r="N354" s="25">
        <f>'Combined Retirement'!$C$18/12</f>
        <v>39153.069999999992</v>
      </c>
      <c r="O354" s="25">
        <f t="shared" si="265"/>
        <v>11007.82546143035</v>
      </c>
      <c r="P354" s="25">
        <f t="shared" si="266"/>
        <v>28145.244538569641</v>
      </c>
      <c r="Q354" s="25">
        <f t="array" aca="1" ref="Q354" ca="1">INDEX('Isaac 401k'!L:L,MATCH('Retirement Calculator'!A354,'Isaac 401k'!N:N,0),0)</f>
        <v>1380731.3101747299</v>
      </c>
      <c r="R354" s="25">
        <f t="array" aca="1" ref="R354" ca="1">INDEX('Lorri 401b'!L:L,MATCH('Retirement Calculator'!A354,'Lorri 401b'!N:N,0),0)</f>
        <v>3118732.0033932244</v>
      </c>
      <c r="S354" s="25">
        <f t="shared" ca="1" si="267"/>
        <v>4499463.3135679541</v>
      </c>
    </row>
    <row r="355" spans="1:19" ht="15.75" customHeight="1" x14ac:dyDescent="0.3">
      <c r="A355" s="37">
        <v>61760</v>
      </c>
      <c r="B355" s="409">
        <f t="shared" ref="B355:C355" si="356">($A355-B$9)/365.25</f>
        <v>87.21149897330595</v>
      </c>
      <c r="C355" s="409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3525.4531757812501</v>
      </c>
      <c r="H355" s="25">
        <f>IF(B355&lt;62,0,'Combined Retirement'!$I$14)</f>
        <v>2192</v>
      </c>
      <c r="I355" s="25">
        <f>IF(C355&lt;62,0,'Combined Retirement'!$I$13)</f>
        <v>2420</v>
      </c>
      <c r="J355" s="25">
        <f t="shared" si="263"/>
        <v>7863.2184191855868</v>
      </c>
      <c r="K355" s="25">
        <f t="shared" si="264"/>
        <v>20282.026119384056</v>
      </c>
      <c r="L355" s="25"/>
      <c r="N355" s="25">
        <f>'Combined Retirement'!$C$18/12</f>
        <v>39153.069999999992</v>
      </c>
      <c r="O355" s="25">
        <f t="shared" si="265"/>
        <v>11007.82546143035</v>
      </c>
      <c r="P355" s="25">
        <f t="shared" si="266"/>
        <v>28145.244538569641</v>
      </c>
      <c r="Q355" s="25">
        <f t="array" aca="1" ref="Q355" ca="1">INDEX('Isaac 401k'!L:L,MATCH('Retirement Calculator'!A355,'Isaac 401k'!N:N,0),0)</f>
        <v>1378588.3754711924</v>
      </c>
      <c r="R355" s="25">
        <f t="array" aca="1" ref="R355" ca="1">INDEX('Lorri 401b'!L:L,MATCH('Retirement Calculator'!A355,'Lorri 401b'!N:N,0),0)</f>
        <v>3111360.1855124813</v>
      </c>
      <c r="S355" s="25">
        <f t="shared" ca="1" si="267"/>
        <v>4489948.5609836737</v>
      </c>
    </row>
    <row r="356" spans="1:19" ht="15.75" customHeight="1" x14ac:dyDescent="0.3">
      <c r="A356" s="37">
        <v>61788</v>
      </c>
      <c r="B356" s="409">
        <f t="shared" ref="B356:C356" si="357">($A356-B$9)/365.25</f>
        <v>87.288158795345652</v>
      </c>
      <c r="C356" s="409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3525.4531757812501</v>
      </c>
      <c r="H356" s="25">
        <f>IF(B356&lt;62,0,'Combined Retirement'!$I$14)</f>
        <v>2192</v>
      </c>
      <c r="I356" s="25">
        <f>IF(C356&lt;62,0,'Combined Retirement'!$I$13)</f>
        <v>2420</v>
      </c>
      <c r="J356" s="25">
        <f t="shared" si="263"/>
        <v>7863.2184191855868</v>
      </c>
      <c r="K356" s="25">
        <f t="shared" si="264"/>
        <v>20282.026119384056</v>
      </c>
      <c r="L356" s="25"/>
      <c r="N356" s="25">
        <f>'Combined Retirement'!$C$18/12</f>
        <v>39153.069999999992</v>
      </c>
      <c r="O356" s="25">
        <f t="shared" si="265"/>
        <v>11007.82546143035</v>
      </c>
      <c r="P356" s="25">
        <f t="shared" si="266"/>
        <v>28145.244538569641</v>
      </c>
      <c r="Q356" s="25">
        <f t="array" aca="1" ref="Q356" ca="1">INDEX('Isaac 401k'!L:L,MATCH('Retirement Calculator'!A356,'Isaac 401k'!N:N,0),0)</f>
        <v>1376436.5118730569</v>
      </c>
      <c r="R356" s="25">
        <f t="array" aca="1" ref="R356" ca="1">INDEX('Lorri 401b'!L:L,MATCH('Retirement Calculator'!A356,'Lorri 401b'!N:N,0),0)</f>
        <v>3103957.6517239017</v>
      </c>
      <c r="S356" s="25">
        <f t="shared" ca="1" si="267"/>
        <v>4480394.1635969589</v>
      </c>
    </row>
    <row r="357" spans="1:19" ht="15.75" customHeight="1" x14ac:dyDescent="0.3">
      <c r="A357" s="37">
        <v>61819</v>
      </c>
      <c r="B357" s="409">
        <f t="shared" ref="B357:C357" si="358">($A357-B$9)/365.25</f>
        <v>87.37303216974675</v>
      </c>
      <c r="C357" s="409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3525.4531757812501</v>
      </c>
      <c r="H357" s="25">
        <f>IF(B357&lt;62,0,'Combined Retirement'!$I$14)</f>
        <v>2192</v>
      </c>
      <c r="I357" s="25">
        <f>IF(C357&lt;62,0,'Combined Retirement'!$I$13)</f>
        <v>2420</v>
      </c>
      <c r="J357" s="25">
        <f t="shared" si="263"/>
        <v>7863.2184191855868</v>
      </c>
      <c r="K357" s="25">
        <f t="shared" si="264"/>
        <v>20282.026119384056</v>
      </c>
      <c r="L357" s="25"/>
      <c r="N357" s="25">
        <f>'Combined Retirement'!$C$18/12</f>
        <v>39153.069999999992</v>
      </c>
      <c r="O357" s="25">
        <f t="shared" si="265"/>
        <v>11007.82546143035</v>
      </c>
      <c r="P357" s="25">
        <f t="shared" si="266"/>
        <v>28145.244538569641</v>
      </c>
      <c r="Q357" s="25">
        <f t="array" aca="1" ref="Q357" ca="1">INDEX('Isaac 401k'!L:L,MATCH('Retirement Calculator'!A357,'Isaac 401k'!N:N,0),0)</f>
        <v>1374275.6821765958</v>
      </c>
      <c r="R357" s="25">
        <f t="array" aca="1" ref="R357" ca="1">INDEX('Lorri 401b'!L:L,MATCH('Retirement Calculator'!A357,'Lorri 401b'!N:N,0),0)</f>
        <v>3096524.2740445365</v>
      </c>
      <c r="S357" s="25">
        <f t="shared" ca="1" si="267"/>
        <v>4470799.9562211325</v>
      </c>
    </row>
    <row r="358" spans="1:19" ht="15.75" customHeight="1" x14ac:dyDescent="0.3">
      <c r="A358" s="37">
        <v>61849</v>
      </c>
      <c r="B358" s="409">
        <f t="shared" ref="B358:C358" si="359">($A358-B$9)/365.25</f>
        <v>87.455167693360707</v>
      </c>
      <c r="C358" s="409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3525.4531757812501</v>
      </c>
      <c r="H358" s="25">
        <f>IF(B358&lt;62,0,'Combined Retirement'!$I$14)</f>
        <v>2192</v>
      </c>
      <c r="I358" s="25">
        <f>IF(C358&lt;62,0,'Combined Retirement'!$I$13)</f>
        <v>2420</v>
      </c>
      <c r="J358" s="25">
        <f t="shared" si="263"/>
        <v>7863.2184191855868</v>
      </c>
      <c r="K358" s="25">
        <f t="shared" si="264"/>
        <v>20282.026119384056</v>
      </c>
      <c r="L358" s="25"/>
      <c r="N358" s="25">
        <f>'Combined Retirement'!$C$18/12</f>
        <v>39153.069999999992</v>
      </c>
      <c r="O358" s="25">
        <f t="shared" si="265"/>
        <v>11007.82546143035</v>
      </c>
      <c r="P358" s="25">
        <f t="shared" si="266"/>
        <v>28145.244538569641</v>
      </c>
      <c r="Q358" s="25">
        <f t="array" aca="1" ref="Q358" ca="1">INDEX('Isaac 401k'!L:L,MATCH('Retirement Calculator'!A358,'Isaac 401k'!N:N,0),0)</f>
        <v>1372105.849023066</v>
      </c>
      <c r="R358" s="25">
        <f t="array" aca="1" ref="R358" ca="1">INDEX('Lorri 401b'!L:L,MATCH('Retirement Calculator'!A358,'Lorri 401b'!N:N,0),0)</f>
        <v>3089059.923958174</v>
      </c>
      <c r="S358" s="25">
        <f t="shared" ca="1" si="267"/>
        <v>4461165.7729812395</v>
      </c>
    </row>
    <row r="359" spans="1:19" ht="15.75" customHeight="1" x14ac:dyDescent="0.3">
      <c r="A359" s="37">
        <v>61880</v>
      </c>
      <c r="B359" s="409">
        <f t="shared" ref="B359:C359" si="360">($A359-B$9)/365.25</f>
        <v>87.540041067761805</v>
      </c>
      <c r="C359" s="409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3525.4531757812501</v>
      </c>
      <c r="H359" s="25">
        <f>IF(B359&lt;62,0,'Combined Retirement'!$I$14)</f>
        <v>2192</v>
      </c>
      <c r="I359" s="25">
        <f>IF(C359&lt;62,0,'Combined Retirement'!$I$13)</f>
        <v>2420</v>
      </c>
      <c r="J359" s="25">
        <f t="shared" si="263"/>
        <v>7863.2184191855868</v>
      </c>
      <c r="K359" s="25">
        <f t="shared" si="264"/>
        <v>20282.026119384056</v>
      </c>
      <c r="L359" s="25"/>
      <c r="N359" s="25">
        <f>'Combined Retirement'!$C$18/12</f>
        <v>39153.069999999992</v>
      </c>
      <c r="O359" s="25">
        <f t="shared" si="265"/>
        <v>11007.82546143035</v>
      </c>
      <c r="P359" s="25">
        <f t="shared" si="266"/>
        <v>28145.244538569641</v>
      </c>
      <c r="Q359" s="25">
        <f t="array" aca="1" ref="Q359" ca="1">INDEX('Isaac 401k'!L:L,MATCH('Retirement Calculator'!A359,'Isaac 401k'!N:N,0),0)</f>
        <v>1369926.9748980631</v>
      </c>
      <c r="R359" s="25">
        <f t="array" aca="1" ref="R359" ca="1">INDEX('Lorri 401b'!L:L,MATCH('Retirement Calculator'!A359,'Lorri 401b'!N:N,0),0)</f>
        <v>3081564.4724131185</v>
      </c>
      <c r="S359" s="25">
        <f t="shared" ca="1" si="267"/>
        <v>4451491.4473111816</v>
      </c>
    </row>
    <row r="360" spans="1:19" ht="15.75" customHeight="1" x14ac:dyDescent="0.3">
      <c r="A360" s="37">
        <v>61910</v>
      </c>
      <c r="B360" s="409">
        <f t="shared" ref="B360:C360" si="361">($A360-B$9)/365.25</f>
        <v>87.622176591375776</v>
      </c>
      <c r="C360" s="409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3525.4531757812501</v>
      </c>
      <c r="H360" s="25">
        <f>IF(B360&lt;62,0,'Combined Retirement'!$I$14)</f>
        <v>2192</v>
      </c>
      <c r="I360" s="25">
        <f>IF(C360&lt;62,0,'Combined Retirement'!$I$13)</f>
        <v>2420</v>
      </c>
      <c r="J360" s="25">
        <f t="shared" si="263"/>
        <v>7863.2184191855868</v>
      </c>
      <c r="K360" s="25">
        <f t="shared" si="264"/>
        <v>20282.026119384056</v>
      </c>
      <c r="L360" s="25"/>
      <c r="N360" s="25">
        <f>'Combined Retirement'!$C$18/12</f>
        <v>39153.069999999992</v>
      </c>
      <c r="O360" s="25">
        <f t="shared" si="265"/>
        <v>11007.82546143035</v>
      </c>
      <c r="P360" s="25">
        <f t="shared" si="266"/>
        <v>28145.244538569641</v>
      </c>
      <c r="Q360" s="25">
        <f t="array" aca="1" ref="Q360" ca="1">INDEX('Isaac 401k'!L:L,MATCH('Retirement Calculator'!A360,'Isaac 401k'!N:N,0),0)</f>
        <v>1367739.0221308728</v>
      </c>
      <c r="R360" s="25">
        <f t="array" aca="1" ref="R360" ca="1">INDEX('Lorri 401b'!L:L,MATCH('Retirement Calculator'!A360,'Lorri 401b'!N:N,0),0)</f>
        <v>3074037.7898199582</v>
      </c>
      <c r="S360" s="25">
        <f t="shared" ca="1" si="267"/>
        <v>4441776.8119508307</v>
      </c>
    </row>
    <row r="361" spans="1:19" ht="15.75" customHeight="1" x14ac:dyDescent="0.3">
      <c r="A361" s="37">
        <v>61941</v>
      </c>
      <c r="B361" s="409">
        <f t="shared" ref="B361:C361" si="362">($A361-B$9)/365.25</f>
        <v>87.707049965776861</v>
      </c>
      <c r="C361" s="409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3525.4531757812501</v>
      </c>
      <c r="H361" s="25">
        <f>IF(B361&lt;62,0,'Combined Retirement'!$I$14)</f>
        <v>2192</v>
      </c>
      <c r="I361" s="25">
        <f>IF(C361&lt;62,0,'Combined Retirement'!$I$13)</f>
        <v>2420</v>
      </c>
      <c r="J361" s="25">
        <f t="shared" si="263"/>
        <v>7863.2184191855868</v>
      </c>
      <c r="K361" s="25">
        <f t="shared" si="264"/>
        <v>20282.026119384056</v>
      </c>
      <c r="L361" s="25"/>
      <c r="N361" s="25">
        <f>'Combined Retirement'!$C$18/12</f>
        <v>39153.069999999992</v>
      </c>
      <c r="O361" s="25">
        <f t="shared" si="265"/>
        <v>11007.82546143035</v>
      </c>
      <c r="P361" s="25">
        <f t="shared" si="266"/>
        <v>28145.244538569641</v>
      </c>
      <c r="Q361" s="25">
        <f t="array" aca="1" ref="Q361" ca="1">INDEX('Isaac 401k'!L:L,MATCH('Retirement Calculator'!A361,'Isaac 401k'!N:N,0),0)</f>
        <v>1365541.9528938192</v>
      </c>
      <c r="R361" s="25">
        <f t="array" aca="1" ref="R361" ca="1">INDEX('Lorri 401b'!L:L,MATCH('Retirement Calculator'!A361,'Lorri 401b'!N:N,0),0)</f>
        <v>3066479.7460493264</v>
      </c>
      <c r="S361" s="25">
        <f t="shared" ca="1" si="267"/>
        <v>4432021.6989431456</v>
      </c>
    </row>
    <row r="362" spans="1:19" ht="15.75" customHeight="1" x14ac:dyDescent="0.3">
      <c r="A362" s="37">
        <v>61972</v>
      </c>
      <c r="B362" s="409">
        <f t="shared" ref="B362:C362" si="363">($A362-B$9)/365.25</f>
        <v>87.791923340177959</v>
      </c>
      <c r="C362" s="409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3525.4531757812501</v>
      </c>
      <c r="H362" s="25">
        <f>IF(B362&lt;62,0,'Combined Retirement'!$I$14)</f>
        <v>2192</v>
      </c>
      <c r="I362" s="25">
        <f>IF(C362&lt;62,0,'Combined Retirement'!$I$13)</f>
        <v>2420</v>
      </c>
      <c r="J362" s="25">
        <f t="shared" si="263"/>
        <v>7863.2184191855868</v>
      </c>
      <c r="K362" s="25">
        <f t="shared" si="264"/>
        <v>20282.026119384056</v>
      </c>
      <c r="L362" s="25"/>
      <c r="N362" s="25">
        <f>'Combined Retirement'!$C$18/12</f>
        <v>39153.069999999992</v>
      </c>
      <c r="O362" s="25">
        <f t="shared" si="265"/>
        <v>11007.82546143035</v>
      </c>
      <c r="P362" s="25">
        <f t="shared" si="266"/>
        <v>28145.244538569641</v>
      </c>
      <c r="Q362" s="25">
        <f t="array" aca="1" ref="Q362" ca="1">INDEX('Isaac 401k'!L:L,MATCH('Retirement Calculator'!A362,'Isaac 401k'!N:N,0),0)</f>
        <v>1363335.7292016111</v>
      </c>
      <c r="R362" s="25">
        <f t="array" aca="1" ref="R362" ca="1">INDEX('Lorri 401b'!L:L,MATCH('Retirement Calculator'!A362,'Lorri 401b'!N:N,0),0)</f>
        <v>3058890.2104296503</v>
      </c>
      <c r="S362" s="25">
        <f t="shared" ca="1" si="267"/>
        <v>4422225.9396312609</v>
      </c>
    </row>
    <row r="363" spans="1:19" ht="15.75" customHeight="1" x14ac:dyDescent="0.3">
      <c r="A363" s="37">
        <v>62002</v>
      </c>
      <c r="B363" s="409">
        <f t="shared" ref="B363:C363" si="364">($A363-B$9)/365.25</f>
        <v>87.87405886379193</v>
      </c>
      <c r="C363" s="409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3525.4531757812501</v>
      </c>
      <c r="H363" s="25">
        <f>IF(B363&lt;62,0,'Combined Retirement'!$I$14)</f>
        <v>2192</v>
      </c>
      <c r="I363" s="25">
        <f>IF(C363&lt;62,0,'Combined Retirement'!$I$13)</f>
        <v>2420</v>
      </c>
      <c r="J363" s="25">
        <f t="shared" si="263"/>
        <v>7863.2184191855868</v>
      </c>
      <c r="K363" s="25">
        <f t="shared" si="264"/>
        <v>20282.026119384056</v>
      </c>
      <c r="L363" s="25"/>
      <c r="N363" s="25">
        <f>'Combined Retirement'!$C$18/12</f>
        <v>39153.069999999992</v>
      </c>
      <c r="O363" s="25">
        <f t="shared" si="265"/>
        <v>11007.82546143035</v>
      </c>
      <c r="P363" s="25">
        <f t="shared" si="266"/>
        <v>28145.244538569641</v>
      </c>
      <c r="Q363" s="25">
        <f t="array" aca="1" ref="Q363" ca="1">INDEX('Isaac 401k'!L:L,MATCH('Retirement Calculator'!A363,'Isaac 401k'!N:N,0),0)</f>
        <v>1361120.3129106855</v>
      </c>
      <c r="R363" s="25">
        <f t="array" aca="1" ref="R363" ca="1">INDEX('Lorri 401b'!L:L,MATCH('Retirement Calculator'!A363,'Lorri 401b'!N:N,0),0)</f>
        <v>3051269.0517448923</v>
      </c>
      <c r="S363" s="25">
        <f t="shared" ca="1" si="267"/>
        <v>4412389.3646555776</v>
      </c>
    </row>
    <row r="364" spans="1:19" ht="15.75" customHeight="1" x14ac:dyDescent="0.3">
      <c r="A364" s="37">
        <v>62033</v>
      </c>
      <c r="B364" s="409">
        <f t="shared" ref="B364:C364" si="365">($A364-B$9)/365.25</f>
        <v>87.958932238193015</v>
      </c>
      <c r="C364" s="409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3525.4531757812501</v>
      </c>
      <c r="H364" s="25">
        <f>IF(B364&lt;62,0,'Combined Retirement'!$I$14)</f>
        <v>2192</v>
      </c>
      <c r="I364" s="25">
        <f>IF(C364&lt;62,0,'Combined Retirement'!$I$13)</f>
        <v>2420</v>
      </c>
      <c r="J364" s="25">
        <f t="shared" si="263"/>
        <v>7863.2184191855868</v>
      </c>
      <c r="K364" s="25">
        <f t="shared" si="264"/>
        <v>20282.026119384056</v>
      </c>
      <c r="L364" s="25"/>
      <c r="N364" s="25">
        <f>'Combined Retirement'!$C$18/12</f>
        <v>39153.069999999992</v>
      </c>
      <c r="O364" s="25">
        <f t="shared" si="265"/>
        <v>11007.82546143035</v>
      </c>
      <c r="P364" s="25">
        <f t="shared" si="266"/>
        <v>28145.244538569641</v>
      </c>
      <c r="Q364" s="25">
        <f t="array" aca="1" ref="Q364" ca="1">INDEX('Isaac 401k'!L:L,MATCH('Retirement Calculator'!A364,'Isaac 401k'!N:N,0),0)</f>
        <v>1358895.6657185478</v>
      </c>
      <c r="R364" s="25">
        <f t="array" aca="1" ref="R364" ca="1">INDEX('Lorri 401b'!L:L,MATCH('Retirement Calculator'!A364,'Lorri 401b'!N:N,0),0)</f>
        <v>3043616.1382322814</v>
      </c>
      <c r="S364" s="25">
        <f t="shared" ca="1" si="267"/>
        <v>4402511.8039508294</v>
      </c>
    </row>
    <row r="365" spans="1:19" ht="15.75" customHeight="1" x14ac:dyDescent="0.3">
      <c r="A365" s="37">
        <v>62063</v>
      </c>
      <c r="B365" s="409">
        <f t="shared" ref="B365:C365" si="366">($A365-B$9)/365.25</f>
        <v>88.041067761806985</v>
      </c>
      <c r="C365" s="409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3525.4531757812501</v>
      </c>
      <c r="H365" s="25">
        <f>IF(B365&lt;62,0,'Combined Retirement'!$I$14)</f>
        <v>2192</v>
      </c>
      <c r="I365" s="25">
        <f>IF(C365&lt;62,0,'Combined Retirement'!$I$13)</f>
        <v>2420</v>
      </c>
      <c r="J365" s="25">
        <f t="shared" si="263"/>
        <v>7863.2184191855868</v>
      </c>
      <c r="K365" s="25">
        <f t="shared" si="264"/>
        <v>20282.026119384056</v>
      </c>
      <c r="L365" s="25"/>
      <c r="N365" s="25">
        <f>'Combined Retirement'!$C$18/12</f>
        <v>39153.069999999992</v>
      </c>
      <c r="O365" s="25">
        <f t="shared" si="265"/>
        <v>11007.82546143035</v>
      </c>
      <c r="P365" s="25">
        <f t="shared" si="266"/>
        <v>28145.244538569641</v>
      </c>
      <c r="Q365" s="25">
        <f t="array" aca="1" ref="Q365" ca="1">INDEX('Isaac 401k'!L:L,MATCH('Retirement Calculator'!A365,'Isaac 401k'!N:N,0),0)</f>
        <v>1356661.7491631096</v>
      </c>
      <c r="R365" s="25">
        <f t="array" aca="1" ref="R365" ca="1">INDEX('Lorri 401b'!L:L,MATCH('Retirement Calculator'!A365,'Lorri 401b'!N:N,0),0)</f>
        <v>3035931.3375800345</v>
      </c>
      <c r="S365" s="25">
        <f t="shared" ca="1" si="267"/>
        <v>4392593.0867431443</v>
      </c>
    </row>
    <row r="366" spans="1:19" ht="15.75" customHeight="1" x14ac:dyDescent="0.3">
      <c r="A366" s="37">
        <v>62094</v>
      </c>
      <c r="B366" s="409">
        <f t="shared" ref="B366:C366" si="367">($A366-B$9)/365.25</f>
        <v>88.12594113620807</v>
      </c>
      <c r="C366" s="409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3525.4531757812501</v>
      </c>
      <c r="H366" s="25">
        <f>IF(B366&lt;62,0,'Combined Retirement'!$I$14)</f>
        <v>2192</v>
      </c>
      <c r="I366" s="25">
        <f>IF(C366&lt;62,0,'Combined Retirement'!$I$13)</f>
        <v>2420</v>
      </c>
      <c r="J366" s="25">
        <f t="shared" si="263"/>
        <v>7863.2184191855868</v>
      </c>
      <c r="K366" s="25">
        <f t="shared" si="264"/>
        <v>20282.026119384056</v>
      </c>
      <c r="L366" s="25"/>
      <c r="N366" s="25">
        <f>'Combined Retirement'!$C$18/12</f>
        <v>39153.069999999992</v>
      </c>
      <c r="O366" s="25">
        <f t="shared" si="265"/>
        <v>11007.82546143035</v>
      </c>
      <c r="P366" s="25">
        <f t="shared" si="266"/>
        <v>28145.244538569641</v>
      </c>
      <c r="Q366" s="25">
        <f t="array" aca="1" ref="Q366" ca="1">INDEX('Isaac 401k'!L:L,MATCH('Retirement Calculator'!A366,'Isaac 401k'!N:N,0),0)</f>
        <v>1354418.5246220236</v>
      </c>
      <c r="R366" s="25">
        <f t="array" aca="1" ref="R366" ca="1">INDEX('Lorri 401b'!L:L,MATCH('Retirement Calculator'!A366,'Lorri 401b'!N:N,0),0)</f>
        <v>3028214.51692507</v>
      </c>
      <c r="S366" s="25">
        <f t="shared" ca="1" si="267"/>
        <v>4382633.0415470935</v>
      </c>
    </row>
    <row r="367" spans="1:19" ht="15.75" customHeight="1" x14ac:dyDescent="0.3">
      <c r="A367" s="37">
        <v>62125</v>
      </c>
      <c r="B367" s="409">
        <f t="shared" ref="B367:C367" si="368">($A367-B$9)/365.25</f>
        <v>88.210814510609168</v>
      </c>
      <c r="C367" s="409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3525.4531757812501</v>
      </c>
      <c r="H367" s="25">
        <f>IF(B367&lt;62,0,'Combined Retirement'!$I$14)</f>
        <v>2192</v>
      </c>
      <c r="I367" s="25">
        <f>IF(C367&lt;62,0,'Combined Retirement'!$I$13)</f>
        <v>2420</v>
      </c>
      <c r="J367" s="25">
        <f t="shared" si="263"/>
        <v>7863.2184191855868</v>
      </c>
      <c r="K367" s="25">
        <f t="shared" si="264"/>
        <v>20282.026119384056</v>
      </c>
      <c r="L367" s="25"/>
      <c r="N367" s="25">
        <f>'Combined Retirement'!$C$18/12</f>
        <v>39153.069999999992</v>
      </c>
      <c r="O367" s="25">
        <f t="shared" si="265"/>
        <v>11007.82546143035</v>
      </c>
      <c r="P367" s="25">
        <f t="shared" si="266"/>
        <v>28145.244538569641</v>
      </c>
      <c r="Q367" s="25">
        <f t="array" aca="1" ref="Q367" ca="1">INDEX('Isaac 401k'!L:L,MATCH('Retirement Calculator'!A367,'Isaac 401k'!N:N,0),0)</f>
        <v>1352165.9533120166</v>
      </c>
      <c r="R367" s="25">
        <f t="array" aca="1" ref="R367" ca="1">INDEX('Lorri 401b'!L:L,MATCH('Retirement Calculator'!A367,'Lorri 401b'!N:N,0),0)</f>
        <v>3020465.5428507095</v>
      </c>
      <c r="S367" s="25">
        <f t="shared" ca="1" si="267"/>
        <v>4372631.4961627256</v>
      </c>
    </row>
    <row r="368" spans="1:19" ht="15.75" customHeight="1" x14ac:dyDescent="0.3">
      <c r="A368" s="37">
        <v>62153</v>
      </c>
      <c r="B368" s="409">
        <f t="shared" ref="B368:C368" si="369">($A368-B$9)/365.25</f>
        <v>88.28747433264887</v>
      </c>
      <c r="C368" s="409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3525.4531757812501</v>
      </c>
      <c r="H368" s="25">
        <f>IF(B368&lt;62,0,'Combined Retirement'!$I$14)</f>
        <v>2192</v>
      </c>
      <c r="I368" s="25">
        <f>IF(C368&lt;62,0,'Combined Retirement'!$I$13)</f>
        <v>2420</v>
      </c>
      <c r="J368" s="25">
        <f t="shared" si="263"/>
        <v>7863.2184191855868</v>
      </c>
      <c r="K368" s="25">
        <f t="shared" si="264"/>
        <v>20282.026119384056</v>
      </c>
      <c r="L368" s="25"/>
      <c r="N368" s="25">
        <f>'Combined Retirement'!$C$18/12</f>
        <v>39153.069999999992</v>
      </c>
      <c r="O368" s="25">
        <f t="shared" si="265"/>
        <v>11007.82546143035</v>
      </c>
      <c r="P368" s="25">
        <f t="shared" si="266"/>
        <v>28145.244538569641</v>
      </c>
      <c r="Q368" s="25">
        <f t="array" aca="1" ref="Q368" ca="1">INDEX('Isaac 401k'!L:L,MATCH('Retirement Calculator'!A368,'Isaac 401k'!N:N,0),0)</f>
        <v>1349903.9962882178</v>
      </c>
      <c r="R368" s="25">
        <f t="array" aca="1" ref="R368" ca="1">INDEX('Lorri 401b'!L:L,MATCH('Retirement Calculator'!A368,'Lorri 401b'!N:N,0),0)</f>
        <v>3012684.2813843726</v>
      </c>
      <c r="S368" s="25">
        <f t="shared" ca="1" si="267"/>
        <v>4362588.2776725907</v>
      </c>
    </row>
    <row r="369" spans="1:19" ht="15.75" customHeight="1" x14ac:dyDescent="0.3">
      <c r="A369" s="37">
        <v>62184</v>
      </c>
      <c r="B369" s="409">
        <f t="shared" ref="B369:C369" si="370">($A369-B$9)/365.25</f>
        <v>88.372347707049968</v>
      </c>
      <c r="C369" s="409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3525.4531757812501</v>
      </c>
      <c r="H369" s="25">
        <f>IF(B369&lt;62,0,'Combined Retirement'!$I$14)</f>
        <v>2192</v>
      </c>
      <c r="I369" s="25">
        <f>IF(C369&lt;62,0,'Combined Retirement'!$I$13)</f>
        <v>2420</v>
      </c>
      <c r="J369" s="25">
        <f t="shared" si="263"/>
        <v>7863.2184191855868</v>
      </c>
      <c r="K369" s="25">
        <f t="shared" si="264"/>
        <v>20282.026119384056</v>
      </c>
      <c r="L369" s="25"/>
      <c r="N369" s="25">
        <f>'Combined Retirement'!$C$18/12</f>
        <v>39153.069999999992</v>
      </c>
      <c r="O369" s="25">
        <f t="shared" si="265"/>
        <v>11007.82546143035</v>
      </c>
      <c r="P369" s="25">
        <f t="shared" si="266"/>
        <v>28145.244538569641</v>
      </c>
      <c r="Q369" s="25">
        <f t="array" aca="1" ref="Q369" ca="1">INDEX('Isaac 401k'!L:L,MATCH('Retirement Calculator'!A369,'Isaac 401k'!N:N,0),0)</f>
        <v>1347632.6144434866</v>
      </c>
      <c r="R369" s="25">
        <f t="array" aca="1" ref="R369" ca="1">INDEX('Lorri 401b'!L:L,MATCH('Retirement Calculator'!A369,'Lorri 401b'!N:N,0),0)</f>
        <v>3004870.5979952593</v>
      </c>
      <c r="S369" s="25">
        <f t="shared" ca="1" si="267"/>
        <v>4352503.2124387454</v>
      </c>
    </row>
    <row r="370" spans="1:19" ht="15.75" customHeight="1" x14ac:dyDescent="0.3">
      <c r="A370" s="37">
        <v>62214</v>
      </c>
      <c r="B370" s="409">
        <f t="shared" ref="B370:C370" si="371">($A370-B$9)/365.25</f>
        <v>88.454483230663925</v>
      </c>
      <c r="C370" s="409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3525.4531757812501</v>
      </c>
      <c r="H370" s="25">
        <f>IF(B370&lt;62,0,'Combined Retirement'!$I$14)</f>
        <v>2192</v>
      </c>
      <c r="I370" s="25">
        <f>IF(C370&lt;62,0,'Combined Retirement'!$I$13)</f>
        <v>2420</v>
      </c>
      <c r="J370" s="25">
        <f t="shared" si="263"/>
        <v>7863.2184191855868</v>
      </c>
      <c r="K370" s="25">
        <f t="shared" si="264"/>
        <v>20282.026119384056</v>
      </c>
      <c r="L370" s="25"/>
      <c r="N370" s="25">
        <f>'Combined Retirement'!$C$18/12</f>
        <v>39153.069999999992</v>
      </c>
      <c r="O370" s="25">
        <f t="shared" si="265"/>
        <v>11007.82546143035</v>
      </c>
      <c r="P370" s="25">
        <f t="shared" si="266"/>
        <v>28145.244538569641</v>
      </c>
      <c r="Q370" s="25">
        <f t="array" aca="1" ref="Q370" ca="1">INDEX('Isaac 401k'!L:L,MATCH('Retirement Calculator'!A370,'Isaac 401k'!N:N,0),0)</f>
        <v>1345351.7685077356</v>
      </c>
      <c r="R370" s="25">
        <f t="array" aca="1" ref="R370" ca="1">INDEX('Lorri 401b'!L:L,MATCH('Retirement Calculator'!A370,'Lorri 401b'!N:N,0),0)</f>
        <v>2997024.3575920248</v>
      </c>
      <c r="S370" s="25">
        <f t="shared" ca="1" si="267"/>
        <v>4342376.1260997606</v>
      </c>
    </row>
    <row r="371" spans="1:19" ht="15.75" customHeight="1" x14ac:dyDescent="0.3">
      <c r="A371" s="37">
        <v>62245</v>
      </c>
      <c r="B371" s="409">
        <f t="shared" ref="B371:C371" si="372">($A371-B$9)/365.25</f>
        <v>88.539356605065024</v>
      </c>
      <c r="C371" s="409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3525.4531757812501</v>
      </c>
      <c r="H371" s="25">
        <f>IF(B371&lt;62,0,'Combined Retirement'!$I$14)</f>
        <v>2192</v>
      </c>
      <c r="I371" s="25">
        <f>IF(C371&lt;62,0,'Combined Retirement'!$I$13)</f>
        <v>2420</v>
      </c>
      <c r="J371" s="25">
        <f t="shared" si="263"/>
        <v>7863.2184191855868</v>
      </c>
      <c r="K371" s="25">
        <f t="shared" si="264"/>
        <v>20282.026119384056</v>
      </c>
      <c r="L371" s="25"/>
      <c r="N371" s="25">
        <f>'Combined Retirement'!$C$18/12</f>
        <v>39153.069999999992</v>
      </c>
      <c r="O371" s="25">
        <f t="shared" si="265"/>
        <v>11007.82546143035</v>
      </c>
      <c r="P371" s="25">
        <f t="shared" si="266"/>
        <v>28145.244538569641</v>
      </c>
      <c r="Q371" s="25">
        <f t="array" aca="1" ref="Q371" ca="1">INDEX('Isaac 401k'!L:L,MATCH('Retirement Calculator'!A371,'Isaac 401k'!N:N,0),0)</f>
        <v>1343061.4190472523</v>
      </c>
      <c r="R371" s="25">
        <f t="array" aca="1" ref="R371" ca="1">INDEX('Lorri 401b'!L:L,MATCH('Retirement Calculator'!A371,'Lorri 401b'!N:N,0),0)</f>
        <v>2989145.4245204437</v>
      </c>
      <c r="S371" s="25">
        <f t="shared" ca="1" si="267"/>
        <v>4332206.8435676955</v>
      </c>
    </row>
    <row r="372" spans="1:19" ht="15.75" customHeight="1" x14ac:dyDescent="0.3">
      <c r="A372" s="37">
        <v>62275</v>
      </c>
      <c r="B372" s="409">
        <f t="shared" ref="B372:C372" si="373">($A372-B$9)/365.25</f>
        <v>88.62149212867898</v>
      </c>
      <c r="C372" s="409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3525.4531757812501</v>
      </c>
      <c r="H372" s="25">
        <f>IF(B372&lt;62,0,'Combined Retirement'!$I$14)</f>
        <v>2192</v>
      </c>
      <c r="I372" s="25">
        <f>IF(C372&lt;62,0,'Combined Retirement'!$I$13)</f>
        <v>2420</v>
      </c>
      <c r="J372" s="25">
        <f t="shared" si="263"/>
        <v>7863.2184191855868</v>
      </c>
      <c r="K372" s="25">
        <f t="shared" si="264"/>
        <v>20282.026119384056</v>
      </c>
      <c r="L372" s="25"/>
      <c r="N372" s="25">
        <f>'Combined Retirement'!$C$18/12</f>
        <v>39153.069999999992</v>
      </c>
      <c r="O372" s="25">
        <f t="shared" si="265"/>
        <v>11007.82546143035</v>
      </c>
      <c r="P372" s="25">
        <f t="shared" si="266"/>
        <v>28145.244538569641</v>
      </c>
      <c r="Q372" s="25">
        <f t="array" aca="1" ref="Q372" ca="1">INDEX('Isaac 401k'!L:L,MATCH('Retirement Calculator'!A372,'Isaac 401k'!N:N,0),0)</f>
        <v>1340761.5264640169</v>
      </c>
      <c r="R372" s="25">
        <f t="array" aca="1" ref="R372" ca="1">INDEX('Lorri 401b'!L:L,MATCH('Retirement Calculator'!A372,'Lorri 401b'!N:N,0),0)</f>
        <v>2981233.6625610641</v>
      </c>
      <c r="S372" s="25">
        <f t="shared" ca="1" si="267"/>
        <v>4321995.1890250808</v>
      </c>
    </row>
    <row r="373" spans="1:19" ht="15.75" customHeight="1" x14ac:dyDescent="0.3">
      <c r="A373" s="37">
        <v>62306</v>
      </c>
      <c r="B373" s="409">
        <f t="shared" ref="B373:C373" si="374">($A373-B$9)/365.25</f>
        <v>88.706365503080079</v>
      </c>
      <c r="C373" s="409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3525.4531757812501</v>
      </c>
      <c r="H373" s="25">
        <f>IF(B373&lt;62,0,'Combined Retirement'!$I$14)</f>
        <v>2192</v>
      </c>
      <c r="I373" s="25">
        <f>IF(C373&lt;62,0,'Combined Retirement'!$I$13)</f>
        <v>2420</v>
      </c>
      <c r="J373" s="25">
        <f t="shared" si="263"/>
        <v>7863.2184191855868</v>
      </c>
      <c r="K373" s="25">
        <f t="shared" si="264"/>
        <v>20282.026119384056</v>
      </c>
      <c r="L373" s="25"/>
      <c r="N373" s="25">
        <f>'Combined Retirement'!$C$18/12</f>
        <v>39153.069999999992</v>
      </c>
      <c r="O373" s="25">
        <f t="shared" si="265"/>
        <v>11007.82546143035</v>
      </c>
      <c r="P373" s="25">
        <f t="shared" si="266"/>
        <v>28145.244538569641</v>
      </c>
      <c r="Q373" s="25">
        <f t="array" aca="1" ref="Q373" ca="1">INDEX('Isaac 401k'!L:L,MATCH('Retirement Calculator'!A373,'Isaac 401k'!N:N,0),0)</f>
        <v>1338452.0509950181</v>
      </c>
      <c r="R373" s="25">
        <f t="array" aca="1" ref="R373" ca="1">INDEX('Lorri 401b'!L:L,MATCH('Retirement Calculator'!A373,'Lorri 401b'!N:N,0),0)</f>
        <v>2973288.934926854</v>
      </c>
      <c r="S373" s="25">
        <f t="shared" ca="1" si="267"/>
        <v>4311740.9859218718</v>
      </c>
    </row>
    <row r="374" spans="1:19" ht="15.75" customHeight="1" x14ac:dyDescent="0.3">
      <c r="A374" s="37">
        <v>62337</v>
      </c>
      <c r="B374" s="409">
        <f t="shared" ref="B374:C374" si="375">($A374-B$9)/365.25</f>
        <v>88.791238877481177</v>
      </c>
      <c r="C374" s="409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3525.4531757812501</v>
      </c>
      <c r="H374" s="25">
        <f>IF(B374&lt;62,0,'Combined Retirement'!$I$14)</f>
        <v>2192</v>
      </c>
      <c r="I374" s="25">
        <f>IF(C374&lt;62,0,'Combined Retirement'!$I$13)</f>
        <v>2420</v>
      </c>
      <c r="J374" s="25">
        <f t="shared" si="263"/>
        <v>7863.2184191855868</v>
      </c>
      <c r="K374" s="25">
        <f t="shared" si="264"/>
        <v>20282.026119384056</v>
      </c>
      <c r="L374" s="25"/>
      <c r="N374" s="25">
        <f>'Combined Retirement'!$C$18/12</f>
        <v>39153.069999999992</v>
      </c>
      <c r="O374" s="25">
        <f t="shared" si="265"/>
        <v>11007.82546143035</v>
      </c>
      <c r="P374" s="25">
        <f t="shared" si="266"/>
        <v>28145.244538569641</v>
      </c>
      <c r="Q374" s="25">
        <f t="array" aca="1" ref="Q374" ca="1">INDEX('Isaac 401k'!L:L,MATCH('Retirement Calculator'!A374,'Isaac 401k'!N:N,0),0)</f>
        <v>1336132.9527115652</v>
      </c>
      <c r="R374" s="25">
        <f t="array" aca="1" ref="R374" ca="1">INDEX('Lorri 401b'!L:L,MATCH('Retirement Calculator'!A374,'Lorri 401b'!N:N,0),0)</f>
        <v>2965311.1042608344</v>
      </c>
      <c r="S374" s="25">
        <f t="shared" ca="1" si="267"/>
        <v>4301444.0569723994</v>
      </c>
    </row>
    <row r="375" spans="1:19" ht="15.75" customHeight="1" x14ac:dyDescent="0.3">
      <c r="A375" s="37">
        <v>62367</v>
      </c>
      <c r="B375" s="409">
        <f t="shared" ref="B375:C375" si="376">($A375-B$9)/365.25</f>
        <v>88.873374401095134</v>
      </c>
      <c r="C375" s="409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3525.4531757812501</v>
      </c>
      <c r="H375" s="25">
        <f>IF(B375&lt;62,0,'Combined Retirement'!$I$14)</f>
        <v>2192</v>
      </c>
      <c r="I375" s="25">
        <f>IF(C375&lt;62,0,'Combined Retirement'!$I$13)</f>
        <v>2420</v>
      </c>
      <c r="J375" s="25">
        <f t="shared" si="263"/>
        <v>7863.2184191855868</v>
      </c>
      <c r="K375" s="25">
        <f t="shared" si="264"/>
        <v>20282.026119384056</v>
      </c>
      <c r="L375" s="25"/>
      <c r="N375" s="25">
        <f>'Combined Retirement'!$C$18/12</f>
        <v>39153.069999999992</v>
      </c>
      <c r="O375" s="25">
        <f t="shared" si="265"/>
        <v>11007.82546143035</v>
      </c>
      <c r="P375" s="25">
        <f t="shared" si="266"/>
        <v>28145.244538569641</v>
      </c>
      <c r="Q375" s="25">
        <f t="array" aca="1" ref="Q375" ca="1">INDEX('Isaac 401k'!L:L,MATCH('Retirement Calculator'!A375,'Isaac 401k'!N:N,0),0)</f>
        <v>1333804.1915185978</v>
      </c>
      <c r="R375" s="25">
        <f t="array" aca="1" ref="R375" ca="1">INDEX('Lorri 401b'!L:L,MATCH('Retirement Calculator'!A375,'Lorri 401b'!N:N,0),0)</f>
        <v>2957300.0326337065</v>
      </c>
      <c r="S375" s="25">
        <f t="shared" ca="1" si="267"/>
        <v>4291104.2241523042</v>
      </c>
    </row>
    <row r="376" spans="1:19" ht="15.75" customHeight="1" x14ac:dyDescent="0.3">
      <c r="A376" s="37">
        <v>62398</v>
      </c>
      <c r="B376" s="409">
        <f t="shared" ref="B376:C376" si="377">($A376-B$9)/365.25</f>
        <v>88.958247775496233</v>
      </c>
      <c r="C376" s="409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3525.4531757812501</v>
      </c>
      <c r="H376" s="25">
        <f>IF(B376&lt;62,0,'Combined Retirement'!$I$14)</f>
        <v>2192</v>
      </c>
      <c r="I376" s="25">
        <f>IF(C376&lt;62,0,'Combined Retirement'!$I$13)</f>
        <v>2420</v>
      </c>
      <c r="J376" s="25">
        <f t="shared" si="263"/>
        <v>7863.2184191855868</v>
      </c>
      <c r="K376" s="25">
        <f t="shared" si="264"/>
        <v>20282.026119384056</v>
      </c>
      <c r="L376" s="25"/>
      <c r="N376" s="25">
        <f>'Combined Retirement'!$C$18/12</f>
        <v>39153.069999999992</v>
      </c>
      <c r="O376" s="25">
        <f t="shared" si="265"/>
        <v>11007.82546143035</v>
      </c>
      <c r="P376" s="25">
        <f t="shared" si="266"/>
        <v>28145.244538569641</v>
      </c>
      <c r="Q376" s="25">
        <f t="array" aca="1" ref="Q376" ca="1">INDEX('Isaac 401k'!L:L,MATCH('Retirement Calculator'!A376,'Isaac 401k'!N:N,0),0)</f>
        <v>1331465.727153993</v>
      </c>
      <c r="R376" s="25">
        <f t="array" aca="1" ref="R376" ca="1">INDEX('Lorri 401b'!L:L,MATCH('Retirement Calculator'!A376,'Lorri 401b'!N:N,0),0)</f>
        <v>2949255.5815414656</v>
      </c>
      <c r="S376" s="25">
        <f t="shared" ca="1" si="267"/>
        <v>4280721.3086954588</v>
      </c>
    </row>
    <row r="377" spans="1:19" ht="15.75" customHeight="1" x14ac:dyDescent="0.3">
      <c r="A377" s="37">
        <v>62428</v>
      </c>
      <c r="B377" s="409">
        <f t="shared" ref="B377:C377" si="378">($A377-B$9)/365.25</f>
        <v>89.040383299110204</v>
      </c>
      <c r="C377" s="409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3525.4531757812501</v>
      </c>
      <c r="H377" s="25">
        <f>IF(B377&lt;62,0,'Combined Retirement'!$I$14)</f>
        <v>2192</v>
      </c>
      <c r="I377" s="25">
        <f>IF(C377&lt;62,0,'Combined Retirement'!$I$13)</f>
        <v>2420</v>
      </c>
      <c r="J377" s="25">
        <f t="shared" si="263"/>
        <v>7863.2184191855868</v>
      </c>
      <c r="K377" s="25">
        <f t="shared" si="264"/>
        <v>20282.026119384056</v>
      </c>
      <c r="L377" s="25"/>
      <c r="N377" s="25">
        <f>'Combined Retirement'!$C$18/12</f>
        <v>39153.069999999992</v>
      </c>
      <c r="O377" s="25">
        <f t="shared" si="265"/>
        <v>11007.82546143035</v>
      </c>
      <c r="P377" s="25">
        <f t="shared" si="266"/>
        <v>28145.244538569641</v>
      </c>
      <c r="Q377" s="25">
        <f t="array" aca="1" ref="Q377" ca="1">INDEX('Isaac 401k'!L:L,MATCH('Retirement Calculator'!A377,'Isaac 401k'!N:N,0),0)</f>
        <v>1329117.519187869</v>
      </c>
      <c r="R377" s="25">
        <f t="array" aca="1" ref="R377" ca="1">INDEX('Lorri 401b'!L:L,MATCH('Retirement Calculator'!A377,'Lorri 401b'!N:N,0),0)</f>
        <v>2941177.6119030071</v>
      </c>
      <c r="S377" s="25">
        <f t="shared" ca="1" si="267"/>
        <v>4270295.1310908757</v>
      </c>
    </row>
    <row r="378" spans="1:19" ht="15.75" customHeight="1" x14ac:dyDescent="0.3">
      <c r="A378" s="37">
        <v>62459</v>
      </c>
      <c r="B378" s="409">
        <f t="shared" ref="B378:C378" si="379">($A378-B$9)/365.25</f>
        <v>89.125256673511288</v>
      </c>
      <c r="C378" s="409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3525.4531757812501</v>
      </c>
      <c r="H378" s="25">
        <f>IF(B378&lt;62,0,'Combined Retirement'!$I$14)</f>
        <v>2192</v>
      </c>
      <c r="I378" s="25">
        <f>IF(C378&lt;62,0,'Combined Retirement'!$I$13)</f>
        <v>2420</v>
      </c>
      <c r="J378" s="25">
        <f t="shared" si="263"/>
        <v>7863.2184191855868</v>
      </c>
      <c r="K378" s="25">
        <f t="shared" si="264"/>
        <v>20282.026119384056</v>
      </c>
      <c r="L378" s="25"/>
      <c r="N378" s="25">
        <f>'Combined Retirement'!$C$18/12</f>
        <v>39153.069999999992</v>
      </c>
      <c r="O378" s="25">
        <f t="shared" si="265"/>
        <v>11007.82546143035</v>
      </c>
      <c r="P378" s="25">
        <f t="shared" si="266"/>
        <v>28145.244538569641</v>
      </c>
      <c r="Q378" s="25">
        <f t="array" aca="1" ref="Q378" ca="1">INDEX('Isaac 401k'!L:L,MATCH('Retirement Calculator'!A378,'Isaac 401k'!N:N,0),0)</f>
        <v>1326759.5270218863</v>
      </c>
      <c r="R378" s="25">
        <f t="array" aca="1" ref="R378" ca="1">INDEX('Lorri 401b'!L:L,MATCH('Retirement Calculator'!A378,'Lorri 401b'!N:N,0),0)</f>
        <v>2933065.9840577217</v>
      </c>
      <c r="S378" s="25">
        <f t="shared" ca="1" si="267"/>
        <v>4259825.5110796075</v>
      </c>
    </row>
    <row r="379" spans="1:19" ht="15.75" customHeight="1" x14ac:dyDescent="0.3">
      <c r="A379" s="37">
        <v>62490</v>
      </c>
      <c r="B379" s="409">
        <f t="shared" ref="B379:C379" si="380">($A379-B$9)/365.25</f>
        <v>89.210130047912386</v>
      </c>
      <c r="C379" s="409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3525.4531757812501</v>
      </c>
      <c r="H379" s="25">
        <f>IF(B379&lt;62,0,'Combined Retirement'!$I$14)</f>
        <v>2192</v>
      </c>
      <c r="I379" s="25">
        <f>IF(C379&lt;62,0,'Combined Retirement'!$I$13)</f>
        <v>2420</v>
      </c>
      <c r="J379" s="25">
        <f t="shared" si="263"/>
        <v>7863.2184191855868</v>
      </c>
      <c r="K379" s="25">
        <f t="shared" si="264"/>
        <v>20282.026119384056</v>
      </c>
      <c r="L379" s="25"/>
      <c r="N379" s="25">
        <f>'Combined Retirement'!$C$18/12</f>
        <v>39153.069999999992</v>
      </c>
      <c r="O379" s="25">
        <f t="shared" si="265"/>
        <v>11007.82546143035</v>
      </c>
      <c r="P379" s="25">
        <f t="shared" si="266"/>
        <v>28145.244538569641</v>
      </c>
      <c r="Q379" s="25">
        <f t="array" aca="1" ref="Q379" ca="1">INDEX('Isaac 401k'!L:L,MATCH('Retirement Calculator'!A379,'Isaac 401k'!N:N,0),0)</f>
        <v>1324391.7098885453</v>
      </c>
      <c r="R379" s="25">
        <f t="array" aca="1" ref="R379" ca="1">INDEX('Lorri 401b'!L:L,MATCH('Retirement Calculator'!A379,'Lorri 401b'!N:N,0),0)</f>
        <v>2924920.5577630806</v>
      </c>
      <c r="S379" s="25">
        <f t="shared" ca="1" si="267"/>
        <v>4249312.2676516259</v>
      </c>
    </row>
    <row r="380" spans="1:19" ht="15.75" customHeight="1" x14ac:dyDescent="0.3">
      <c r="A380" s="37">
        <v>62518</v>
      </c>
      <c r="B380" s="409">
        <f t="shared" ref="B380:C380" si="381">($A380-B$9)/365.25</f>
        <v>89.286789869952088</v>
      </c>
      <c r="C380" s="409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3525.4531757812501</v>
      </c>
      <c r="H380" s="25">
        <f>IF(B380&lt;62,0,'Combined Retirement'!$I$14)</f>
        <v>2192</v>
      </c>
      <c r="I380" s="25">
        <f>IF(C380&lt;62,0,'Combined Retirement'!$I$13)</f>
        <v>2420</v>
      </c>
      <c r="J380" s="25">
        <f t="shared" si="263"/>
        <v>7863.2184191855868</v>
      </c>
      <c r="K380" s="25">
        <f t="shared" si="264"/>
        <v>20282.026119384056</v>
      </c>
      <c r="L380" s="25"/>
      <c r="N380" s="25">
        <f>'Combined Retirement'!$C$18/12</f>
        <v>39153.069999999992</v>
      </c>
      <c r="O380" s="25">
        <f t="shared" si="265"/>
        <v>11007.82546143035</v>
      </c>
      <c r="P380" s="25">
        <f t="shared" si="266"/>
        <v>28145.244538569641</v>
      </c>
      <c r="Q380" s="25">
        <f t="array" aca="1" ref="Q380" ca="1">INDEX('Isaac 401k'!L:L,MATCH('Retirement Calculator'!A380,'Isaac 401k'!N:N,0),0)</f>
        <v>1322014.026850482</v>
      </c>
      <c r="R380" s="25">
        <f t="array" aca="1" ref="R380" ca="1">INDEX('Lorri 401b'!L:L,MATCH('Retirement Calculator'!A380,'Lorri 401b'!N:N,0),0)</f>
        <v>2916741.1921922122</v>
      </c>
      <c r="S380" s="25">
        <f t="shared" ca="1" si="267"/>
        <v>4238755.2190426942</v>
      </c>
    </row>
    <row r="381" spans="1:19" ht="15.75" customHeight="1" x14ac:dyDescent="0.3">
      <c r="A381" s="37">
        <v>62549</v>
      </c>
      <c r="B381" s="409">
        <f t="shared" ref="B381:C381" si="382">($A381-B$9)/365.25</f>
        <v>89.371663244353186</v>
      </c>
      <c r="C381" s="409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3525.4531757812501</v>
      </c>
      <c r="H381" s="25">
        <f>IF(B381&lt;62,0,'Combined Retirement'!$I$14)</f>
        <v>2192</v>
      </c>
      <c r="I381" s="25">
        <f>IF(C381&lt;62,0,'Combined Retirement'!$I$13)</f>
        <v>2420</v>
      </c>
      <c r="J381" s="25">
        <f t="shared" si="263"/>
        <v>7863.2184191855868</v>
      </c>
      <c r="K381" s="25">
        <f t="shared" si="264"/>
        <v>20282.026119384056</v>
      </c>
      <c r="L381" s="25"/>
      <c r="N381" s="25">
        <f>'Combined Retirement'!$C$18/12</f>
        <v>39153.069999999992</v>
      </c>
      <c r="O381" s="25">
        <f t="shared" si="265"/>
        <v>11007.82546143035</v>
      </c>
      <c r="P381" s="25">
        <f t="shared" si="266"/>
        <v>28145.244538569641</v>
      </c>
      <c r="Q381" s="25">
        <f t="array" aca="1" ref="Q381" ca="1">INDEX('Isaac 401k'!L:L,MATCH('Retirement Calculator'!A381,'Isaac 401k'!N:N,0),0)</f>
        <v>1319626.4367997602</v>
      </c>
      <c r="R381" s="25">
        <f t="array" aca="1" ref="R381" ca="1">INDEX('Lorri 401b'!L:L,MATCH('Retirement Calculator'!A381,'Lorri 401b'!N:N,0),0)</f>
        <v>2908527.7459314652</v>
      </c>
      <c r="S381" s="25">
        <f t="shared" ca="1" si="267"/>
        <v>4228154.1827312252</v>
      </c>
    </row>
    <row r="382" spans="1:19" ht="15.75" customHeight="1" x14ac:dyDescent="0.3">
      <c r="A382" s="37">
        <v>62579</v>
      </c>
      <c r="B382" s="409">
        <f t="shared" ref="B382:C382" si="383">($A382-B$9)/365.25</f>
        <v>89.453798767967143</v>
      </c>
      <c r="C382" s="409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3525.4531757812501</v>
      </c>
      <c r="H382" s="25">
        <f>IF(B382&lt;62,0,'Combined Retirement'!$I$14)</f>
        <v>2192</v>
      </c>
      <c r="I382" s="25">
        <f>IF(C382&lt;62,0,'Combined Retirement'!$I$13)</f>
        <v>2420</v>
      </c>
      <c r="J382" s="25">
        <f t="shared" si="263"/>
        <v>7863.2184191855868</v>
      </c>
      <c r="K382" s="25">
        <f t="shared" si="264"/>
        <v>20282.026119384056</v>
      </c>
      <c r="L382" s="25"/>
      <c r="N382" s="25">
        <f>'Combined Retirement'!$C$18/12</f>
        <v>39153.069999999992</v>
      </c>
      <c r="O382" s="25">
        <f t="shared" si="265"/>
        <v>11007.82546143035</v>
      </c>
      <c r="P382" s="25">
        <f t="shared" si="266"/>
        <v>28145.244538569641</v>
      </c>
      <c r="Q382" s="25">
        <f t="array" aca="1" ref="Q382" ca="1">INDEX('Isaac 401k'!L:L,MATCH('Retirement Calculator'!A382,'Isaac 401k'!N:N,0),0)</f>
        <v>1317228.8984571602</v>
      </c>
      <c r="R382" s="25">
        <f t="array" aca="1" ref="R382" ca="1">INDEX('Lorri 401b'!L:L,MATCH('Retirement Calculator'!A382,'Lorri 401b'!N:N,0),0)</f>
        <v>2900280.076977965</v>
      </c>
      <c r="S382" s="25">
        <f t="shared" ca="1" si="267"/>
        <v>4217508.9754351247</v>
      </c>
    </row>
    <row r="383" spans="1:19" ht="15.75" customHeight="1" x14ac:dyDescent="0.3">
      <c r="A383" s="37">
        <v>62610</v>
      </c>
      <c r="B383" s="409">
        <f t="shared" ref="B383:C383" si="384">($A383-B$9)/365.25</f>
        <v>89.538672142368242</v>
      </c>
      <c r="C383" s="409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3525.4531757812501</v>
      </c>
      <c r="H383" s="25">
        <f>IF(B383&lt;62,0,'Combined Retirement'!$I$14)</f>
        <v>2192</v>
      </c>
      <c r="I383" s="25">
        <f>IF(C383&lt;62,0,'Combined Retirement'!$I$13)</f>
        <v>2420</v>
      </c>
      <c r="J383" s="25">
        <f t="shared" si="263"/>
        <v>7863.2184191855868</v>
      </c>
      <c r="K383" s="25">
        <f t="shared" si="264"/>
        <v>20282.026119384056</v>
      </c>
      <c r="L383" s="25"/>
      <c r="N383" s="25">
        <f>'Combined Retirement'!$C$18/12</f>
        <v>39153.069999999992</v>
      </c>
      <c r="O383" s="25">
        <f t="shared" si="265"/>
        <v>11007.82546143035</v>
      </c>
      <c r="P383" s="25">
        <f t="shared" si="266"/>
        <v>28145.244538569641</v>
      </c>
      <c r="Q383" s="25">
        <f t="array" aca="1" ref="Q383" ca="1">INDEX('Isaac 401k'!L:L,MATCH('Retirement Calculator'!A383,'Isaac 401k'!N:N,0),0)</f>
        <v>1314821.3703714663</v>
      </c>
      <c r="R383" s="25">
        <f t="array" aca="1" ref="R383" ca="1">INDEX('Lorri 401b'!L:L,MATCH('Retirement Calculator'!A383,'Lorri 401b'!N:N,0),0)</f>
        <v>2891998.0427371585</v>
      </c>
      <c r="S383" s="25">
        <f t="shared" ca="1" si="267"/>
        <v>4206819.4131086245</v>
      </c>
    </row>
    <row r="384" spans="1:19" ht="15.75" customHeight="1" x14ac:dyDescent="0.3">
      <c r="A384" s="37">
        <v>62640</v>
      </c>
      <c r="B384" s="409">
        <f t="shared" ref="B384:C384" si="385">($A384-B$9)/365.25</f>
        <v>89.620807665982198</v>
      </c>
      <c r="C384" s="409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3525.4531757812501</v>
      </c>
      <c r="H384" s="25">
        <f>IF(B384&lt;62,0,'Combined Retirement'!$I$14)</f>
        <v>2192</v>
      </c>
      <c r="I384" s="25">
        <f>IF(C384&lt;62,0,'Combined Retirement'!$I$13)</f>
        <v>2420</v>
      </c>
      <c r="J384" s="25">
        <f t="shared" si="263"/>
        <v>7863.2184191855868</v>
      </c>
      <c r="K384" s="25">
        <f t="shared" si="264"/>
        <v>20282.026119384056</v>
      </c>
      <c r="L384" s="25"/>
      <c r="N384" s="25">
        <f>'Combined Retirement'!$C$18/12</f>
        <v>39153.069999999992</v>
      </c>
      <c r="O384" s="25">
        <f t="shared" si="265"/>
        <v>11007.82546143035</v>
      </c>
      <c r="P384" s="25">
        <f t="shared" si="266"/>
        <v>28145.244538569641</v>
      </c>
      <c r="Q384" s="25">
        <f t="array" aca="1" ref="Q384" ca="1">INDEX('Isaac 401k'!L:L,MATCH('Retirement Calculator'!A384,'Isaac 401k'!N:N,0),0)</f>
        <v>1312403.8109187486</v>
      </c>
      <c r="R384" s="25">
        <f t="array" aca="1" ref="R384" ca="1">INDEX('Lorri 401b'!L:L,MATCH('Retirement Calculator'!A384,'Lorri 401b'!N:N,0),0)</f>
        <v>2883681.5000203485</v>
      </c>
      <c r="S384" s="25">
        <f t="shared" ca="1" si="267"/>
        <v>4196085.3109390968</v>
      </c>
    </row>
    <row r="385" spans="1:19" ht="15.75" customHeight="1" x14ac:dyDescent="0.3">
      <c r="A385" s="37">
        <v>62671</v>
      </c>
      <c r="B385" s="409">
        <f t="shared" ref="B385:C385" si="386">($A385-B$9)/365.25</f>
        <v>89.705681040383297</v>
      </c>
      <c r="C385" s="409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3525.4531757812501</v>
      </c>
      <c r="H385" s="25">
        <f>IF(B385&lt;62,0,'Combined Retirement'!$I$14)</f>
        <v>2192</v>
      </c>
      <c r="I385" s="25">
        <f>IF(C385&lt;62,0,'Combined Retirement'!$I$13)</f>
        <v>2420</v>
      </c>
      <c r="J385" s="25">
        <f t="shared" si="263"/>
        <v>7863.2184191855868</v>
      </c>
      <c r="K385" s="25">
        <f t="shared" si="264"/>
        <v>20282.026119384056</v>
      </c>
      <c r="L385" s="25"/>
      <c r="N385" s="25">
        <f>'Combined Retirement'!$C$18/12</f>
        <v>39153.069999999992</v>
      </c>
      <c r="O385" s="25">
        <f t="shared" si="265"/>
        <v>11007.82546143035</v>
      </c>
      <c r="P385" s="25">
        <f t="shared" si="266"/>
        <v>28145.244538569641</v>
      </c>
      <c r="Q385" s="25">
        <f t="array" aca="1" ref="Q385" ca="1">INDEX('Isaac 401k'!L:L,MATCH('Retirement Calculator'!A385,'Isaac 401k'!N:N,0),0)</f>
        <v>1309976.1783016445</v>
      </c>
      <c r="R385" s="25">
        <f t="array" aca="1" ref="R385" ca="1">INDEX('Lorri 401b'!L:L,MATCH('Retirement Calculator'!A385,'Lorri 401b'!N:N,0),0)</f>
        <v>2875330.3050422184</v>
      </c>
      <c r="S385" s="25">
        <f t="shared" ca="1" si="267"/>
        <v>4185306.4833438629</v>
      </c>
    </row>
    <row r="386" spans="1:19" ht="15.75" customHeight="1" x14ac:dyDescent="0.3">
      <c r="A386" s="37">
        <v>62702</v>
      </c>
      <c r="B386" s="409">
        <f t="shared" ref="B386:C386" si="387">($A386-B$9)/365.25</f>
        <v>89.790554414784395</v>
      </c>
      <c r="C386" s="409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3525.4531757812501</v>
      </c>
      <c r="H386" s="25">
        <f>IF(B386&lt;62,0,'Combined Retirement'!$I$14)</f>
        <v>2192</v>
      </c>
      <c r="I386" s="25">
        <f>IF(C386&lt;62,0,'Combined Retirement'!$I$13)</f>
        <v>2420</v>
      </c>
      <c r="J386" s="25">
        <f t="shared" si="263"/>
        <v>7863.2184191855868</v>
      </c>
      <c r="K386" s="25">
        <f t="shared" si="264"/>
        <v>20282.026119384056</v>
      </c>
      <c r="L386" s="25"/>
      <c r="N386" s="25">
        <f>'Combined Retirement'!$C$18/12</f>
        <v>39153.069999999992</v>
      </c>
      <c r="O386" s="25">
        <f t="shared" si="265"/>
        <v>11007.82546143035</v>
      </c>
      <c r="P386" s="25">
        <f t="shared" si="266"/>
        <v>28145.244538569641</v>
      </c>
      <c r="Q386" s="25">
        <f t="array" aca="1" ref="Q386" ca="1">INDEX('Isaac 401k'!L:L,MATCH('Retirement Calculator'!A386,'Isaac 401k'!N:N,0),0)</f>
        <v>1307538.4305486358</v>
      </c>
      <c r="R386" s="25">
        <f t="array" aca="1" ref="R386" ca="1">INDEX('Lorri 401b'!L:L,MATCH('Retirement Calculator'!A386,'Lorri 401b'!N:N,0),0)</f>
        <v>2866944.3134183465</v>
      </c>
      <c r="S386" s="25">
        <f t="shared" ca="1" si="267"/>
        <v>4174482.7439669822</v>
      </c>
    </row>
    <row r="387" spans="1:19" ht="15.75" customHeight="1" x14ac:dyDescent="0.3">
      <c r="A387" s="37">
        <v>62732</v>
      </c>
      <c r="B387" s="409">
        <f t="shared" ref="B387:C387" si="388">($A387-B$9)/365.25</f>
        <v>89.872689938398352</v>
      </c>
      <c r="C387" s="409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3525.4531757812501</v>
      </c>
      <c r="H387" s="25">
        <f>IF(B387&lt;62,0,'Combined Retirement'!$I$14)</f>
        <v>2192</v>
      </c>
      <c r="I387" s="25">
        <f>IF(C387&lt;62,0,'Combined Retirement'!$I$13)</f>
        <v>2420</v>
      </c>
      <c r="J387" s="25">
        <f t="shared" si="263"/>
        <v>7863.2184191855868</v>
      </c>
      <c r="K387" s="25">
        <f t="shared" si="264"/>
        <v>20282.026119384056</v>
      </c>
      <c r="L387" s="25"/>
      <c r="N387" s="25">
        <f>'Combined Retirement'!$C$18/12</f>
        <v>39153.069999999992</v>
      </c>
      <c r="O387" s="25">
        <f t="shared" si="265"/>
        <v>11007.82546143035</v>
      </c>
      <c r="P387" s="25">
        <f t="shared" si="266"/>
        <v>28145.244538569641</v>
      </c>
      <c r="Q387" s="25">
        <f t="array" aca="1" ref="Q387" ca="1">INDEX('Isaac 401k'!L:L,MATCH('Retirement Calculator'!A387,'Isaac 401k'!N:N,0),0)</f>
        <v>1305090.5255133228</v>
      </c>
      <c r="R387" s="25">
        <f t="array" aca="1" ref="R387" ca="1">INDEX('Lorri 401b'!L:L,MATCH('Retirement Calculator'!A387,'Lorri 401b'!N:N,0),0)</f>
        <v>2858523.380162708</v>
      </c>
      <c r="S387" s="25">
        <f t="shared" ca="1" si="267"/>
        <v>4163613.9056760306</v>
      </c>
    </row>
    <row r="388" spans="1:19" ht="15.75" customHeight="1" x14ac:dyDescent="0.3">
      <c r="A388" s="37">
        <v>62763</v>
      </c>
      <c r="B388" s="409">
        <f t="shared" ref="B388:C388" si="389">($A388-B$9)/365.25</f>
        <v>89.957563312799451</v>
      </c>
      <c r="C388" s="409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3525.4531757812501</v>
      </c>
      <c r="H388" s="25">
        <f>IF(B388&lt;62,0,'Combined Retirement'!$I$14)</f>
        <v>2192</v>
      </c>
      <c r="I388" s="25">
        <f>IF(C388&lt;62,0,'Combined Retirement'!$I$13)</f>
        <v>2420</v>
      </c>
      <c r="J388" s="25">
        <f t="shared" si="263"/>
        <v>7863.2184191855868</v>
      </c>
      <c r="K388" s="25">
        <f t="shared" si="264"/>
        <v>20282.026119384056</v>
      </c>
      <c r="L388" s="25"/>
      <c r="N388" s="25">
        <f>'Combined Retirement'!$C$18/12</f>
        <v>39153.069999999992</v>
      </c>
      <c r="O388" s="25">
        <f t="shared" si="265"/>
        <v>11007.82546143035</v>
      </c>
      <c r="P388" s="25">
        <f t="shared" si="266"/>
        <v>28145.244538569641</v>
      </c>
      <c r="Q388" s="25">
        <f t="array" aca="1" ref="Q388" ca="1">INDEX('Isaac 401k'!L:L,MATCH('Retirement Calculator'!A388,'Isaac 401k'!N:N,0),0)</f>
        <v>1302632.420873696</v>
      </c>
      <c r="R388" s="25">
        <f t="array" aca="1" ref="R388" ca="1">INDEX('Lorri 401b'!L:L,MATCH('Retirement Calculator'!A388,'Lorri 401b'!N:N,0),0)</f>
        <v>2850067.3596851714</v>
      </c>
      <c r="S388" s="25">
        <f t="shared" ca="1" si="267"/>
        <v>4152699.7805588674</v>
      </c>
    </row>
    <row r="389" spans="1:19" ht="15.75" customHeight="1" x14ac:dyDescent="0.3">
      <c r="A389" s="37">
        <v>62793</v>
      </c>
      <c r="B389" s="409">
        <f t="shared" ref="B389:C389" si="390">($A389-B$9)/365.25</f>
        <v>90.039698836413422</v>
      </c>
      <c r="C389" s="409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3525.4531757812501</v>
      </c>
      <c r="H389" s="25">
        <f>IF(B389&lt;62,0,'Combined Retirement'!$I$14)</f>
        <v>2192</v>
      </c>
      <c r="I389" s="25">
        <f>IF(C389&lt;62,0,'Combined Retirement'!$I$13)</f>
        <v>2420</v>
      </c>
      <c r="J389" s="25">
        <f t="shared" si="263"/>
        <v>7863.2184191855868</v>
      </c>
      <c r="K389" s="25">
        <f t="shared" si="264"/>
        <v>20282.026119384056</v>
      </c>
      <c r="L389" s="25"/>
      <c r="N389" s="25">
        <f>'Combined Retirement'!$C$18/12</f>
        <v>39153.069999999992</v>
      </c>
      <c r="O389" s="25">
        <f t="shared" si="265"/>
        <v>11007.82546143035</v>
      </c>
      <c r="P389" s="25">
        <f t="shared" si="266"/>
        <v>28145.244538569641</v>
      </c>
      <c r="Q389" s="25">
        <f t="array" aca="1" ref="Q389" ca="1">INDEX('Isaac 401k'!L:L,MATCH('Retirement Calculator'!A389,'Isaac 401k'!N:N,0),0)</f>
        <v>1300164.0741314043</v>
      </c>
      <c r="R389" s="25">
        <f t="array" aca="1" ref="R389" ca="1">INDEX('Lorri 401b'!L:L,MATCH('Retirement Calculator'!A389,'Lorri 401b'!N:N,0),0)</f>
        <v>2841576.1057889783</v>
      </c>
      <c r="S389" s="25">
        <f t="shared" ca="1" si="267"/>
        <v>4141740.1799203828</v>
      </c>
    </row>
    <row r="390" spans="1:19" ht="15.75" customHeight="1" x14ac:dyDescent="0.3">
      <c r="A390" s="37">
        <v>62824</v>
      </c>
      <c r="B390" s="409">
        <f t="shared" ref="B390:C390" si="391">($A390-B$9)/365.25</f>
        <v>90.124572210814506</v>
      </c>
      <c r="C390" s="409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3525.4531757812501</v>
      </c>
      <c r="H390" s="25">
        <f>IF(B390&lt;62,0,'Combined Retirement'!$I$14)</f>
        <v>2192</v>
      </c>
      <c r="I390" s="25">
        <f>IF(C390&lt;62,0,'Combined Retirement'!$I$13)</f>
        <v>2420</v>
      </c>
      <c r="J390" s="25">
        <f t="shared" si="263"/>
        <v>7863.2184191855868</v>
      </c>
      <c r="K390" s="25">
        <f t="shared" si="264"/>
        <v>20282.026119384056</v>
      </c>
      <c r="L390" s="25"/>
      <c r="N390" s="25">
        <f>'Combined Retirement'!$C$18/12</f>
        <v>39153.069999999992</v>
      </c>
      <c r="O390" s="25">
        <f t="shared" si="265"/>
        <v>11007.82546143035</v>
      </c>
      <c r="P390" s="25">
        <f t="shared" si="266"/>
        <v>28145.244538569641</v>
      </c>
      <c r="Q390" s="25">
        <f t="array" aca="1" ref="Q390" ca="1">INDEX('Isaac 401k'!L:L,MATCH('Retirement Calculator'!A390,'Isaac 401k'!N:N,0),0)</f>
        <v>1297685.4426110196</v>
      </c>
      <c r="R390" s="25">
        <f t="array" aca="1" ref="R390" ca="1">INDEX('Lorri 401b'!L:L,MATCH('Retirement Calculator'!A390,'Lorri 401b'!N:N,0),0)</f>
        <v>2833049.4716682178</v>
      </c>
      <c r="S390" s="25">
        <f t="shared" ca="1" si="267"/>
        <v>4130734.9142792374</v>
      </c>
    </row>
    <row r="391" spans="1:19" ht="15.75" customHeight="1" x14ac:dyDescent="0.3">
      <c r="A391" s="37">
        <v>62855</v>
      </c>
      <c r="B391" s="409">
        <f t="shared" ref="B391:C391" si="392">($A391-B$9)/365.25</f>
        <v>90.209445585215605</v>
      </c>
      <c r="C391" s="409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3525.4531757812501</v>
      </c>
      <c r="H391" s="25">
        <f>IF(B391&lt;62,0,'Combined Retirement'!$I$14)</f>
        <v>2192</v>
      </c>
      <c r="I391" s="25">
        <f>IF(C391&lt;62,0,'Combined Retirement'!$I$13)</f>
        <v>2420</v>
      </c>
      <c r="J391" s="25">
        <f t="shared" si="263"/>
        <v>7863.2184191855868</v>
      </c>
      <c r="K391" s="25">
        <f t="shared" si="264"/>
        <v>20282.026119384056</v>
      </c>
      <c r="L391" s="25"/>
      <c r="N391" s="25">
        <f>'Combined Retirement'!$C$18/12</f>
        <v>39153.069999999992</v>
      </c>
      <c r="O391" s="25">
        <f t="shared" si="265"/>
        <v>11007.82546143035</v>
      </c>
      <c r="P391" s="25">
        <f t="shared" si="266"/>
        <v>28145.244538569641</v>
      </c>
      <c r="Q391" s="25">
        <f t="array" aca="1" ref="Q391" ca="1">INDEX('Isaac 401k'!L:L,MATCH('Retirement Calculator'!A391,'Isaac 401k'!N:N,0),0)</f>
        <v>1295196.4834592999</v>
      </c>
      <c r="R391" s="25">
        <f t="array" aca="1" ref="R391" ca="1">INDEX('Lorri 401b'!L:L,MATCH('Retirement Calculator'!A391,'Lorri 401b'!N:N,0),0)</f>
        <v>2824487.3099052873</v>
      </c>
      <c r="S391" s="25">
        <f t="shared" ca="1" si="267"/>
        <v>4119683.7933645872</v>
      </c>
    </row>
    <row r="392" spans="1:19" ht="15.75" customHeight="1" x14ac:dyDescent="0.3">
      <c r="A392" s="37">
        <v>62884</v>
      </c>
      <c r="B392" s="409">
        <f t="shared" ref="B392:C392" si="393">($A392-B$9)/365.25</f>
        <v>90.288843258042434</v>
      </c>
      <c r="C392" s="409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3525.4531757812501</v>
      </c>
      <c r="H392" s="25">
        <f>IF(B392&lt;62,0,'Combined Retirement'!$I$14)</f>
        <v>2192</v>
      </c>
      <c r="I392" s="25">
        <f>IF(C392&lt;62,0,'Combined Retirement'!$I$13)</f>
        <v>2420</v>
      </c>
      <c r="J392" s="25">
        <f t="shared" si="263"/>
        <v>7863.2184191855868</v>
      </c>
      <c r="K392" s="25">
        <f t="shared" si="264"/>
        <v>20282.026119384056</v>
      </c>
      <c r="L392" s="25"/>
      <c r="N392" s="25">
        <f>'Combined Retirement'!$C$18/12</f>
        <v>39153.069999999992</v>
      </c>
      <c r="O392" s="25">
        <f t="shared" si="265"/>
        <v>11007.82546143035</v>
      </c>
      <c r="P392" s="25">
        <f t="shared" si="266"/>
        <v>28145.244538569641</v>
      </c>
      <c r="Q392" s="25">
        <f t="array" aca="1" ref="Q392" ca="1">INDEX('Isaac 401k'!L:L,MATCH('Retirement Calculator'!A392,'Isaac 401k'!N:N,0),0)</f>
        <v>1292697.1536444481</v>
      </c>
      <c r="R392" s="25">
        <f t="array" aca="1" ref="R392" ca="1">INDEX('Lorri 401b'!L:L,MATCH('Retirement Calculator'!A392,'Lorri 401b'!N:N,0),0)</f>
        <v>2815889.4724683445</v>
      </c>
      <c r="S392" s="25">
        <f t="shared" ca="1" si="267"/>
        <v>4108586.6261127926</v>
      </c>
    </row>
    <row r="393" spans="1:19" ht="15.75" customHeight="1" x14ac:dyDescent="0.3">
      <c r="A393" s="37">
        <v>62915</v>
      </c>
      <c r="B393" s="409">
        <f t="shared" ref="B393:C393" si="394">($A393-B$9)/365.25</f>
        <v>90.373716632443532</v>
      </c>
      <c r="C393" s="409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3525.4531757812501</v>
      </c>
      <c r="H393" s="25">
        <f>IF(B393&lt;62,0,'Combined Retirement'!$I$14)</f>
        <v>2192</v>
      </c>
      <c r="I393" s="25">
        <f>IF(C393&lt;62,0,'Combined Retirement'!$I$13)</f>
        <v>2420</v>
      </c>
      <c r="J393" s="25">
        <f t="shared" si="263"/>
        <v>7863.2184191855868</v>
      </c>
      <c r="K393" s="25">
        <f t="shared" si="264"/>
        <v>20282.026119384056</v>
      </c>
      <c r="L393" s="25"/>
      <c r="N393" s="25">
        <f>'Combined Retirement'!$C$18/12</f>
        <v>39153.069999999992</v>
      </c>
      <c r="O393" s="25">
        <f t="shared" si="265"/>
        <v>11007.82546143035</v>
      </c>
      <c r="P393" s="25">
        <f t="shared" si="266"/>
        <v>28145.244538569641</v>
      </c>
      <c r="Q393" s="25">
        <f t="array" aca="1" ref="Q393" ca="1">INDEX('Isaac 401k'!L:L,MATCH('Retirement Calculator'!A393,'Isaac 401k'!N:N,0),0)</f>
        <v>1290187.4099553679</v>
      </c>
      <c r="R393" s="25">
        <f t="array" aca="1" ref="R393" ca="1">INDEX('Lorri 401b'!L:L,MATCH('Retirement Calculator'!A393,'Lorri 401b'!N:N,0),0)</f>
        <v>2807255.8107087477</v>
      </c>
      <c r="S393" s="25">
        <f t="shared" ca="1" si="267"/>
        <v>4097443.2206641156</v>
      </c>
    </row>
    <row r="394" spans="1:19" ht="15.75" customHeight="1" x14ac:dyDescent="0.3">
      <c r="A394" s="37">
        <v>62945</v>
      </c>
      <c r="B394" s="409">
        <f t="shared" ref="B394:C394" si="395">($A394-B$9)/365.25</f>
        <v>90.455852156057489</v>
      </c>
      <c r="C394" s="409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3525.4531757812501</v>
      </c>
      <c r="H394" s="25">
        <f>IF(B394&lt;62,0,'Combined Retirement'!$I$14)</f>
        <v>2192</v>
      </c>
      <c r="I394" s="25">
        <f>IF(C394&lt;62,0,'Combined Retirement'!$I$13)</f>
        <v>2420</v>
      </c>
      <c r="J394" s="25">
        <f t="shared" si="263"/>
        <v>7863.2184191855868</v>
      </c>
      <c r="K394" s="25">
        <f t="shared" si="264"/>
        <v>20282.026119384056</v>
      </c>
      <c r="L394" s="25"/>
      <c r="N394" s="25">
        <f>'Combined Retirement'!$C$18/12</f>
        <v>39153.069999999992</v>
      </c>
      <c r="O394" s="25">
        <f t="shared" si="265"/>
        <v>11007.82546143035</v>
      </c>
      <c r="P394" s="25">
        <f t="shared" si="266"/>
        <v>28145.244538569641</v>
      </c>
      <c r="Q394" s="25">
        <f t="array" aca="1" ref="Q394" ca="1">INDEX('Isaac 401k'!L:L,MATCH('Retirement Calculator'!A394,'Isaac 401k'!N:N,0),0)</f>
        <v>1287667.2090009165</v>
      </c>
      <c r="R394" s="25">
        <f t="array" aca="1" ref="R394" ca="1">INDEX('Lorri 401b'!L:L,MATCH('Retirement Calculator'!A394,'Lorri 401b'!N:N,0),0)</f>
        <v>2798586.1753584859</v>
      </c>
      <c r="S394" s="25">
        <f t="shared" ca="1" si="267"/>
        <v>4086253.3843594026</v>
      </c>
    </row>
    <row r="395" spans="1:19" ht="15.75" customHeight="1" x14ac:dyDescent="0.3">
      <c r="A395" s="37">
        <v>62976</v>
      </c>
      <c r="B395" s="409">
        <f t="shared" ref="B395:C395" si="396">($A395-B$9)/365.25</f>
        <v>90.540725530458587</v>
      </c>
      <c r="C395" s="409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3525.4531757812501</v>
      </c>
      <c r="H395" s="25">
        <f>IF(B395&lt;62,0,'Combined Retirement'!$I$14)</f>
        <v>2192</v>
      </c>
      <c r="I395" s="25">
        <f>IF(C395&lt;62,0,'Combined Retirement'!$I$13)</f>
        <v>2420</v>
      </c>
      <c r="J395" s="25">
        <f t="shared" si="263"/>
        <v>7863.2184191855868</v>
      </c>
      <c r="K395" s="25">
        <f t="shared" si="264"/>
        <v>20282.026119384056</v>
      </c>
      <c r="L395" s="25"/>
      <c r="N395" s="25">
        <f>'Combined Retirement'!$C$18/12</f>
        <v>39153.069999999992</v>
      </c>
      <c r="O395" s="25">
        <f t="shared" si="265"/>
        <v>11007.82546143035</v>
      </c>
      <c r="P395" s="25">
        <f t="shared" si="266"/>
        <v>28145.244538569641</v>
      </c>
      <c r="Q395" s="25">
        <f t="array" aca="1" ref="Q395" ca="1">INDEX('Isaac 401k'!L:L,MATCH('Retirement Calculator'!A395,'Isaac 401k'!N:N,0),0)</f>
        <v>1285136.5072091548</v>
      </c>
      <c r="R395" s="25">
        <f t="array" aca="1" ref="R395" ca="1">INDEX('Lorri 401b'!L:L,MATCH('Retirement Calculator'!A395,'Lorri 401b'!N:N,0),0)</f>
        <v>2789880.4165275982</v>
      </c>
      <c r="S395" s="25">
        <f t="shared" ca="1" si="267"/>
        <v>4075016.9237367529</v>
      </c>
    </row>
    <row r="396" spans="1:19" ht="15.75" customHeight="1" x14ac:dyDescent="0.3">
      <c r="A396" s="37">
        <v>63006</v>
      </c>
      <c r="B396" s="409">
        <f t="shared" ref="B396:C396" si="397">($A396-B$9)/365.25</f>
        <v>90.622861054072558</v>
      </c>
      <c r="C396" s="409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3525.4531757812501</v>
      </c>
      <c r="H396" s="25">
        <f>IF(B396&lt;62,0,'Combined Retirement'!$I$14)</f>
        <v>2192</v>
      </c>
      <c r="I396" s="25">
        <f>IF(C396&lt;62,0,'Combined Retirement'!$I$13)</f>
        <v>2420</v>
      </c>
      <c r="J396" s="25">
        <f t="shared" si="263"/>
        <v>7863.2184191855868</v>
      </c>
      <c r="K396" s="25">
        <f t="shared" si="264"/>
        <v>20282.026119384056</v>
      </c>
      <c r="L396" s="25"/>
      <c r="N396" s="25">
        <f>'Combined Retirement'!$C$18/12</f>
        <v>39153.069999999992</v>
      </c>
      <c r="O396" s="25">
        <f t="shared" si="265"/>
        <v>11007.82546143035</v>
      </c>
      <c r="P396" s="25">
        <f t="shared" si="266"/>
        <v>28145.244538569641</v>
      </c>
      <c r="Q396" s="25">
        <f t="array" aca="1" ref="Q396" ca="1">INDEX('Isaac 401k'!L:L,MATCH('Retirement Calculator'!A396,'Isaac 401k'!N:N,0),0)</f>
        <v>1282595.260826594</v>
      </c>
      <c r="R396" s="25">
        <f t="array" aca="1" ref="R396" ca="1">INDEX('Lorri 401b'!L:L,MATCH('Retirement Calculator'!A396,'Lorri 401b'!N:N,0),0)</f>
        <v>2781138.3837015815</v>
      </c>
      <c r="S396" s="25">
        <f t="shared" ca="1" si="267"/>
        <v>4063733.6445281757</v>
      </c>
    </row>
    <row r="397" spans="1:19" ht="15.75" customHeight="1" x14ac:dyDescent="0.3">
      <c r="A397" s="37">
        <v>63037</v>
      </c>
      <c r="B397" s="409">
        <f t="shared" ref="B397:C397" si="398">($A397-B$9)/365.25</f>
        <v>90.707734428473643</v>
      </c>
      <c r="C397" s="409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3525.4531757812501</v>
      </c>
      <c r="H397" s="25">
        <f>IF(B397&lt;62,0,'Combined Retirement'!$I$14)</f>
        <v>2192</v>
      </c>
      <c r="I397" s="25">
        <f>IF(C397&lt;62,0,'Combined Retirement'!$I$13)</f>
        <v>2420</v>
      </c>
      <c r="J397" s="25">
        <f t="shared" si="263"/>
        <v>7863.2184191855868</v>
      </c>
      <c r="K397" s="25">
        <f t="shared" si="264"/>
        <v>20282.026119384056</v>
      </c>
      <c r="L397" s="25"/>
      <c r="N397" s="25">
        <f>'Combined Retirement'!$C$18/12</f>
        <v>39153.069999999992</v>
      </c>
      <c r="O397" s="25">
        <f t="shared" si="265"/>
        <v>11007.82546143035</v>
      </c>
      <c r="P397" s="25">
        <f t="shared" si="266"/>
        <v>28145.244538569641</v>
      </c>
      <c r="Q397" s="25">
        <f t="array" aca="1" ref="Q397" ca="1">INDEX('Isaac 401k'!L:L,MATCH('Retirement Calculator'!A397,'Isaac 401k'!N:N,0),0)</f>
        <v>1280043.4259174392</v>
      </c>
      <c r="R397" s="25">
        <f t="array" aca="1" ref="R397" ca="1">INDEX('Lorri 401b'!L:L,MATCH('Retirement Calculator'!A397,'Lorri 401b'!N:N,0),0)</f>
        <v>2772359.9257387901</v>
      </c>
      <c r="S397" s="25">
        <f t="shared" ca="1" si="267"/>
        <v>4052403.3516562292</v>
      </c>
    </row>
    <row r="398" spans="1:19" ht="15.75" customHeight="1" x14ac:dyDescent="0.3">
      <c r="A398" s="37">
        <v>63068</v>
      </c>
      <c r="B398" s="409">
        <f t="shared" ref="B398:C398" si="399">($A398-B$9)/365.25</f>
        <v>90.792607802874741</v>
      </c>
      <c r="C398" s="409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3525.4531757812501</v>
      </c>
      <c r="H398" s="25">
        <f>IF(B398&lt;62,0,'Combined Retirement'!$I$14)</f>
        <v>2192</v>
      </c>
      <c r="I398" s="25">
        <f>IF(C398&lt;62,0,'Combined Retirement'!$I$13)</f>
        <v>2420</v>
      </c>
      <c r="J398" s="25">
        <f t="shared" si="263"/>
        <v>7863.2184191855868</v>
      </c>
      <c r="K398" s="25">
        <f t="shared" si="264"/>
        <v>20282.026119384056</v>
      </c>
      <c r="L398" s="25"/>
      <c r="N398" s="25">
        <f>'Combined Retirement'!$C$18/12</f>
        <v>39153.069999999992</v>
      </c>
      <c r="O398" s="25">
        <f t="shared" si="265"/>
        <v>11007.82546143035</v>
      </c>
      <c r="P398" s="25">
        <f t="shared" si="266"/>
        <v>28145.244538569641</v>
      </c>
      <c r="Q398" s="25">
        <f t="array" aca="1" ref="Q398" ca="1">INDEX('Isaac 401k'!L:L,MATCH('Retirement Calculator'!A398,'Isaac 401k'!N:N,0),0)</f>
        <v>1277480.9583628296</v>
      </c>
      <c r="R398" s="25">
        <f t="array" aca="1" ref="R398" ca="1">INDEX('Lorri 401b'!L:L,MATCH('Retirement Calculator'!A398,'Lorri 401b'!N:N,0),0)</f>
        <v>2763544.8908678205</v>
      </c>
      <c r="S398" s="25">
        <f t="shared" ca="1" si="267"/>
        <v>4041025.8492306499</v>
      </c>
    </row>
    <row r="399" spans="1:19" ht="15.75" customHeight="1" x14ac:dyDescent="0.3">
      <c r="A399" s="37">
        <v>63098</v>
      </c>
      <c r="B399" s="409">
        <f t="shared" ref="B399:C399" si="400">($A399-B$9)/365.25</f>
        <v>90.874743326488712</v>
      </c>
      <c r="C399" s="409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3525.4531757812501</v>
      </c>
      <c r="H399" s="25">
        <f>IF(B399&lt;62,0,'Combined Retirement'!$I$14)</f>
        <v>2192</v>
      </c>
      <c r="I399" s="25">
        <f>IF(C399&lt;62,0,'Combined Retirement'!$I$13)</f>
        <v>2420</v>
      </c>
      <c r="J399" s="25">
        <f t="shared" si="263"/>
        <v>7863.2184191855868</v>
      </c>
      <c r="K399" s="25">
        <f t="shared" si="264"/>
        <v>20282.026119384056</v>
      </c>
      <c r="L399" s="25"/>
      <c r="N399" s="25">
        <f>'Combined Retirement'!$C$18/12</f>
        <v>39153.069999999992</v>
      </c>
      <c r="O399" s="25">
        <f t="shared" si="265"/>
        <v>11007.82546143035</v>
      </c>
      <c r="P399" s="25">
        <f t="shared" si="266"/>
        <v>28145.244538569641</v>
      </c>
      <c r="Q399" s="25">
        <f t="array" aca="1" ref="Q399" ca="1">INDEX('Isaac 401k'!L:L,MATCH('Retirement Calculator'!A399,'Isaac 401k'!N:N,0),0)</f>
        <v>1274907.8138600758</v>
      </c>
      <c r="R399" s="25">
        <f t="array" aca="1" ref="R399" ca="1">INDEX('Lorri 401b'!L:L,MATCH('Retirement Calculator'!A399,'Lorri 401b'!N:N,0),0)</f>
        <v>2754693.1266848883</v>
      </c>
      <c r="S399" s="25">
        <f t="shared" ca="1" si="267"/>
        <v>4029600.9405449638</v>
      </c>
    </row>
    <row r="400" spans="1:19" ht="15.75" customHeight="1" x14ac:dyDescent="0.3">
      <c r="A400" s="37">
        <v>63129</v>
      </c>
      <c r="B400" s="409">
        <f t="shared" ref="B400:C400" si="401">($A400-B$9)/365.25</f>
        <v>90.959616700889796</v>
      </c>
      <c r="C400" s="409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3525.4531757812501</v>
      </c>
      <c r="H400" s="25">
        <f>IF(B400&lt;62,0,'Combined Retirement'!$I$14)</f>
        <v>2192</v>
      </c>
      <c r="I400" s="25">
        <f>IF(C400&lt;62,0,'Combined Retirement'!$I$13)</f>
        <v>2420</v>
      </c>
      <c r="J400" s="25">
        <f t="shared" si="263"/>
        <v>7863.2184191855868</v>
      </c>
      <c r="K400" s="25">
        <f t="shared" si="264"/>
        <v>20282.026119384056</v>
      </c>
      <c r="L400" s="25"/>
      <c r="N400" s="25">
        <f>'Combined Retirement'!$C$18/12</f>
        <v>39153.069999999992</v>
      </c>
      <c r="O400" s="25">
        <f t="shared" si="265"/>
        <v>11007.82546143035</v>
      </c>
      <c r="P400" s="25">
        <f t="shared" si="266"/>
        <v>28145.244538569641</v>
      </c>
      <c r="Q400" s="25">
        <f t="array" aca="1" ref="Q400" ca="1">INDEX('Isaac 401k'!L:L,MATCH('Retirement Calculator'!A400,'Isaac 401k'!N:N,0),0)</f>
        <v>1272323.9479218938</v>
      </c>
      <c r="R400" s="25">
        <f t="array" aca="1" ref="R400" ca="1">INDEX('Lorri 401b'!L:L,MATCH('Retirement Calculator'!A400,'Lorri 401b'!N:N,0),0)</f>
        <v>2745804.4801511937</v>
      </c>
      <c r="S400" s="25">
        <f t="shared" ca="1" si="267"/>
        <v>4018128.4280730877</v>
      </c>
    </row>
    <row r="401" spans="1:19" ht="15.75" customHeight="1" x14ac:dyDescent="0.3">
      <c r="A401" s="37">
        <v>63159</v>
      </c>
      <c r="B401" s="409">
        <f t="shared" ref="B401:C401" si="402">($A401-B$9)/365.25</f>
        <v>91.041752224503767</v>
      </c>
      <c r="C401" s="409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3525.4531757812501</v>
      </c>
      <c r="H401" s="25">
        <f>IF(B401&lt;62,0,'Combined Retirement'!$I$14)</f>
        <v>2192</v>
      </c>
      <c r="I401" s="25">
        <f>IF(C401&lt;62,0,'Combined Retirement'!$I$13)</f>
        <v>2420</v>
      </c>
      <c r="J401" s="25">
        <f t="shared" si="263"/>
        <v>7863.2184191855868</v>
      </c>
      <c r="K401" s="25">
        <f t="shared" si="264"/>
        <v>20282.026119384056</v>
      </c>
      <c r="L401" s="25"/>
      <c r="N401" s="25">
        <f>'Combined Retirement'!$C$18/12</f>
        <v>39153.069999999992</v>
      </c>
      <c r="O401" s="25">
        <f t="shared" si="265"/>
        <v>11007.82546143035</v>
      </c>
      <c r="P401" s="25">
        <f t="shared" si="266"/>
        <v>28145.244538569641</v>
      </c>
      <c r="Q401" s="25">
        <f t="array" aca="1" ref="Q401" ca="1">INDEX('Isaac 401k'!L:L,MATCH('Retirement Calculator'!A401,'Isaac 401k'!N:N,0),0)</f>
        <v>1269729.3158756362</v>
      </c>
      <c r="R401" s="25">
        <f t="array" aca="1" ref="R401" ca="1">INDEX('Lorri 401b'!L:L,MATCH('Retirement Calculator'!A401,'Lorri 401b'!N:N,0),0)</f>
        <v>2736878.7975902758</v>
      </c>
      <c r="S401" s="25">
        <f t="shared" ca="1" si="267"/>
        <v>4006608.1134659117</v>
      </c>
    </row>
    <row r="402" spans="1:19" ht="15.75" customHeight="1" x14ac:dyDescent="0.3">
      <c r="A402" s="37">
        <v>63190</v>
      </c>
      <c r="B402" s="409">
        <f t="shared" ref="B402:C402" si="403">($A402-B$9)/365.25</f>
        <v>91.126625598904866</v>
      </c>
      <c r="C402" s="409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3525.4531757812501</v>
      </c>
      <c r="H402" s="25">
        <f>IF(B402&lt;62,0,'Combined Retirement'!$I$14)</f>
        <v>2192</v>
      </c>
      <c r="I402" s="25">
        <f>IF(C402&lt;62,0,'Combined Retirement'!$I$13)</f>
        <v>2420</v>
      </c>
      <c r="J402" s="25">
        <f t="shared" si="263"/>
        <v>7863.2184191855868</v>
      </c>
      <c r="K402" s="25">
        <f t="shared" si="264"/>
        <v>20282.026119384056</v>
      </c>
      <c r="L402" s="25"/>
      <c r="N402" s="25">
        <f>'Combined Retirement'!$C$18/12</f>
        <v>39153.069999999992</v>
      </c>
      <c r="O402" s="25">
        <f t="shared" si="265"/>
        <v>11007.82546143035</v>
      </c>
      <c r="P402" s="25">
        <f t="shared" si="266"/>
        <v>28145.244538569641</v>
      </c>
      <c r="Q402" s="25">
        <f t="array" aca="1" ref="Q402" ca="1">INDEX('Isaac 401k'!L:L,MATCH('Retirement Calculator'!A402,'Isaac 401k'!N:N,0),0)</f>
        <v>1267123.8728625192</v>
      </c>
      <c r="R402" s="25">
        <f t="array" aca="1" ref="R402" ca="1">INDEX('Lorri 401b'!L:L,MATCH('Retirement Calculator'!A402,'Lorri 401b'!N:N,0),0)</f>
        <v>2727915.9246853539</v>
      </c>
      <c r="S402" s="25">
        <f t="shared" ca="1" si="267"/>
        <v>3995039.7975478731</v>
      </c>
    </row>
    <row r="403" spans="1:19" ht="15.75" customHeight="1" x14ac:dyDescent="0.3">
      <c r="A403" s="37">
        <v>63221</v>
      </c>
      <c r="B403" s="409">
        <f t="shared" ref="B403:C403" si="404">($A403-B$9)/365.25</f>
        <v>91.21149897330595</v>
      </c>
      <c r="C403" s="409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3525.4531757812501</v>
      </c>
      <c r="H403" s="25">
        <f>IF(B403&lt;62,0,'Combined Retirement'!$I$14)</f>
        <v>2192</v>
      </c>
      <c r="I403" s="25">
        <f>IF(C403&lt;62,0,'Combined Retirement'!$I$13)</f>
        <v>2420</v>
      </c>
      <c r="J403" s="25">
        <f t="shared" si="263"/>
        <v>7863.2184191855868</v>
      </c>
      <c r="K403" s="25">
        <f t="shared" si="264"/>
        <v>20282.026119384056</v>
      </c>
      <c r="L403" s="25"/>
      <c r="N403" s="25">
        <f>'Combined Retirement'!$C$18/12</f>
        <v>39153.069999999992</v>
      </c>
      <c r="O403" s="25">
        <f t="shared" si="265"/>
        <v>11007.82546143035</v>
      </c>
      <c r="P403" s="25">
        <f t="shared" si="266"/>
        <v>28145.244538569641</v>
      </c>
      <c r="Q403" s="25">
        <f t="array" aca="1" ref="Q403" ca="1">INDEX('Isaac 401k'!L:L,MATCH('Retirement Calculator'!A403,'Isaac 401k'!N:N,0),0)</f>
        <v>1264507.5738368474</v>
      </c>
      <c r="R403" s="25">
        <f t="array" aca="1" ref="R403" ca="1">INDEX('Lorri 401b'!L:L,MATCH('Retirement Calculator'!A403,'Lorri 401b'!N:N,0),0)</f>
        <v>2718915.7064766614</v>
      </c>
      <c r="S403" s="25">
        <f t="shared" ca="1" si="267"/>
        <v>3983423.2803135086</v>
      </c>
    </row>
    <row r="404" spans="1:19" ht="15.75" customHeight="1" x14ac:dyDescent="0.3">
      <c r="A404" s="37">
        <v>63249</v>
      </c>
      <c r="B404" s="409">
        <f t="shared" ref="B404:C404" si="405">($A404-B$9)/365.25</f>
        <v>91.288158795345652</v>
      </c>
      <c r="C404" s="409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3525.4531757812501</v>
      </c>
      <c r="H404" s="25">
        <f>IF(B404&lt;62,0,'Combined Retirement'!$I$14)</f>
        <v>2192</v>
      </c>
      <c r="I404" s="25">
        <f>IF(C404&lt;62,0,'Combined Retirement'!$I$13)</f>
        <v>2420</v>
      </c>
      <c r="J404" s="25">
        <f t="shared" si="263"/>
        <v>7863.2184191855868</v>
      </c>
      <c r="K404" s="25">
        <f t="shared" si="264"/>
        <v>20282.026119384056</v>
      </c>
      <c r="L404" s="25"/>
      <c r="N404" s="25">
        <f>'Combined Retirement'!$C$18/12</f>
        <v>39153.069999999992</v>
      </c>
      <c r="O404" s="25">
        <f t="shared" si="265"/>
        <v>11007.82546143035</v>
      </c>
      <c r="P404" s="25">
        <f t="shared" si="266"/>
        <v>28145.244538569641</v>
      </c>
      <c r="Q404" s="25">
        <f t="array" aca="1" ref="Q404" ca="1">INDEX('Isaac 401k'!L:L,MATCH('Retirement Calculator'!A404,'Isaac 401k'!N:N,0),0)</f>
        <v>1261880.3735652354</v>
      </c>
      <c r="R404" s="25">
        <f t="array" aca="1" ref="R404" ca="1">INDEX('Lorri 401b'!L:L,MATCH('Retirement Calculator'!A404,'Lorri 401b'!N:N,0),0)</f>
        <v>2709877.9873587661</v>
      </c>
      <c r="S404" s="25">
        <f t="shared" ca="1" si="267"/>
        <v>3971758.3609240018</v>
      </c>
    </row>
    <row r="405" spans="1:19" ht="15.75" customHeight="1" x14ac:dyDescent="0.3">
      <c r="A405" s="37">
        <v>63280</v>
      </c>
      <c r="B405" s="409">
        <f t="shared" ref="B405:C405" si="406">($A405-B$9)/365.25</f>
        <v>91.37303216974675</v>
      </c>
      <c r="C405" s="409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3525.4531757812501</v>
      </c>
      <c r="H405" s="25">
        <f>IF(B405&lt;62,0,'Combined Retirement'!$I$14)</f>
        <v>2192</v>
      </c>
      <c r="I405" s="25">
        <f>IF(C405&lt;62,0,'Combined Retirement'!$I$13)</f>
        <v>2420</v>
      </c>
      <c r="J405" s="25">
        <f t="shared" si="263"/>
        <v>7863.2184191855868</v>
      </c>
      <c r="K405" s="25">
        <f t="shared" si="264"/>
        <v>20282.026119384056</v>
      </c>
      <c r="L405" s="25"/>
      <c r="N405" s="25">
        <f>'Combined Retirement'!$C$18/12</f>
        <v>39153.069999999992</v>
      </c>
      <c r="O405" s="25">
        <f t="shared" si="265"/>
        <v>11007.82546143035</v>
      </c>
      <c r="P405" s="25">
        <f t="shared" si="266"/>
        <v>28145.244538569641</v>
      </c>
      <c r="Q405" s="25">
        <f t="array" aca="1" ref="Q405" ca="1">INDEX('Isaac 401k'!L:L,MATCH('Retirement Calculator'!A405,'Isaac 401k'!N:N,0),0)</f>
        <v>1259242.226625825</v>
      </c>
      <c r="R405" s="25">
        <f t="array" aca="1" ref="R405" ca="1">INDEX('Lorri 401b'!L:L,MATCH('Retirement Calculator'!A405,'Lorri 401b'!N:N,0),0)</f>
        <v>2700802.6110778796</v>
      </c>
      <c r="S405" s="25">
        <f t="shared" ca="1" si="267"/>
        <v>3960044.8377037048</v>
      </c>
    </row>
    <row r="406" spans="1:19" ht="15.75" customHeight="1" x14ac:dyDescent="0.3">
      <c r="A406" s="37">
        <v>63310</v>
      </c>
      <c r="B406" s="409">
        <f t="shared" ref="B406:C406" si="407">($A406-B$9)/365.25</f>
        <v>91.455167693360707</v>
      </c>
      <c r="C406" s="409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3525.4531757812501</v>
      </c>
      <c r="H406" s="25">
        <f>IF(B406&lt;62,0,'Combined Retirement'!$I$14)</f>
        <v>2192</v>
      </c>
      <c r="I406" s="25">
        <f>IF(C406&lt;62,0,'Combined Retirement'!$I$13)</f>
        <v>2420</v>
      </c>
      <c r="J406" s="25">
        <f t="shared" si="263"/>
        <v>7863.2184191855868</v>
      </c>
      <c r="K406" s="25">
        <f t="shared" si="264"/>
        <v>20282.026119384056</v>
      </c>
      <c r="L406" s="25"/>
      <c r="N406" s="25">
        <f>'Combined Retirement'!$C$18/12</f>
        <v>39153.069999999992</v>
      </c>
      <c r="O406" s="25">
        <f t="shared" si="265"/>
        <v>11007.82546143035</v>
      </c>
      <c r="P406" s="25">
        <f t="shared" si="266"/>
        <v>28145.244538569641</v>
      </c>
      <c r="Q406" s="25">
        <f t="array" aca="1" ref="Q406" ca="1">INDEX('Isaac 401k'!L:L,MATCH('Retirement Calculator'!A406,'Isaac 401k'!N:N,0),0)</f>
        <v>1256593.0874075005</v>
      </c>
      <c r="R406" s="25">
        <f t="array" aca="1" ref="R406" ca="1">INDEX('Lorri 401b'!L:L,MATCH('Retirement Calculator'!A406,'Lorri 401b'!N:N,0),0)</f>
        <v>2691689.4207291561</v>
      </c>
      <c r="S406" s="25">
        <f t="shared" ca="1" si="267"/>
        <v>3948282.5081366566</v>
      </c>
    </row>
    <row r="407" spans="1:19" ht="15.75" customHeight="1" x14ac:dyDescent="0.3">
      <c r="A407" s="37">
        <v>63341</v>
      </c>
      <c r="B407" s="409">
        <f t="shared" ref="B407:C407" si="408">($A407-B$9)/365.25</f>
        <v>91.540041067761805</v>
      </c>
      <c r="C407" s="409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3525.4531757812501</v>
      </c>
      <c r="H407" s="25">
        <f>IF(B407&lt;62,0,'Combined Retirement'!$I$14)</f>
        <v>2192</v>
      </c>
      <c r="I407" s="25">
        <f>IF(C407&lt;62,0,'Combined Retirement'!$I$13)</f>
        <v>2420</v>
      </c>
      <c r="J407" s="25">
        <f t="shared" si="263"/>
        <v>7863.2184191855868</v>
      </c>
      <c r="K407" s="25">
        <f t="shared" si="264"/>
        <v>20282.026119384056</v>
      </c>
      <c r="L407" s="25"/>
      <c r="N407" s="25">
        <f>'Combined Retirement'!$C$18/12</f>
        <v>39153.069999999992</v>
      </c>
      <c r="O407" s="25">
        <f t="shared" si="265"/>
        <v>11007.82546143035</v>
      </c>
      <c r="P407" s="25">
        <f t="shared" si="266"/>
        <v>28145.244538569641</v>
      </c>
      <c r="Q407" s="25">
        <f t="array" aca="1" ref="Q407" ca="1">INDEX('Isaac 401k'!L:L,MATCH('Retirement Calculator'!A407,'Isaac 401k'!N:N,0),0)</f>
        <v>1253932.9101090995</v>
      </c>
      <c r="R407" s="25">
        <f t="array" aca="1" ref="R407" ca="1">INDEX('Lorri 401b'!L:L,MATCH('Retirement Calculator'!A407,'Lorri 401b'!N:N,0),0)</f>
        <v>2682538.2587539796</v>
      </c>
      <c r="S407" s="25">
        <f t="shared" ca="1" si="267"/>
        <v>3936471.168863079</v>
      </c>
    </row>
    <row r="408" spans="1:19" ht="15.75" customHeight="1" x14ac:dyDescent="0.3">
      <c r="A408" s="37">
        <v>63371</v>
      </c>
      <c r="B408" s="409">
        <f t="shared" ref="B408:C408" si="409">($A408-B$9)/365.25</f>
        <v>91.622176591375776</v>
      </c>
      <c r="C408" s="409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3525.4531757812501</v>
      </c>
      <c r="H408" s="25">
        <f>IF(B408&lt;62,0,'Combined Retirement'!$I$14)</f>
        <v>2192</v>
      </c>
      <c r="I408" s="25">
        <f>IF(C408&lt;62,0,'Combined Retirement'!$I$13)</f>
        <v>2420</v>
      </c>
      <c r="J408" s="25">
        <f t="shared" si="263"/>
        <v>7863.2184191855868</v>
      </c>
      <c r="K408" s="25">
        <f t="shared" si="264"/>
        <v>20282.026119384056</v>
      </c>
      <c r="L408" s="25"/>
      <c r="N408" s="25">
        <f>'Combined Retirement'!$C$18/12</f>
        <v>39153.069999999992</v>
      </c>
      <c r="O408" s="25">
        <f t="shared" si="265"/>
        <v>11007.82546143035</v>
      </c>
      <c r="P408" s="25">
        <f t="shared" si="266"/>
        <v>28145.244538569641</v>
      </c>
      <c r="Q408" s="25">
        <f t="array" aca="1" ref="Q408" ca="1">INDEX('Isaac 401k'!L:L,MATCH('Retirement Calculator'!A408,'Isaac 401k'!N:N,0),0)</f>
        <v>1251261.6487386217</v>
      </c>
      <c r="R408" s="25">
        <f t="array" aca="1" ref="R408" ca="1">INDEX('Lorri 401b'!L:L,MATCH('Retirement Calculator'!A408,'Lorri 401b'!N:N,0),0)</f>
        <v>2673348.9669372397</v>
      </c>
      <c r="S408" s="25">
        <f t="shared" ca="1" si="267"/>
        <v>3924610.6156758615</v>
      </c>
    </row>
    <row r="409" spans="1:19" ht="15.75" customHeight="1" x14ac:dyDescent="0.3">
      <c r="A409" s="37">
        <v>63402</v>
      </c>
      <c r="B409" s="409">
        <f t="shared" ref="B409:C409" si="410">($A409-B$9)/365.25</f>
        <v>91.707049965776861</v>
      </c>
      <c r="C409" s="409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3525.4531757812501</v>
      </c>
      <c r="H409" s="25">
        <f>IF(B409&lt;62,0,'Combined Retirement'!$I$14)</f>
        <v>2192</v>
      </c>
      <c r="I409" s="25">
        <f>IF(C409&lt;62,0,'Combined Retirement'!$I$13)</f>
        <v>2420</v>
      </c>
      <c r="J409" s="25">
        <f t="shared" si="263"/>
        <v>7863.2184191855868</v>
      </c>
      <c r="K409" s="25">
        <f t="shared" si="264"/>
        <v>20282.026119384056</v>
      </c>
      <c r="L409" s="25"/>
      <c r="N409" s="25">
        <f>'Combined Retirement'!$C$18/12</f>
        <v>39153.069999999992</v>
      </c>
      <c r="O409" s="25">
        <f t="shared" si="265"/>
        <v>11007.82546143035</v>
      </c>
      <c r="P409" s="25">
        <f t="shared" si="266"/>
        <v>28145.244538569641</v>
      </c>
      <c r="Q409" s="25">
        <f t="array" aca="1" ref="Q409" ca="1">INDEX('Isaac 401k'!L:L,MATCH('Retirement Calculator'!A409,'Isaac 401k'!N:N,0),0)</f>
        <v>1248579.2571124337</v>
      </c>
      <c r="R409" s="25">
        <f t="array" aca="1" ref="R409" ca="1">INDEX('Lorri 401b'!L:L,MATCH('Retirement Calculator'!A409,'Lorri 401b'!N:N,0),0)</f>
        <v>2664121.3864045967</v>
      </c>
      <c r="S409" s="25">
        <f t="shared" ca="1" si="267"/>
        <v>3912700.6435170304</v>
      </c>
    </row>
    <row r="410" spans="1:19" ht="15.75" customHeight="1" x14ac:dyDescent="0.3">
      <c r="A410" s="37">
        <v>63433</v>
      </c>
      <c r="B410" s="409">
        <f t="shared" ref="B410:C410" si="411">($A410-B$9)/365.25</f>
        <v>91.791923340177959</v>
      </c>
      <c r="C410" s="409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3525.4531757812501</v>
      </c>
      <c r="H410" s="25">
        <f>IF(B410&lt;62,0,'Combined Retirement'!$I$14)</f>
        <v>2192</v>
      </c>
      <c r="I410" s="25">
        <f>IF(C410&lt;62,0,'Combined Retirement'!$I$13)</f>
        <v>2420</v>
      </c>
      <c r="J410" s="25">
        <f t="shared" si="263"/>
        <v>7863.2184191855868</v>
      </c>
      <c r="K410" s="25">
        <f t="shared" si="264"/>
        <v>20282.026119384056</v>
      </c>
      <c r="L410" s="25"/>
      <c r="N410" s="25">
        <f>'Combined Retirement'!$C$18/12</f>
        <v>39153.069999999992</v>
      </c>
      <c r="O410" s="25">
        <f t="shared" si="265"/>
        <v>11007.82546143035</v>
      </c>
      <c r="P410" s="25">
        <f t="shared" si="266"/>
        <v>28145.244538569641</v>
      </c>
      <c r="Q410" s="25">
        <f t="array" aca="1" ref="Q410" ca="1">INDEX('Isaac 401k'!L:L,MATCH('Retirement Calculator'!A410,'Isaac 401k'!N:N,0),0)</f>
        <v>1245885.6888544699</v>
      </c>
      <c r="R410" s="25">
        <f t="array" aca="1" ref="R410" ca="1">INDEX('Lorri 401b'!L:L,MATCH('Retirement Calculator'!A410,'Lorri 401b'!N:N,0),0)</f>
        <v>2654855.3576197345</v>
      </c>
      <c r="S410" s="25">
        <f t="shared" ca="1" si="267"/>
        <v>3900741.0464742044</v>
      </c>
    </row>
    <row r="411" spans="1:19" ht="15.75" customHeight="1" x14ac:dyDescent="0.3">
      <c r="A411" s="37">
        <v>63463</v>
      </c>
      <c r="B411" s="409">
        <f t="shared" ref="B411:C411" si="412">($A411-B$9)/365.25</f>
        <v>91.87405886379193</v>
      </c>
      <c r="C411" s="409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3525.4531757812501</v>
      </c>
      <c r="H411" s="25">
        <f>IF(B411&lt;62,0,'Combined Retirement'!$I$14)</f>
        <v>2192</v>
      </c>
      <c r="I411" s="25">
        <f>IF(C411&lt;62,0,'Combined Retirement'!$I$13)</f>
        <v>2420</v>
      </c>
      <c r="J411" s="25">
        <f t="shared" si="263"/>
        <v>7863.2184191855868</v>
      </c>
      <c r="K411" s="25">
        <f t="shared" si="264"/>
        <v>20282.026119384056</v>
      </c>
      <c r="L411" s="25"/>
      <c r="N411" s="25">
        <f>'Combined Retirement'!$C$18/12</f>
        <v>39153.069999999992</v>
      </c>
      <c r="O411" s="25">
        <f t="shared" si="265"/>
        <v>11007.82546143035</v>
      </c>
      <c r="P411" s="25">
        <f t="shared" si="266"/>
        <v>28145.244538569641</v>
      </c>
      <c r="Q411" s="25">
        <f t="array" aca="1" ref="Q411" ca="1">INDEX('Isaac 401k'!L:L,MATCH('Retirement Calculator'!A411,'Isaac 401k'!N:N,0),0)</f>
        <v>1243180.8973954313</v>
      </c>
      <c r="R411" s="25">
        <f t="array" aca="1" ref="R411" ca="1">INDEX('Lorri 401b'!L:L,MATCH('Retirement Calculator'!A411,'Lorri 401b'!N:N,0),0)</f>
        <v>2645550.7203816022</v>
      </c>
      <c r="S411" s="25">
        <f t="shared" ca="1" si="267"/>
        <v>3888731.6177770337</v>
      </c>
    </row>
    <row r="412" spans="1:19" ht="15.75" customHeight="1" x14ac:dyDescent="0.3">
      <c r="A412" s="37">
        <v>63494</v>
      </c>
      <c r="B412" s="409">
        <f t="shared" ref="B412:C412" si="413">($A412-B$9)/365.25</f>
        <v>91.958932238193015</v>
      </c>
      <c r="C412" s="409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3525.4531757812501</v>
      </c>
      <c r="H412" s="25">
        <f>IF(B412&lt;62,0,'Combined Retirement'!$I$14)</f>
        <v>2192</v>
      </c>
      <c r="I412" s="25">
        <f>IF(C412&lt;62,0,'Combined Retirement'!$I$13)</f>
        <v>2420</v>
      </c>
      <c r="J412" s="25">
        <f t="shared" si="263"/>
        <v>7863.2184191855868</v>
      </c>
      <c r="K412" s="25">
        <f t="shared" si="264"/>
        <v>20282.026119384056</v>
      </c>
      <c r="L412" s="25"/>
      <c r="N412" s="25">
        <f>'Combined Retirement'!$C$18/12</f>
        <v>39153.069999999992</v>
      </c>
      <c r="O412" s="25">
        <f t="shared" si="265"/>
        <v>11007.82546143035</v>
      </c>
      <c r="P412" s="25">
        <f t="shared" si="266"/>
        <v>28145.244538569641</v>
      </c>
      <c r="Q412" s="25">
        <f t="array" aca="1" ref="Q412" ca="1">INDEX('Isaac 401k'!L:L,MATCH('Retirement Calculator'!A412,'Isaac 401k'!N:N,0),0)</f>
        <v>1240464.8359719801</v>
      </c>
      <c r="R412" s="25">
        <f t="array" aca="1" ref="R412" ca="1">INDEX('Lorri 401b'!L:L,MATCH('Retirement Calculator'!A412,'Lorri 401b'!N:N,0),0)</f>
        <v>2636207.3138216441</v>
      </c>
      <c r="S412" s="25">
        <f t="shared" ca="1" si="267"/>
        <v>3876672.1497936239</v>
      </c>
    </row>
    <row r="413" spans="1:19" ht="15.75" customHeight="1" x14ac:dyDescent="0.3">
      <c r="A413" s="37">
        <v>63524</v>
      </c>
      <c r="B413" s="409">
        <f t="shared" ref="B413:C413" si="414">($A413-B$9)/365.25</f>
        <v>92.041067761806985</v>
      </c>
      <c r="C413" s="409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3525.4531757812501</v>
      </c>
      <c r="H413" s="25">
        <f>IF(B413&lt;62,0,'Combined Retirement'!$I$14)</f>
        <v>2192</v>
      </c>
      <c r="I413" s="25">
        <f>IF(C413&lt;62,0,'Combined Retirement'!$I$13)</f>
        <v>2420</v>
      </c>
      <c r="J413" s="25">
        <f t="shared" si="263"/>
        <v>7863.2184191855868</v>
      </c>
      <c r="K413" s="25">
        <f t="shared" si="264"/>
        <v>20282.026119384056</v>
      </c>
      <c r="L413" s="25"/>
      <c r="N413" s="25">
        <f>'Combined Retirement'!$C$18/12</f>
        <v>39153.069999999992</v>
      </c>
      <c r="O413" s="25">
        <f t="shared" si="265"/>
        <v>11007.82546143035</v>
      </c>
      <c r="P413" s="25">
        <f t="shared" si="266"/>
        <v>28145.244538569641</v>
      </c>
      <c r="Q413" s="25">
        <f t="array" aca="1" ref="Q413" ca="1">INDEX('Isaac 401k'!L:L,MATCH('Retirement Calculator'!A413,'Isaac 401k'!N:N,0),0)</f>
        <v>1237737.4576259311</v>
      </c>
      <c r="R413" s="25">
        <f t="array" aca="1" ref="R413" ca="1">INDEX('Lorri 401b'!L:L,MATCH('Retirement Calculator'!A413,'Lorri 401b'!N:N,0),0)</f>
        <v>2626824.9764010194</v>
      </c>
      <c r="S413" s="25">
        <f t="shared" ca="1" si="267"/>
        <v>3864562.4340269505</v>
      </c>
    </row>
    <row r="414" spans="1:19" ht="15.75" customHeight="1" x14ac:dyDescent="0.3">
      <c r="A414" s="37">
        <v>63555</v>
      </c>
      <c r="B414" s="409">
        <f t="shared" ref="B414:C414" si="415">($A414-B$9)/365.25</f>
        <v>92.12594113620807</v>
      </c>
      <c r="C414" s="409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3525.4531757812501</v>
      </c>
      <c r="H414" s="25">
        <f>IF(B414&lt;62,0,'Combined Retirement'!$I$14)</f>
        <v>2192</v>
      </c>
      <c r="I414" s="25">
        <f>IF(C414&lt;62,0,'Combined Retirement'!$I$13)</f>
        <v>2420</v>
      </c>
      <c r="J414" s="25">
        <f t="shared" si="263"/>
        <v>7863.2184191855868</v>
      </c>
      <c r="K414" s="25">
        <f t="shared" si="264"/>
        <v>20282.026119384056</v>
      </c>
      <c r="L414" s="25"/>
      <c r="N414" s="25">
        <f>'Combined Retirement'!$C$18/12</f>
        <v>39153.069999999992</v>
      </c>
      <c r="O414" s="25">
        <f t="shared" si="265"/>
        <v>11007.82546143035</v>
      </c>
      <c r="P414" s="25">
        <f t="shared" si="266"/>
        <v>28145.244538569641</v>
      </c>
      <c r="Q414" s="25">
        <f t="array" aca="1" ref="Q414" ca="1">INDEX('Isaac 401k'!L:L,MATCH('Retirement Calculator'!A414,'Isaac 401k'!N:N,0),0)</f>
        <v>1234998.7152034403</v>
      </c>
      <c r="R414" s="25">
        <f t="array" aca="1" ref="R414" ca="1">INDEX('Lorri 401b'!L:L,MATCH('Retirement Calculator'!A414,'Lorri 401b'!N:N,0),0)</f>
        <v>2617403.5459078089</v>
      </c>
      <c r="S414" s="25">
        <f t="shared" ca="1" si="267"/>
        <v>3852402.2611112492</v>
      </c>
    </row>
    <row r="415" spans="1:19" ht="15.75" customHeight="1" x14ac:dyDescent="0.3">
      <c r="A415" s="37">
        <v>63586</v>
      </c>
      <c r="B415" s="409">
        <f t="shared" ref="B415:C415" si="416">($A415-B$9)/365.25</f>
        <v>92.210814510609168</v>
      </c>
      <c r="C415" s="409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3525.4531757812501</v>
      </c>
      <c r="H415" s="25">
        <f>IF(B415&lt;62,0,'Combined Retirement'!$I$14)</f>
        <v>2192</v>
      </c>
      <c r="I415" s="25">
        <f>IF(C415&lt;62,0,'Combined Retirement'!$I$13)</f>
        <v>2420</v>
      </c>
      <c r="J415" s="25">
        <f t="shared" si="263"/>
        <v>7863.2184191855868</v>
      </c>
      <c r="K415" s="25">
        <f t="shared" si="264"/>
        <v>20282.026119384056</v>
      </c>
      <c r="L415" s="25"/>
      <c r="N415" s="25">
        <f>'Combined Retirement'!$C$18/12</f>
        <v>39153.069999999992</v>
      </c>
      <c r="O415" s="25">
        <f t="shared" si="265"/>
        <v>11007.82546143035</v>
      </c>
      <c r="P415" s="25">
        <f t="shared" si="266"/>
        <v>28145.244538569641</v>
      </c>
      <c r="Q415" s="25">
        <f t="array" aca="1" ref="Q415" ca="1">INDEX('Isaac 401k'!L:L,MATCH('Retirement Calculator'!A415,'Isaac 401k'!N:N,0),0)</f>
        <v>1232248.5613541892</v>
      </c>
      <c r="R415" s="25">
        <f t="array" aca="1" ref="R415" ca="1">INDEX('Lorri 401b'!L:L,MATCH('Retirement Calculator'!A415,'Lorri 401b'!N:N,0),0)</f>
        <v>2607942.8594542099</v>
      </c>
      <c r="S415" s="25">
        <f t="shared" ca="1" si="267"/>
        <v>3840191.4208083991</v>
      </c>
    </row>
    <row r="416" spans="1:19" ht="15.75" customHeight="1" x14ac:dyDescent="0.3">
      <c r="A416" s="37">
        <v>63614</v>
      </c>
      <c r="B416" s="409">
        <f t="shared" ref="B416:C416" si="417">($A416-B$9)/365.25</f>
        <v>92.28747433264887</v>
      </c>
      <c r="C416" s="409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3525.4531757812501</v>
      </c>
      <c r="H416" s="25">
        <f>IF(B416&lt;62,0,'Combined Retirement'!$I$14)</f>
        <v>2192</v>
      </c>
      <c r="I416" s="25">
        <f>IF(C416&lt;62,0,'Combined Retirement'!$I$13)</f>
        <v>2420</v>
      </c>
      <c r="J416" s="25">
        <f t="shared" si="263"/>
        <v>7863.2184191855868</v>
      </c>
      <c r="K416" s="25">
        <f t="shared" si="264"/>
        <v>20282.026119384056</v>
      </c>
      <c r="L416" s="25"/>
      <c r="N416" s="25">
        <f>'Combined Retirement'!$C$18/12</f>
        <v>39153.069999999992</v>
      </c>
      <c r="O416" s="25">
        <f t="shared" si="265"/>
        <v>11007.82546143035</v>
      </c>
      <c r="P416" s="25">
        <f t="shared" si="266"/>
        <v>28145.244538569641</v>
      </c>
      <c r="Q416" s="25">
        <f t="array" aca="1" ref="Q416" ca="1">INDEX('Isaac 401k'!L:L,MATCH('Retirement Calculator'!A416,'Isaac 401k'!N:N,0),0)</f>
        <v>1229486.9485305662</v>
      </c>
      <c r="R416" s="25">
        <f t="array" aca="1" ref="R416" ca="1">INDEX('Lorri 401b'!L:L,MATCH('Retirement Calculator'!A416,'Lorri 401b'!N:N,0),0)</f>
        <v>2598442.753473721</v>
      </c>
      <c r="S416" s="25">
        <f t="shared" ca="1" si="267"/>
        <v>3827929.7020042874</v>
      </c>
    </row>
    <row r="417" spans="1:19" ht="15.75" customHeight="1" x14ac:dyDescent="0.3">
      <c r="A417" s="37">
        <v>63645</v>
      </c>
      <c r="B417" s="409">
        <f t="shared" ref="B417:C417" si="418">($A417-B$9)/365.25</f>
        <v>92.372347707049968</v>
      </c>
      <c r="C417" s="409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3525.4531757812501</v>
      </c>
      <c r="H417" s="25">
        <f>IF(B417&lt;62,0,'Combined Retirement'!$I$14)</f>
        <v>2192</v>
      </c>
      <c r="I417" s="25">
        <f>IF(C417&lt;62,0,'Combined Retirement'!$I$13)</f>
        <v>2420</v>
      </c>
      <c r="J417" s="25">
        <f t="shared" si="263"/>
        <v>7863.2184191855868</v>
      </c>
      <c r="K417" s="25">
        <f t="shared" si="264"/>
        <v>20282.026119384056</v>
      </c>
      <c r="L417" s="25"/>
      <c r="N417" s="25">
        <f>'Combined Retirement'!$C$18/12</f>
        <v>39153.069999999992</v>
      </c>
      <c r="O417" s="25">
        <f t="shared" si="265"/>
        <v>11007.82546143035</v>
      </c>
      <c r="P417" s="25">
        <f t="shared" si="266"/>
        <v>28145.244538569641</v>
      </c>
      <c r="Q417" s="25">
        <f t="array" aca="1" ref="Q417" ca="1">INDEX('Isaac 401k'!L:L,MATCH('Retirement Calculator'!A417,'Isaac 401k'!N:N,0),0)</f>
        <v>1226713.8289868447</v>
      </c>
      <c r="R417" s="25">
        <f t="array" aca="1" ref="R417" ca="1">INDEX('Lorri 401b'!L:L,MATCH('Retirement Calculator'!A417,'Lorri 401b'!N:N,0),0)</f>
        <v>2588903.0637183134</v>
      </c>
      <c r="S417" s="25">
        <f t="shared" ca="1" si="267"/>
        <v>3815616.8927051583</v>
      </c>
    </row>
    <row r="418" spans="1:19" ht="15.75" customHeight="1" x14ac:dyDescent="0.3">
      <c r="A418" s="37">
        <v>63675</v>
      </c>
      <c r="B418" s="409">
        <f t="shared" ref="B418:C418" si="419">($A418-B$9)/365.25</f>
        <v>92.454483230663925</v>
      </c>
      <c r="C418" s="409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3525.4531757812501</v>
      </c>
      <c r="H418" s="25">
        <f>IF(B418&lt;62,0,'Combined Retirement'!$I$14)</f>
        <v>2192</v>
      </c>
      <c r="I418" s="25">
        <f>IF(C418&lt;62,0,'Combined Retirement'!$I$13)</f>
        <v>2420</v>
      </c>
      <c r="J418" s="25">
        <f t="shared" si="263"/>
        <v>7863.2184191855868</v>
      </c>
      <c r="K418" s="25">
        <f t="shared" si="264"/>
        <v>20282.026119384056</v>
      </c>
      <c r="L418" s="25"/>
      <c r="N418" s="25">
        <f>'Combined Retirement'!$C$18/12</f>
        <v>39153.069999999992</v>
      </c>
      <c r="O418" s="25">
        <f t="shared" si="265"/>
        <v>11007.82546143035</v>
      </c>
      <c r="P418" s="25">
        <f t="shared" si="266"/>
        <v>28145.244538569641</v>
      </c>
      <c r="Q418" s="25">
        <f t="array" aca="1" ref="Q418" ca="1">INDEX('Isaac 401k'!L:L,MATCH('Retirement Calculator'!A418,'Isaac 401k'!N:N,0),0)</f>
        <v>1223929.1547783578</v>
      </c>
      <c r="R418" s="25">
        <f t="array" aca="1" ref="R418" ca="1">INDEX('Lorri 401b'!L:L,MATCH('Retirement Calculator'!A418,'Lorri 401b'!N:N,0),0)</f>
        <v>2579323.6252555917</v>
      </c>
      <c r="S418" s="25">
        <f t="shared" ca="1" si="267"/>
        <v>3803252.7800339498</v>
      </c>
    </row>
    <row r="419" spans="1:19" ht="15.75" customHeight="1" x14ac:dyDescent="0.3">
      <c r="A419" s="37">
        <v>63706</v>
      </c>
      <c r="B419" s="409">
        <f t="shared" ref="B419:C419" si="420">($A419-B$9)/365.25</f>
        <v>92.539356605065024</v>
      </c>
      <c r="C419" s="409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3525.4531757812501</v>
      </c>
      <c r="H419" s="25">
        <f>IF(B419&lt;62,0,'Combined Retirement'!$I$14)</f>
        <v>2192</v>
      </c>
      <c r="I419" s="25">
        <f>IF(C419&lt;62,0,'Combined Retirement'!$I$13)</f>
        <v>2420</v>
      </c>
      <c r="J419" s="25">
        <f t="shared" si="263"/>
        <v>7863.2184191855868</v>
      </c>
      <c r="K419" s="25">
        <f t="shared" si="264"/>
        <v>20282.026119384056</v>
      </c>
      <c r="L419" s="25"/>
      <c r="N419" s="25">
        <f>'Combined Retirement'!$C$18/12</f>
        <v>39153.069999999992</v>
      </c>
      <c r="O419" s="25">
        <f t="shared" si="265"/>
        <v>11007.82546143035</v>
      </c>
      <c r="P419" s="25">
        <f t="shared" si="266"/>
        <v>28145.244538569641</v>
      </c>
      <c r="Q419" s="25">
        <f t="array" aca="1" ref="Q419" ca="1">INDEX('Isaac 401k'!L:L,MATCH('Retirement Calculator'!A419,'Isaac 401k'!N:N,0),0)</f>
        <v>1221132.8777606688</v>
      </c>
      <c r="R419" s="25">
        <f t="array" aca="1" ref="R419" ca="1">INDEX('Lorri 401b'!L:L,MATCH('Retirement Calculator'!A419,'Lorri 401b'!N:N,0),0)</f>
        <v>2569704.272465942</v>
      </c>
      <c r="S419" s="25">
        <f t="shared" ca="1" si="267"/>
        <v>3790837.1502266107</v>
      </c>
    </row>
    <row r="420" spans="1:19" ht="15.75" customHeight="1" x14ac:dyDescent="0.3">
      <c r="A420" s="37">
        <v>63736</v>
      </c>
      <c r="B420" s="409">
        <f t="shared" ref="B420:C420" si="421">($A420-B$9)/365.25</f>
        <v>92.62149212867898</v>
      </c>
      <c r="C420" s="409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3525.4531757812501</v>
      </c>
      <c r="H420" s="25">
        <f>IF(B420&lt;62,0,'Combined Retirement'!$I$14)</f>
        <v>2192</v>
      </c>
      <c r="I420" s="25">
        <f>IF(C420&lt;62,0,'Combined Retirement'!$I$13)</f>
        <v>2420</v>
      </c>
      <c r="J420" s="25">
        <f t="shared" si="263"/>
        <v>7863.2184191855868</v>
      </c>
      <c r="K420" s="25">
        <f t="shared" si="264"/>
        <v>20282.026119384056</v>
      </c>
      <c r="L420" s="25"/>
      <c r="N420" s="25">
        <f>'Combined Retirement'!$C$18/12</f>
        <v>39153.069999999992</v>
      </c>
      <c r="O420" s="25">
        <f t="shared" si="265"/>
        <v>11007.82546143035</v>
      </c>
      <c r="P420" s="25">
        <f t="shared" si="266"/>
        <v>28145.244538569641</v>
      </c>
      <c r="Q420" s="25">
        <f t="array" aca="1" ref="Q420" ca="1">INDEX('Isaac 401k'!L:L,MATCH('Retirement Calculator'!A420,'Isaac 401k'!N:N,0),0)</f>
        <v>1218324.9495887393</v>
      </c>
      <c r="R420" s="25">
        <f t="array" aca="1" ref="R420" ca="1">INDEX('Lorri 401b'!L:L,MATCH('Retirement Calculator'!A420,'Lorri 401b'!N:N,0),0)</f>
        <v>2560044.8390396684</v>
      </c>
      <c r="S420" s="25">
        <f t="shared" ca="1" si="267"/>
        <v>3778369.7886284078</v>
      </c>
    </row>
    <row r="421" spans="1:19" ht="15.75" customHeight="1" x14ac:dyDescent="0.3">
      <c r="A421" s="37">
        <v>63767</v>
      </c>
      <c r="B421" s="409">
        <f t="shared" ref="B421:C421" si="422">($A421-B$9)/365.25</f>
        <v>92.706365503080079</v>
      </c>
      <c r="C421" s="409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3525.4531757812501</v>
      </c>
      <c r="H421" s="25">
        <f>IF(B421&lt;62,0,'Combined Retirement'!$I$14)</f>
        <v>2192</v>
      </c>
      <c r="I421" s="25">
        <f>IF(C421&lt;62,0,'Combined Retirement'!$I$13)</f>
        <v>2420</v>
      </c>
      <c r="J421" s="25">
        <f t="shared" si="263"/>
        <v>7863.2184191855868</v>
      </c>
      <c r="K421" s="25">
        <f t="shared" si="264"/>
        <v>20282.026119384056</v>
      </c>
      <c r="L421" s="25"/>
      <c r="N421" s="25">
        <f>'Combined Retirement'!$C$18/12</f>
        <v>39153.069999999992</v>
      </c>
      <c r="O421" s="25">
        <f t="shared" si="265"/>
        <v>11007.82546143035</v>
      </c>
      <c r="P421" s="25">
        <f t="shared" si="266"/>
        <v>28145.244538569641</v>
      </c>
      <c r="Q421" s="25">
        <f t="array" aca="1" ref="Q421" ca="1">INDEX('Isaac 401k'!L:L,MATCH('Retirement Calculator'!A421,'Isaac 401k'!N:N,0),0)</f>
        <v>1215505.3217160935</v>
      </c>
      <c r="R421" s="25">
        <f t="array" aca="1" ref="R421" ca="1">INDEX('Lorri 401b'!L:L,MATCH('Retirement Calculator'!A421,'Lorri 401b'!N:N,0),0)</f>
        <v>2550345.1579741188</v>
      </c>
      <c r="S421" s="25">
        <f t="shared" ca="1" si="267"/>
        <v>3765850.4796902123</v>
      </c>
    </row>
    <row r="422" spans="1:19" ht="15.75" customHeight="1" x14ac:dyDescent="0.3">
      <c r="A422" s="37">
        <v>63798</v>
      </c>
      <c r="B422" s="409">
        <f t="shared" ref="B422:C422" si="423">($A422-B$9)/365.25</f>
        <v>92.791238877481177</v>
      </c>
      <c r="C422" s="409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3525.4531757812501</v>
      </c>
      <c r="H422" s="25">
        <f>IF(B422&lt;62,0,'Combined Retirement'!$I$14)</f>
        <v>2192</v>
      </c>
      <c r="I422" s="25">
        <f>IF(C422&lt;62,0,'Combined Retirement'!$I$13)</f>
        <v>2420</v>
      </c>
      <c r="J422" s="25">
        <f t="shared" si="263"/>
        <v>7863.2184191855868</v>
      </c>
      <c r="K422" s="25">
        <f t="shared" si="264"/>
        <v>20282.026119384056</v>
      </c>
      <c r="L422" s="25"/>
      <c r="N422" s="25">
        <f>'Combined Retirement'!$C$18/12</f>
        <v>39153.069999999992</v>
      </c>
      <c r="O422" s="25">
        <f t="shared" si="265"/>
        <v>11007.82546143035</v>
      </c>
      <c r="P422" s="25">
        <f t="shared" si="266"/>
        <v>28145.244538569641</v>
      </c>
      <c r="Q422" s="25">
        <f t="array" aca="1" ref="Q422" ca="1">INDEX('Isaac 401k'!L:L,MATCH('Retirement Calculator'!A422,'Isaac 401k'!N:N,0),0)</f>
        <v>1212673.9453939784</v>
      </c>
      <c r="R422" s="25">
        <f t="array" aca="1" ref="R422" ca="1">INDEX('Lorri 401b'!L:L,MATCH('Retirement Calculator'!A422,'Lorri 401b'!N:N,0),0)</f>
        <v>2540605.0615707962</v>
      </c>
      <c r="S422" s="25">
        <f t="shared" ca="1" si="267"/>
        <v>3753279.0069647748</v>
      </c>
    </row>
    <row r="423" spans="1:19" ht="15.75" customHeight="1" x14ac:dyDescent="0.3">
      <c r="A423" s="37">
        <v>63828</v>
      </c>
      <c r="B423" s="409">
        <f t="shared" ref="B423:C423" si="424">($A423-B$9)/365.25</f>
        <v>92.873374401095134</v>
      </c>
      <c r="C423" s="409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3525.4531757812501</v>
      </c>
      <c r="H423" s="25">
        <f>IF(B423&lt;62,0,'Combined Retirement'!$I$14)</f>
        <v>2192</v>
      </c>
      <c r="I423" s="25">
        <f>IF(C423&lt;62,0,'Combined Retirement'!$I$13)</f>
        <v>2420</v>
      </c>
      <c r="J423" s="25">
        <f t="shared" si="263"/>
        <v>7863.2184191855868</v>
      </c>
      <c r="K423" s="25">
        <f t="shared" si="264"/>
        <v>20282.026119384056</v>
      </c>
      <c r="L423" s="25"/>
      <c r="N423" s="25">
        <f>'Combined Retirement'!$C$18/12</f>
        <v>39153.069999999992</v>
      </c>
      <c r="O423" s="25">
        <f t="shared" si="265"/>
        <v>11007.82546143035</v>
      </c>
      <c r="P423" s="25">
        <f t="shared" si="266"/>
        <v>28145.244538569641</v>
      </c>
      <c r="Q423" s="25">
        <f t="array" aca="1" ref="Q423" ca="1">INDEX('Isaac 401k'!L:L,MATCH('Retirement Calculator'!A423,'Isaac 401k'!N:N,0),0)</f>
        <v>1209830.771670521</v>
      </c>
      <c r="R423" s="25">
        <f t="array" aca="1" ref="R423" ca="1">INDEX('Lorri 401b'!L:L,MATCH('Retirement Calculator'!A423,'Lorri 401b'!N:N,0),0)</f>
        <v>2530824.3814324597</v>
      </c>
      <c r="S423" s="25">
        <f t="shared" ca="1" si="267"/>
        <v>3740655.1531029809</v>
      </c>
    </row>
    <row r="424" spans="1:19" ht="15.75" customHeight="1" x14ac:dyDescent="0.3">
      <c r="A424" s="37">
        <v>63859</v>
      </c>
      <c r="B424" s="409">
        <f t="shared" ref="B424:C424" si="425">($A424-B$9)/365.25</f>
        <v>92.958247775496233</v>
      </c>
      <c r="C424" s="409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3525.4531757812501</v>
      </c>
      <c r="H424" s="25">
        <f>IF(B424&lt;62,0,'Combined Retirement'!$I$14)</f>
        <v>2192</v>
      </c>
      <c r="I424" s="25">
        <f>IF(C424&lt;62,0,'Combined Retirement'!$I$13)</f>
        <v>2420</v>
      </c>
      <c r="J424" s="25">
        <f t="shared" si="263"/>
        <v>7863.2184191855868</v>
      </c>
      <c r="K424" s="25">
        <f t="shared" si="264"/>
        <v>20282.026119384056</v>
      </c>
      <c r="L424" s="25"/>
      <c r="N424" s="25">
        <f>'Combined Retirement'!$C$18/12</f>
        <v>39153.069999999992</v>
      </c>
      <c r="O424" s="25">
        <f t="shared" si="265"/>
        <v>11007.82546143035</v>
      </c>
      <c r="P424" s="25">
        <f t="shared" si="266"/>
        <v>28145.244538569641</v>
      </c>
      <c r="Q424" s="25">
        <f t="array" aca="1" ref="Q424" ca="1">INDEX('Isaac 401k'!L:L,MATCH('Retirement Calculator'!A424,'Isaac 401k'!N:N,0),0)</f>
        <v>1206975.7513898825</v>
      </c>
      <c r="R424" s="25">
        <f t="array" aca="1" ref="R424" ca="1">INDEX('Lorri 401b'!L:L,MATCH('Retirement Calculator'!A424,'Lorri 401b'!N:N,0),0)</f>
        <v>2521002.9484602134</v>
      </c>
      <c r="S424" s="25">
        <f t="shared" ca="1" si="267"/>
        <v>3727978.6998500959</v>
      </c>
    </row>
    <row r="425" spans="1:19" ht="15.75" customHeight="1" x14ac:dyDescent="0.3">
      <c r="A425" s="37">
        <v>63889</v>
      </c>
      <c r="B425" s="409">
        <f t="shared" ref="B425:C425" si="426">($A425-B$9)/365.25</f>
        <v>93.040383299110204</v>
      </c>
      <c r="C425" s="409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3525.4531757812501</v>
      </c>
      <c r="H425" s="25">
        <f>IF(B425&lt;62,0,'Combined Retirement'!$I$14)</f>
        <v>2192</v>
      </c>
      <c r="I425" s="25">
        <f>IF(C425&lt;62,0,'Combined Retirement'!$I$13)</f>
        <v>2420</v>
      </c>
      <c r="J425" s="25">
        <f t="shared" si="263"/>
        <v>7863.2184191855868</v>
      </c>
      <c r="K425" s="25">
        <f t="shared" si="264"/>
        <v>20282.026119384056</v>
      </c>
      <c r="L425" s="25"/>
      <c r="N425" s="25">
        <f>'Combined Retirement'!$C$18/12</f>
        <v>39153.069999999992</v>
      </c>
      <c r="O425" s="25">
        <f t="shared" si="265"/>
        <v>11007.82546143035</v>
      </c>
      <c r="P425" s="25">
        <f t="shared" si="266"/>
        <v>28145.244538569641</v>
      </c>
      <c r="Q425" s="25">
        <f t="array" aca="1" ref="Q425" ca="1">INDEX('Isaac 401k'!L:L,MATCH('Retirement Calculator'!A425,'Isaac 401k'!N:N,0),0)</f>
        <v>1204108.8351914082</v>
      </c>
      <c r="R425" s="25">
        <f t="array" aca="1" ref="R425" ca="1">INDEX('Lorri 401b'!L:L,MATCH('Retirement Calculator'!A425,'Lorri 401b'!N:N,0),0)</f>
        <v>2511140.5928505827</v>
      </c>
      <c r="S425" s="25">
        <f t="shared" ca="1" si="267"/>
        <v>3715249.4280419908</v>
      </c>
    </row>
    <row r="426" spans="1:19" ht="15.75" customHeight="1" x14ac:dyDescent="0.3">
      <c r="A426" s="37">
        <v>63920</v>
      </c>
      <c r="B426" s="409">
        <f t="shared" ref="B426:C426" si="427">($A426-B$9)/365.25</f>
        <v>93.125256673511288</v>
      </c>
      <c r="C426" s="409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3525.4531757812501</v>
      </c>
      <c r="H426" s="25">
        <f>IF(B426&lt;62,0,'Combined Retirement'!$I$14)</f>
        <v>2192</v>
      </c>
      <c r="I426" s="25">
        <f>IF(C426&lt;62,0,'Combined Retirement'!$I$13)</f>
        <v>2420</v>
      </c>
      <c r="J426" s="25">
        <f t="shared" si="263"/>
        <v>7863.2184191855868</v>
      </c>
      <c r="K426" s="25">
        <f t="shared" si="264"/>
        <v>20282.026119384056</v>
      </c>
      <c r="L426" s="25"/>
      <c r="N426" s="25">
        <f>'Combined Retirement'!$C$18/12</f>
        <v>39153.069999999992</v>
      </c>
      <c r="O426" s="25">
        <f t="shared" si="265"/>
        <v>11007.82546143035</v>
      </c>
      <c r="P426" s="25">
        <f t="shared" si="266"/>
        <v>28145.244538569641</v>
      </c>
      <c r="Q426" s="25">
        <f t="array" aca="1" ref="Q426" ca="1">INDEX('Isaac 401k'!L:L,MATCH('Retirement Calculator'!A426,'Isaac 401k'!N:N,0),0)</f>
        <v>1201229.9735087736</v>
      </c>
      <c r="R426" s="25">
        <f t="array" aca="1" ref="R426" ca="1">INDEX('Lorri 401b'!L:L,MATCH('Retirement Calculator'!A426,'Lorri 401b'!N:N,0),0)</f>
        <v>2501237.1440925789</v>
      </c>
      <c r="S426" s="25">
        <f t="shared" ca="1" si="267"/>
        <v>3702467.1176013527</v>
      </c>
    </row>
    <row r="427" spans="1:19" ht="15.75" customHeight="1" x14ac:dyDescent="0.3">
      <c r="A427" s="37">
        <v>63951</v>
      </c>
      <c r="B427" s="409">
        <f t="shared" ref="B427:C427" si="428">($A427-B$9)/365.25</f>
        <v>93.210130047912386</v>
      </c>
      <c r="C427" s="409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3525.4531757812501</v>
      </c>
      <c r="H427" s="25">
        <f>IF(B427&lt;62,0,'Combined Retirement'!$I$14)</f>
        <v>2192</v>
      </c>
      <c r="I427" s="25">
        <f>IF(C427&lt;62,0,'Combined Retirement'!$I$13)</f>
        <v>2420</v>
      </c>
      <c r="J427" s="25">
        <f t="shared" si="263"/>
        <v>7863.2184191855868</v>
      </c>
      <c r="K427" s="25">
        <f t="shared" si="264"/>
        <v>20282.026119384056</v>
      </c>
      <c r="L427" s="25"/>
      <c r="N427" s="25">
        <f>'Combined Retirement'!$C$18/12</f>
        <v>39153.069999999992</v>
      </c>
      <c r="O427" s="25">
        <f t="shared" si="265"/>
        <v>11007.82546143035</v>
      </c>
      <c r="P427" s="25">
        <f t="shared" si="266"/>
        <v>28145.244538569641</v>
      </c>
      <c r="Q427" s="25">
        <f t="array" aca="1" ref="Q427" ca="1">INDEX('Isaac 401k'!L:L,MATCH('Retirement Calculator'!A427,'Isaac 401k'!N:N,0),0)</f>
        <v>1198339.1165691279</v>
      </c>
      <c r="R427" s="25">
        <f t="array" aca="1" ref="R427" ca="1">INDEX('Lorri 401b'!L:L,MATCH('Retirement Calculator'!A427,'Lorri 401b'!N:N,0),0)</f>
        <v>2491292.4309647498</v>
      </c>
      <c r="S427" s="25">
        <f t="shared" ca="1" si="267"/>
        <v>3689631.5475338777</v>
      </c>
    </row>
    <row r="428" spans="1:19" ht="15.75" customHeight="1" x14ac:dyDescent="0.3">
      <c r="A428" s="37">
        <v>63979</v>
      </c>
      <c r="B428" s="409">
        <f t="shared" ref="B428:C428" si="429">($A428-B$9)/365.25</f>
        <v>93.286789869952088</v>
      </c>
      <c r="C428" s="409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3525.4531757812501</v>
      </c>
      <c r="H428" s="25">
        <f>IF(B428&lt;62,0,'Combined Retirement'!$I$14)</f>
        <v>2192</v>
      </c>
      <c r="I428" s="25">
        <f>IF(C428&lt;62,0,'Combined Retirement'!$I$13)</f>
        <v>2420</v>
      </c>
      <c r="J428" s="25">
        <f t="shared" si="263"/>
        <v>7863.2184191855868</v>
      </c>
      <c r="K428" s="25">
        <f t="shared" si="264"/>
        <v>20282.026119384056</v>
      </c>
      <c r="L428" s="25"/>
      <c r="N428" s="25">
        <f>'Combined Retirement'!$C$18/12</f>
        <v>39153.069999999992</v>
      </c>
      <c r="O428" s="25">
        <f t="shared" si="265"/>
        <v>11007.82546143035</v>
      </c>
      <c r="P428" s="25">
        <f t="shared" si="266"/>
        <v>28145.244538569641</v>
      </c>
      <c r="Q428" s="25">
        <f t="array" aca="1" ref="Q428" ca="1">INDEX('Isaac 401k'!L:L,MATCH('Retirement Calculator'!A428,'Isaac 401k'!N:N,0),0)</f>
        <v>1195436.2143922336</v>
      </c>
      <c r="R428" s="25">
        <f t="array" aca="1" ref="R428" ca="1">INDEX('Lorri 401b'!L:L,MATCH('Retirement Calculator'!A428,'Lorri 401b'!N:N,0),0)</f>
        <v>2481306.2815322215</v>
      </c>
      <c r="S428" s="25">
        <f t="shared" ca="1" si="267"/>
        <v>3676742.4959244551</v>
      </c>
    </row>
    <row r="429" spans="1:19" ht="15.75" customHeight="1" x14ac:dyDescent="0.3">
      <c r="A429" s="37">
        <v>64010</v>
      </c>
      <c r="B429" s="409">
        <f t="shared" ref="B429:C429" si="430">($A429-B$9)/365.25</f>
        <v>93.371663244353186</v>
      </c>
      <c r="C429" s="409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3525.4531757812501</v>
      </c>
      <c r="H429" s="25">
        <f>IF(B429&lt;62,0,'Combined Retirement'!$I$14)</f>
        <v>2192</v>
      </c>
      <c r="I429" s="25">
        <f>IF(C429&lt;62,0,'Combined Retirement'!$I$13)</f>
        <v>2420</v>
      </c>
      <c r="J429" s="25">
        <f t="shared" si="263"/>
        <v>7863.2184191855868</v>
      </c>
      <c r="K429" s="25">
        <f t="shared" si="264"/>
        <v>20282.026119384056</v>
      </c>
      <c r="L429" s="25"/>
      <c r="N429" s="25">
        <f>'Combined Retirement'!$C$18/12</f>
        <v>39153.069999999992</v>
      </c>
      <c r="O429" s="25">
        <f t="shared" si="265"/>
        <v>11007.82546143035</v>
      </c>
      <c r="P429" s="25">
        <f t="shared" si="266"/>
        <v>28145.244538569641</v>
      </c>
      <c r="Q429" s="25">
        <f t="array" aca="1" ref="Q429" ca="1">INDEX('Isaac 401k'!L:L,MATCH('Retirement Calculator'!A429,'Isaac 401k'!N:N,0),0)</f>
        <v>1192521.2167896023</v>
      </c>
      <c r="R429" s="25">
        <f t="array" aca="1" ref="R429" ca="1">INDEX('Lorri 401b'!L:L,MATCH('Retirement Calculator'!A429,'Lorri 401b'!N:N,0),0)</f>
        <v>2471278.5231437245</v>
      </c>
      <c r="S429" s="25">
        <f t="shared" ca="1" si="267"/>
        <v>3663799.7399333268</v>
      </c>
    </row>
    <row r="430" spans="1:19" ht="15.75" customHeight="1" x14ac:dyDescent="0.3">
      <c r="A430" s="37">
        <v>64040</v>
      </c>
      <c r="B430" s="409">
        <f t="shared" ref="B430:C430" si="431">($A430-B$9)/365.25</f>
        <v>93.453798767967143</v>
      </c>
      <c r="C430" s="409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3525.4531757812501</v>
      </c>
      <c r="H430" s="25">
        <f>IF(B430&lt;62,0,'Combined Retirement'!$I$14)</f>
        <v>2192</v>
      </c>
      <c r="I430" s="25">
        <f>IF(C430&lt;62,0,'Combined Retirement'!$I$13)</f>
        <v>2420</v>
      </c>
      <c r="J430" s="25">
        <f t="shared" si="263"/>
        <v>7863.2184191855868</v>
      </c>
      <c r="K430" s="25">
        <f t="shared" si="264"/>
        <v>20282.026119384056</v>
      </c>
      <c r="L430" s="25"/>
      <c r="N430" s="25">
        <f>'Combined Retirement'!$C$18/12</f>
        <v>39153.069999999992</v>
      </c>
      <c r="O430" s="25">
        <f t="shared" si="265"/>
        <v>11007.82546143035</v>
      </c>
      <c r="P430" s="25">
        <f t="shared" si="266"/>
        <v>28145.244538569641</v>
      </c>
      <c r="Q430" s="25">
        <f t="array" aca="1" ref="Q430" ca="1">INDEX('Isaac 401k'!L:L,MATCH('Retirement Calculator'!A430,'Isaac 401k'!N:N,0),0)</f>
        <v>1189594.0733636268</v>
      </c>
      <c r="R430" s="25">
        <f t="array" aca="1" ref="R430" ca="1">INDEX('Lorri 401b'!L:L,MATCH('Retirement Calculator'!A430,'Lorri 401b'!N:N,0),0)</f>
        <v>2461208.9824286085</v>
      </c>
      <c r="S430" s="25">
        <f t="shared" ca="1" si="267"/>
        <v>3650803.0557922353</v>
      </c>
    </row>
    <row r="431" spans="1:19" ht="15.75" customHeight="1" x14ac:dyDescent="0.3">
      <c r="A431" s="37">
        <v>64071</v>
      </c>
      <c r="B431" s="409">
        <f t="shared" ref="B431:C431" si="432">($A431-B$9)/365.25</f>
        <v>93.538672142368242</v>
      </c>
      <c r="C431" s="409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3525.4531757812501</v>
      </c>
      <c r="H431" s="25">
        <f>IF(B431&lt;62,0,'Combined Retirement'!$I$14)</f>
        <v>2192</v>
      </c>
      <c r="I431" s="25">
        <f>IF(C431&lt;62,0,'Combined Retirement'!$I$13)</f>
        <v>2420</v>
      </c>
      <c r="J431" s="25">
        <f t="shared" si="263"/>
        <v>7863.2184191855868</v>
      </c>
      <c r="K431" s="25">
        <f t="shared" si="264"/>
        <v>20282.026119384056</v>
      </c>
      <c r="L431" s="25"/>
      <c r="N431" s="25">
        <f>'Combined Retirement'!$C$18/12</f>
        <v>39153.069999999992</v>
      </c>
      <c r="O431" s="25">
        <f t="shared" si="265"/>
        <v>11007.82546143035</v>
      </c>
      <c r="P431" s="25">
        <f t="shared" si="266"/>
        <v>28145.244538569641</v>
      </c>
      <c r="Q431" s="25">
        <f t="array" aca="1" ref="Q431" ca="1">INDEX('Isaac 401k'!L:L,MATCH('Retirement Calculator'!A431,'Isaac 401k'!N:N,0),0)</f>
        <v>1186654.7335067098</v>
      </c>
      <c r="R431" s="25">
        <f t="array" aca="1" ref="R431" ca="1">INDEX('Lorri 401b'!L:L,MATCH('Retirement Calculator'!A431,'Lorri 401b'!N:N,0),0)</f>
        <v>2451097.4852938461</v>
      </c>
      <c r="S431" s="25">
        <f t="shared" ca="1" si="267"/>
        <v>3637752.2188005559</v>
      </c>
    </row>
    <row r="432" spans="1:19" ht="15.75" customHeight="1" x14ac:dyDescent="0.3">
      <c r="A432" s="37">
        <v>64101</v>
      </c>
      <c r="B432" s="409">
        <f t="shared" ref="B432:C432" si="433">($A432-B$9)/365.25</f>
        <v>93.620807665982198</v>
      </c>
      <c r="C432" s="409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3525.4531757812501</v>
      </c>
      <c r="H432" s="25">
        <f>IF(B432&lt;62,0,'Combined Retirement'!$I$14)</f>
        <v>2192</v>
      </c>
      <c r="I432" s="25">
        <f>IF(C432&lt;62,0,'Combined Retirement'!$I$13)</f>
        <v>2420</v>
      </c>
      <c r="J432" s="25">
        <f t="shared" si="263"/>
        <v>7863.2184191855868</v>
      </c>
      <c r="K432" s="25">
        <f t="shared" si="264"/>
        <v>20282.026119384056</v>
      </c>
      <c r="L432" s="25"/>
      <c r="N432" s="25">
        <f>'Combined Retirement'!$C$18/12</f>
        <v>39153.069999999992</v>
      </c>
      <c r="O432" s="25">
        <f t="shared" si="265"/>
        <v>11007.82546143035</v>
      </c>
      <c r="P432" s="25">
        <f t="shared" si="266"/>
        <v>28145.244538569641</v>
      </c>
      <c r="Q432" s="25">
        <f t="array" aca="1" ref="Q432" ca="1">INDEX('Isaac 401k'!L:L,MATCH('Retirement Calculator'!A432,'Isaac 401k'!N:N,0),0)</f>
        <v>1183703.1464003888</v>
      </c>
      <c r="R432" s="25">
        <f t="array" aca="1" ref="R432" ca="1">INDEX('Lorri 401b'!L:L,MATCH('Retirement Calculator'!A432,'Lorri 401b'!N:N,0),0)</f>
        <v>2440943.8569210223</v>
      </c>
      <c r="S432" s="25">
        <f t="shared" ca="1" si="267"/>
        <v>3624647.0033214111</v>
      </c>
    </row>
    <row r="433" spans="1:19" ht="15.75" customHeight="1" x14ac:dyDescent="0.3">
      <c r="A433" s="37">
        <v>64132</v>
      </c>
      <c r="B433" s="409">
        <f t="shared" ref="B433:C433" si="434">($A433-B$9)/365.25</f>
        <v>93.705681040383297</v>
      </c>
      <c r="C433" s="409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3525.4531757812501</v>
      </c>
      <c r="H433" s="25">
        <f>IF(B433&lt;62,0,'Combined Retirement'!$I$14)</f>
        <v>2192</v>
      </c>
      <c r="I433" s="25">
        <f>IF(C433&lt;62,0,'Combined Retirement'!$I$13)</f>
        <v>2420</v>
      </c>
      <c r="J433" s="25">
        <f t="shared" si="263"/>
        <v>7863.2184191855868</v>
      </c>
      <c r="K433" s="25">
        <f t="shared" si="264"/>
        <v>20282.026119384056</v>
      </c>
      <c r="L433" s="25"/>
      <c r="N433" s="25">
        <f>'Combined Retirement'!$C$18/12</f>
        <v>39153.069999999992</v>
      </c>
      <c r="O433" s="25">
        <f t="shared" si="265"/>
        <v>11007.82546143035</v>
      </c>
      <c r="P433" s="25">
        <f t="shared" si="266"/>
        <v>28145.244538569641</v>
      </c>
      <c r="Q433" s="25">
        <f t="array" aca="1" ref="Q433" ca="1">INDEX('Isaac 401k'!L:L,MATCH('Retirement Calculator'!A433,'Isaac 401k'!N:N,0),0)</f>
        <v>1180739.2610144583</v>
      </c>
      <c r="R433" s="25">
        <f t="array" aca="1" ref="R433" ca="1">INDEX('Lorri 401b'!L:L,MATCH('Retirement Calculator'!A433,'Lorri 401b'!N:N,0),0)</f>
        <v>2430747.9217633116</v>
      </c>
      <c r="S433" s="25">
        <f t="shared" ca="1" si="267"/>
        <v>3611487.1827777699</v>
      </c>
    </row>
    <row r="434" spans="1:19" ht="15.75" customHeight="1" x14ac:dyDescent="0.3">
      <c r="A434" s="37">
        <v>64163</v>
      </c>
      <c r="B434" s="409">
        <f t="shared" ref="B434:C434" si="435">($A434-B$9)/365.25</f>
        <v>93.790554414784395</v>
      </c>
      <c r="C434" s="409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3525.4531757812501</v>
      </c>
      <c r="H434" s="25">
        <f>IF(B434&lt;62,0,'Combined Retirement'!$I$14)</f>
        <v>2192</v>
      </c>
      <c r="I434" s="25">
        <f>IF(C434&lt;62,0,'Combined Retirement'!$I$13)</f>
        <v>2420</v>
      </c>
      <c r="J434" s="25">
        <f t="shared" si="263"/>
        <v>7863.2184191855868</v>
      </c>
      <c r="K434" s="25">
        <f t="shared" si="264"/>
        <v>20282.026119384056</v>
      </c>
      <c r="L434" s="25"/>
      <c r="N434" s="25">
        <f>'Combined Retirement'!$C$18/12</f>
        <v>39153.069999999992</v>
      </c>
      <c r="O434" s="25">
        <f t="shared" si="265"/>
        <v>11007.82546143035</v>
      </c>
      <c r="P434" s="25">
        <f t="shared" si="266"/>
        <v>28145.244538569641</v>
      </c>
      <c r="Q434" s="25">
        <f t="array" aca="1" ref="Q434" ca="1">INDEX('Isaac 401k'!L:L,MATCH('Retirement Calculator'!A434,'Isaac 401k'!N:N,0),0)</f>
        <v>1177763.0261060863</v>
      </c>
      <c r="R434" s="25">
        <f t="array" aca="1" ref="R434" ca="1">INDEX('Lorri 401b'!L:L,MATCH('Retirement Calculator'!A434,'Lorri 401b'!N:N,0),0)</f>
        <v>2420509.5035424442</v>
      </c>
      <c r="S434" s="25">
        <f t="shared" ca="1" si="267"/>
        <v>3598272.5296485303</v>
      </c>
    </row>
    <row r="435" spans="1:19" ht="15.75" customHeight="1" x14ac:dyDescent="0.3">
      <c r="A435" s="37">
        <v>64193</v>
      </c>
      <c r="B435" s="409">
        <f t="shared" ref="B435:C435" si="436">($A435-B$9)/365.25</f>
        <v>93.872689938398352</v>
      </c>
      <c r="C435" s="409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3525.4531757812501</v>
      </c>
      <c r="H435" s="25">
        <f>IF(B435&lt;62,0,'Combined Retirement'!$I$14)</f>
        <v>2192</v>
      </c>
      <c r="I435" s="25">
        <f>IF(C435&lt;62,0,'Combined Retirement'!$I$13)</f>
        <v>2420</v>
      </c>
      <c r="J435" s="25">
        <f t="shared" si="263"/>
        <v>7863.2184191855868</v>
      </c>
      <c r="K435" s="25">
        <f t="shared" si="264"/>
        <v>20282.026119384056</v>
      </c>
      <c r="L435" s="25"/>
      <c r="N435" s="25">
        <f>'Combined Retirement'!$C$18/12</f>
        <v>39153.069999999992</v>
      </c>
      <c r="O435" s="25">
        <f t="shared" si="265"/>
        <v>11007.82546143035</v>
      </c>
      <c r="P435" s="25">
        <f t="shared" si="266"/>
        <v>28145.244538569641</v>
      </c>
      <c r="Q435" s="25">
        <f t="array" aca="1" ref="Q435" ca="1">INDEX('Isaac 401k'!L:L,MATCH('Retirement Calculator'!A435,'Isaac 401k'!N:N,0),0)</f>
        <v>1174774.3902189294</v>
      </c>
      <c r="R435" s="25">
        <f t="array" aca="1" ref="R435" ca="1">INDEX('Lorri 401b'!L:L,MATCH('Retirement Calculator'!A435,'Lorri 401b'!N:N,0),0)</f>
        <v>2410228.4252456562</v>
      </c>
      <c r="S435" s="25">
        <f t="shared" ca="1" si="267"/>
        <v>3585002.8154645856</v>
      </c>
    </row>
    <row r="436" spans="1:19" ht="15.75" customHeight="1" x14ac:dyDescent="0.3">
      <c r="A436" s="37">
        <v>64224</v>
      </c>
      <c r="B436" s="409">
        <f t="shared" ref="B436:C436" si="437">($A436-B$9)/365.25</f>
        <v>93.957563312799451</v>
      </c>
      <c r="C436" s="409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3525.4531757812501</v>
      </c>
      <c r="H436" s="25">
        <f>IF(B436&lt;62,0,'Combined Retirement'!$I$14)</f>
        <v>2192</v>
      </c>
      <c r="I436" s="25">
        <f>IF(C436&lt;62,0,'Combined Retirement'!$I$13)</f>
        <v>2420</v>
      </c>
      <c r="J436" s="25">
        <f t="shared" si="263"/>
        <v>7863.2184191855868</v>
      </c>
      <c r="K436" s="25">
        <f t="shared" si="264"/>
        <v>20282.026119384056</v>
      </c>
      <c r="L436" s="25"/>
      <c r="N436" s="25">
        <f>'Combined Retirement'!$C$18/12</f>
        <v>39153.069999999992</v>
      </c>
      <c r="O436" s="25">
        <f t="shared" si="265"/>
        <v>11007.82546143035</v>
      </c>
      <c r="P436" s="25">
        <f t="shared" si="266"/>
        <v>28145.244538569641</v>
      </c>
      <c r="Q436" s="25">
        <f t="array" aca="1" ref="Q436" ca="1">INDEX('Isaac 401k'!L:L,MATCH('Retirement Calculator'!A436,'Isaac 401k'!N:N,0),0)</f>
        <v>1171773.3016822427</v>
      </c>
      <c r="R436" s="25">
        <f t="array" aca="1" ref="R436" ca="1">INDEX('Lorri 401b'!L:L,MATCH('Retirement Calculator'!A436,'Lorri 401b'!N:N,0),0)</f>
        <v>2399904.5091226315</v>
      </c>
      <c r="S436" s="25">
        <f t="shared" ca="1" si="267"/>
        <v>3571677.8108048742</v>
      </c>
    </row>
    <row r="437" spans="1:19" ht="15.75" customHeight="1" x14ac:dyDescent="0.3">
      <c r="A437" s="37">
        <v>64254</v>
      </c>
      <c r="B437" s="409">
        <f t="shared" ref="B437:C437" si="438">($A437-B$9)/365.25</f>
        <v>94.039698836413422</v>
      </c>
      <c r="C437" s="409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3525.4531757812501</v>
      </c>
      <c r="H437" s="25">
        <f>IF(B437&lt;62,0,'Combined Retirement'!$I$14)</f>
        <v>2192</v>
      </c>
      <c r="I437" s="25">
        <f>IF(C437&lt;62,0,'Combined Retirement'!$I$13)</f>
        <v>2420</v>
      </c>
      <c r="J437" s="25">
        <f t="shared" si="263"/>
        <v>7863.2184191855868</v>
      </c>
      <c r="K437" s="25">
        <f t="shared" si="264"/>
        <v>20282.026119384056</v>
      </c>
      <c r="L437" s="25"/>
      <c r="N437" s="25">
        <f>'Combined Retirement'!$C$18/12</f>
        <v>39153.069999999992</v>
      </c>
      <c r="O437" s="25">
        <f t="shared" si="265"/>
        <v>11007.82546143035</v>
      </c>
      <c r="P437" s="25">
        <f t="shared" si="266"/>
        <v>28145.244538569641</v>
      </c>
      <c r="Q437" s="25">
        <f t="array" aca="1" ref="Q437" ca="1">INDEX('Isaac 401k'!L:L,MATCH('Retirement Calculator'!A437,'Isaac 401k'!N:N,0),0)</f>
        <v>1168759.7086099864</v>
      </c>
      <c r="R437" s="25">
        <f t="array" aca="1" ref="R437" ca="1">INDEX('Lorri 401b'!L:L,MATCH('Retirement Calculator'!A437,'Lorri 401b'!N:N,0),0)</f>
        <v>2389537.5766824279</v>
      </c>
      <c r="S437" s="25">
        <f t="shared" ca="1" si="267"/>
        <v>3558297.285292414</v>
      </c>
    </row>
    <row r="438" spans="1:19" ht="15.75" customHeight="1" x14ac:dyDescent="0.3">
      <c r="A438" s="37">
        <v>64285</v>
      </c>
      <c r="B438" s="409">
        <f t="shared" ref="B438:C438" si="439">($A438-B$9)/365.25</f>
        <v>94.124572210814506</v>
      </c>
      <c r="C438" s="409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3525.4531757812501</v>
      </c>
      <c r="H438" s="25">
        <f>IF(B438&lt;62,0,'Combined Retirement'!$I$14)</f>
        <v>2192</v>
      </c>
      <c r="I438" s="25">
        <f>IF(C438&lt;62,0,'Combined Retirement'!$I$13)</f>
        <v>2420</v>
      </c>
      <c r="J438" s="25">
        <f t="shared" si="263"/>
        <v>7863.2184191855868</v>
      </c>
      <c r="K438" s="25">
        <f t="shared" si="264"/>
        <v>20282.026119384056</v>
      </c>
      <c r="L438" s="25"/>
      <c r="N438" s="25">
        <f>'Combined Retirement'!$C$18/12</f>
        <v>39153.069999999992</v>
      </c>
      <c r="O438" s="25">
        <f t="shared" si="265"/>
        <v>11007.82546143035</v>
      </c>
      <c r="P438" s="25">
        <f t="shared" si="266"/>
        <v>28145.244538569641</v>
      </c>
      <c r="Q438" s="25">
        <f t="array" aca="1" ref="Q438" ca="1">INDEX('Isaac 401k'!L:L,MATCH('Retirement Calculator'!A438,'Isaac 401k'!N:N,0),0)</f>
        <v>1165733.558899929</v>
      </c>
      <c r="R438" s="25">
        <f t="array" aca="1" ref="R438" ca="1">INDEX('Lorri 401b'!L:L,MATCH('Retirement Calculator'!A438,'Lorri 401b'!N:N,0),0)</f>
        <v>2379127.4486903897</v>
      </c>
      <c r="S438" s="25">
        <f t="shared" ca="1" si="267"/>
        <v>3544861.007590319</v>
      </c>
    </row>
    <row r="439" spans="1:19" ht="15.75" customHeight="1" x14ac:dyDescent="0.3">
      <c r="A439" s="37">
        <v>64316</v>
      </c>
      <c r="B439" s="409">
        <f t="shared" ref="B439:C439" si="440">($A439-B$9)/365.25</f>
        <v>94.209445585215605</v>
      </c>
      <c r="C439" s="409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3525.4531757812501</v>
      </c>
      <c r="H439" s="25">
        <f>IF(B439&lt;62,0,'Combined Retirement'!$I$14)</f>
        <v>2192</v>
      </c>
      <c r="I439" s="25">
        <f>IF(C439&lt;62,0,'Combined Retirement'!$I$13)</f>
        <v>2420</v>
      </c>
      <c r="J439" s="25">
        <f t="shared" si="263"/>
        <v>7863.2184191855868</v>
      </c>
      <c r="K439" s="25">
        <f t="shared" si="264"/>
        <v>20282.026119384056</v>
      </c>
      <c r="L439" s="25"/>
      <c r="N439" s="25">
        <f>'Combined Retirement'!$C$18/12</f>
        <v>39153.069999999992</v>
      </c>
      <c r="O439" s="25">
        <f t="shared" si="265"/>
        <v>11007.82546143035</v>
      </c>
      <c r="P439" s="25">
        <f t="shared" si="266"/>
        <v>28145.244538569641</v>
      </c>
      <c r="Q439" s="25">
        <f t="array" aca="1" ref="Q439" ca="1">INDEX('Isaac 401k'!L:L,MATCH('Retirement Calculator'!A439,'Isaac 401k'!N:N,0),0)</f>
        <v>1162694.8002327466</v>
      </c>
      <c r="R439" s="25">
        <f t="array" aca="1" ref="R439" ca="1">INDEX('Lorri 401b'!L:L,MATCH('Retirement Calculator'!A439,'Lorri 401b'!N:N,0),0)</f>
        <v>2368673.9451650516</v>
      </c>
      <c r="S439" s="25">
        <f t="shared" ca="1" si="267"/>
        <v>3531368.7453977983</v>
      </c>
    </row>
    <row r="440" spans="1:19" ht="15.75" customHeight="1" x14ac:dyDescent="0.3">
      <c r="A440" s="37">
        <v>64345</v>
      </c>
      <c r="B440" s="409">
        <f t="shared" ref="B440:C440" si="441">($A440-B$9)/365.25</f>
        <v>94.288843258042434</v>
      </c>
      <c r="C440" s="409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3525.4531757812501</v>
      </c>
      <c r="H440" s="25">
        <f>IF(B440&lt;62,0,'Combined Retirement'!$I$14)</f>
        <v>2192</v>
      </c>
      <c r="I440" s="25">
        <f>IF(C440&lt;62,0,'Combined Retirement'!$I$13)</f>
        <v>2420</v>
      </c>
      <c r="J440" s="25">
        <f t="shared" si="263"/>
        <v>7863.2184191855868</v>
      </c>
      <c r="K440" s="25">
        <f t="shared" si="264"/>
        <v>20282.026119384056</v>
      </c>
      <c r="L440" s="25"/>
      <c r="N440" s="25">
        <f>'Combined Retirement'!$C$18/12</f>
        <v>39153.069999999992</v>
      </c>
      <c r="O440" s="25">
        <f t="shared" si="265"/>
        <v>11007.82546143035</v>
      </c>
      <c r="P440" s="25">
        <f t="shared" si="266"/>
        <v>28145.244538569641</v>
      </c>
      <c r="Q440" s="25">
        <f t="array" aca="1" ref="Q440" ca="1">INDEX('Isaac 401k'!L:L,MATCH('Retirement Calculator'!A440,'Isaac 401k'!N:N,0),0)</f>
        <v>1159643.3800711175</v>
      </c>
      <c r="R440" s="25">
        <f t="array" aca="1" ref="R440" ca="1">INDEX('Lorri 401b'!L:L,MATCH('Retirement Calculator'!A440,'Lorri 401b'!N:N,0),0)</f>
        <v>2358176.8853750248</v>
      </c>
      <c r="S440" s="25">
        <f t="shared" ca="1" si="267"/>
        <v>3517820.2654461423</v>
      </c>
    </row>
    <row r="441" spans="1:19" ht="15.75" customHeight="1" x14ac:dyDescent="0.3">
      <c r="A441" s="37">
        <v>64376</v>
      </c>
      <c r="B441" s="409">
        <f t="shared" ref="B441:C441" si="442">($A441-B$9)/365.25</f>
        <v>94.373716632443532</v>
      </c>
      <c r="C441" s="409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3525.4531757812501</v>
      </c>
      <c r="H441" s="25">
        <f>IF(B441&lt;62,0,'Combined Retirement'!$I$14)</f>
        <v>2192</v>
      </c>
      <c r="I441" s="25">
        <f>IF(C441&lt;62,0,'Combined Retirement'!$I$13)</f>
        <v>2420</v>
      </c>
      <c r="J441" s="25">
        <f t="shared" si="263"/>
        <v>7863.2184191855868</v>
      </c>
      <c r="K441" s="25">
        <f t="shared" si="264"/>
        <v>20282.026119384056</v>
      </c>
      <c r="L441" s="25"/>
      <c r="N441" s="25">
        <f>'Combined Retirement'!$C$18/12</f>
        <v>39153.069999999992</v>
      </c>
      <c r="O441" s="25">
        <f t="shared" si="265"/>
        <v>11007.82546143035</v>
      </c>
      <c r="P441" s="25">
        <f t="shared" si="266"/>
        <v>28145.244538569641</v>
      </c>
      <c r="Q441" s="25">
        <f t="array" aca="1" ref="Q441" ca="1">INDEX('Isaac 401k'!L:L,MATCH('Retirement Calculator'!A441,'Isaac 401k'!N:N,0),0)</f>
        <v>1156579.2456588149</v>
      </c>
      <c r="R441" s="25">
        <f t="array" aca="1" ref="R441" ca="1">INDEX('Lorri 401b'!L:L,MATCH('Retirement Calculator'!A441,'Lorri 401b'!N:N,0),0)</f>
        <v>2347636.0878358725</v>
      </c>
      <c r="S441" s="25">
        <f t="shared" ca="1" si="267"/>
        <v>3504215.3334946875</v>
      </c>
    </row>
    <row r="442" spans="1:19" ht="15.75" customHeight="1" x14ac:dyDescent="0.3">
      <c r="A442" s="37">
        <v>64406</v>
      </c>
      <c r="B442" s="409">
        <f t="shared" ref="B442:C442" si="443">($A442-B$9)/365.25</f>
        <v>94.455852156057489</v>
      </c>
      <c r="C442" s="409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3525.4531757812501</v>
      </c>
      <c r="H442" s="25">
        <f>IF(B442&lt;62,0,'Combined Retirement'!$I$14)</f>
        <v>2192</v>
      </c>
      <c r="I442" s="25">
        <f>IF(C442&lt;62,0,'Combined Retirement'!$I$13)</f>
        <v>2420</v>
      </c>
      <c r="J442" s="25">
        <f t="shared" si="263"/>
        <v>7863.2184191855868</v>
      </c>
      <c r="K442" s="25">
        <f t="shared" si="264"/>
        <v>20282.026119384056</v>
      </c>
      <c r="L442" s="25"/>
      <c r="N442" s="25">
        <f>'Combined Retirement'!$C$18/12</f>
        <v>39153.069999999992</v>
      </c>
      <c r="O442" s="25">
        <f t="shared" si="265"/>
        <v>11007.82546143035</v>
      </c>
      <c r="P442" s="25">
        <f t="shared" si="266"/>
        <v>28145.244538569641</v>
      </c>
      <c r="Q442" s="25">
        <f t="array" aca="1" ref="Q442" ca="1">INDEX('Isaac 401k'!L:L,MATCH('Retirement Calculator'!A442,'Isaac 401k'!N:N,0),0)</f>
        <v>1153502.3440197944</v>
      </c>
      <c r="R442" s="25">
        <f t="array" aca="1" ref="R442" ca="1">INDEX('Lorri 401b'!L:L,MATCH('Retirement Calculator'!A442,'Lorri 401b'!N:N,0),0)</f>
        <v>2337051.3703069738</v>
      </c>
      <c r="S442" s="25">
        <f t="shared" ca="1" si="267"/>
        <v>3490553.7143267682</v>
      </c>
    </row>
    <row r="443" spans="1:19" ht="15.75" customHeight="1" x14ac:dyDescent="0.3">
      <c r="A443" s="37">
        <v>64437</v>
      </c>
      <c r="B443" s="409">
        <f t="shared" ref="B443:C443" si="444">($A443-B$9)/365.25</f>
        <v>94.540725530458587</v>
      </c>
      <c r="C443" s="409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3525.4531757812501</v>
      </c>
      <c r="H443" s="25">
        <f>IF(B443&lt;62,0,'Combined Retirement'!$I$14)</f>
        <v>2192</v>
      </c>
      <c r="I443" s="25">
        <f>IF(C443&lt;62,0,'Combined Retirement'!$I$13)</f>
        <v>2420</v>
      </c>
      <c r="J443" s="25">
        <f t="shared" si="263"/>
        <v>7863.2184191855868</v>
      </c>
      <c r="K443" s="25">
        <f t="shared" si="264"/>
        <v>20282.026119384056</v>
      </c>
      <c r="L443" s="25"/>
      <c r="N443" s="25">
        <f>'Combined Retirement'!$C$18/12</f>
        <v>39153.069999999992</v>
      </c>
      <c r="O443" s="25">
        <f t="shared" si="265"/>
        <v>11007.82546143035</v>
      </c>
      <c r="P443" s="25">
        <f t="shared" si="266"/>
        <v>28145.244538569641</v>
      </c>
      <c r="Q443" s="25">
        <f t="array" aca="1" ref="Q443" ca="1">INDEX('Isaac 401k'!L:L,MATCH('Retirement Calculator'!A443,'Isaac 401k'!N:N,0),0)</f>
        <v>1150412.6219572779</v>
      </c>
      <c r="R443" s="25">
        <f t="array" aca="1" ref="R443" ca="1">INDEX('Lorri 401b'!L:L,MATCH('Retirement Calculator'!A443,'Lorri 401b'!N:N,0),0)</f>
        <v>2326422.5497883717</v>
      </c>
      <c r="S443" s="25">
        <f t="shared" ca="1" si="267"/>
        <v>3476835.1717456495</v>
      </c>
    </row>
    <row r="444" spans="1:19" ht="15.75" customHeight="1" x14ac:dyDescent="0.3">
      <c r="A444" s="37">
        <v>64467</v>
      </c>
      <c r="B444" s="409">
        <f t="shared" ref="B444:C444" si="445">($A444-B$9)/365.25</f>
        <v>94.622861054072558</v>
      </c>
      <c r="C444" s="409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3525.4531757812501</v>
      </c>
      <c r="H444" s="25">
        <f>IF(B444&lt;62,0,'Combined Retirement'!$I$14)</f>
        <v>2192</v>
      </c>
      <c r="I444" s="25">
        <f>IF(C444&lt;62,0,'Combined Retirement'!$I$13)</f>
        <v>2420</v>
      </c>
      <c r="J444" s="25">
        <f t="shared" si="263"/>
        <v>7863.2184191855868</v>
      </c>
      <c r="K444" s="25">
        <f t="shared" si="264"/>
        <v>20282.026119384056</v>
      </c>
      <c r="L444" s="25"/>
      <c r="N444" s="25">
        <f>'Combined Retirement'!$C$18/12</f>
        <v>39153.069999999992</v>
      </c>
      <c r="O444" s="25">
        <f t="shared" si="265"/>
        <v>11007.82546143035</v>
      </c>
      <c r="P444" s="25">
        <f t="shared" si="266"/>
        <v>28145.244538569641</v>
      </c>
      <c r="Q444" s="25">
        <f t="array" aca="1" ref="Q444" ca="1">INDEX('Isaac 401k'!L:L,MATCH('Retirement Calculator'!A444,'Isaac 401k'!N:N,0),0)</f>
        <v>1147310.0260528342</v>
      </c>
      <c r="R444" s="25">
        <f t="array" aca="1" ref="R444" ca="1">INDEX('Lorri 401b'!L:L,MATCH('Retirement Calculator'!A444,'Lorri 401b'!N:N,0),0)</f>
        <v>2315749.4425176084</v>
      </c>
      <c r="S444" s="25">
        <f t="shared" ca="1" si="267"/>
        <v>3463059.4685704429</v>
      </c>
    </row>
    <row r="445" spans="1:19" ht="15.75" customHeight="1" x14ac:dyDescent="0.3">
      <c r="A445" s="37">
        <v>64498</v>
      </c>
      <c r="B445" s="409">
        <f t="shared" ref="B445:C445" si="446">($A445-B$9)/365.25</f>
        <v>94.707734428473643</v>
      </c>
      <c r="C445" s="409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3525.4531757812501</v>
      </c>
      <c r="H445" s="25">
        <f>IF(B445&lt;62,0,'Combined Retirement'!$I$14)</f>
        <v>2192</v>
      </c>
      <c r="I445" s="25">
        <f>IF(C445&lt;62,0,'Combined Retirement'!$I$13)</f>
        <v>2420</v>
      </c>
      <c r="J445" s="25">
        <f t="shared" si="263"/>
        <v>7863.2184191855868</v>
      </c>
      <c r="K445" s="25">
        <f t="shared" si="264"/>
        <v>20282.026119384056</v>
      </c>
      <c r="L445" s="25"/>
      <c r="N445" s="25">
        <f>'Combined Retirement'!$C$18/12</f>
        <v>39153.069999999992</v>
      </c>
      <c r="O445" s="25">
        <f t="shared" si="265"/>
        <v>11007.82546143035</v>
      </c>
      <c r="P445" s="25">
        <f t="shared" si="266"/>
        <v>28145.244538569641</v>
      </c>
      <c r="Q445" s="25">
        <f t="array" aca="1" ref="Q445" ca="1">INDEX('Isaac 401k'!L:L,MATCH('Retirement Calculator'!A445,'Isaac 401k'!N:N,0),0)</f>
        <v>1144194.5026654555</v>
      </c>
      <c r="R445" s="25">
        <f t="array" aca="1" ref="R445" ca="1">INDEX('Lorri 401b'!L:L,MATCH('Retirement Calculator'!A445,'Lorri 401b'!N:N,0),0)</f>
        <v>2305031.8639665502</v>
      </c>
      <c r="S445" s="25">
        <f t="shared" ca="1" si="267"/>
        <v>3449226.3666320057</v>
      </c>
    </row>
    <row r="446" spans="1:19" ht="15.75" customHeight="1" x14ac:dyDescent="0.3">
      <c r="A446" s="37">
        <v>64529</v>
      </c>
      <c r="B446" s="409">
        <f t="shared" ref="B446:C446" si="447">($A446-B$9)/365.25</f>
        <v>94.792607802874741</v>
      </c>
      <c r="C446" s="409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3525.4531757812501</v>
      </c>
      <c r="H446" s="25">
        <f>IF(B446&lt;62,0,'Combined Retirement'!$I$14)</f>
        <v>2192</v>
      </c>
      <c r="I446" s="25">
        <f>IF(C446&lt;62,0,'Combined Retirement'!$I$13)</f>
        <v>2420</v>
      </c>
      <c r="J446" s="25">
        <f t="shared" si="263"/>
        <v>7863.2184191855868</v>
      </c>
      <c r="K446" s="25">
        <f t="shared" si="264"/>
        <v>20282.026119384056</v>
      </c>
      <c r="L446" s="25"/>
      <c r="N446" s="25">
        <f>'Combined Retirement'!$C$18/12</f>
        <v>39153.069999999992</v>
      </c>
      <c r="O446" s="25">
        <f t="shared" si="265"/>
        <v>11007.82546143035</v>
      </c>
      <c r="P446" s="25">
        <f t="shared" si="266"/>
        <v>28145.244538569641</v>
      </c>
      <c r="Q446" s="25">
        <f t="array" aca="1" ref="Q446" ca="1">INDEX('Isaac 401k'!L:L,MATCH('Retirement Calculator'!A446,'Isaac 401k'!N:N,0),0)</f>
        <v>1141065.9979306294</v>
      </c>
      <c r="R446" s="25">
        <f t="array" aca="1" ref="R446" ca="1">INDEX('Lorri 401b'!L:L,MATCH('Retirement Calculator'!A446,'Lorri 401b'!N:N,0),0)</f>
        <v>2294269.6288381959</v>
      </c>
      <c r="S446" s="25">
        <f t="shared" ca="1" si="267"/>
        <v>3435335.6267688256</v>
      </c>
    </row>
    <row r="447" spans="1:19" ht="15.75" customHeight="1" x14ac:dyDescent="0.3">
      <c r="A447" s="37">
        <v>64559</v>
      </c>
      <c r="B447" s="409">
        <f t="shared" ref="B447:C447" si="448">($A447-B$9)/365.25</f>
        <v>94.874743326488712</v>
      </c>
      <c r="C447" s="409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3525.4531757812501</v>
      </c>
      <c r="H447" s="25">
        <f>IF(B447&lt;62,0,'Combined Retirement'!$I$14)</f>
        <v>2192</v>
      </c>
      <c r="I447" s="25">
        <f>IF(C447&lt;62,0,'Combined Retirement'!$I$13)</f>
        <v>2420</v>
      </c>
      <c r="J447" s="25">
        <f t="shared" si="263"/>
        <v>7863.2184191855868</v>
      </c>
      <c r="K447" s="25">
        <f t="shared" si="264"/>
        <v>20282.026119384056</v>
      </c>
      <c r="L447" s="25"/>
      <c r="N447" s="25">
        <f>'Combined Retirement'!$C$18/12</f>
        <v>39153.069999999992</v>
      </c>
      <c r="O447" s="25">
        <f t="shared" si="265"/>
        <v>11007.82546143035</v>
      </c>
      <c r="P447" s="25">
        <f t="shared" si="266"/>
        <v>28145.244538569641</v>
      </c>
      <c r="Q447" s="25">
        <f t="array" aca="1" ref="Q447" ca="1">INDEX('Isaac 401k'!L:L,MATCH('Retirement Calculator'!A447,'Isaac 401k'!N:N,0),0)</f>
        <v>1137924.457759408</v>
      </c>
      <c r="R447" s="25">
        <f t="array" aca="1" ref="R447" ca="1">INDEX('Lorri 401b'!L:L,MATCH('Retirement Calculator'!A447,'Lorri 401b'!N:N,0),0)</f>
        <v>2283462.5510634738</v>
      </c>
      <c r="S447" s="25">
        <f t="shared" ca="1" si="267"/>
        <v>3421387.0088228816</v>
      </c>
    </row>
    <row r="448" spans="1:19" ht="15.75" customHeight="1" x14ac:dyDescent="0.3">
      <c r="A448" s="37">
        <v>64590</v>
      </c>
      <c r="B448" s="409">
        <f t="shared" ref="B448:C448" si="449">($A448-B$9)/365.25</f>
        <v>94.959616700889796</v>
      </c>
      <c r="C448" s="409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3525.4531757812501</v>
      </c>
      <c r="H448" s="25">
        <f>IF(B448&lt;62,0,'Combined Retirement'!$I$14)</f>
        <v>2192</v>
      </c>
      <c r="I448" s="25">
        <f>IF(C448&lt;62,0,'Combined Retirement'!$I$13)</f>
        <v>2420</v>
      </c>
      <c r="J448" s="25">
        <f t="shared" si="263"/>
        <v>7863.2184191855868</v>
      </c>
      <c r="K448" s="25">
        <f t="shared" si="264"/>
        <v>20282.026119384056</v>
      </c>
      <c r="L448" s="25"/>
      <c r="N448" s="25">
        <f>'Combined Retirement'!$C$18/12</f>
        <v>39153.069999999992</v>
      </c>
      <c r="O448" s="25">
        <f t="shared" si="265"/>
        <v>11007.82546143035</v>
      </c>
      <c r="P448" s="25">
        <f t="shared" si="266"/>
        <v>28145.244538569641</v>
      </c>
      <c r="Q448" s="25">
        <f t="array" aca="1" ref="Q448" ca="1">INDEX('Isaac 401k'!L:L,MATCH('Retirement Calculator'!A448,'Isaac 401k'!N:N,0),0)</f>
        <v>1134769.8278374735</v>
      </c>
      <c r="R448" s="25">
        <f t="array" aca="1" ref="R448" ca="1">INDEX('Lorri 401b'!L:L,MATCH('Retirement Calculator'!A448,'Lorri 401b'!N:N,0),0)</f>
        <v>2272610.4437980237</v>
      </c>
      <c r="S448" s="25">
        <f t="shared" ca="1" si="267"/>
        <v>3407380.271635497</v>
      </c>
    </row>
    <row r="449" spans="1:19" ht="15.75" customHeight="1" x14ac:dyDescent="0.3">
      <c r="A449" s="37">
        <v>64620</v>
      </c>
      <c r="B449" s="409">
        <f t="shared" ref="B449:C449" si="450">($A449-B$9)/365.25</f>
        <v>95.041752224503767</v>
      </c>
      <c r="C449" s="409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3525.4531757812501</v>
      </c>
      <c r="H449" s="25">
        <f>IF(B449&lt;62,0,'Combined Retirement'!$I$14)</f>
        <v>2192</v>
      </c>
      <c r="I449" s="25">
        <f>IF(C449&lt;62,0,'Combined Retirement'!$I$13)</f>
        <v>2420</v>
      </c>
      <c r="J449" s="25">
        <f t="shared" si="263"/>
        <v>7863.2184191855868</v>
      </c>
      <c r="K449" s="25">
        <f t="shared" si="264"/>
        <v>20282.026119384056</v>
      </c>
      <c r="L449" s="25"/>
      <c r="N449" s="25">
        <f>'Combined Retirement'!$C$18/12</f>
        <v>39153.069999999992</v>
      </c>
      <c r="O449" s="25">
        <f t="shared" si="265"/>
        <v>11007.82546143035</v>
      </c>
      <c r="P449" s="25">
        <f t="shared" si="266"/>
        <v>28145.244538569641</v>
      </c>
      <c r="Q449" s="25">
        <f t="array" aca="1" ref="Q449" ca="1">INDEX('Isaac 401k'!L:L,MATCH('Retirement Calculator'!A449,'Isaac 401k'!N:N,0),0)</f>
        <v>1131602.0536241974</v>
      </c>
      <c r="R449" s="25">
        <f t="array" aca="1" ref="R449" ca="1">INDEX('Lorri 401b'!L:L,MATCH('Retirement Calculator'!A449,'Lorri 401b'!N:N,0),0)</f>
        <v>2261713.1194189675</v>
      </c>
      <c r="S449" s="25">
        <f t="shared" ca="1" si="267"/>
        <v>3393315.1730431649</v>
      </c>
    </row>
    <row r="450" spans="1:19" ht="15.75" customHeight="1" x14ac:dyDescent="0.3">
      <c r="A450" s="37">
        <v>64651</v>
      </c>
      <c r="B450" s="409">
        <f t="shared" ref="B450:C450" si="451">($A450-B$9)/365.25</f>
        <v>95.126625598904866</v>
      </c>
      <c r="C450" s="409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3525.4531757812501</v>
      </c>
      <c r="H450" s="25">
        <f>IF(B450&lt;62,0,'Combined Retirement'!$I$14)</f>
        <v>2192</v>
      </c>
      <c r="I450" s="25">
        <f>IF(C450&lt;62,0,'Combined Retirement'!$I$13)</f>
        <v>2420</v>
      </c>
      <c r="J450" s="25">
        <f t="shared" si="263"/>
        <v>7863.2184191855868</v>
      </c>
      <c r="K450" s="25">
        <f t="shared" si="264"/>
        <v>20282.026119384056</v>
      </c>
      <c r="L450" s="25"/>
      <c r="N450" s="25">
        <f>'Combined Retirement'!$C$18/12</f>
        <v>39153.069999999992</v>
      </c>
      <c r="O450" s="25">
        <f t="shared" si="265"/>
        <v>11007.82546143035</v>
      </c>
      <c r="P450" s="25">
        <f t="shared" si="266"/>
        <v>28145.244538569641</v>
      </c>
      <c r="Q450" s="25">
        <f t="array" aca="1" ref="Q450" ca="1">INDEX('Isaac 401k'!L:L,MATCH('Retirement Calculator'!A450,'Isaac 401k'!N:N,0),0)</f>
        <v>1128421.0803516994</v>
      </c>
      <c r="R450" s="25">
        <f t="array" aca="1" ref="R450" ca="1">INDEX('Lorri 401b'!L:L,MATCH('Retirement Calculator'!A450,'Lorri 401b'!N:N,0),0)</f>
        <v>2250770.3895216649</v>
      </c>
      <c r="S450" s="25">
        <f t="shared" ca="1" si="267"/>
        <v>3379191.4698733641</v>
      </c>
    </row>
    <row r="451" spans="1:19" ht="15.75" customHeight="1" x14ac:dyDescent="0.3">
      <c r="A451" s="37">
        <v>64682</v>
      </c>
      <c r="B451" s="409">
        <f t="shared" ref="B451:C451" si="452">($A451-B$9)/365.25</f>
        <v>95.21149897330595</v>
      </c>
      <c r="C451" s="409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3525.4531757812501</v>
      </c>
      <c r="H451" s="25">
        <f>IF(B451&lt;62,0,'Combined Retirement'!$I$14)</f>
        <v>2192</v>
      </c>
      <c r="I451" s="25">
        <f>IF(C451&lt;62,0,'Combined Retirement'!$I$13)</f>
        <v>2420</v>
      </c>
      <c r="J451" s="25">
        <f t="shared" si="263"/>
        <v>7863.2184191855868</v>
      </c>
      <c r="K451" s="25">
        <f t="shared" si="264"/>
        <v>20282.026119384056</v>
      </c>
      <c r="L451" s="25"/>
      <c r="N451" s="25">
        <f>'Combined Retirement'!$C$18/12</f>
        <v>39153.069999999992</v>
      </c>
      <c r="O451" s="25">
        <f t="shared" si="265"/>
        <v>11007.82546143035</v>
      </c>
      <c r="P451" s="25">
        <f t="shared" si="266"/>
        <v>28145.244538569641</v>
      </c>
      <c r="Q451" s="25">
        <f t="array" aca="1" ref="Q451" ca="1">INDEX('Isaac 401k'!L:L,MATCH('Retirement Calculator'!A451,'Isaac 401k'!N:N,0),0)</f>
        <v>1125226.8530238993</v>
      </c>
      <c r="R451" s="25">
        <f t="array" aca="1" ref="R451" ca="1">INDEX('Lorri 401b'!L:L,MATCH('Retirement Calculator'!A451,'Lorri 401b'!N:N,0),0)</f>
        <v>2239782.064916457</v>
      </c>
      <c r="S451" s="25">
        <f t="shared" ca="1" si="267"/>
        <v>3365008.9179403563</v>
      </c>
    </row>
    <row r="452" spans="1:19" ht="15.75" customHeight="1" x14ac:dyDescent="0.3">
      <c r="A452" s="37">
        <v>64710</v>
      </c>
      <c r="B452" s="409">
        <f t="shared" ref="B452:C452" si="453">($A452-B$9)/365.25</f>
        <v>95.288158795345652</v>
      </c>
      <c r="C452" s="409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3525.4531757812501</v>
      </c>
      <c r="H452" s="25">
        <f>IF(B452&lt;62,0,'Combined Retirement'!$I$14)</f>
        <v>2192</v>
      </c>
      <c r="I452" s="25">
        <f>IF(C452&lt;62,0,'Combined Retirement'!$I$13)</f>
        <v>2420</v>
      </c>
      <c r="J452" s="25">
        <f t="shared" si="263"/>
        <v>7863.2184191855868</v>
      </c>
      <c r="K452" s="25">
        <f t="shared" si="264"/>
        <v>20282.026119384056</v>
      </c>
      <c r="L452" s="25"/>
      <c r="N452" s="25">
        <f>'Combined Retirement'!$C$18/12</f>
        <v>39153.069999999992</v>
      </c>
      <c r="O452" s="25">
        <f t="shared" si="265"/>
        <v>11007.82546143035</v>
      </c>
      <c r="P452" s="25">
        <f t="shared" si="266"/>
        <v>28145.244538569641</v>
      </c>
      <c r="Q452" s="25">
        <f t="array" aca="1" ref="Q452" ca="1">INDEX('Isaac 401k'!L:L,MATCH('Retirement Calculator'!A452,'Isaac 401k'!N:N,0),0)</f>
        <v>1122019.3164155667</v>
      </c>
      <c r="R452" s="25">
        <f t="array" aca="1" ref="R452" ca="1">INDEX('Lorri 401b'!L:L,MATCH('Retirement Calculator'!A452,'Lorri 401b'!N:N,0),0)</f>
        <v>2228747.9556253944</v>
      </c>
      <c r="S452" s="25">
        <f t="shared" ca="1" si="267"/>
        <v>3350767.2720409613</v>
      </c>
    </row>
    <row r="453" spans="1:19" ht="15.75" customHeight="1" x14ac:dyDescent="0.3">
      <c r="A453" s="37">
        <v>64741</v>
      </c>
      <c r="B453" s="409">
        <f t="shared" ref="B453:C453" si="454">($A453-B$9)/365.25</f>
        <v>95.37303216974675</v>
      </c>
      <c r="C453" s="409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3525.4531757812501</v>
      </c>
      <c r="H453" s="25">
        <f>IF(B453&lt;62,0,'Combined Retirement'!$I$14)</f>
        <v>2192</v>
      </c>
      <c r="I453" s="25">
        <f>IF(C453&lt;62,0,'Combined Retirement'!$I$13)</f>
        <v>2420</v>
      </c>
      <c r="J453" s="25">
        <f t="shared" si="263"/>
        <v>7863.2184191855868</v>
      </c>
      <c r="K453" s="25">
        <f t="shared" si="264"/>
        <v>20282.026119384056</v>
      </c>
      <c r="L453" s="25"/>
      <c r="N453" s="25">
        <f>'Combined Retirement'!$C$18/12</f>
        <v>39153.069999999992</v>
      </c>
      <c r="O453" s="25">
        <f t="shared" si="265"/>
        <v>11007.82546143035</v>
      </c>
      <c r="P453" s="25">
        <f t="shared" si="266"/>
        <v>28145.244538569641</v>
      </c>
      <c r="Q453" s="25">
        <f t="array" aca="1" ref="Q453" ca="1">INDEX('Isaac 401k'!L:L,MATCH('Retirement Calculator'!A453,'Isaac 401k'!N:N,0),0)</f>
        <v>1118798.4150713661</v>
      </c>
      <c r="R453" s="25">
        <f t="array" aca="1" ref="R453" ca="1">INDEX('Lorri 401b'!L:L,MATCH('Retirement Calculator'!A453,'Lorri 401b'!N:N,0),0)</f>
        <v>2217667.8708789521</v>
      </c>
      <c r="S453" s="25">
        <f t="shared" ca="1" si="267"/>
        <v>3336466.285950318</v>
      </c>
    </row>
    <row r="454" spans="1:19" ht="15.75" customHeight="1" x14ac:dyDescent="0.3">
      <c r="A454" s="37">
        <v>64771</v>
      </c>
      <c r="B454" s="409">
        <f t="shared" ref="B454:C454" si="455">($A454-B$9)/365.25</f>
        <v>95.455167693360707</v>
      </c>
      <c r="C454" s="409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3525.4531757812501</v>
      </c>
      <c r="H454" s="25">
        <f>IF(B454&lt;62,0,'Combined Retirement'!$I$14)</f>
        <v>2192</v>
      </c>
      <c r="I454" s="25">
        <f>IF(C454&lt;62,0,'Combined Retirement'!$I$13)</f>
        <v>2420</v>
      </c>
      <c r="J454" s="25">
        <f t="shared" si="263"/>
        <v>7863.2184191855868</v>
      </c>
      <c r="K454" s="25">
        <f t="shared" si="264"/>
        <v>20282.026119384056</v>
      </c>
      <c r="L454" s="25"/>
      <c r="N454" s="25">
        <f>'Combined Retirement'!$C$18/12</f>
        <v>39153.069999999992</v>
      </c>
      <c r="O454" s="25">
        <f t="shared" si="265"/>
        <v>11007.82546143035</v>
      </c>
      <c r="P454" s="25">
        <f t="shared" si="266"/>
        <v>28145.244538569641</v>
      </c>
      <c r="Q454" s="25">
        <f t="array" aca="1" ref="Q454" ca="1">INDEX('Isaac 401k'!L:L,MATCH('Retirement Calculator'!A454,'Isaac 401k'!N:N,0),0)</f>
        <v>1115564.0933048979</v>
      </c>
      <c r="R454" s="25">
        <f t="array" aca="1" ref="R454" ca="1">INDEX('Lorri 401b'!L:L,MATCH('Retirement Calculator'!A454,'Lorri 401b'!N:N,0),0)</f>
        <v>2206541.6191127328</v>
      </c>
      <c r="S454" s="25">
        <f t="shared" ca="1" si="267"/>
        <v>3322105.7124176305</v>
      </c>
    </row>
    <row r="455" spans="1:19" ht="15.75" customHeight="1" x14ac:dyDescent="0.3">
      <c r="A455" s="37">
        <v>64802</v>
      </c>
      <c r="B455" s="409">
        <f t="shared" ref="B455:C455" si="456">($A455-B$9)/365.25</f>
        <v>95.540041067761805</v>
      </c>
      <c r="C455" s="409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3525.4531757812501</v>
      </c>
      <c r="H455" s="25">
        <f>IF(B455&lt;62,0,'Combined Retirement'!$I$14)</f>
        <v>2192</v>
      </c>
      <c r="I455" s="25">
        <f>IF(C455&lt;62,0,'Combined Retirement'!$I$13)</f>
        <v>2420</v>
      </c>
      <c r="J455" s="25">
        <f t="shared" si="263"/>
        <v>7863.2184191855868</v>
      </c>
      <c r="K455" s="25">
        <f t="shared" si="264"/>
        <v>20282.026119384056</v>
      </c>
      <c r="L455" s="25"/>
      <c r="N455" s="25">
        <f>'Combined Retirement'!$C$18/12</f>
        <v>39153.069999999992</v>
      </c>
      <c r="O455" s="25">
        <f t="shared" si="265"/>
        <v>11007.82546143035</v>
      </c>
      <c r="P455" s="25">
        <f t="shared" si="266"/>
        <v>28145.244538569641</v>
      </c>
      <c r="Q455" s="25">
        <f t="array" aca="1" ref="Q455" ca="1">INDEX('Isaac 401k'!L:L,MATCH('Retirement Calculator'!A455,'Isaac 401k'!N:N,0),0)</f>
        <v>1112316.295197736</v>
      </c>
      <c r="R455" s="25">
        <f t="array" aca="1" ref="R455" ca="1">INDEX('Lorri 401b'!L:L,MATCH('Retirement Calculator'!A455,'Lorri 401b'!N:N,0),0)</f>
        <v>2195369.0079641542</v>
      </c>
      <c r="S455" s="25">
        <f t="shared" ca="1" si="267"/>
        <v>3307685.3031618902</v>
      </c>
    </row>
    <row r="456" spans="1:19" ht="15.75" customHeight="1" x14ac:dyDescent="0.3">
      <c r="A456" s="37">
        <v>64832</v>
      </c>
      <c r="B456" s="409">
        <f t="shared" ref="B456:C456" si="457">($A456-B$9)/365.25</f>
        <v>95.622176591375776</v>
      </c>
      <c r="C456" s="409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3525.4531757812501</v>
      </c>
      <c r="H456" s="25">
        <f>IF(B456&lt;62,0,'Combined Retirement'!$I$14)</f>
        <v>2192</v>
      </c>
      <c r="I456" s="25">
        <f>IF(C456&lt;62,0,'Combined Retirement'!$I$13)</f>
        <v>2420</v>
      </c>
      <c r="J456" s="25">
        <f t="shared" si="263"/>
        <v>7863.2184191855868</v>
      </c>
      <c r="K456" s="25">
        <f t="shared" si="264"/>
        <v>20282.026119384056</v>
      </c>
      <c r="L456" s="25"/>
      <c r="N456" s="25">
        <f>'Combined Retirement'!$C$18/12</f>
        <v>39153.069999999992</v>
      </c>
      <c r="O456" s="25">
        <f t="shared" si="265"/>
        <v>11007.82546143035</v>
      </c>
      <c r="P456" s="25">
        <f t="shared" si="266"/>
        <v>28145.244538569641</v>
      </c>
      <c r="Q456" s="25">
        <f t="array" aca="1" ref="Q456" ca="1">INDEX('Isaac 401k'!L:L,MATCH('Retirement Calculator'!A456,'Isaac 401k'!N:N,0),0)</f>
        <v>1109054.9645984611</v>
      </c>
      <c r="R456" s="25">
        <f t="array" aca="1" ref="R456" ca="1">INDEX('Lorri 401b'!L:L,MATCH('Retirement Calculator'!A456,'Lorri 401b'!N:N,0),0)</f>
        <v>2184149.8442691234</v>
      </c>
      <c r="S456" s="25">
        <f t="shared" ca="1" si="267"/>
        <v>3293204.8088675844</v>
      </c>
    </row>
    <row r="457" spans="1:19" ht="15.75" customHeight="1" x14ac:dyDescent="0.3">
      <c r="A457" s="37">
        <v>64863</v>
      </c>
      <c r="B457" s="409">
        <f t="shared" ref="B457:C457" si="458">($A457-B$9)/365.25</f>
        <v>95.707049965776861</v>
      </c>
      <c r="C457" s="409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3525.4531757812501</v>
      </c>
      <c r="H457" s="25">
        <f>IF(B457&lt;62,0,'Combined Retirement'!$I$14)</f>
        <v>2192</v>
      </c>
      <c r="I457" s="25">
        <f>IF(C457&lt;62,0,'Combined Retirement'!$I$13)</f>
        <v>2420</v>
      </c>
      <c r="J457" s="25">
        <f t="shared" si="263"/>
        <v>7863.2184191855868</v>
      </c>
      <c r="K457" s="25">
        <f t="shared" si="264"/>
        <v>20282.026119384056</v>
      </c>
      <c r="L457" s="25"/>
      <c r="N457" s="25">
        <f>'Combined Retirement'!$C$18/12</f>
        <v>39153.069999999992</v>
      </c>
      <c r="O457" s="25">
        <f t="shared" si="265"/>
        <v>11007.82546143035</v>
      </c>
      <c r="P457" s="25">
        <f t="shared" si="266"/>
        <v>28145.244538569641</v>
      </c>
      <c r="Q457" s="25">
        <f t="array" aca="1" ref="Q457" ca="1">INDEX('Isaac 401k'!L:L,MATCH('Retirement Calculator'!A457,'Isaac 401k'!N:N,0),0)</f>
        <v>1105780.0451216891</v>
      </c>
      <c r="R457" s="25">
        <f t="array" aca="1" ref="R457" ca="1">INDEX('Lorri 401b'!L:L,MATCH('Retirement Calculator'!A457,'Lorri 401b'!N:N,0),0)</f>
        <v>2172883.9340586965</v>
      </c>
      <c r="S457" s="25">
        <f t="shared" ca="1" si="267"/>
        <v>3278663.9791803854</v>
      </c>
    </row>
    <row r="458" spans="1:19" ht="15.75" customHeight="1" x14ac:dyDescent="0.3">
      <c r="A458" s="37">
        <v>64894</v>
      </c>
      <c r="B458" s="409">
        <f t="shared" ref="B458:C458" si="459">($A458-B$9)/365.25</f>
        <v>95.791923340177959</v>
      </c>
      <c r="C458" s="409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3525.4531757812501</v>
      </c>
      <c r="H458" s="25">
        <f>IF(B458&lt;62,0,'Combined Retirement'!$I$14)</f>
        <v>2192</v>
      </c>
      <c r="I458" s="25">
        <f>IF(C458&lt;62,0,'Combined Retirement'!$I$13)</f>
        <v>2420</v>
      </c>
      <c r="J458" s="25">
        <f t="shared" si="263"/>
        <v>7863.2184191855868</v>
      </c>
      <c r="K458" s="25">
        <f t="shared" si="264"/>
        <v>20282.026119384056</v>
      </c>
      <c r="L458" s="25"/>
      <c r="N458" s="25">
        <f>'Combined Retirement'!$C$18/12</f>
        <v>39153.069999999992</v>
      </c>
      <c r="O458" s="25">
        <f t="shared" si="265"/>
        <v>11007.82546143035</v>
      </c>
      <c r="P458" s="25">
        <f t="shared" si="266"/>
        <v>28145.244538569641</v>
      </c>
      <c r="Q458" s="25">
        <f t="array" aca="1" ref="Q458" ca="1">INDEX('Isaac 401k'!L:L,MATCH('Retirement Calculator'!A458,'Isaac 401k'!N:N,0),0)</f>
        <v>1102491.4801470973</v>
      </c>
      <c r="R458" s="25">
        <f t="array" aca="1" ref="R458" ca="1">INDEX('Lorri 401b'!L:L,MATCH('Retirement Calculator'!A458,'Lorri 401b'!N:N,0),0)</f>
        <v>2161571.0825557262</v>
      </c>
      <c r="S458" s="25">
        <f t="shared" ca="1" si="267"/>
        <v>3264062.5627028234</v>
      </c>
    </row>
    <row r="459" spans="1:19" ht="15.75" customHeight="1" x14ac:dyDescent="0.3">
      <c r="A459" s="37">
        <v>64924</v>
      </c>
      <c r="B459" s="409">
        <f t="shared" ref="B459:C459" si="460">($A459-B$9)/365.25</f>
        <v>95.87405886379193</v>
      </c>
      <c r="C459" s="409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3525.4531757812501</v>
      </c>
      <c r="H459" s="25">
        <f>IF(B459&lt;62,0,'Combined Retirement'!$I$14)</f>
        <v>2192</v>
      </c>
      <c r="I459" s="25">
        <f>IF(C459&lt;62,0,'Combined Retirement'!$I$13)</f>
        <v>2420</v>
      </c>
      <c r="J459" s="25">
        <f t="shared" si="263"/>
        <v>7863.2184191855868</v>
      </c>
      <c r="K459" s="25">
        <f t="shared" si="264"/>
        <v>20282.026119384056</v>
      </c>
      <c r="L459" s="25"/>
      <c r="N459" s="25">
        <f>'Combined Retirement'!$C$18/12</f>
        <v>39153.069999999992</v>
      </c>
      <c r="O459" s="25">
        <f t="shared" si="265"/>
        <v>11007.82546143035</v>
      </c>
      <c r="P459" s="25">
        <f t="shared" si="266"/>
        <v>28145.244538569641</v>
      </c>
      <c r="Q459" s="25">
        <f t="array" aca="1" ref="Q459" ca="1">INDEX('Isaac 401k'!L:L,MATCH('Retirement Calculator'!A459,'Isaac 401k'!N:N,0),0)</f>
        <v>1099189.2128184447</v>
      </c>
      <c r="R459" s="25">
        <f t="array" aca="1" ref="R459" ca="1">INDEX('Lorri 401b'!L:L,MATCH('Retirement Calculator'!A459,'Lorri 401b'!N:N,0),0)</f>
        <v>2150211.0941714938</v>
      </c>
      <c r="S459" s="25">
        <f t="shared" ca="1" si="267"/>
        <v>3249400.3069899385</v>
      </c>
    </row>
    <row r="460" spans="1:19" ht="15.75" customHeight="1" x14ac:dyDescent="0.3">
      <c r="A460" s="37">
        <v>64955</v>
      </c>
      <c r="B460" s="409">
        <f t="shared" ref="B460:C460" si="461">($A460-B$9)/365.25</f>
        <v>95.958932238193015</v>
      </c>
      <c r="C460" s="409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3525.4531757812501</v>
      </c>
      <c r="H460" s="25">
        <f>IF(B460&lt;62,0,'Combined Retirement'!$I$14)</f>
        <v>2192</v>
      </c>
      <c r="I460" s="25">
        <f>IF(C460&lt;62,0,'Combined Retirement'!$I$13)</f>
        <v>2420</v>
      </c>
      <c r="J460" s="25">
        <f t="shared" si="263"/>
        <v>7863.2184191855868</v>
      </c>
      <c r="K460" s="25">
        <f t="shared" si="264"/>
        <v>20282.026119384056</v>
      </c>
      <c r="L460" s="25"/>
      <c r="N460" s="25">
        <f>'Combined Retirement'!$C$18/12</f>
        <v>39153.069999999992</v>
      </c>
      <c r="O460" s="25">
        <f t="shared" si="265"/>
        <v>11007.82546143035</v>
      </c>
      <c r="P460" s="25">
        <f t="shared" si="266"/>
        <v>28145.244538569641</v>
      </c>
      <c r="Q460" s="25">
        <f t="array" aca="1" ref="Q460" ca="1">INDEX('Isaac 401k'!L:L,MATCH('Retirement Calculator'!A460,'Isaac 401k'!N:N,0),0)</f>
        <v>1095873.1860425894</v>
      </c>
      <c r="R460" s="25">
        <f t="array" aca="1" ref="R460" ca="1">INDEX('Lorri 401b'!L:L,MATCH('Retirement Calculator'!A460,'Lorri 401b'!N:N,0),0)</f>
        <v>2138803.7725023269</v>
      </c>
      <c r="S460" s="25">
        <f t="shared" ca="1" si="267"/>
        <v>3234676.9585449165</v>
      </c>
    </row>
    <row r="461" spans="1:19" ht="15.75" customHeight="1" x14ac:dyDescent="0.3">
      <c r="A461" s="37">
        <v>64985</v>
      </c>
      <c r="B461" s="409">
        <f t="shared" ref="B461:C461" si="462">($A461-B$9)/365.25</f>
        <v>96.041067761806985</v>
      </c>
      <c r="C461" s="409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3525.4531757812501</v>
      </c>
      <c r="H461" s="25">
        <f>IF(B461&lt;62,0,'Combined Retirement'!$I$14)</f>
        <v>2192</v>
      </c>
      <c r="I461" s="25">
        <f>IF(C461&lt;62,0,'Combined Retirement'!$I$13)</f>
        <v>2420</v>
      </c>
      <c r="J461" s="25">
        <f t="shared" si="263"/>
        <v>7863.2184191855868</v>
      </c>
      <c r="K461" s="25">
        <f t="shared" si="264"/>
        <v>20282.026119384056</v>
      </c>
      <c r="L461" s="25"/>
      <c r="N461" s="25">
        <f>'Combined Retirement'!$C$18/12</f>
        <v>39153.069999999992</v>
      </c>
      <c r="O461" s="25">
        <f t="shared" si="265"/>
        <v>11007.82546143035</v>
      </c>
      <c r="P461" s="25">
        <f t="shared" si="266"/>
        <v>28145.244538569641</v>
      </c>
      <c r="Q461" s="25">
        <f t="array" aca="1" ref="Q461" ca="1">INDEX('Isaac 401k'!L:L,MATCH('Retirement Calculator'!A461,'Isaac 401k'!N:N,0),0)</f>
        <v>1092543.3424885012</v>
      </c>
      <c r="R461" s="25">
        <f t="array" aca="1" ref="R461" ca="1">INDEX('Lorri 401b'!L:L,MATCH('Retirement Calculator'!A461,'Lorri 401b'!N:N,0),0)</f>
        <v>2127348.920326205</v>
      </c>
      <c r="S461" s="25">
        <f t="shared" ca="1" si="267"/>
        <v>3219892.2628147062</v>
      </c>
    </row>
    <row r="462" spans="1:19" ht="15.75" customHeight="1" x14ac:dyDescent="0.3">
      <c r="A462" s="37">
        <v>65016</v>
      </c>
      <c r="B462" s="409">
        <f t="shared" ref="B462:C462" si="463">($A462-B$9)/365.25</f>
        <v>96.12594113620807</v>
      </c>
      <c r="C462" s="409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3525.4531757812501</v>
      </c>
      <c r="H462" s="25">
        <f>IF(B462&lt;62,0,'Combined Retirement'!$I$14)</f>
        <v>2192</v>
      </c>
      <c r="I462" s="25">
        <f>IF(C462&lt;62,0,'Combined Retirement'!$I$13)</f>
        <v>2420</v>
      </c>
      <c r="J462" s="25">
        <f t="shared" si="263"/>
        <v>7863.2184191855868</v>
      </c>
      <c r="K462" s="25">
        <f t="shared" si="264"/>
        <v>20282.026119384056</v>
      </c>
      <c r="L462" s="25"/>
      <c r="N462" s="25">
        <f>'Combined Retirement'!$C$18/12</f>
        <v>39153.069999999992</v>
      </c>
      <c r="O462" s="25">
        <f t="shared" si="265"/>
        <v>11007.82546143035</v>
      </c>
      <c r="P462" s="25">
        <f t="shared" si="266"/>
        <v>28145.244538569641</v>
      </c>
      <c r="Q462" s="25">
        <f t="array" aca="1" ref="Q462" ca="1">INDEX('Isaac 401k'!L:L,MATCH('Retirement Calculator'!A462,'Isaac 401k'!N:N,0),0)</f>
        <v>1089199.6245862711</v>
      </c>
      <c r="R462" s="25">
        <f t="array" aca="1" ref="R462" ca="1">INDEX('Lorri 401b'!L:L,MATCH('Retirement Calculator'!A462,'Lorri 401b'!N:N,0),0)</f>
        <v>2115846.3395993495</v>
      </c>
      <c r="S462" s="25">
        <f t="shared" ca="1" si="267"/>
        <v>3205045.9641856207</v>
      </c>
    </row>
    <row r="463" spans="1:19" ht="15.75" customHeight="1" x14ac:dyDescent="0.3">
      <c r="A463" s="37">
        <v>65047</v>
      </c>
      <c r="B463" s="409">
        <f t="shared" ref="B463:C463" si="464">($A463-B$9)/365.25</f>
        <v>96.210814510609168</v>
      </c>
      <c r="C463" s="409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3525.4531757812501</v>
      </c>
      <c r="H463" s="25">
        <f>IF(B463&lt;62,0,'Combined Retirement'!$I$14)</f>
        <v>2192</v>
      </c>
      <c r="I463" s="25">
        <f>IF(C463&lt;62,0,'Combined Retirement'!$I$13)</f>
        <v>2420</v>
      </c>
      <c r="J463" s="25">
        <f t="shared" si="263"/>
        <v>7863.2184191855868</v>
      </c>
      <c r="K463" s="25">
        <f t="shared" si="264"/>
        <v>20282.026119384056</v>
      </c>
      <c r="L463" s="25"/>
      <c r="N463" s="25">
        <f>'Combined Retirement'!$C$18/12</f>
        <v>39153.069999999992</v>
      </c>
      <c r="O463" s="25">
        <f t="shared" si="265"/>
        <v>11007.82546143035</v>
      </c>
      <c r="P463" s="25">
        <f t="shared" si="266"/>
        <v>28145.244538569641</v>
      </c>
      <c r="Q463" s="25">
        <f t="array" aca="1" ref="Q463" ca="1">INDEX('Isaac 401k'!L:L,MATCH('Retirement Calculator'!A463,'Isaac 401k'!N:N,0),0)</f>
        <v>1085841.974526115</v>
      </c>
      <c r="R463" s="25">
        <f t="array" aca="1" ref="R463" ca="1">INDEX('Lorri 401b'!L:L,MATCH('Retirement Calculator'!A463,'Lorri 401b'!N:N,0),0)</f>
        <v>2104295.8314527986</v>
      </c>
      <c r="S463" s="25">
        <f t="shared" ca="1" si="267"/>
        <v>3190137.8059789138</v>
      </c>
    </row>
    <row r="464" spans="1:19" ht="15.75" customHeight="1" x14ac:dyDescent="0.3">
      <c r="A464" s="37">
        <v>65075</v>
      </c>
      <c r="B464" s="409">
        <f t="shared" ref="B464:C464" si="465">($A464-B$9)/365.25</f>
        <v>96.28747433264887</v>
      </c>
      <c r="C464" s="409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3525.4531757812501</v>
      </c>
      <c r="H464" s="25">
        <f>IF(B464&lt;62,0,'Combined Retirement'!$I$14)</f>
        <v>2192</v>
      </c>
      <c r="I464" s="25">
        <f>IF(C464&lt;62,0,'Combined Retirement'!$I$13)</f>
        <v>2420</v>
      </c>
      <c r="J464" s="25">
        <f t="shared" si="263"/>
        <v>7863.2184191855868</v>
      </c>
      <c r="K464" s="25">
        <f t="shared" si="264"/>
        <v>20282.026119384056</v>
      </c>
      <c r="L464" s="25"/>
      <c r="N464" s="25">
        <f>'Combined Retirement'!$C$18/12</f>
        <v>39153.069999999992</v>
      </c>
      <c r="O464" s="25">
        <f t="shared" si="265"/>
        <v>11007.82546143035</v>
      </c>
      <c r="P464" s="25">
        <f t="shared" si="266"/>
        <v>28145.244538569641</v>
      </c>
      <c r="Q464" s="25">
        <f t="array" aca="1" ref="Q464" ca="1">INDEX('Isaac 401k'!L:L,MATCH('Retirement Calculator'!A464,'Isaac 401k'!N:N,0),0)</f>
        <v>1082470.334257375</v>
      </c>
      <c r="R464" s="25">
        <f t="array" aca="1" ref="R464" ca="1">INDEX('Lorri 401b'!L:L,MATCH('Retirement Calculator'!A464,'Lorri 401b'!N:N,0),0)</f>
        <v>2092697.1961889705</v>
      </c>
      <c r="S464" s="25">
        <f t="shared" ca="1" si="267"/>
        <v>3175167.5304463455</v>
      </c>
    </row>
    <row r="465" spans="1:19" ht="15.75" customHeight="1" x14ac:dyDescent="0.3">
      <c r="A465" s="37">
        <v>65106</v>
      </c>
      <c r="B465" s="409">
        <f t="shared" ref="B465:C465" si="466">($A465-B$9)/365.25</f>
        <v>96.372347707049968</v>
      </c>
      <c r="C465" s="409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3525.4531757812501</v>
      </c>
      <c r="H465" s="25">
        <f>IF(B465&lt;62,0,'Combined Retirement'!$I$14)</f>
        <v>2192</v>
      </c>
      <c r="I465" s="25">
        <f>IF(C465&lt;62,0,'Combined Retirement'!$I$13)</f>
        <v>2420</v>
      </c>
      <c r="J465" s="25">
        <f t="shared" si="263"/>
        <v>7863.2184191855868</v>
      </c>
      <c r="K465" s="25">
        <f t="shared" si="264"/>
        <v>20282.026119384056</v>
      </c>
      <c r="L465" s="25"/>
      <c r="N465" s="25">
        <f>'Combined Retirement'!$C$18/12</f>
        <v>39153.069999999992</v>
      </c>
      <c r="O465" s="25">
        <f t="shared" si="265"/>
        <v>11007.82546143035</v>
      </c>
      <c r="P465" s="25">
        <f t="shared" si="266"/>
        <v>28145.244538569641</v>
      </c>
      <c r="Q465" s="25">
        <f t="array" aca="1" ref="Q465" ca="1">INDEX('Isaac 401k'!L:L,MATCH('Retirement Calculator'!A465,'Isaac 401k'!N:N,0),0)</f>
        <v>1079084.6454875153</v>
      </c>
      <c r="R465" s="25">
        <f t="array" aca="1" ref="R465" ca="1">INDEX('Lorri 401b'!L:L,MATCH('Retirement Calculator'!A465,'Lorri 401b'!N:N,0),0)</f>
        <v>2081050.2332782098</v>
      </c>
      <c r="S465" s="25">
        <f t="shared" ca="1" si="267"/>
        <v>3160134.8787657251</v>
      </c>
    </row>
    <row r="466" spans="1:19" ht="15.75" customHeight="1" x14ac:dyDescent="0.3">
      <c r="A466" s="37">
        <v>65136</v>
      </c>
      <c r="B466" s="409">
        <f t="shared" ref="B466:C466" si="467">($A466-B$9)/365.25</f>
        <v>96.454483230663925</v>
      </c>
      <c r="C466" s="409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3525.4531757812501</v>
      </c>
      <c r="H466" s="25">
        <f>IF(B466&lt;62,0,'Combined Retirement'!$I$14)</f>
        <v>2192</v>
      </c>
      <c r="I466" s="25">
        <f>IF(C466&lt;62,0,'Combined Retirement'!$I$13)</f>
        <v>2420</v>
      </c>
      <c r="J466" s="25">
        <f t="shared" si="263"/>
        <v>7863.2184191855868</v>
      </c>
      <c r="K466" s="25">
        <f t="shared" si="264"/>
        <v>20282.026119384056</v>
      </c>
      <c r="L466" s="25"/>
      <c r="N466" s="25">
        <f>'Combined Retirement'!$C$18/12</f>
        <v>39153.069999999992</v>
      </c>
      <c r="O466" s="25">
        <f t="shared" si="265"/>
        <v>11007.82546143035</v>
      </c>
      <c r="P466" s="25">
        <f t="shared" si="266"/>
        <v>28145.244538569641</v>
      </c>
      <c r="Q466" s="25">
        <f t="array" aca="1" ref="Q466" ca="1">INDEX('Isaac 401k'!L:L,MATCH('Retirement Calculator'!A466,'Isaac 401k'!N:N,0),0)</f>
        <v>1075684.8496811143</v>
      </c>
      <c r="R466" s="25">
        <f t="array" aca="1" ref="R466" ca="1">INDEX('Lorri 401b'!L:L,MATCH('Retirement Calculator'!A466,'Lorri 401b'!N:N,0),0)</f>
        <v>2069354.7413553209</v>
      </c>
      <c r="S466" s="25">
        <f t="shared" ca="1" si="267"/>
        <v>3145039.5910364352</v>
      </c>
    </row>
    <row r="467" spans="1:19" ht="15.75" customHeight="1" x14ac:dyDescent="0.3">
      <c r="A467" s="37">
        <v>65167</v>
      </c>
      <c r="B467" s="409">
        <f t="shared" ref="B467:C467" si="468">($A467-B$9)/365.25</f>
        <v>96.539356605065024</v>
      </c>
      <c r="C467" s="409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3525.4531757812501</v>
      </c>
      <c r="H467" s="25">
        <f>IF(B467&lt;62,0,'Combined Retirement'!$I$14)</f>
        <v>2192</v>
      </c>
      <c r="I467" s="25">
        <f>IF(C467&lt;62,0,'Combined Retirement'!$I$13)</f>
        <v>2420</v>
      </c>
      <c r="J467" s="25">
        <f t="shared" si="263"/>
        <v>7863.2184191855868</v>
      </c>
      <c r="K467" s="25">
        <f t="shared" si="264"/>
        <v>20282.026119384056</v>
      </c>
      <c r="L467" s="25"/>
      <c r="N467" s="25">
        <f>'Combined Retirement'!$C$18/12</f>
        <v>39153.069999999992</v>
      </c>
      <c r="O467" s="25">
        <f t="shared" si="265"/>
        <v>11007.82546143035</v>
      </c>
      <c r="P467" s="25">
        <f t="shared" si="266"/>
        <v>28145.244538569641</v>
      </c>
      <c r="Q467" s="25">
        <f t="array" aca="1" ref="Q467" ca="1">INDEX('Isaac 401k'!L:L,MATCH('Retirement Calculator'!A467,'Isaac 401k'!N:N,0),0)</f>
        <v>1072270.8880588533</v>
      </c>
      <c r="R467" s="25">
        <f t="array" aca="1" ref="R467" ca="1">INDEX('Lorri 401b'!L:L,MATCH('Retirement Calculator'!A467,'Lorri 401b'!N:N,0),0)</f>
        <v>2057610.5182160866</v>
      </c>
      <c r="S467" s="25">
        <f t="shared" ca="1" si="267"/>
        <v>3129881.4062749399</v>
      </c>
    </row>
    <row r="468" spans="1:19" ht="15.75" customHeight="1" x14ac:dyDescent="0.3">
      <c r="A468" s="37">
        <v>65197</v>
      </c>
      <c r="B468" s="409">
        <f t="shared" ref="B468:C468" si="469">($A468-B$9)/365.25</f>
        <v>96.62149212867898</v>
      </c>
      <c r="C468" s="409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3525.4531757812501</v>
      </c>
      <c r="H468" s="25">
        <f>IF(B468&lt;62,0,'Combined Retirement'!$I$14)</f>
        <v>2192</v>
      </c>
      <c r="I468" s="25">
        <f>IF(C468&lt;62,0,'Combined Retirement'!$I$13)</f>
        <v>2420</v>
      </c>
      <c r="J468" s="25">
        <f t="shared" si="263"/>
        <v>7863.2184191855868</v>
      </c>
      <c r="K468" s="25">
        <f t="shared" si="264"/>
        <v>20282.026119384056</v>
      </c>
      <c r="L468" s="25"/>
      <c r="N468" s="25">
        <f>'Combined Retirement'!$C$18/12</f>
        <v>39153.069999999992</v>
      </c>
      <c r="O468" s="25">
        <f t="shared" si="265"/>
        <v>11007.82546143035</v>
      </c>
      <c r="P468" s="25">
        <f t="shared" si="266"/>
        <v>28145.244538569641</v>
      </c>
      <c r="Q468" s="25">
        <f t="array" aca="1" ref="Q468" ca="1">INDEX('Isaac 401k'!L:L,MATCH('Retirement Calculator'!A468,'Isaac 401k'!N:N,0),0)</f>
        <v>1068842.7015964997</v>
      </c>
      <c r="R468" s="25">
        <f t="array" aca="1" ref="R468" ca="1">INDEX('Lorri 401b'!L:L,MATCH('Retirement Calculator'!A468,'Lorri 401b'!N:N,0),0)</f>
        <v>2045817.3608137721</v>
      </c>
      <c r="S468" s="25">
        <f t="shared" ca="1" si="267"/>
        <v>3114660.0624102717</v>
      </c>
    </row>
    <row r="469" spans="1:19" ht="15.75" customHeight="1" x14ac:dyDescent="0.3">
      <c r="A469" s="37">
        <v>65228</v>
      </c>
      <c r="B469" s="409">
        <f t="shared" ref="B469:C469" si="470">($A469-B$9)/365.25</f>
        <v>96.706365503080079</v>
      </c>
      <c r="C469" s="409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3525.4531757812501</v>
      </c>
      <c r="H469" s="25">
        <f>IF(B469&lt;62,0,'Combined Retirement'!$I$14)</f>
        <v>2192</v>
      </c>
      <c r="I469" s="25">
        <f>IF(C469&lt;62,0,'Combined Retirement'!$I$13)</f>
        <v>2420</v>
      </c>
      <c r="J469" s="25">
        <f t="shared" si="263"/>
        <v>7863.2184191855868</v>
      </c>
      <c r="K469" s="25">
        <f t="shared" si="264"/>
        <v>20282.026119384056</v>
      </c>
      <c r="L469" s="25"/>
      <c r="N469" s="25">
        <f>'Combined Retirement'!$C$18/12</f>
        <v>39153.069999999992</v>
      </c>
      <c r="O469" s="25">
        <f t="shared" si="265"/>
        <v>11007.82546143035</v>
      </c>
      <c r="P469" s="25">
        <f t="shared" si="266"/>
        <v>28145.244538569641</v>
      </c>
      <c r="Q469" s="25">
        <f t="array" aca="1" ref="Q469" ca="1">INDEX('Isaac 401k'!L:L,MATCH('Retirement Calculator'!A469,'Isaac 401k'!N:N,0),0)</f>
        <v>1065400.2310238862</v>
      </c>
      <c r="R469" s="25">
        <f t="array" aca="1" ref="R469" ca="1">INDEX('Lorri 401b'!L:L,MATCH('Retirement Calculator'!A469,'Lorri 401b'!N:N,0),0)</f>
        <v>2033975.0652556147</v>
      </c>
      <c r="S469" s="25">
        <f t="shared" ca="1" si="267"/>
        <v>3099375.2962795012</v>
      </c>
    </row>
    <row r="470" spans="1:19" ht="15.75" customHeight="1" x14ac:dyDescent="0.3">
      <c r="A470" s="37">
        <v>65259</v>
      </c>
      <c r="B470" s="409">
        <f t="shared" ref="B470:C470" si="471">($A470-B$9)/365.25</f>
        <v>96.791238877481177</v>
      </c>
      <c r="C470" s="409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3525.4531757812501</v>
      </c>
      <c r="H470" s="25">
        <f>IF(B470&lt;62,0,'Combined Retirement'!$I$14)</f>
        <v>2192</v>
      </c>
      <c r="I470" s="25">
        <f>IF(C470&lt;62,0,'Combined Retirement'!$I$13)</f>
        <v>2420</v>
      </c>
      <c r="J470" s="25">
        <f t="shared" si="263"/>
        <v>7863.2184191855868</v>
      </c>
      <c r="K470" s="25">
        <f t="shared" si="264"/>
        <v>20282.026119384056</v>
      </c>
      <c r="L470" s="25"/>
      <c r="N470" s="25">
        <f>'Combined Retirement'!$C$18/12</f>
        <v>39153.069999999992</v>
      </c>
      <c r="O470" s="25">
        <f t="shared" si="265"/>
        <v>11007.82546143035</v>
      </c>
      <c r="P470" s="25">
        <f t="shared" si="266"/>
        <v>28145.244538569641</v>
      </c>
      <c r="Q470" s="25">
        <f t="array" aca="1" ref="Q470" ca="1">INDEX('Isaac 401k'!L:L,MATCH('Retirement Calculator'!A470,'Isaac 401k'!N:N,0),0)</f>
        <v>1061943.4168238868</v>
      </c>
      <c r="R470" s="25">
        <f t="array" aca="1" ref="R470" ca="1">INDEX('Lorri 401b'!L:L,MATCH('Retirement Calculator'!A470,'Lorri 401b'!N:N,0),0)</f>
        <v>2022083.4267992983</v>
      </c>
      <c r="S470" s="25">
        <f t="shared" ca="1" si="267"/>
        <v>3084026.8436231851</v>
      </c>
    </row>
    <row r="471" spans="1:19" ht="15.75" customHeight="1" x14ac:dyDescent="0.3">
      <c r="A471" s="37">
        <v>65289</v>
      </c>
      <c r="B471" s="409">
        <f t="shared" ref="B471:C471" si="472">($A471-B$9)/365.25</f>
        <v>96.873374401095134</v>
      </c>
      <c r="C471" s="409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3525.4531757812501</v>
      </c>
      <c r="H471" s="25">
        <f>IF(B471&lt;62,0,'Combined Retirement'!$I$14)</f>
        <v>2192</v>
      </c>
      <c r="I471" s="25">
        <f>IF(C471&lt;62,0,'Combined Retirement'!$I$13)</f>
        <v>2420</v>
      </c>
      <c r="J471" s="25">
        <f t="shared" si="263"/>
        <v>7863.2184191855868</v>
      </c>
      <c r="K471" s="25">
        <f t="shared" si="264"/>
        <v>20282.026119384056</v>
      </c>
      <c r="L471" s="25"/>
      <c r="N471" s="25">
        <f>'Combined Retirement'!$C$18/12</f>
        <v>39153.069999999992</v>
      </c>
      <c r="O471" s="25">
        <f t="shared" si="265"/>
        <v>11007.82546143035</v>
      </c>
      <c r="P471" s="25">
        <f t="shared" si="266"/>
        <v>28145.244538569641</v>
      </c>
      <c r="Q471" s="25">
        <f t="array" aca="1" ref="Q471" ca="1">INDEX('Isaac 401k'!L:L,MATCH('Retirement Calculator'!A471,'Isaac 401k'!N:N,0),0)</f>
        <v>1058472.1992313873</v>
      </c>
      <c r="R471" s="25">
        <f t="array" aca="1" ref="R471" ca="1">INDEX('Lorri 401b'!L:L,MATCH('Retirement Calculator'!A471,'Lorri 401b'!N:N,0),0)</f>
        <v>2010142.239849414</v>
      </c>
      <c r="S471" s="25">
        <f t="shared" ca="1" si="267"/>
        <v>3068614.4390808013</v>
      </c>
    </row>
    <row r="472" spans="1:19" ht="15.75" customHeight="1" x14ac:dyDescent="0.3">
      <c r="A472" s="37">
        <v>65320</v>
      </c>
      <c r="B472" s="409">
        <f t="shared" ref="B472:C472" si="473">($A472-B$9)/365.25</f>
        <v>96.958247775496233</v>
      </c>
      <c r="C472" s="409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3525.4531757812501</v>
      </c>
      <c r="H472" s="25">
        <f>IF(B472&lt;62,0,'Combined Retirement'!$I$14)</f>
        <v>2192</v>
      </c>
      <c r="I472" s="25">
        <f>IF(C472&lt;62,0,'Combined Retirement'!$I$13)</f>
        <v>2420</v>
      </c>
      <c r="J472" s="25">
        <f t="shared" si="263"/>
        <v>7863.2184191855868</v>
      </c>
      <c r="K472" s="25">
        <f t="shared" si="264"/>
        <v>20282.026119384056</v>
      </c>
      <c r="L472" s="25"/>
      <c r="N472" s="25">
        <f>'Combined Retirement'!$C$18/12</f>
        <v>39153.069999999992</v>
      </c>
      <c r="O472" s="25">
        <f t="shared" si="265"/>
        <v>11007.82546143035</v>
      </c>
      <c r="P472" s="25">
        <f t="shared" si="266"/>
        <v>28145.244538569641</v>
      </c>
      <c r="Q472" s="25">
        <f t="array" aca="1" ref="Q472" ca="1">INDEX('Isaac 401k'!L:L,MATCH('Retirement Calculator'!A472,'Isaac 401k'!N:N,0),0)</f>
        <v>1054986.5182322527</v>
      </c>
      <c r="R472" s="25">
        <f t="array" aca="1" ref="R472" ca="1">INDEX('Lorri 401b'!L:L,MATCH('Retirement Calculator'!A472,'Lorri 401b'!N:N,0),0)</f>
        <v>1998151.2979539051</v>
      </c>
      <c r="S472" s="25">
        <f t="shared" ca="1" si="267"/>
        <v>3053137.816186158</v>
      </c>
    </row>
    <row r="473" spans="1:19" ht="15.75" customHeight="1" x14ac:dyDescent="0.3">
      <c r="A473" s="37">
        <v>65350</v>
      </c>
      <c r="B473" s="409">
        <f t="shared" ref="B473:C473" si="474">($A473-B$9)/365.25</f>
        <v>97.040383299110204</v>
      </c>
      <c r="C473" s="409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3525.4531757812501</v>
      </c>
      <c r="H473" s="25">
        <f>IF(B473&lt;62,0,'Combined Retirement'!$I$14)</f>
        <v>2192</v>
      </c>
      <c r="I473" s="25">
        <f>IF(C473&lt;62,0,'Combined Retirement'!$I$13)</f>
        <v>2420</v>
      </c>
      <c r="J473" s="25">
        <f t="shared" si="263"/>
        <v>7863.2184191855868</v>
      </c>
      <c r="K473" s="25">
        <f t="shared" si="264"/>
        <v>20282.026119384056</v>
      </c>
      <c r="L473" s="25"/>
      <c r="N473" s="25">
        <f>'Combined Retirement'!$C$18/12</f>
        <v>39153.069999999992</v>
      </c>
      <c r="O473" s="25">
        <f t="shared" si="265"/>
        <v>11007.82546143035</v>
      </c>
      <c r="P473" s="25">
        <f t="shared" si="266"/>
        <v>28145.244538569641</v>
      </c>
      <c r="Q473" s="25">
        <f t="array" aca="1" ref="Q473" ca="1">INDEX('Isaac 401k'!L:L,MATCH('Retirement Calculator'!A473,'Isaac 401k'!N:N,0),0)</f>
        <v>1051486.3135622882</v>
      </c>
      <c r="R473" s="25">
        <f t="array" aca="1" ref="R473" ca="1">INDEX('Lorri 401b'!L:L,MATCH('Retirement Calculator'!A473,'Lorri 401b'!N:N,0),0)</f>
        <v>1986110.3938004982</v>
      </c>
      <c r="S473" s="25">
        <f t="shared" ca="1" si="267"/>
        <v>3037596.7073627864</v>
      </c>
    </row>
    <row r="474" spans="1:19" ht="15.75" customHeight="1" x14ac:dyDescent="0.3">
      <c r="A474" s="37">
        <v>65381</v>
      </c>
      <c r="B474" s="409">
        <f t="shared" ref="B474:C474" si="475">($A474-B$9)/365.25</f>
        <v>97.125256673511288</v>
      </c>
      <c r="C474" s="409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3525.4531757812501</v>
      </c>
      <c r="H474" s="25">
        <f>IF(B474&lt;62,0,'Combined Retirement'!$I$14)</f>
        <v>2192</v>
      </c>
      <c r="I474" s="25">
        <f>IF(C474&lt;62,0,'Combined Retirement'!$I$13)</f>
        <v>2420</v>
      </c>
      <c r="J474" s="25">
        <f t="shared" si="263"/>
        <v>7863.2184191855868</v>
      </c>
      <c r="K474" s="25">
        <f t="shared" si="264"/>
        <v>20282.026119384056</v>
      </c>
      <c r="L474" s="25"/>
      <c r="N474" s="25">
        <f>'Combined Retirement'!$C$18/12</f>
        <v>39153.069999999992</v>
      </c>
      <c r="O474" s="25">
        <f t="shared" si="265"/>
        <v>11007.82546143035</v>
      </c>
      <c r="P474" s="25">
        <f t="shared" si="266"/>
        <v>28145.244538569641</v>
      </c>
      <c r="Q474" s="25">
        <f t="array" aca="1" ref="Q474" ca="1">INDEX('Isaac 401k'!L:L,MATCH('Retirement Calculator'!A474,'Isaac 401k'!N:N,0),0)</f>
        <v>1047971.5247061988</v>
      </c>
      <c r="R474" s="25">
        <f t="array" aca="1" ref="R474" ca="1">INDEX('Lorri 401b'!L:L,MATCH('Retirement Calculator'!A474,'Lorri 401b'!N:N,0),0)</f>
        <v>1974019.3192131189</v>
      </c>
      <c r="S474" s="25">
        <f t="shared" ca="1" si="267"/>
        <v>3021990.8439193177</v>
      </c>
    </row>
    <row r="475" spans="1:19" ht="15.75" customHeight="1" x14ac:dyDescent="0.3">
      <c r="A475" s="37">
        <v>65412</v>
      </c>
      <c r="B475" s="409">
        <f t="shared" ref="B475:C475" si="476">($A475-B$9)/365.25</f>
        <v>97.210130047912386</v>
      </c>
      <c r="C475" s="409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3525.4531757812501</v>
      </c>
      <c r="H475" s="25">
        <f>IF(B475&lt;62,0,'Combined Retirement'!$I$14)</f>
        <v>2192</v>
      </c>
      <c r="I475" s="25">
        <f>IF(C475&lt;62,0,'Combined Retirement'!$I$13)</f>
        <v>2420</v>
      </c>
      <c r="J475" s="25">
        <f t="shared" si="263"/>
        <v>7863.2184191855868</v>
      </c>
      <c r="K475" s="25">
        <f t="shared" si="264"/>
        <v>20282.026119384056</v>
      </c>
      <c r="L475" s="25"/>
      <c r="N475" s="25">
        <f>'Combined Retirement'!$C$18/12</f>
        <v>39153.069999999992</v>
      </c>
      <c r="O475" s="25">
        <f t="shared" si="265"/>
        <v>11007.82546143035</v>
      </c>
      <c r="P475" s="25">
        <f t="shared" si="266"/>
        <v>28145.244538569641</v>
      </c>
      <c r="Q475" s="25">
        <f t="array" aca="1" ref="Q475" ca="1">INDEX('Isaac 401k'!L:L,MATCH('Retirement Calculator'!A475,'Isaac 401k'!N:N,0),0)</f>
        <v>1044442.0908965424</v>
      </c>
      <c r="R475" s="25">
        <f t="array" aca="1" ref="R475" ca="1">INDEX('Lorri 401b'!L:L,MATCH('Retirement Calculator'!A475,'Lorri 401b'!N:N,0),0)</f>
        <v>1961877.8651482922</v>
      </c>
      <c r="S475" s="25">
        <f t="shared" ca="1" si="267"/>
        <v>3006319.9560448346</v>
      </c>
    </row>
    <row r="476" spans="1:19" ht="15.75" customHeight="1" x14ac:dyDescent="0.3">
      <c r="A476" s="37">
        <v>65440</v>
      </c>
      <c r="B476" s="409">
        <f t="shared" ref="B476:C476" si="477">($A476-B$9)/365.25</f>
        <v>97.286789869952088</v>
      </c>
      <c r="C476" s="409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3525.4531757812501</v>
      </c>
      <c r="H476" s="25">
        <f>IF(B476&lt;62,0,'Combined Retirement'!$I$14)</f>
        <v>2192</v>
      </c>
      <c r="I476" s="25">
        <f>IF(C476&lt;62,0,'Combined Retirement'!$I$13)</f>
        <v>2420</v>
      </c>
      <c r="J476" s="25">
        <f t="shared" si="263"/>
        <v>7863.2184191855868</v>
      </c>
      <c r="K476" s="25">
        <f t="shared" si="264"/>
        <v>20282.026119384056</v>
      </c>
      <c r="L476" s="25"/>
      <c r="N476" s="25">
        <f>'Combined Retirement'!$C$18/12</f>
        <v>39153.069999999992</v>
      </c>
      <c r="O476" s="25">
        <f t="shared" si="265"/>
        <v>11007.82546143035</v>
      </c>
      <c r="P476" s="25">
        <f t="shared" si="266"/>
        <v>28145.244538569641</v>
      </c>
      <c r="Q476" s="25">
        <f t="array" aca="1" ref="Q476" ca="1">INDEX('Isaac 401k'!L:L,MATCH('Retirement Calculator'!A476,'Isaac 401k'!N:N,0),0)</f>
        <v>1040897.9511126791</v>
      </c>
      <c r="R476" s="25">
        <f t="array" aca="1" ref="R476" ca="1">INDEX('Lorri 401b'!L:L,MATCH('Retirement Calculator'!A476,'Lorri 401b'!N:N,0),0)</f>
        <v>1949685.8216915287</v>
      </c>
      <c r="S476" s="25">
        <f t="shared" ca="1" si="267"/>
        <v>2990583.7728042076</v>
      </c>
    </row>
    <row r="477" spans="1:19" ht="15.75" customHeight="1" x14ac:dyDescent="0.3">
      <c r="A477" s="37">
        <v>65471</v>
      </c>
      <c r="B477" s="409">
        <f t="shared" ref="B477:C477" si="478">($A477-B$9)/365.25</f>
        <v>97.371663244353186</v>
      </c>
      <c r="C477" s="409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3525.4531757812501</v>
      </c>
      <c r="H477" s="25">
        <f>IF(B477&lt;62,0,'Combined Retirement'!$I$14)</f>
        <v>2192</v>
      </c>
      <c r="I477" s="25">
        <f>IF(C477&lt;62,0,'Combined Retirement'!$I$13)</f>
        <v>2420</v>
      </c>
      <c r="J477" s="25">
        <f t="shared" si="263"/>
        <v>7863.2184191855868</v>
      </c>
      <c r="K477" s="25">
        <f t="shared" si="264"/>
        <v>20282.026119384056</v>
      </c>
      <c r="L477" s="25"/>
      <c r="N477" s="25">
        <f>'Combined Retirement'!$C$18/12</f>
        <v>39153.069999999992</v>
      </c>
      <c r="O477" s="25">
        <f t="shared" si="265"/>
        <v>11007.82546143035</v>
      </c>
      <c r="P477" s="25">
        <f t="shared" si="266"/>
        <v>28145.244538569641</v>
      </c>
      <c r="Q477" s="25">
        <f t="array" aca="1" ref="Q477" ca="1">INDEX('Isaac 401k'!L:L,MATCH('Retirement Calculator'!A477,'Isaac 401k'!N:N,0),0)</f>
        <v>1037339.0440797163</v>
      </c>
      <c r="R477" s="25">
        <f t="array" aca="1" ref="R477" ca="1">INDEX('Lorri 401b'!L:L,MATCH('Retirement Calculator'!A477,'Lorri 401b'!N:N,0),0)</f>
        <v>1937442.9780536953</v>
      </c>
      <c r="S477" s="25">
        <f t="shared" ca="1" si="267"/>
        <v>2974782.0221334118</v>
      </c>
    </row>
    <row r="478" spans="1:19" ht="15.75" customHeight="1" x14ac:dyDescent="0.3">
      <c r="A478" s="37">
        <v>65501</v>
      </c>
      <c r="B478" s="409">
        <f t="shared" ref="B478:C478" si="479">($A478-B$9)/365.25</f>
        <v>97.453798767967143</v>
      </c>
      <c r="C478" s="409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3525.4531757812501</v>
      </c>
      <c r="H478" s="25">
        <f>IF(B478&lt;62,0,'Combined Retirement'!$I$14)</f>
        <v>2192</v>
      </c>
      <c r="I478" s="25">
        <f>IF(C478&lt;62,0,'Combined Retirement'!$I$13)</f>
        <v>2420</v>
      </c>
      <c r="J478" s="25">
        <f t="shared" si="263"/>
        <v>7863.2184191855868</v>
      </c>
      <c r="K478" s="25">
        <f t="shared" si="264"/>
        <v>20282.026119384056</v>
      </c>
      <c r="L478" s="25"/>
      <c r="N478" s="25">
        <f>'Combined Retirement'!$C$18/12</f>
        <v>39153.069999999992</v>
      </c>
      <c r="O478" s="25">
        <f t="shared" si="265"/>
        <v>11007.82546143035</v>
      </c>
      <c r="P478" s="25">
        <f t="shared" si="266"/>
        <v>28145.244538569641</v>
      </c>
      <c r="Q478" s="25">
        <f t="array" aca="1" ref="Q478" ca="1">INDEX('Isaac 401k'!L:L,MATCH('Retirement Calculator'!A478,'Isaac 401k'!N:N,0),0)</f>
        <v>1033765.3082674496</v>
      </c>
      <c r="R478" s="25">
        <f t="array" aca="1" ref="R478" ca="1">INDEX('Lorri 401b'!L:L,MATCH('Retirement Calculator'!A478,'Lorri 401b'!N:N,0),0)</f>
        <v>1925149.122567371</v>
      </c>
      <c r="S478" s="25">
        <f t="shared" ca="1" si="267"/>
        <v>2958914.4308348205</v>
      </c>
    </row>
    <row r="479" spans="1:19" ht="15.75" customHeight="1" x14ac:dyDescent="0.3">
      <c r="A479" s="37">
        <v>65532</v>
      </c>
      <c r="B479" s="409">
        <f t="shared" ref="B479:C479" si="480">($A479-B$9)/365.25</f>
        <v>97.538672142368242</v>
      </c>
      <c r="C479" s="409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3525.4531757812501</v>
      </c>
      <c r="H479" s="25">
        <f>IF(B479&lt;62,0,'Combined Retirement'!$I$14)</f>
        <v>2192</v>
      </c>
      <c r="I479" s="25">
        <f>IF(C479&lt;62,0,'Combined Retirement'!$I$13)</f>
        <v>2420</v>
      </c>
      <c r="J479" s="25">
        <f t="shared" si="263"/>
        <v>7863.2184191855868</v>
      </c>
      <c r="K479" s="25">
        <f t="shared" si="264"/>
        <v>20282.026119384056</v>
      </c>
      <c r="L479" s="25"/>
      <c r="N479" s="25">
        <f>'Combined Retirement'!$C$18/12</f>
        <v>39153.069999999992</v>
      </c>
      <c r="O479" s="25">
        <f t="shared" si="265"/>
        <v>11007.82546143035</v>
      </c>
      <c r="P479" s="25">
        <f t="shared" si="266"/>
        <v>28145.244538569641</v>
      </c>
      <c r="Q479" s="25">
        <f t="array" aca="1" ref="Q479" ca="1">INDEX('Isaac 401k'!L:L,MATCH('Retirement Calculator'!A479,'Isaac 401k'!N:N,0),0)</f>
        <v>1030176.6818892985</v>
      </c>
      <c r="R479" s="25">
        <f t="array" aca="1" ref="R479" ca="1">INDEX('Lorri 401b'!L:L,MATCH('Retirement Calculator'!A479,'Lorri 401b'!N:N,0),0)</f>
        <v>1912804.0426831869</v>
      </c>
      <c r="S479" s="25">
        <f t="shared" ca="1" si="267"/>
        <v>2942980.7245724853</v>
      </c>
    </row>
    <row r="480" spans="1:19" ht="15.75" customHeight="1" x14ac:dyDescent="0.3">
      <c r="A480" s="37">
        <v>65562</v>
      </c>
      <c r="B480" s="409">
        <f t="shared" ref="B480:C480" si="481">($A480-B$9)/365.25</f>
        <v>97.620807665982198</v>
      </c>
      <c r="C480" s="409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3525.4531757812501</v>
      </c>
      <c r="H480" s="25">
        <f>IF(B480&lt;62,0,'Combined Retirement'!$I$14)</f>
        <v>2192</v>
      </c>
      <c r="I480" s="25">
        <f>IF(C480&lt;62,0,'Combined Retirement'!$I$13)</f>
        <v>2420</v>
      </c>
      <c r="J480" s="25">
        <f t="shared" si="263"/>
        <v>7863.2184191855868</v>
      </c>
      <c r="K480" s="25">
        <f t="shared" si="264"/>
        <v>20282.026119384056</v>
      </c>
      <c r="L480" s="25"/>
      <c r="N480" s="25">
        <f>'Combined Retirement'!$C$18/12</f>
        <v>39153.069999999992</v>
      </c>
      <c r="O480" s="25">
        <f t="shared" si="265"/>
        <v>11007.82546143035</v>
      </c>
      <c r="P480" s="25">
        <f t="shared" si="266"/>
        <v>28145.244538569641</v>
      </c>
      <c r="Q480" s="25">
        <f t="array" aca="1" ref="Q480" ca="1">INDEX('Isaac 401k'!L:L,MATCH('Retirement Calculator'!A480,'Isaac 401k'!N:N,0),0)</f>
        <v>1026573.1029012384</v>
      </c>
      <c r="R480" s="25">
        <f t="array" aca="1" ref="R480" ca="1">INDEX('Lorri 401b'!L:L,MATCH('Retirement Calculator'!A480,'Lorri 401b'!N:N,0),0)</f>
        <v>1900407.5249661522</v>
      </c>
      <c r="S480" s="25">
        <f t="shared" ca="1" si="267"/>
        <v>2926980.6278673904</v>
      </c>
    </row>
    <row r="481" spans="1:19" ht="15.75" customHeight="1" x14ac:dyDescent="0.3">
      <c r="A481" s="37">
        <v>65593</v>
      </c>
      <c r="B481" s="409">
        <f t="shared" ref="B481:C481" si="482">($A481-B$9)/365.25</f>
        <v>97.705681040383297</v>
      </c>
      <c r="C481" s="409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3525.4531757812501</v>
      </c>
      <c r="H481" s="25">
        <f>IF(B481&lt;62,0,'Combined Retirement'!$I$14)</f>
        <v>2192</v>
      </c>
      <c r="I481" s="25">
        <f>IF(C481&lt;62,0,'Combined Retirement'!$I$13)</f>
        <v>2420</v>
      </c>
      <c r="J481" s="25">
        <f t="shared" si="263"/>
        <v>7863.2184191855868</v>
      </c>
      <c r="K481" s="25">
        <f t="shared" si="264"/>
        <v>20282.026119384056</v>
      </c>
      <c r="L481" s="25"/>
      <c r="N481" s="25">
        <f>'Combined Retirement'!$C$18/12</f>
        <v>39153.069999999992</v>
      </c>
      <c r="O481" s="25">
        <f t="shared" si="265"/>
        <v>11007.82546143035</v>
      </c>
      <c r="P481" s="25">
        <f t="shared" si="266"/>
        <v>28145.244538569641</v>
      </c>
      <c r="Q481" s="25">
        <f t="array" aca="1" ref="Q481" ca="1">INDEX('Isaac 401k'!L:L,MATCH('Retirement Calculator'!A481,'Isaac 401k'!N:N,0),0)</f>
        <v>1022954.509000728</v>
      </c>
      <c r="R481" s="25">
        <f t="array" aca="1" ref="R481" ca="1">INDEX('Lorri 401b'!L:L,MATCH('Retirement Calculator'!A481,'Lorri 401b'!N:N,0),0)</f>
        <v>1887959.355091963</v>
      </c>
      <c r="S481" s="25">
        <f t="shared" ca="1" si="267"/>
        <v>2910913.8640926909</v>
      </c>
    </row>
    <row r="482" spans="1:19" ht="15.75" customHeight="1" x14ac:dyDescent="0.3">
      <c r="A482" s="37">
        <v>65624</v>
      </c>
      <c r="B482" s="409">
        <f t="shared" ref="B482:C482" si="483">($A482-B$9)/365.25</f>
        <v>97.790554414784395</v>
      </c>
      <c r="C482" s="409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3525.4531757812501</v>
      </c>
      <c r="H482" s="25">
        <f>IF(B482&lt;62,0,'Combined Retirement'!$I$14)</f>
        <v>2192</v>
      </c>
      <c r="I482" s="25">
        <f>IF(C482&lt;62,0,'Combined Retirement'!$I$13)</f>
        <v>2420</v>
      </c>
      <c r="J482" s="25">
        <f t="shared" si="263"/>
        <v>7863.2184191855868</v>
      </c>
      <c r="K482" s="25">
        <f t="shared" si="264"/>
        <v>20282.026119384056</v>
      </c>
      <c r="L482" s="25"/>
      <c r="N482" s="25">
        <f>'Combined Retirement'!$C$18/12</f>
        <v>39153.069999999992</v>
      </c>
      <c r="O482" s="25">
        <f t="shared" si="265"/>
        <v>11007.82546143035</v>
      </c>
      <c r="P482" s="25">
        <f t="shared" si="266"/>
        <v>28145.244538569641</v>
      </c>
      <c r="Q482" s="25">
        <f t="array" aca="1" ref="Q482" ca="1">INDEX('Isaac 401k'!L:L,MATCH('Retirement Calculator'!A482,'Isaac 401k'!N:N,0),0)</f>
        <v>1019320.8376256322</v>
      </c>
      <c r="R482" s="25">
        <f t="array" aca="1" ref="R482" ca="1">INDEX('Lorri 401b'!L:L,MATCH('Retirement Calculator'!A482,'Lorri 401b'!N:N,0),0)</f>
        <v>1875459.317843298</v>
      </c>
      <c r="S482" s="25">
        <f t="shared" ca="1" si="267"/>
        <v>2894780.15546893</v>
      </c>
    </row>
    <row r="483" spans="1:19" ht="15.75" customHeight="1" x14ac:dyDescent="0.3">
      <c r="A483" s="37">
        <v>65654</v>
      </c>
      <c r="B483" s="409">
        <f t="shared" ref="B483:C483" si="484">($A483-B$9)/365.25</f>
        <v>97.872689938398352</v>
      </c>
      <c r="C483" s="409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3525.4531757812501</v>
      </c>
      <c r="H483" s="25">
        <f>IF(B483&lt;62,0,'Combined Retirement'!$I$14)</f>
        <v>2192</v>
      </c>
      <c r="I483" s="25">
        <f>IF(C483&lt;62,0,'Combined Retirement'!$I$13)</f>
        <v>2420</v>
      </c>
      <c r="J483" s="25">
        <f t="shared" si="263"/>
        <v>7863.2184191855868</v>
      </c>
      <c r="K483" s="25">
        <f t="shared" si="264"/>
        <v>20282.026119384056</v>
      </c>
      <c r="L483" s="25"/>
      <c r="N483" s="25">
        <f>'Combined Retirement'!$C$18/12</f>
        <v>39153.069999999992</v>
      </c>
      <c r="O483" s="25">
        <f t="shared" si="265"/>
        <v>11007.82546143035</v>
      </c>
      <c r="P483" s="25">
        <f t="shared" si="266"/>
        <v>28145.244538569641</v>
      </c>
      <c r="Q483" s="25">
        <f t="array" aca="1" ref="Q483" ca="1">INDEX('Isaac 401k'!L:L,MATCH('Retirement Calculator'!A483,'Isaac 401k'!N:N,0),0)</f>
        <v>1015672.0259531401</v>
      </c>
      <c r="R483" s="25">
        <f t="array" aca="1" ref="R483" ca="1">INDEX('Lorri 401b'!L:L,MATCH('Retirement Calculator'!A483,'Lorri 401b'!N:N,0),0)</f>
        <v>1862907.1971060969</v>
      </c>
      <c r="S483" s="25">
        <f t="shared" ca="1" si="267"/>
        <v>2878579.223059237</v>
      </c>
    </row>
    <row r="484" spans="1:19" ht="15.75" customHeight="1" x14ac:dyDescent="0.3">
      <c r="A484" s="37">
        <v>65685</v>
      </c>
      <c r="B484" s="409">
        <f t="shared" ref="B484:C484" si="485">($A484-B$9)/365.25</f>
        <v>97.957563312799451</v>
      </c>
      <c r="C484" s="409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3525.4531757812501</v>
      </c>
      <c r="H484" s="25">
        <f>IF(B484&lt;62,0,'Combined Retirement'!$I$14)</f>
        <v>2192</v>
      </c>
      <c r="I484" s="25">
        <f>IF(C484&lt;62,0,'Combined Retirement'!$I$13)</f>
        <v>2420</v>
      </c>
      <c r="J484" s="25">
        <f t="shared" si="263"/>
        <v>7863.2184191855868</v>
      </c>
      <c r="K484" s="25">
        <f t="shared" si="264"/>
        <v>20282.026119384056</v>
      </c>
      <c r="L484" s="25"/>
      <c r="N484" s="25">
        <f>'Combined Retirement'!$C$18/12</f>
        <v>39153.069999999992</v>
      </c>
      <c r="O484" s="25">
        <f t="shared" si="265"/>
        <v>11007.82546143035</v>
      </c>
      <c r="P484" s="25">
        <f t="shared" si="266"/>
        <v>28145.244538569641</v>
      </c>
      <c r="Q484" s="25">
        <f t="array" aca="1" ref="Q484" ca="1">INDEX('Isaac 401k'!L:L,MATCH('Retirement Calculator'!A484,'Isaac 401k'!N:N,0),0)</f>
        <v>1012008.0108986793</v>
      </c>
      <c r="R484" s="25">
        <f t="array" aca="1" ref="R484" ca="1">INDEX('Lorri 401b'!L:L,MATCH('Retirement Calculator'!A484,'Lorri 401b'!N:N,0),0)</f>
        <v>1850302.7758658242</v>
      </c>
      <c r="S484" s="25">
        <f t="shared" ca="1" si="267"/>
        <v>2862310.7867645035</v>
      </c>
    </row>
    <row r="485" spans="1:19" ht="15.75" customHeight="1" x14ac:dyDescent="0.3">
      <c r="A485" s="37">
        <v>65715</v>
      </c>
      <c r="B485" s="409">
        <f t="shared" ref="B485:C485" si="486">($A485-B$9)/365.25</f>
        <v>98.039698836413422</v>
      </c>
      <c r="C485" s="409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3525.4531757812501</v>
      </c>
      <c r="H485" s="25">
        <f>IF(B485&lt;62,0,'Combined Retirement'!$I$14)</f>
        <v>2192</v>
      </c>
      <c r="I485" s="25">
        <f>IF(C485&lt;62,0,'Combined Retirement'!$I$13)</f>
        <v>2420</v>
      </c>
      <c r="J485" s="25">
        <f t="shared" si="263"/>
        <v>7863.2184191855868</v>
      </c>
      <c r="K485" s="25">
        <f t="shared" si="264"/>
        <v>20282.026119384056</v>
      </c>
      <c r="L485" s="25"/>
      <c r="N485" s="25">
        <f>'Combined Retirement'!$C$18/12</f>
        <v>39153.069999999992</v>
      </c>
      <c r="O485" s="25">
        <f t="shared" si="265"/>
        <v>11007.82546143035</v>
      </c>
      <c r="P485" s="25">
        <f t="shared" si="266"/>
        <v>28145.244538569641</v>
      </c>
      <c r="Q485" s="25">
        <f t="array" aca="1" ref="Q485" ca="1">INDEX('Isaac 401k'!L:L,MATCH('Retirement Calculator'!A485,'Isaac 401k'!N:N,0),0)</f>
        <v>1008328.7291148249</v>
      </c>
      <c r="R485" s="25">
        <f t="array" aca="1" ref="R485" ca="1">INDEX('Lorri 401b'!L:L,MATCH('Retirement Calculator'!A485,'Lorri 401b'!N:N,0),0)</f>
        <v>1837645.8362037172</v>
      </c>
      <c r="S485" s="25">
        <f t="shared" ca="1" si="267"/>
        <v>2845974.5653185421</v>
      </c>
    </row>
    <row r="486" spans="1:19" ht="15.75" customHeight="1" x14ac:dyDescent="0.3">
      <c r="A486" s="37">
        <v>65746</v>
      </c>
      <c r="B486" s="409">
        <f t="shared" ref="B486:C486" si="487">($A486-B$9)/365.25</f>
        <v>98.124572210814506</v>
      </c>
      <c r="C486" s="409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3525.4531757812501</v>
      </c>
      <c r="H486" s="25">
        <f>IF(B486&lt;62,0,'Combined Retirement'!$I$14)</f>
        <v>2192</v>
      </c>
      <c r="I486" s="25">
        <f>IF(C486&lt;62,0,'Combined Retirement'!$I$13)</f>
        <v>2420</v>
      </c>
      <c r="J486" s="25">
        <f t="shared" si="263"/>
        <v>7863.2184191855868</v>
      </c>
      <c r="K486" s="25">
        <f t="shared" si="264"/>
        <v>20282.026119384056</v>
      </c>
      <c r="L486" s="25"/>
      <c r="N486" s="25">
        <f>'Combined Retirement'!$C$18/12</f>
        <v>39153.069999999992</v>
      </c>
      <c r="O486" s="25">
        <f t="shared" si="265"/>
        <v>11007.82546143035</v>
      </c>
      <c r="P486" s="25">
        <f t="shared" si="266"/>
        <v>28145.244538569641</v>
      </c>
      <c r="Q486" s="25">
        <f t="array" aca="1" ref="Q486" ca="1">INDEX('Isaac 401k'!L:L,MATCH('Retirement Calculator'!A486,'Isaac 401k'!N:N,0),0)</f>
        <v>1004634.1169902044</v>
      </c>
      <c r="R486" s="25">
        <f t="array" aca="1" ref="R486" ca="1">INDEX('Lorri 401b'!L:L,MATCH('Retirement Calculator'!A486,'Lorri 401b'!N:N,0),0)</f>
        <v>1824936.1592930178</v>
      </c>
      <c r="S486" s="25">
        <f t="shared" ca="1" si="267"/>
        <v>2829570.2762832223</v>
      </c>
    </row>
    <row r="487" spans="1:19" ht="15.75" customHeight="1" x14ac:dyDescent="0.3">
      <c r="A487" s="37">
        <v>65777</v>
      </c>
      <c r="B487" s="409">
        <f t="shared" ref="B487:C487" si="488">($A487-B$9)/365.25</f>
        <v>98.209445585215605</v>
      </c>
      <c r="C487" s="409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3525.4531757812501</v>
      </c>
      <c r="H487" s="25">
        <f>IF(B487&lt;62,0,'Combined Retirement'!$I$14)</f>
        <v>2192</v>
      </c>
      <c r="I487" s="25">
        <f>IF(C487&lt;62,0,'Combined Retirement'!$I$13)</f>
        <v>2420</v>
      </c>
      <c r="J487" s="25">
        <f t="shared" si="263"/>
        <v>7863.2184191855868</v>
      </c>
      <c r="K487" s="25">
        <f t="shared" si="264"/>
        <v>20282.026119384056</v>
      </c>
      <c r="L487" s="25"/>
      <c r="N487" s="25">
        <f>'Combined Retirement'!$C$18/12</f>
        <v>39153.069999999992</v>
      </c>
      <c r="O487" s="25">
        <f t="shared" si="265"/>
        <v>11007.82546143035</v>
      </c>
      <c r="P487" s="25">
        <f t="shared" si="266"/>
        <v>28145.244538569641</v>
      </c>
      <c r="Q487" s="25">
        <f t="array" aca="1" ref="Q487" ca="1">INDEX('Isaac 401k'!L:L,MATCH('Retirement Calculator'!A487,'Isaac 401k'!N:N,0),0)</f>
        <v>1000924.1106483981</v>
      </c>
      <c r="R487" s="25">
        <f t="array" aca="1" ref="R487" ca="1">INDEX('Lorri 401b'!L:L,MATCH('Retirement Calculator'!A487,'Lorri 401b'!N:N,0),0)</f>
        <v>1812173.5253951906</v>
      </c>
      <c r="S487" s="25">
        <f t="shared" ca="1" si="267"/>
        <v>2813097.6360435886</v>
      </c>
    </row>
    <row r="488" spans="1:19" ht="15.75" customHeight="1" x14ac:dyDescent="0.3">
      <c r="A488" s="37">
        <v>65806</v>
      </c>
      <c r="B488" s="409">
        <f t="shared" ref="B488:C488" si="489">($A488-B$9)/365.25</f>
        <v>98.288843258042434</v>
      </c>
      <c r="C488" s="409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3525.4531757812501</v>
      </c>
      <c r="H488" s="25">
        <f>IF(B488&lt;62,0,'Combined Retirement'!$I$14)</f>
        <v>2192</v>
      </c>
      <c r="I488" s="25">
        <f>IF(C488&lt;62,0,'Combined Retirement'!$I$13)</f>
        <v>2420</v>
      </c>
      <c r="J488" s="25">
        <f t="shared" si="263"/>
        <v>7863.2184191855868</v>
      </c>
      <c r="K488" s="25">
        <f t="shared" si="264"/>
        <v>20282.026119384056</v>
      </c>
      <c r="L488" s="25"/>
      <c r="N488" s="25">
        <f>'Combined Retirement'!$C$18/12</f>
        <v>39153.069999999992</v>
      </c>
      <c r="O488" s="25">
        <f t="shared" si="265"/>
        <v>11007.82546143035</v>
      </c>
      <c r="P488" s="25">
        <f t="shared" si="266"/>
        <v>28145.244538569641</v>
      </c>
      <c r="Q488" s="25">
        <f t="array" aca="1" ref="Q488" ca="1">INDEX('Isaac 401k'!L:L,MATCH('Retirement Calculator'!A488,'Isaac 401k'!N:N,0),0)</f>
        <v>997198.64594683412</v>
      </c>
      <c r="R488" s="25">
        <f t="array" aca="1" ref="R488" ca="1">INDEX('Lorri 401b'!L:L,MATCH('Retirement Calculator'!A488,'Lorri 401b'!N:N,0),0)</f>
        <v>1799357.7138561225</v>
      </c>
      <c r="S488" s="25">
        <f t="shared" ca="1" si="267"/>
        <v>2796556.3598029567</v>
      </c>
    </row>
    <row r="489" spans="1:19" ht="15.75" customHeight="1" x14ac:dyDescent="0.3">
      <c r="A489" s="37">
        <v>65837</v>
      </c>
      <c r="B489" s="409">
        <f t="shared" ref="B489:C489" si="490">($A489-B$9)/365.25</f>
        <v>98.373716632443532</v>
      </c>
      <c r="C489" s="409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3525.4531757812501</v>
      </c>
      <c r="H489" s="25">
        <f>IF(B489&lt;62,0,'Combined Retirement'!$I$14)</f>
        <v>2192</v>
      </c>
      <c r="I489" s="25">
        <f>IF(C489&lt;62,0,'Combined Retirement'!$I$13)</f>
        <v>2420</v>
      </c>
      <c r="J489" s="25">
        <f t="shared" si="263"/>
        <v>7863.2184191855868</v>
      </c>
      <c r="K489" s="25">
        <f t="shared" si="264"/>
        <v>20282.026119384056</v>
      </c>
      <c r="L489" s="25"/>
      <c r="N489" s="25">
        <f>'Combined Retirement'!$C$18/12</f>
        <v>39153.069999999992</v>
      </c>
      <c r="O489" s="25">
        <f t="shared" si="265"/>
        <v>11007.82546143035</v>
      </c>
      <c r="P489" s="25">
        <f t="shared" si="266"/>
        <v>28145.244538569641</v>
      </c>
      <c r="Q489" s="25">
        <f t="array" aca="1" ref="Q489" ca="1">INDEX('Isaac 401k'!L:L,MATCH('Retirement Calculator'!A489,'Isaac 401k'!N:N,0),0)</f>
        <v>993457.65847568039</v>
      </c>
      <c r="R489" s="25">
        <f t="array" aca="1" ref="R489" ca="1">INDEX('Lorri 401b'!L:L,MATCH('Retirement Calculator'!A489,'Lorri 401b'!N:N,0),0)</f>
        <v>1786488.5031023081</v>
      </c>
      <c r="S489" s="25">
        <f t="shared" ca="1" si="267"/>
        <v>2779946.1615779884</v>
      </c>
    </row>
    <row r="490" spans="1:19" ht="15.75" customHeight="1" x14ac:dyDescent="0.3">
      <c r="A490" s="37">
        <v>65867</v>
      </c>
      <c r="B490" s="409">
        <f t="shared" ref="B490:C490" si="491">($A490-B$9)/365.25</f>
        <v>98.455852156057489</v>
      </c>
      <c r="C490" s="409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3525.4531757812501</v>
      </c>
      <c r="H490" s="25">
        <f>IF(B490&lt;62,0,'Combined Retirement'!$I$14)</f>
        <v>2192</v>
      </c>
      <c r="I490" s="25">
        <f>IF(C490&lt;62,0,'Combined Retirement'!$I$13)</f>
        <v>2420</v>
      </c>
      <c r="J490" s="25">
        <f t="shared" si="263"/>
        <v>7863.2184191855868</v>
      </c>
      <c r="K490" s="25">
        <f t="shared" si="264"/>
        <v>20282.026119384056</v>
      </c>
      <c r="L490" s="25"/>
      <c r="N490" s="25">
        <f>'Combined Retirement'!$C$18/12</f>
        <v>39153.069999999992</v>
      </c>
      <c r="O490" s="25">
        <f t="shared" si="265"/>
        <v>11007.82546143035</v>
      </c>
      <c r="P490" s="25">
        <f t="shared" si="266"/>
        <v>28145.244538569641</v>
      </c>
      <c r="Q490" s="25">
        <f t="array" aca="1" ref="Q490" ca="1">INDEX('Isaac 401k'!L:L,MATCH('Retirement Calculator'!A490,'Isaac 401k'!N:N,0),0)</f>
        <v>989701.08355673018</v>
      </c>
      <c r="R490" s="25">
        <f t="array" aca="1" ref="R490" ca="1">INDEX('Lorri 401b'!L:L,MATCH('Retirement Calculator'!A490,'Lorri 401b'!N:N,0),0)</f>
        <v>1773565.6706370197</v>
      </c>
      <c r="S490" s="25">
        <f t="shared" ca="1" si="267"/>
        <v>2763266.7541937497</v>
      </c>
    </row>
    <row r="491" spans="1:19" ht="15.75" customHeight="1" x14ac:dyDescent="0.3">
      <c r="A491" s="37">
        <v>65898</v>
      </c>
      <c r="B491" s="409">
        <f t="shared" ref="B491:C491" si="492">($A491-B$9)/365.25</f>
        <v>98.540725530458587</v>
      </c>
      <c r="C491" s="409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3525.4531757812501</v>
      </c>
      <c r="H491" s="25">
        <f>IF(B491&lt;62,0,'Combined Retirement'!$I$14)</f>
        <v>2192</v>
      </c>
      <c r="I491" s="25">
        <f>IF(C491&lt;62,0,'Combined Retirement'!$I$13)</f>
        <v>2420</v>
      </c>
      <c r="J491" s="25">
        <f t="shared" si="263"/>
        <v>7863.2184191855868</v>
      </c>
      <c r="K491" s="25">
        <f t="shared" si="264"/>
        <v>20282.026119384056</v>
      </c>
      <c r="L491" s="25"/>
      <c r="N491" s="25">
        <f>'Combined Retirement'!$C$18/12</f>
        <v>39153.069999999992</v>
      </c>
      <c r="O491" s="25">
        <f t="shared" si="265"/>
        <v>11007.82546143035</v>
      </c>
      <c r="P491" s="25">
        <f t="shared" si="266"/>
        <v>28145.244538569641</v>
      </c>
      <c r="Q491" s="25">
        <f t="array" aca="1" ref="Q491" ca="1">INDEX('Isaac 401k'!L:L,MATCH('Retirement Calculator'!A491,'Isaac 401k'!N:N,0),0)</f>
        <v>985928.8562422843</v>
      </c>
      <c r="R491" s="25">
        <f t="array" aca="1" ref="R491" ca="1">INDEX('Lorri 401b'!L:L,MATCH('Retirement Calculator'!A491,'Lorri 401b'!N:N,0),0)</f>
        <v>1760588.9930364592</v>
      </c>
      <c r="S491" s="25">
        <f t="shared" ca="1" si="267"/>
        <v>2746517.8492787434</v>
      </c>
    </row>
    <row r="492" spans="1:19" ht="15.75" customHeight="1" x14ac:dyDescent="0.3">
      <c r="A492" s="37">
        <v>65928</v>
      </c>
      <c r="B492" s="409">
        <f t="shared" ref="B492:C492" si="493">($A492-B$9)/365.25</f>
        <v>98.622861054072558</v>
      </c>
      <c r="C492" s="409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3525.4531757812501</v>
      </c>
      <c r="H492" s="25">
        <f>IF(B492&lt;62,0,'Combined Retirement'!$I$14)</f>
        <v>2192</v>
      </c>
      <c r="I492" s="25">
        <f>IF(C492&lt;62,0,'Combined Retirement'!$I$13)</f>
        <v>2420</v>
      </c>
      <c r="J492" s="25">
        <f t="shared" si="263"/>
        <v>7863.2184191855868</v>
      </c>
      <c r="K492" s="25">
        <f t="shared" si="264"/>
        <v>20282.026119384056</v>
      </c>
      <c r="L492" s="25"/>
      <c r="N492" s="25">
        <f>'Combined Retirement'!$C$18/12</f>
        <v>39153.069999999992</v>
      </c>
      <c r="O492" s="25">
        <f t="shared" si="265"/>
        <v>11007.82546143035</v>
      </c>
      <c r="P492" s="25">
        <f t="shared" si="266"/>
        <v>28145.244538569641</v>
      </c>
      <c r="Q492" s="25">
        <f t="array" aca="1" ref="Q492" ca="1">INDEX('Isaac 401k'!L:L,MATCH('Retirement Calculator'!A492,'Isaac 401k'!N:N,0),0)</f>
        <v>982140.91131402832</v>
      </c>
      <c r="R492" s="25">
        <f t="array" aca="1" ref="R492" ca="1">INDEX('Lorri 401b'!L:L,MATCH('Retirement Calculator'!A492,'Lorri 401b'!N:N,0),0)</f>
        <v>1747558.2459458963</v>
      </c>
      <c r="S492" s="25">
        <f t="shared" ca="1" si="267"/>
        <v>2729699.1572599243</v>
      </c>
    </row>
    <row r="493" spans="1:19" ht="15.75" customHeight="1" x14ac:dyDescent="0.3">
      <c r="A493" s="37">
        <v>65959</v>
      </c>
      <c r="B493" s="409">
        <f t="shared" ref="B493:C493" si="494">($A493-B$9)/365.25</f>
        <v>98.707734428473643</v>
      </c>
      <c r="C493" s="409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3525.4531757812501</v>
      </c>
      <c r="H493" s="25">
        <f>IF(B493&lt;62,0,'Combined Retirement'!$I$14)</f>
        <v>2192</v>
      </c>
      <c r="I493" s="25">
        <f>IF(C493&lt;62,0,'Combined Retirement'!$I$13)</f>
        <v>2420</v>
      </c>
      <c r="J493" s="25">
        <f t="shared" si="263"/>
        <v>7863.2184191855868</v>
      </c>
      <c r="K493" s="25">
        <f t="shared" si="264"/>
        <v>20282.026119384056</v>
      </c>
      <c r="L493" s="25"/>
      <c r="N493" s="25">
        <f>'Combined Retirement'!$C$18/12</f>
        <v>39153.069999999992</v>
      </c>
      <c r="O493" s="25">
        <f t="shared" si="265"/>
        <v>11007.82546143035</v>
      </c>
      <c r="P493" s="25">
        <f t="shared" si="266"/>
        <v>28145.244538569641</v>
      </c>
      <c r="Q493" s="25">
        <f t="array" aca="1" ref="Q493" ca="1">INDEX('Isaac 401k'!L:L,MATCH('Retirement Calculator'!A493,'Isaac 401k'!N:N,0),0)</f>
        <v>978337.18328190455</v>
      </c>
      <c r="R493" s="25">
        <f t="array" aca="1" ref="R493" ca="1">INDEX('Lorri 401b'!L:L,MATCH('Retirement Calculator'!A493,'Lorri 401b'!N:N,0),0)</f>
        <v>1734473.2040757893</v>
      </c>
      <c r="S493" s="25">
        <f t="shared" ca="1" si="267"/>
        <v>2712810.3873576941</v>
      </c>
    </row>
    <row r="494" spans="1:19" ht="15.75" customHeight="1" x14ac:dyDescent="0.3">
      <c r="A494" s="37">
        <v>65990</v>
      </c>
      <c r="B494" s="409">
        <f t="shared" ref="B494:C494" si="495">($A494-B$9)/365.25</f>
        <v>98.792607802874741</v>
      </c>
      <c r="C494" s="409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3525.4531757812501</v>
      </c>
      <c r="H494" s="25">
        <f>IF(B494&lt;62,0,'Combined Retirement'!$I$14)</f>
        <v>2192</v>
      </c>
      <c r="I494" s="25">
        <f>IF(C494&lt;62,0,'Combined Retirement'!$I$13)</f>
        <v>2420</v>
      </c>
      <c r="J494" s="25">
        <f t="shared" si="263"/>
        <v>7863.2184191855868</v>
      </c>
      <c r="K494" s="25">
        <f t="shared" si="264"/>
        <v>20282.026119384056</v>
      </c>
      <c r="L494" s="25"/>
      <c r="N494" s="25">
        <f>'Combined Retirement'!$C$18/12</f>
        <v>39153.069999999992</v>
      </c>
      <c r="O494" s="25">
        <f t="shared" si="265"/>
        <v>11007.82546143035</v>
      </c>
      <c r="P494" s="25">
        <f t="shared" si="266"/>
        <v>28145.244538569641</v>
      </c>
      <c r="Q494" s="25">
        <f t="array" aca="1" ref="Q494" ca="1">INDEX('Isaac 401k'!L:L,MATCH('Retirement Calculator'!A494,'Isaac 401k'!N:N,0),0)</f>
        <v>974517.60638298024</v>
      </c>
      <c r="R494" s="25">
        <f t="array" aca="1" ref="R494" ca="1">INDEX('Lorri 401b'!L:L,MATCH('Retirement Calculator'!A494,'Lorri 401b'!N:N,0),0)</f>
        <v>1721333.6411978903</v>
      </c>
      <c r="S494" s="25">
        <f t="shared" ca="1" si="267"/>
        <v>2695851.2475808705</v>
      </c>
    </row>
    <row r="495" spans="1:19" ht="15.75" customHeight="1" x14ac:dyDescent="0.3">
      <c r="A495" s="37">
        <v>66020</v>
      </c>
      <c r="B495" s="409">
        <f t="shared" ref="B495:C495" si="496">($A495-B$9)/365.25</f>
        <v>98.874743326488712</v>
      </c>
      <c r="C495" s="409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3525.4531757812501</v>
      </c>
      <c r="H495" s="25">
        <f>IF(B495&lt;62,0,'Combined Retirement'!$I$14)</f>
        <v>2192</v>
      </c>
      <c r="I495" s="25">
        <f>IF(C495&lt;62,0,'Combined Retirement'!$I$13)</f>
        <v>2420</v>
      </c>
      <c r="J495" s="25">
        <f t="shared" si="263"/>
        <v>7863.2184191855868</v>
      </c>
      <c r="K495" s="25">
        <f t="shared" si="264"/>
        <v>20282.026119384056</v>
      </c>
      <c r="L495" s="25"/>
      <c r="N495" s="25">
        <f>'Combined Retirement'!$C$18/12</f>
        <v>39153.069999999992</v>
      </c>
      <c r="O495" s="25">
        <f t="shared" si="265"/>
        <v>11007.82546143035</v>
      </c>
      <c r="P495" s="25">
        <f t="shared" si="266"/>
        <v>28145.244538569641</v>
      </c>
      <c r="Q495" s="25">
        <f t="array" aca="1" ref="Q495" ca="1">INDEX('Isaac 401k'!L:L,MATCH('Retirement Calculator'!A495,'Isaac 401k'!N:N,0),0)</f>
        <v>970682.11458031042</v>
      </c>
      <c r="R495" s="25">
        <f t="array" aca="1" ref="R495" ca="1">INDEX('Lorri 401b'!L:L,MATCH('Retirement Calculator'!A495,'Lorri 401b'!N:N,0),0)</f>
        <v>1708139.3301413334</v>
      </c>
      <c r="S495" s="25">
        <f t="shared" ca="1" si="267"/>
        <v>2678821.4447216438</v>
      </c>
    </row>
    <row r="496" spans="1:19" ht="15.75" customHeight="1" x14ac:dyDescent="0.3">
      <c r="A496" s="37">
        <v>66051</v>
      </c>
      <c r="B496" s="409">
        <f t="shared" ref="B496:C496" si="497">($A496-B$9)/365.25</f>
        <v>98.959616700889796</v>
      </c>
      <c r="C496" s="409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3525.4531757812501</v>
      </c>
      <c r="H496" s="25">
        <f>IF(B496&lt;62,0,'Combined Retirement'!$I$14)</f>
        <v>2192</v>
      </c>
      <c r="I496" s="25">
        <f>IF(C496&lt;62,0,'Combined Retirement'!$I$13)</f>
        <v>2420</v>
      </c>
      <c r="J496" s="25">
        <f t="shared" si="263"/>
        <v>7863.2184191855868</v>
      </c>
      <c r="K496" s="25">
        <f t="shared" si="264"/>
        <v>20282.026119384056</v>
      </c>
      <c r="L496" s="25"/>
      <c r="N496" s="25">
        <f>'Combined Retirement'!$C$18/12</f>
        <v>39153.069999999992</v>
      </c>
      <c r="O496" s="25">
        <f t="shared" si="265"/>
        <v>11007.82546143035</v>
      </c>
      <c r="P496" s="25">
        <f t="shared" si="266"/>
        <v>28145.244538569641</v>
      </c>
      <c r="Q496" s="25">
        <f t="array" aca="1" ref="Q496" ca="1">INDEX('Isaac 401k'!L:L,MATCH('Retirement Calculator'!A496,'Isaac 401k'!N:N,0),0)</f>
        <v>966830.64156179619</v>
      </c>
      <c r="R496" s="25">
        <f t="array" aca="1" ref="R496" ca="1">INDEX('Lorri 401b'!L:L,MATCH('Retirement Calculator'!A496,'Lorri 401b'!N:N,0),0)</f>
        <v>1694890.0427887077</v>
      </c>
      <c r="S496" s="25">
        <f t="shared" ca="1" si="267"/>
        <v>2661720.6843505036</v>
      </c>
    </row>
    <row r="497" spans="1:19" ht="15.75" customHeight="1" x14ac:dyDescent="0.3">
      <c r="A497" s="37">
        <v>66081</v>
      </c>
      <c r="B497" s="409">
        <f t="shared" ref="B497:C497" si="498">($A497-B$9)/365.25</f>
        <v>99.041752224503767</v>
      </c>
      <c r="C497" s="409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3525.4531757812501</v>
      </c>
      <c r="H497" s="25">
        <f>IF(B497&lt;62,0,'Combined Retirement'!$I$14)</f>
        <v>2192</v>
      </c>
      <c r="I497" s="25">
        <f>IF(C497&lt;62,0,'Combined Retirement'!$I$13)</f>
        <v>2420</v>
      </c>
      <c r="J497" s="25">
        <f t="shared" si="263"/>
        <v>7863.2184191855868</v>
      </c>
      <c r="K497" s="25">
        <f t="shared" si="264"/>
        <v>20282.026119384056</v>
      </c>
      <c r="L497" s="25"/>
      <c r="N497" s="25">
        <f>'Combined Retirement'!$C$18/12</f>
        <v>39153.069999999992</v>
      </c>
      <c r="O497" s="25">
        <f t="shared" si="265"/>
        <v>11007.82546143035</v>
      </c>
      <c r="P497" s="25">
        <f t="shared" si="266"/>
        <v>28145.244538569641</v>
      </c>
      <c r="Q497" s="25">
        <f t="array" aca="1" ref="Q497" ca="1">INDEX('Isaac 401k'!L:L,MATCH('Retirement Calculator'!A497,'Isaac 401k'!N:N,0),0)</f>
        <v>962963.1207390381</v>
      </c>
      <c r="R497" s="25">
        <f t="array" aca="1" ref="R497" ca="1">INDEX('Lorri 401b'!L:L,MATCH('Retirement Calculator'!A497,'Lorri 401b'!N:N,0),0)</f>
        <v>1681585.5500721126</v>
      </c>
      <c r="S497" s="25">
        <f t="shared" ca="1" si="267"/>
        <v>2644548.6708111507</v>
      </c>
    </row>
    <row r="498" spans="1:19" ht="15.75" customHeight="1" x14ac:dyDescent="0.3">
      <c r="A498" s="37">
        <v>66112</v>
      </c>
      <c r="B498" s="409">
        <f t="shared" ref="B498:C498" si="499">($A498-B$9)/365.25</f>
        <v>99.126625598904866</v>
      </c>
      <c r="C498" s="409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3525.4531757812501</v>
      </c>
      <c r="H498" s="25">
        <f>IF(B498&lt;62,0,'Combined Retirement'!$I$14)</f>
        <v>2192</v>
      </c>
      <c r="I498" s="25">
        <f>IF(C498&lt;62,0,'Combined Retirement'!$I$13)</f>
        <v>2420</v>
      </c>
      <c r="J498" s="25">
        <f t="shared" si="263"/>
        <v>7863.2184191855868</v>
      </c>
      <c r="K498" s="25">
        <f t="shared" si="264"/>
        <v>20282.026119384056</v>
      </c>
      <c r="L498" s="25"/>
      <c r="N498" s="25">
        <f>'Combined Retirement'!$C$18/12</f>
        <v>39153.069999999992</v>
      </c>
      <c r="O498" s="25">
        <f t="shared" si="265"/>
        <v>11007.82546143035</v>
      </c>
      <c r="P498" s="25">
        <f t="shared" si="266"/>
        <v>28145.244538569641</v>
      </c>
      <c r="Q498" s="25">
        <f t="array" aca="1" ref="Q498" ca="1">INDEX('Isaac 401k'!L:L,MATCH('Retirement Calculator'!A498,'Isaac 401k'!N:N,0),0)</f>
        <v>959079.48524618521</v>
      </c>
      <c r="R498" s="25">
        <f t="array" aca="1" ref="R498" ca="1">INDEX('Lorri 401b'!L:L,MATCH('Retirement Calculator'!A498,'Lorri 401b'!N:N,0),0)</f>
        <v>1668225.6219691983</v>
      </c>
      <c r="S498" s="25">
        <f t="shared" ca="1" si="267"/>
        <v>2627305.1072153836</v>
      </c>
    </row>
    <row r="499" spans="1:19" ht="15.75" customHeight="1" x14ac:dyDescent="0.3">
      <c r="A499" s="37">
        <v>66143</v>
      </c>
      <c r="B499" s="409">
        <f t="shared" ref="B499:C499" si="500">($A499-B$9)/365.25</f>
        <v>99.21149897330595</v>
      </c>
      <c r="C499" s="409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3525.4531757812501</v>
      </c>
      <c r="H499" s="25">
        <f>IF(B499&lt;62,0,'Combined Retirement'!$I$14)</f>
        <v>2192</v>
      </c>
      <c r="I499" s="25">
        <f>IF(C499&lt;62,0,'Combined Retirement'!$I$13)</f>
        <v>2420</v>
      </c>
      <c r="J499" s="25">
        <f t="shared" si="263"/>
        <v>7863.2184191855868</v>
      </c>
      <c r="K499" s="25">
        <f t="shared" si="264"/>
        <v>20282.026119384056</v>
      </c>
      <c r="L499" s="25"/>
      <c r="N499" s="25">
        <f>'Combined Retirement'!$C$18/12</f>
        <v>39153.069999999992</v>
      </c>
      <c r="O499" s="25">
        <f t="shared" si="265"/>
        <v>11007.82546143035</v>
      </c>
      <c r="P499" s="25">
        <f t="shared" si="266"/>
        <v>28145.244538569641</v>
      </c>
      <c r="Q499" s="25">
        <f t="array" aca="1" ref="Q499" ca="1">INDEX('Isaac 401k'!L:L,MATCH('Retirement Calculator'!A499,'Isaac 401k'!N:N,0),0)</f>
        <v>955179.66793877876</v>
      </c>
      <c r="R499" s="25">
        <f t="array" aca="1" ref="R499" ca="1">INDEX('Lorri 401b'!L:L,MATCH('Retirement Calculator'!A499,'Lorri 401b'!N:N,0),0)</f>
        <v>1654810.0274991887</v>
      </c>
      <c r="S499" s="25">
        <f t="shared" ca="1" si="267"/>
        <v>2609989.6954379673</v>
      </c>
    </row>
    <row r="500" spans="1:19" ht="15.75" customHeight="1" x14ac:dyDescent="0.3">
      <c r="A500" s="37">
        <v>66171</v>
      </c>
      <c r="B500" s="409">
        <f t="shared" ref="B500:C500" si="501">($A500-B$9)/365.25</f>
        <v>99.288158795345652</v>
      </c>
      <c r="C500" s="409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3525.4531757812501</v>
      </c>
      <c r="H500" s="25">
        <f>IF(B500&lt;62,0,'Combined Retirement'!$I$14)</f>
        <v>2192</v>
      </c>
      <c r="I500" s="25">
        <f>IF(C500&lt;62,0,'Combined Retirement'!$I$13)</f>
        <v>2420</v>
      </c>
      <c r="J500" s="25">
        <f t="shared" si="263"/>
        <v>7863.2184191855868</v>
      </c>
      <c r="K500" s="25">
        <f t="shared" si="264"/>
        <v>20282.026119384056</v>
      </c>
      <c r="L500" s="25"/>
      <c r="N500" s="25">
        <f>'Combined Retirement'!$C$18/12</f>
        <v>39153.069999999992</v>
      </c>
      <c r="O500" s="25">
        <f t="shared" si="265"/>
        <v>11007.82546143035</v>
      </c>
      <c r="P500" s="25">
        <f t="shared" si="266"/>
        <v>28145.244538569641</v>
      </c>
      <c r="Q500" s="25">
        <f t="array" aca="1" ref="Q500" ca="1">INDEX('Isaac 401k'!L:L,MATCH('Retirement Calculator'!A500,'Isaac 401k'!N:N,0),0)</f>
        <v>951263.60139259149</v>
      </c>
      <c r="R500" s="25">
        <f t="array" aca="1" ref="R500" ca="1">INDEX('Lorri 401b'!L:L,MATCH('Retirement Calculator'!A500,'Lorri 401b'!N:N,0),0)</f>
        <v>1641338.5347188872</v>
      </c>
      <c r="S500" s="25">
        <f t="shared" ca="1" si="267"/>
        <v>2592602.1361114788</v>
      </c>
    </row>
    <row r="501" spans="1:19" ht="15.75" customHeight="1" x14ac:dyDescent="0.3">
      <c r="A501" s="37">
        <v>66202</v>
      </c>
      <c r="B501" s="409">
        <f t="shared" ref="B501:C501" si="502">($A501-B$9)/365.25</f>
        <v>99.37303216974675</v>
      </c>
      <c r="C501" s="409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3525.4531757812501</v>
      </c>
      <c r="H501" s="25">
        <f>IF(B501&lt;62,0,'Combined Retirement'!$I$14)</f>
        <v>2192</v>
      </c>
      <c r="I501" s="25">
        <f>IF(C501&lt;62,0,'Combined Retirement'!$I$13)</f>
        <v>2420</v>
      </c>
      <c r="J501" s="25">
        <f t="shared" si="263"/>
        <v>7863.2184191855868</v>
      </c>
      <c r="K501" s="25">
        <f t="shared" si="264"/>
        <v>20282.026119384056</v>
      </c>
      <c r="L501" s="25"/>
      <c r="N501" s="25">
        <f>'Combined Retirement'!$C$18/12</f>
        <v>39153.069999999992</v>
      </c>
      <c r="O501" s="25">
        <f t="shared" si="265"/>
        <v>11007.82546143035</v>
      </c>
      <c r="P501" s="25">
        <f t="shared" si="266"/>
        <v>28145.244538569641</v>
      </c>
      <c r="Q501" s="25">
        <f t="array" aca="1" ref="Q501" ca="1">INDEX('Isaac 401k'!L:L,MATCH('Retirement Calculator'!A501,'Isaac 401k'!N:N,0),0)</f>
        <v>947331.21790246177</v>
      </c>
      <c r="R501" s="25">
        <f t="array" aca="1" ref="R501" ca="1">INDEX('Lorri 401b'!L:L,MATCH('Retirement Calculator'!A501,'Lorri 401b'!N:N,0),0)</f>
        <v>1627810.9107186678</v>
      </c>
      <c r="S501" s="25">
        <f t="shared" ca="1" si="267"/>
        <v>2575142.1286211293</v>
      </c>
    </row>
    <row r="502" spans="1:19" ht="15.75" customHeight="1" x14ac:dyDescent="0.3">
      <c r="A502" s="37">
        <v>66232</v>
      </c>
      <c r="B502" s="409">
        <f t="shared" ref="B502:C502" si="503">($A502-B$9)/365.25</f>
        <v>99.455167693360707</v>
      </c>
      <c r="C502" s="409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3525.4531757812501</v>
      </c>
      <c r="H502" s="25">
        <f>IF(B502&lt;62,0,'Combined Retirement'!$I$14)</f>
        <v>2192</v>
      </c>
      <c r="I502" s="25">
        <f>IF(C502&lt;62,0,'Combined Retirement'!$I$13)</f>
        <v>2420</v>
      </c>
      <c r="J502" s="25">
        <f t="shared" si="263"/>
        <v>7863.2184191855868</v>
      </c>
      <c r="K502" s="25">
        <f t="shared" si="264"/>
        <v>20282.026119384056</v>
      </c>
      <c r="L502" s="25"/>
      <c r="N502" s="25">
        <f>'Combined Retirement'!$C$18/12</f>
        <v>39153.069999999992</v>
      </c>
      <c r="O502" s="25">
        <f t="shared" si="265"/>
        <v>11007.82546143035</v>
      </c>
      <c r="P502" s="25">
        <f t="shared" si="266"/>
        <v>28145.244538569641</v>
      </c>
      <c r="Q502" s="25">
        <f t="array" aca="1" ref="Q502" ca="1">INDEX('Isaac 401k'!L:L,MATCH('Retirement Calculator'!A502,'Isaac 401k'!N:N,0),0)</f>
        <v>943382.44948112313</v>
      </c>
      <c r="R502" s="25">
        <f t="array" aca="1" ref="R502" ca="1">INDEX('Lorri 401b'!L:L,MATCH('Retirement Calculator'!A502,'Lorri 401b'!N:N,0),0)</f>
        <v>1614226.9216184474</v>
      </c>
      <c r="S502" s="25">
        <f t="shared" ca="1" si="267"/>
        <v>2557609.3710995708</v>
      </c>
    </row>
    <row r="503" spans="1:19" ht="15.75" customHeight="1" x14ac:dyDescent="0.3">
      <c r="A503" s="37">
        <v>66263</v>
      </c>
      <c r="B503" s="409">
        <f t="shared" ref="B503:C503" si="504">($A503-B$9)/365.25</f>
        <v>99.540041067761805</v>
      </c>
      <c r="C503" s="409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3525.4531757812501</v>
      </c>
      <c r="H503" s="25">
        <f>IF(B503&lt;62,0,'Combined Retirement'!$I$14)</f>
        <v>2192</v>
      </c>
      <c r="I503" s="25">
        <f>IF(C503&lt;62,0,'Combined Retirement'!$I$13)</f>
        <v>2420</v>
      </c>
      <c r="J503" s="25">
        <f t="shared" si="263"/>
        <v>7863.2184191855868</v>
      </c>
      <c r="K503" s="25">
        <f t="shared" si="264"/>
        <v>20282.026119384056</v>
      </c>
      <c r="L503" s="25"/>
      <c r="N503" s="25">
        <f>'Combined Retirement'!$C$18/12</f>
        <v>39153.069999999992</v>
      </c>
      <c r="O503" s="25">
        <f t="shared" si="265"/>
        <v>11007.82546143035</v>
      </c>
      <c r="P503" s="25">
        <f t="shared" si="266"/>
        <v>28145.244538569641</v>
      </c>
      <c r="Q503" s="25">
        <f t="array" aca="1" ref="Q503" ca="1">INDEX('Isaac 401k'!L:L,MATCH('Retirement Calculator'!A503,'Isaac 401k'!N:N,0),0)</f>
        <v>939417.22785802896</v>
      </c>
      <c r="R503" s="25">
        <f t="array" aca="1" ref="R503" ca="1">INDEX('Lorri 401b'!L:L,MATCH('Retirement Calculator'!A503,'Lorri 401b'!N:N,0),0)</f>
        <v>1600586.3325636429</v>
      </c>
      <c r="S503" s="25">
        <f t="shared" ca="1" si="267"/>
        <v>2540003.5604216717</v>
      </c>
    </row>
    <row r="504" spans="1:19" ht="15.75" customHeight="1" x14ac:dyDescent="0.3">
      <c r="A504" s="37">
        <v>66293</v>
      </c>
      <c r="B504" s="409">
        <f t="shared" ref="B504:C504" si="505">($A504-B$9)/365.25</f>
        <v>99.622176591375776</v>
      </c>
      <c r="C504" s="409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3525.4531757812501</v>
      </c>
      <c r="H504" s="25">
        <f>IF(B504&lt;62,0,'Combined Retirement'!$I$14)</f>
        <v>2192</v>
      </c>
      <c r="I504" s="25">
        <f>IF(C504&lt;62,0,'Combined Retirement'!$I$13)</f>
        <v>2420</v>
      </c>
      <c r="J504" s="25">
        <f t="shared" si="263"/>
        <v>7863.2184191855868</v>
      </c>
      <c r="K504" s="25">
        <f t="shared" si="264"/>
        <v>20282.026119384056</v>
      </c>
      <c r="L504" s="25"/>
      <c r="N504" s="25">
        <f>'Combined Retirement'!$C$18/12</f>
        <v>39153.069999999992</v>
      </c>
      <c r="O504" s="25">
        <f t="shared" si="265"/>
        <v>11007.82546143035</v>
      </c>
      <c r="P504" s="25">
        <f t="shared" si="266"/>
        <v>28145.244538569641</v>
      </c>
      <c r="Q504" s="25">
        <f t="array" aca="1" ref="Q504" ca="1">INDEX('Isaac 401k'!L:L,MATCH('Retirement Calculator'!A504,'Isaac 401k'!N:N,0),0)</f>
        <v>935435.48447817191</v>
      </c>
      <c r="R504" s="25">
        <f t="array" aca="1" ref="R504" ca="1">INDEX('Lorri 401b'!L:L,MATCH('Retirement Calculator'!A504,'Lorri 401b'!N:N,0),0)</f>
        <v>1586888.9077211099</v>
      </c>
      <c r="S504" s="25">
        <f t="shared" ca="1" si="267"/>
        <v>2522324.3921992816</v>
      </c>
    </row>
    <row r="505" spans="1:19" ht="15.75" customHeight="1" x14ac:dyDescent="0.3">
      <c r="A505" s="37">
        <v>66324</v>
      </c>
      <c r="B505" s="409">
        <f t="shared" ref="B505:C505" si="506">($A505-B$9)/365.25</f>
        <v>99.707049965776861</v>
      </c>
      <c r="C505" s="409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3525.4531757812501</v>
      </c>
      <c r="H505" s="25">
        <f>IF(B505&lt;62,0,'Combined Retirement'!$I$14)</f>
        <v>2192</v>
      </c>
      <c r="I505" s="25">
        <f>IF(C505&lt;62,0,'Combined Retirement'!$I$13)</f>
        <v>2420</v>
      </c>
      <c r="J505" s="25">
        <f t="shared" si="263"/>
        <v>7863.2184191855868</v>
      </c>
      <c r="K505" s="25">
        <f t="shared" si="264"/>
        <v>20282.026119384056</v>
      </c>
      <c r="L505" s="25"/>
      <c r="N505" s="25">
        <f>'Combined Retirement'!$C$18/12</f>
        <v>39153.069999999992</v>
      </c>
      <c r="O505" s="25">
        <f t="shared" si="265"/>
        <v>11007.82546143035</v>
      </c>
      <c r="P505" s="25">
        <f t="shared" si="266"/>
        <v>28145.244538569641</v>
      </c>
      <c r="Q505" s="25">
        <f t="array" aca="1" ref="Q505" ca="1">INDEX('Isaac 401k'!L:L,MATCH('Retirement Calculator'!A505,'Isaac 401k'!N:N,0),0)</f>
        <v>931437.15050089872</v>
      </c>
      <c r="R505" s="25">
        <f t="array" aca="1" ref="R505" ca="1">INDEX('Lorri 401b'!L:L,MATCH('Retirement Calculator'!A505,'Lorri 401b'!N:N,0),0)</f>
        <v>1573134.4102750665</v>
      </c>
      <c r="S505" s="25">
        <f t="shared" ca="1" si="267"/>
        <v>2504571.5607759655</v>
      </c>
    </row>
    <row r="506" spans="1:19" ht="15.75" customHeight="1" x14ac:dyDescent="0.3">
      <c r="A506" s="37">
        <v>66355</v>
      </c>
      <c r="B506" s="409">
        <f t="shared" ref="B506:C506" si="507">($A506-B$9)/365.25</f>
        <v>99.791923340177959</v>
      </c>
      <c r="C506" s="409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3525.4531757812501</v>
      </c>
      <c r="H506" s="25">
        <f>IF(B506&lt;62,0,'Combined Retirement'!$I$14)</f>
        <v>2192</v>
      </c>
      <c r="I506" s="25">
        <f>IF(C506&lt;62,0,'Combined Retirement'!$I$13)</f>
        <v>2420</v>
      </c>
      <c r="J506" s="25">
        <f t="shared" si="263"/>
        <v>7863.2184191855868</v>
      </c>
      <c r="K506" s="25">
        <f t="shared" si="264"/>
        <v>20282.026119384056</v>
      </c>
      <c r="L506" s="25"/>
      <c r="N506" s="25">
        <f>'Combined Retirement'!$C$18/12</f>
        <v>39153.069999999992</v>
      </c>
      <c r="O506" s="25">
        <f t="shared" si="265"/>
        <v>11007.82546143035</v>
      </c>
      <c r="P506" s="25">
        <f t="shared" si="266"/>
        <v>28145.244538569641</v>
      </c>
      <c r="Q506" s="25">
        <f t="array" aca="1" ref="Q506" ca="1">INDEX('Isaac 401k'!L:L,MATCH('Retirement Calculator'!A506,'Isaac 401k'!N:N,0),0)</f>
        <v>927422.15679872024</v>
      </c>
      <c r="R506" s="25">
        <f t="array" aca="1" ref="R506" ca="1">INDEX('Lorri 401b'!L:L,MATCH('Retirement Calculator'!A506,'Lorri 401b'!N:N,0),0)</f>
        <v>1559322.6024229978</v>
      </c>
      <c r="S506" s="25">
        <f t="shared" ca="1" si="267"/>
        <v>2486744.7592217182</v>
      </c>
    </row>
    <row r="507" spans="1:19" ht="15.75" customHeight="1" x14ac:dyDescent="0.3">
      <c r="A507" s="37">
        <v>66385</v>
      </c>
      <c r="B507" s="409">
        <f t="shared" ref="B507:C507" si="508">($A507-B$9)/365.25</f>
        <v>99.87405886379193</v>
      </c>
      <c r="C507" s="409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3525.4531757812501</v>
      </c>
      <c r="H507" s="25">
        <f>IF(B507&lt;62,0,'Combined Retirement'!$I$14)</f>
        <v>2192</v>
      </c>
      <c r="I507" s="25">
        <f>IF(C507&lt;62,0,'Combined Retirement'!$I$13)</f>
        <v>2420</v>
      </c>
      <c r="J507" s="25">
        <f t="shared" si="263"/>
        <v>7863.2184191855868</v>
      </c>
      <c r="K507" s="25">
        <f t="shared" si="264"/>
        <v>20282.026119384056</v>
      </c>
      <c r="L507" s="25"/>
      <c r="N507" s="25">
        <f>'Combined Retirement'!$C$18/12</f>
        <v>39153.069999999992</v>
      </c>
      <c r="O507" s="25">
        <f t="shared" si="265"/>
        <v>11007.82546143035</v>
      </c>
      <c r="P507" s="25">
        <f t="shared" si="266"/>
        <v>28145.244538569641</v>
      </c>
      <c r="Q507" s="25">
        <f t="array" aca="1" ref="Q507" ca="1">INDEX('Isaac 401k'!L:L,MATCH('Retirement Calculator'!A507,'Isaac 401k'!N:N,0),0)</f>
        <v>923390.43395611609</v>
      </c>
      <c r="R507" s="25">
        <f t="array" aca="1" ref="R507" ca="1">INDEX('Lorri 401b'!L:L,MATCH('Retirement Calculator'!A507,'Lorri 401b'!N:N,0),0)</f>
        <v>1545453.2453715457</v>
      </c>
      <c r="S507" s="25">
        <f t="shared" ca="1" si="267"/>
        <v>2468843.6793276616</v>
      </c>
    </row>
    <row r="508" spans="1:19" ht="15.75" customHeight="1" x14ac:dyDescent="0.3">
      <c r="A508" s="37">
        <v>66416</v>
      </c>
      <c r="B508" s="409">
        <f t="shared" ref="B508:C508" si="509">($A508-B$9)/365.25</f>
        <v>99.958932238193015</v>
      </c>
      <c r="C508" s="409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3525.4531757812501</v>
      </c>
      <c r="H508" s="25">
        <f>IF(B508&lt;62,0,'Combined Retirement'!$I$14)</f>
        <v>2192</v>
      </c>
      <c r="I508" s="25">
        <f>IF(C508&lt;62,0,'Combined Retirement'!$I$13)</f>
        <v>2420</v>
      </c>
      <c r="J508" s="25">
        <f t="shared" si="263"/>
        <v>7863.2184191855868</v>
      </c>
      <c r="K508" s="25">
        <f t="shared" si="264"/>
        <v>20282.026119384056</v>
      </c>
      <c r="L508" s="25"/>
      <c r="N508" s="25">
        <f>'Combined Retirement'!$C$18/12</f>
        <v>39153.069999999992</v>
      </c>
      <c r="O508" s="25">
        <f t="shared" si="265"/>
        <v>11007.82546143035</v>
      </c>
      <c r="P508" s="25">
        <f t="shared" si="266"/>
        <v>28145.244538569641</v>
      </c>
      <c r="Q508" s="25">
        <f t="array" aca="1" ref="Q508" ca="1">INDEX('Isaac 401k'!L:L,MATCH('Retirement Calculator'!A508,'Isaac 401k'!N:N,0),0)</f>
        <v>919341.9122683343</v>
      </c>
      <c r="R508" s="25">
        <f t="array" aca="1" ref="R508" ca="1">INDEX('Lorri 401b'!L:L,MATCH('Retirement Calculator'!A508,'Lorri 401b'!N:N,0),0)</f>
        <v>1531526.0993323789</v>
      </c>
      <c r="S508" s="25">
        <f t="shared" ca="1" si="267"/>
        <v>2450868.0116007132</v>
      </c>
    </row>
    <row r="509" spans="1:19" ht="15.75" customHeight="1" x14ac:dyDescent="0.3">
      <c r="A509" s="37">
        <v>66446</v>
      </c>
      <c r="B509" s="409">
        <f t="shared" ref="B509:C509" si="510">($A509-B$9)/365.25</f>
        <v>100.04106776180699</v>
      </c>
      <c r="C509" s="409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3525.4531757812501</v>
      </c>
      <c r="H509" s="25">
        <f>IF(B509&lt;62,0,'Combined Retirement'!$I$14)</f>
        <v>2192</v>
      </c>
      <c r="I509" s="25">
        <f>IF(C509&lt;62,0,'Combined Retirement'!$I$13)</f>
        <v>2420</v>
      </c>
      <c r="J509" s="25">
        <f t="shared" si="263"/>
        <v>7863.2184191855868</v>
      </c>
      <c r="K509" s="25">
        <f t="shared" si="264"/>
        <v>20282.026119384056</v>
      </c>
      <c r="L509" s="25"/>
      <c r="N509" s="25">
        <f>'Combined Retirement'!$C$18/12</f>
        <v>39153.069999999992</v>
      </c>
      <c r="O509" s="25">
        <f t="shared" si="265"/>
        <v>11007.82546143035</v>
      </c>
      <c r="P509" s="25">
        <f t="shared" si="266"/>
        <v>28145.244538569641</v>
      </c>
      <c r="Q509" s="25">
        <f t="array" aca="1" ref="Q509" ca="1">INDEX('Isaac 401k'!L:L,MATCH('Retirement Calculator'!A509,'Isaac 401k'!N:N,0),0)</f>
        <v>915276.52174018684</v>
      </c>
      <c r="R509" s="25">
        <f t="array" aca="1" ref="R509" ca="1">INDEX('Lorri 401b'!L:L,MATCH('Retirement Calculator'!A509,'Lorri 401b'!N:N,0),0)</f>
        <v>1517540.9235180491</v>
      </c>
      <c r="S509" s="25">
        <f t="shared" ca="1" si="267"/>
        <v>2432817.445258236</v>
      </c>
    </row>
    <row r="510" spans="1:19" ht="15.75" customHeight="1" x14ac:dyDescent="0.3">
      <c r="A510" s="37">
        <v>66477</v>
      </c>
      <c r="B510" s="409">
        <f t="shared" ref="B510:C510" si="511">($A510-B$9)/365.25</f>
        <v>100.12594113620807</v>
      </c>
      <c r="C510" s="409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3525.4531757812501</v>
      </c>
      <c r="H510" s="25">
        <f>IF(B510&lt;62,0,'Combined Retirement'!$I$14)</f>
        <v>2192</v>
      </c>
      <c r="I510" s="25">
        <f>IF(C510&lt;62,0,'Combined Retirement'!$I$13)</f>
        <v>2420</v>
      </c>
      <c r="J510" s="25">
        <f t="shared" si="263"/>
        <v>7863.2184191855868</v>
      </c>
      <c r="K510" s="25">
        <f t="shared" si="264"/>
        <v>20282.026119384056</v>
      </c>
      <c r="L510" s="25"/>
      <c r="N510" s="25">
        <f>'Combined Retirement'!$C$18/12</f>
        <v>39153.069999999992</v>
      </c>
      <c r="O510" s="25">
        <f t="shared" si="265"/>
        <v>11007.82546143035</v>
      </c>
      <c r="P510" s="25">
        <f t="shared" si="266"/>
        <v>28145.244538569641</v>
      </c>
      <c r="Q510" s="25">
        <f t="array" aca="1" ref="Q510" ca="1">INDEX('Isaac 401k'!L:L,MATCH('Retirement Calculator'!A510,'Isaac 401k'!N:N,0),0)</f>
        <v>911194.19208483875</v>
      </c>
      <c r="R510" s="25">
        <f t="array" aca="1" ref="R510" ca="1">INDEX('Lorri 401b'!L:L,MATCH('Retirement Calculator'!A510,'Lorri 401b'!N:N,0),0)</f>
        <v>1503497.4761378262</v>
      </c>
      <c r="S510" s="25">
        <f t="shared" ca="1" si="267"/>
        <v>2414691.6682226649</v>
      </c>
    </row>
    <row r="511" spans="1:19" ht="15.75" customHeight="1" x14ac:dyDescent="0.3">
      <c r="A511" s="37">
        <v>66508</v>
      </c>
      <c r="B511" s="409">
        <f t="shared" ref="B511:C511" si="512">($A511-B$9)/365.25</f>
        <v>100.21081451060917</v>
      </c>
      <c r="C511" s="409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3525.4531757812501</v>
      </c>
      <c r="H511" s="25">
        <f>IF(B511&lt;62,0,'Combined Retirement'!$I$14)</f>
        <v>2192</v>
      </c>
      <c r="I511" s="25">
        <f>IF(C511&lt;62,0,'Combined Retirement'!$I$13)</f>
        <v>2420</v>
      </c>
      <c r="J511" s="25">
        <f t="shared" si="263"/>
        <v>7863.2184191855868</v>
      </c>
      <c r="K511" s="25">
        <f t="shared" si="264"/>
        <v>20282.026119384056</v>
      </c>
      <c r="L511" s="25"/>
      <c r="N511" s="25">
        <f>'Combined Retirement'!$C$18/12</f>
        <v>39153.069999999992</v>
      </c>
      <c r="O511" s="25">
        <f t="shared" si="265"/>
        <v>11007.82546143035</v>
      </c>
      <c r="P511" s="25">
        <f t="shared" si="266"/>
        <v>28145.244538569641</v>
      </c>
      <c r="Q511" s="25">
        <f t="array" aca="1" ref="Q511" ca="1">INDEX('Isaac 401k'!L:L,MATCH('Retirement Calculator'!A511,'Isaac 401k'!N:N,0),0)</f>
        <v>907094.85272259335</v>
      </c>
      <c r="R511" s="25">
        <f t="array" aca="1" ref="R511" ca="1">INDEX('Lorri 401b'!L:L,MATCH('Retirement Calculator'!A511,'Lorri 401b'!N:N,0),0)</f>
        <v>1489395.5143935191</v>
      </c>
      <c r="S511" s="25">
        <f t="shared" ca="1" si="267"/>
        <v>2396490.3671161123</v>
      </c>
    </row>
    <row r="512" spans="1:19" ht="15.75" customHeight="1" x14ac:dyDescent="0.3">
      <c r="A512" s="37">
        <v>66536</v>
      </c>
      <c r="B512" s="409">
        <f t="shared" ref="B512:C512" si="513">($A512-B$9)/365.25</f>
        <v>100.28747433264887</v>
      </c>
      <c r="C512" s="409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3525.4531757812501</v>
      </c>
      <c r="H512" s="25">
        <f>IF(B512&lt;62,0,'Combined Retirement'!$I$14)</f>
        <v>2192</v>
      </c>
      <c r="I512" s="25">
        <f>IF(C512&lt;62,0,'Combined Retirement'!$I$13)</f>
        <v>2420</v>
      </c>
      <c r="J512" s="25">
        <f t="shared" si="263"/>
        <v>7863.2184191855868</v>
      </c>
      <c r="K512" s="25">
        <f t="shared" si="264"/>
        <v>20282.026119384056</v>
      </c>
      <c r="L512" s="25"/>
      <c r="N512" s="25">
        <f>'Combined Retirement'!$C$18/12</f>
        <v>39153.069999999992</v>
      </c>
      <c r="O512" s="25">
        <f t="shared" si="265"/>
        <v>11007.82546143035</v>
      </c>
      <c r="P512" s="25">
        <f t="shared" si="266"/>
        <v>28145.244538569641</v>
      </c>
      <c r="Q512" s="25">
        <f t="array" aca="1" ref="Q512" ca="1">INDEX('Isaac 401k'!L:L,MATCH('Retirement Calculator'!A512,'Isaac 401k'!N:N,0),0)</f>
        <v>902978.43277967197</v>
      </c>
      <c r="R512" s="25">
        <f t="array" aca="1" ref="R512" ca="1">INDEX('Lorri 401b'!L:L,MATCH('Retirement Calculator'!A512,'Lorri 401b'!N:N,0),0)</f>
        <v>1475234.7944752774</v>
      </c>
      <c r="S512" s="25">
        <f t="shared" ca="1" si="267"/>
        <v>2378213.2272549495</v>
      </c>
    </row>
    <row r="513" spans="1:19" ht="15.75" customHeight="1" x14ac:dyDescent="0.3">
      <c r="A513" s="37">
        <v>66567</v>
      </c>
      <c r="B513" s="409">
        <f t="shared" ref="B513:C513" si="514">($A513-B$9)/365.25</f>
        <v>100.37234770704997</v>
      </c>
      <c r="C513" s="409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3525.4531757812501</v>
      </c>
      <c r="H513" s="25">
        <f>IF(B513&lt;62,0,'Combined Retirement'!$I$14)</f>
        <v>2192</v>
      </c>
      <c r="I513" s="25">
        <f>IF(C513&lt;62,0,'Combined Retirement'!$I$13)</f>
        <v>2420</v>
      </c>
      <c r="J513" s="25">
        <f t="shared" si="263"/>
        <v>7863.2184191855868</v>
      </c>
      <c r="K513" s="25">
        <f t="shared" si="264"/>
        <v>20282.026119384056</v>
      </c>
      <c r="L513" s="25"/>
      <c r="N513" s="25">
        <f>'Combined Retirement'!$C$18/12</f>
        <v>39153.069999999992</v>
      </c>
      <c r="O513" s="25">
        <f t="shared" si="265"/>
        <v>11007.82546143035</v>
      </c>
      <c r="P513" s="25">
        <f t="shared" si="266"/>
        <v>28145.244538569641</v>
      </c>
      <c r="Q513" s="25">
        <f t="array" aca="1" ref="Q513" ca="1">INDEX('Isaac 401k'!L:L,MATCH('Retirement Calculator'!A513,'Isaac 401k'!N:N,0),0)</f>
        <v>898844.86108698836</v>
      </c>
      <c r="R513" s="25">
        <f t="array" aca="1" ref="R513" ca="1">INDEX('Lorri 401b'!L:L,MATCH('Retirement Calculator'!A513,'Lorri 401b'!N:N,0),0)</f>
        <v>1461015.0715573763</v>
      </c>
      <c r="S513" s="25">
        <f t="shared" ca="1" si="267"/>
        <v>2359859.9326443644</v>
      </c>
    </row>
    <row r="514" spans="1:19" ht="15.75" customHeight="1" x14ac:dyDescent="0.3">
      <c r="A514" s="37">
        <v>66597</v>
      </c>
      <c r="B514" s="409">
        <f t="shared" ref="B514:C514" si="515">($A514-B$9)/365.25</f>
        <v>100.45448323066393</v>
      </c>
      <c r="C514" s="409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3525.4531757812501</v>
      </c>
      <c r="H514" s="25">
        <f>IF(B514&lt;62,0,'Combined Retirement'!$I$14)</f>
        <v>2192</v>
      </c>
      <c r="I514" s="25">
        <f>IF(C514&lt;62,0,'Combined Retirement'!$I$13)</f>
        <v>2420</v>
      </c>
      <c r="J514" s="25">
        <f t="shared" si="263"/>
        <v>7863.2184191855868</v>
      </c>
      <c r="K514" s="25">
        <f t="shared" si="264"/>
        <v>20282.026119384056</v>
      </c>
      <c r="L514" s="25"/>
      <c r="N514" s="25">
        <f>'Combined Retirement'!$C$18/12</f>
        <v>39153.069999999992</v>
      </c>
      <c r="O514" s="25">
        <f t="shared" si="265"/>
        <v>11007.82546143035</v>
      </c>
      <c r="P514" s="25">
        <f t="shared" si="266"/>
        <v>28145.244538569641</v>
      </c>
      <c r="Q514" s="25">
        <f t="array" aca="1" ref="Q514" ca="1">INDEX('Isaac 401k'!L:L,MATCH('Retirement Calculator'!A514,'Isaac 401k'!N:N,0),0)</f>
        <v>894694.06617891858</v>
      </c>
      <c r="R514" s="25">
        <f t="array" aca="1" ref="R514" ca="1">INDEX('Lorri 401b'!L:L,MATCH('Retirement Calculator'!A514,'Lorri 401b'!N:N,0),0)</f>
        <v>1446736.0997939839</v>
      </c>
      <c r="S514" s="25">
        <f t="shared" ca="1" si="267"/>
        <v>2341430.1659729024</v>
      </c>
    </row>
    <row r="515" spans="1:19" ht="15.75" customHeight="1" x14ac:dyDescent="0.3">
      <c r="A515" s="37">
        <v>66628</v>
      </c>
      <c r="B515" s="409">
        <f t="shared" ref="B515:C515" si="516">($A515-B$9)/365.25</f>
        <v>100.53935660506502</v>
      </c>
      <c r="C515" s="409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3525.4531757812501</v>
      </c>
      <c r="H515" s="25">
        <f>IF(B515&lt;62,0,'Combined Retirement'!$I$14)</f>
        <v>2192</v>
      </c>
      <c r="I515" s="25">
        <f>IF(C515&lt;62,0,'Combined Retirement'!$I$13)</f>
        <v>2420</v>
      </c>
      <c r="J515" s="25">
        <f t="shared" si="263"/>
        <v>7863.2184191855868</v>
      </c>
      <c r="K515" s="25">
        <f t="shared" si="264"/>
        <v>20282.026119384056</v>
      </c>
      <c r="L515" s="25"/>
      <c r="N515" s="25">
        <f>'Combined Retirement'!$C$18/12</f>
        <v>39153.069999999992</v>
      </c>
      <c r="O515" s="25">
        <f t="shared" si="265"/>
        <v>11007.82546143035</v>
      </c>
      <c r="P515" s="25">
        <f t="shared" si="266"/>
        <v>28145.244538569641</v>
      </c>
      <c r="Q515" s="25">
        <f t="array" aca="1" ref="Q515" ca="1">INDEX('Isaac 401k'!L:L,MATCH('Retirement Calculator'!A515,'Isaac 401k'!N:N,0),0)</f>
        <v>890525.97629206523</v>
      </c>
      <c r="R515" s="25">
        <f t="array" aca="1" ref="R515" ca="1">INDEX('Lorri 401b'!L:L,MATCH('Retirement Calculator'!A515,'Lorri 401b'!N:N,0),0)</f>
        <v>1432397.6323149106</v>
      </c>
      <c r="S515" s="25">
        <f t="shared" ca="1" si="267"/>
        <v>2322923.608606976</v>
      </c>
    </row>
    <row r="516" spans="1:19" ht="15.75" customHeight="1" x14ac:dyDescent="0.3">
      <c r="A516" s="37">
        <v>66658</v>
      </c>
      <c r="B516" s="409">
        <f t="shared" ref="B516:C516" si="517">($A516-B$9)/365.25</f>
        <v>100.62149212867898</v>
      </c>
      <c r="C516" s="409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3525.4531757812501</v>
      </c>
      <c r="H516" s="25">
        <f>IF(B516&lt;62,0,'Combined Retirement'!$I$14)</f>
        <v>2192</v>
      </c>
      <c r="I516" s="25">
        <f>IF(C516&lt;62,0,'Combined Retirement'!$I$13)</f>
        <v>2420</v>
      </c>
      <c r="J516" s="25">
        <f t="shared" si="263"/>
        <v>7863.2184191855868</v>
      </c>
      <c r="K516" s="25">
        <f t="shared" si="264"/>
        <v>20282.026119384056</v>
      </c>
      <c r="L516" s="25"/>
      <c r="N516" s="25">
        <f>'Combined Retirement'!$C$18/12</f>
        <v>39153.069999999992</v>
      </c>
      <c r="O516" s="25">
        <f t="shared" si="265"/>
        <v>11007.82546143035</v>
      </c>
      <c r="P516" s="25">
        <f t="shared" si="266"/>
        <v>28145.244538569641</v>
      </c>
      <c r="Q516" s="25">
        <f t="array" aca="1" ref="Q516" ca="1">INDEX('Isaac 401k'!L:L,MATCH('Retirement Calculator'!A516,'Isaac 401k'!N:N,0),0)</f>
        <v>886340.5193640166</v>
      </c>
      <c r="R516" s="25">
        <f t="array" aca="1" ref="R516" ca="1">INDEX('Lorri 401b'!L:L,MATCH('Retirement Calculator'!A516,'Lorri 401b'!N:N,0),0)</f>
        <v>1417999.4212213415</v>
      </c>
      <c r="S516" s="25">
        <f t="shared" ca="1" si="267"/>
        <v>2304339.9405853581</v>
      </c>
    </row>
    <row r="517" spans="1:19" ht="15.75" customHeight="1" x14ac:dyDescent="0.3">
      <c r="A517" s="37">
        <v>66689</v>
      </c>
      <c r="B517" s="409">
        <f t="shared" ref="B517:C517" si="518">($A517-B$9)/365.25</f>
        <v>100.70636550308008</v>
      </c>
      <c r="C517" s="409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3525.4531757812501</v>
      </c>
      <c r="H517" s="25">
        <f>IF(B517&lt;62,0,'Combined Retirement'!$I$14)</f>
        <v>2192</v>
      </c>
      <c r="I517" s="25">
        <f>IF(C517&lt;62,0,'Combined Retirement'!$I$13)</f>
        <v>2420</v>
      </c>
      <c r="J517" s="25">
        <f t="shared" si="263"/>
        <v>7863.2184191855868</v>
      </c>
      <c r="K517" s="25">
        <f t="shared" si="264"/>
        <v>20282.026119384056</v>
      </c>
      <c r="L517" s="25"/>
      <c r="N517" s="25">
        <f>'Combined Retirement'!$C$18/12</f>
        <v>39153.069999999992</v>
      </c>
      <c r="O517" s="25">
        <f t="shared" si="265"/>
        <v>11007.82546143035</v>
      </c>
      <c r="P517" s="25">
        <f t="shared" si="266"/>
        <v>28145.244538569641</v>
      </c>
      <c r="Q517" s="25">
        <f t="array" aca="1" ref="Q517" ca="1">INDEX('Isaac 401k'!L:L,MATCH('Retirement Calculator'!A517,'Isaac 401k'!N:N,0),0)</f>
        <v>882137.62303210108</v>
      </c>
      <c r="R517" s="25">
        <f t="array" aca="1" ref="R517" ca="1">INDEX('Lorri 401b'!L:L,MATCH('Retirement Calculator'!A517,'Lorri 401b'!N:N,0),0)</f>
        <v>1403541.217581549</v>
      </c>
      <c r="S517" s="25">
        <f t="shared" ca="1" si="267"/>
        <v>2285678.8406136502</v>
      </c>
    </row>
    <row r="518" spans="1:19" ht="15.75" customHeight="1" x14ac:dyDescent="0.3">
      <c r="A518" s="37">
        <v>66720</v>
      </c>
      <c r="B518" s="409">
        <f t="shared" ref="B518:C518" si="519">($A518-B$9)/365.25</f>
        <v>100.79123887748118</v>
      </c>
      <c r="C518" s="409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3525.4531757812501</v>
      </c>
      <c r="H518" s="25">
        <f>IF(B518&lt;62,0,'Combined Retirement'!$I$14)</f>
        <v>2192</v>
      </c>
      <c r="I518" s="25">
        <f>IF(C518&lt;62,0,'Combined Retirement'!$I$13)</f>
        <v>2420</v>
      </c>
      <c r="J518" s="25">
        <f t="shared" si="263"/>
        <v>7863.2184191855868</v>
      </c>
      <c r="K518" s="25">
        <f t="shared" si="264"/>
        <v>20282.026119384056</v>
      </c>
      <c r="L518" s="25"/>
      <c r="N518" s="25">
        <f>'Combined Retirement'!$C$18/12</f>
        <v>39153.069999999992</v>
      </c>
      <c r="O518" s="25">
        <f t="shared" si="265"/>
        <v>11007.82546143035</v>
      </c>
      <c r="P518" s="25">
        <f t="shared" si="266"/>
        <v>28145.244538569641</v>
      </c>
      <c r="Q518" s="25">
        <f t="array" aca="1" ref="Q518" ca="1">INDEX('Isaac 401k'!L:L,MATCH('Retirement Calculator'!A518,'Isaac 401k'!N:N,0),0)</f>
        <v>877917.21463213593</v>
      </c>
      <c r="R518" s="25">
        <f t="array" aca="1" ref="R518" ca="1">INDEX('Lorri 401b'!L:L,MATCH('Retirement Calculator'!A518,'Lorri 401b'!N:N,0),0)</f>
        <v>1389022.7714265906</v>
      </c>
      <c r="S518" s="25">
        <f t="shared" ca="1" si="267"/>
        <v>2266939.9860587264</v>
      </c>
    </row>
    <row r="519" spans="1:19" ht="15.75" customHeight="1" x14ac:dyDescent="0.3">
      <c r="A519" s="37">
        <v>66750</v>
      </c>
      <c r="B519" s="409">
        <f t="shared" ref="B519:C519" si="520">($A519-B$9)/365.25</f>
        <v>100.87337440109513</v>
      </c>
      <c r="C519" s="409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3525.4531757812501</v>
      </c>
      <c r="H519" s="25">
        <f>IF(B519&lt;62,0,'Combined Retirement'!$I$14)</f>
        <v>2192</v>
      </c>
      <c r="I519" s="25">
        <f>IF(C519&lt;62,0,'Combined Retirement'!$I$13)</f>
        <v>2420</v>
      </c>
      <c r="J519" s="25">
        <f t="shared" si="263"/>
        <v>7863.2184191855868</v>
      </c>
      <c r="K519" s="25">
        <f t="shared" si="264"/>
        <v>20282.026119384056</v>
      </c>
      <c r="L519" s="25"/>
      <c r="N519" s="25">
        <f>'Combined Retirement'!$C$18/12</f>
        <v>39153.069999999992</v>
      </c>
      <c r="O519" s="25">
        <f t="shared" si="265"/>
        <v>11007.82546143035</v>
      </c>
      <c r="P519" s="25">
        <f t="shared" si="266"/>
        <v>28145.244538569641</v>
      </c>
      <c r="Q519" s="25">
        <f t="array" aca="1" ref="Q519" ca="1">INDEX('Isaac 401k'!L:L,MATCH('Retirement Calculator'!A519,'Isaac 401k'!N:N,0),0)</f>
        <v>873679.2211971709</v>
      </c>
      <c r="R519" s="25">
        <f t="array" aca="1" ref="R519" ca="1">INDEX('Lorri 401b'!L:L,MATCH('Retirement Calculator'!A519,'Lorri 401b'!N:N,0),0)</f>
        <v>1374443.8317459866</v>
      </c>
      <c r="S519" s="25">
        <f t="shared" ca="1" si="267"/>
        <v>2248123.0529431575</v>
      </c>
    </row>
    <row r="520" spans="1:19" ht="15.75" customHeight="1" x14ac:dyDescent="0.3">
      <c r="A520" s="37">
        <v>66781</v>
      </c>
      <c r="B520" s="409">
        <f t="shared" ref="B520:C520" si="521">($A520-B$9)/365.25</f>
        <v>100.95824777549623</v>
      </c>
      <c r="C520" s="409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3525.4531757812501</v>
      </c>
      <c r="H520" s="25">
        <f>IF(B520&lt;62,0,'Combined Retirement'!$I$14)</f>
        <v>2192</v>
      </c>
      <c r="I520" s="25">
        <f>IF(C520&lt;62,0,'Combined Retirement'!$I$13)</f>
        <v>2420</v>
      </c>
      <c r="J520" s="25">
        <f t="shared" si="263"/>
        <v>7863.2184191855868</v>
      </c>
      <c r="K520" s="25">
        <f t="shared" si="264"/>
        <v>20282.026119384056</v>
      </c>
      <c r="L520" s="25"/>
      <c r="N520" s="25">
        <f>'Combined Retirement'!$C$18/12</f>
        <v>39153.069999999992</v>
      </c>
      <c r="O520" s="25">
        <f t="shared" si="265"/>
        <v>11007.82546143035</v>
      </c>
      <c r="P520" s="25">
        <f t="shared" si="266"/>
        <v>28145.244538569641</v>
      </c>
      <c r="Q520" s="25">
        <f t="array" aca="1" ref="Q520" ca="1">INDEX('Isaac 401k'!L:L,MATCH('Retirement Calculator'!A520,'Isaac 401k'!N:N,0),0)</f>
        <v>869423.56945622689</v>
      </c>
      <c r="R520" s="25">
        <f t="array" aca="1" ref="R520" ca="1">INDEX('Lorri 401b'!L:L,MATCH('Retirement Calculator'!A520,'Lorri 401b'!N:N,0),0)</f>
        <v>1359804.1464833801</v>
      </c>
      <c r="S520" s="25">
        <f t="shared" ca="1" si="267"/>
        <v>2229227.715939607</v>
      </c>
    </row>
    <row r="521" spans="1:19" ht="15.75" customHeight="1" x14ac:dyDescent="0.3">
      <c r="A521" s="37">
        <v>66811</v>
      </c>
      <c r="B521" s="409">
        <f t="shared" ref="B521:C521" si="522">($A521-B$9)/365.25</f>
        <v>101.0403832991102</v>
      </c>
      <c r="C521" s="409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3525.4531757812501</v>
      </c>
      <c r="H521" s="25">
        <f>IF(B521&lt;62,0,'Combined Retirement'!$I$14)</f>
        <v>2192</v>
      </c>
      <c r="I521" s="25">
        <f>IF(C521&lt;62,0,'Combined Retirement'!$I$13)</f>
        <v>2420</v>
      </c>
      <c r="J521" s="25">
        <f t="shared" ref="J521:J775" si="523">IF(C521&lt;59.5,P521,P521*$J$7)</f>
        <v>7863.2184191855868</v>
      </c>
      <c r="K521" s="25">
        <f t="shared" ref="K521:K775" si="524">IF(C521&lt;59.5,0,IF(C521&lt;$B$7,0,P521*$K$7))</f>
        <v>20282.026119384056</v>
      </c>
      <c r="L521" s="25"/>
      <c r="N521" s="25">
        <f>'Combined Retirement'!$C$18/12</f>
        <v>39153.069999999992</v>
      </c>
      <c r="O521" s="25">
        <f t="shared" ref="O521:O775" si="525">SUM(E521:I521)</f>
        <v>11007.82546143035</v>
      </c>
      <c r="P521" s="25">
        <f t="shared" ref="P521:P775" si="526">N521-O521</f>
        <v>28145.244538569641</v>
      </c>
      <c r="Q521" s="25">
        <f t="array" aca="1" ref="Q521" ca="1">INDEX('Isaac 401k'!L:L,MATCH('Retirement Calculator'!A521,'Isaac 401k'!N:N,0),0)</f>
        <v>865150.18583302898</v>
      </c>
      <c r="R521" s="25">
        <f t="array" aca="1" ref="R521" ca="1">INDEX('Lorri 401b'!L:L,MATCH('Retirement Calculator'!A521,'Lorri 401b'!N:N,0),0)</f>
        <v>1345103.4625321794</v>
      </c>
      <c r="S521" s="25">
        <f t="shared" ref="S521:S775" ca="1" si="527">SUM(Q521:R521)</f>
        <v>2210253.6483652084</v>
      </c>
    </row>
    <row r="522" spans="1:19" ht="15.75" customHeight="1" x14ac:dyDescent="0.3">
      <c r="A522" s="37">
        <v>66842</v>
      </c>
      <c r="B522" s="409">
        <f t="shared" ref="B522:C522" si="528">($A522-B$9)/365.25</f>
        <v>101.12525667351129</v>
      </c>
      <c r="C522" s="409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3525.4531757812501</v>
      </c>
      <c r="H522" s="25">
        <f>IF(B522&lt;62,0,'Combined Retirement'!$I$14)</f>
        <v>2192</v>
      </c>
      <c r="I522" s="25">
        <f>IF(C522&lt;62,0,'Combined Retirement'!$I$13)</f>
        <v>2420</v>
      </c>
      <c r="J522" s="25">
        <f t="shared" si="523"/>
        <v>7863.2184191855868</v>
      </c>
      <c r="K522" s="25">
        <f t="shared" si="524"/>
        <v>20282.026119384056</v>
      </c>
      <c r="L522" s="25"/>
      <c r="N522" s="25">
        <f>'Combined Retirement'!$C$18/12</f>
        <v>39153.069999999992</v>
      </c>
      <c r="O522" s="25">
        <f t="shared" si="525"/>
        <v>11007.82546143035</v>
      </c>
      <c r="P522" s="25">
        <f t="shared" si="526"/>
        <v>28145.244538569641</v>
      </c>
      <c r="Q522" s="25">
        <f t="array" aca="1" ref="Q522" ca="1">INDEX('Isaac 401k'!L:L,MATCH('Retirement Calculator'!A522,'Isaac 401k'!N:N,0),0)</f>
        <v>860858.9964447344</v>
      </c>
      <c r="R522" s="25">
        <f t="array" aca="1" ref="R522" ca="1">INDEX('Lorri 401b'!L:L,MATCH('Retirement Calculator'!A522,'Lorri 401b'!N:N,0),0)</f>
        <v>1330341.5257311822</v>
      </c>
      <c r="S522" s="25">
        <f t="shared" ca="1" si="527"/>
        <v>2191200.5221759165</v>
      </c>
    </row>
    <row r="523" spans="1:19" ht="15.75" customHeight="1" x14ac:dyDescent="0.3">
      <c r="A523" s="37">
        <v>66873</v>
      </c>
      <c r="B523" s="409">
        <f t="shared" ref="B523:C523" si="529">($A523-B$9)/365.25</f>
        <v>101.21013004791239</v>
      </c>
      <c r="C523" s="409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3525.4531757812501</v>
      </c>
      <c r="H523" s="25">
        <f>IF(B523&lt;62,0,'Combined Retirement'!$I$14)</f>
        <v>2192</v>
      </c>
      <c r="I523" s="25">
        <f>IF(C523&lt;62,0,'Combined Retirement'!$I$13)</f>
        <v>2420</v>
      </c>
      <c r="J523" s="25">
        <f t="shared" si="523"/>
        <v>7863.2184191855868</v>
      </c>
      <c r="K523" s="25">
        <f t="shared" si="524"/>
        <v>20282.026119384056</v>
      </c>
      <c r="L523" s="25"/>
      <c r="N523" s="25">
        <f>'Combined Retirement'!$C$18/12</f>
        <v>39153.069999999992</v>
      </c>
      <c r="O523" s="25">
        <f t="shared" si="525"/>
        <v>11007.82546143035</v>
      </c>
      <c r="P523" s="25">
        <f t="shared" si="526"/>
        <v>28145.244538569641</v>
      </c>
      <c r="Q523" s="25">
        <f t="array" aca="1" ref="Q523" ca="1">INDEX('Isaac 401k'!L:L,MATCH('Retirement Calculator'!A523,'Isaac 401k'!N:N,0),0)</f>
        <v>856549.92710065527</v>
      </c>
      <c r="R523" s="25">
        <f t="array" aca="1" ref="R523" ca="1">INDEX('Lorri 401b'!L:L,MATCH('Retirement Calculator'!A523,'Lorri 401b'!N:N,0),0)</f>
        <v>1315518.0808601808</v>
      </c>
      <c r="S523" s="25">
        <f t="shared" ca="1" si="527"/>
        <v>2172068.0079608359</v>
      </c>
    </row>
    <row r="524" spans="1:19" ht="15.75" customHeight="1" x14ac:dyDescent="0.3">
      <c r="A524" s="37">
        <v>66901</v>
      </c>
      <c r="B524" s="409">
        <f t="shared" ref="B524:C524" si="530">($A524-B$9)/365.25</f>
        <v>101.28678986995209</v>
      </c>
      <c r="C524" s="409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3525.4531757812501</v>
      </c>
      <c r="H524" s="25">
        <f>IF(B524&lt;62,0,'Combined Retirement'!$I$14)</f>
        <v>2192</v>
      </c>
      <c r="I524" s="25">
        <f>IF(C524&lt;62,0,'Combined Retirement'!$I$13)</f>
        <v>2420</v>
      </c>
      <c r="J524" s="25">
        <f t="shared" si="523"/>
        <v>7863.2184191855868</v>
      </c>
      <c r="K524" s="25">
        <f t="shared" si="524"/>
        <v>20282.026119384056</v>
      </c>
      <c r="L524" s="25"/>
      <c r="N524" s="25">
        <f>'Combined Retirement'!$C$18/12</f>
        <v>39153.069999999992</v>
      </c>
      <c r="O524" s="25">
        <f t="shared" si="525"/>
        <v>11007.82546143035</v>
      </c>
      <c r="P524" s="25">
        <f t="shared" si="526"/>
        <v>28145.244538569641</v>
      </c>
      <c r="Q524" s="25">
        <f t="array" aca="1" ref="Q524" ca="1">INDEX('Isaac 401k'!L:L,MATCH('Retirement Calculator'!A524,'Isaac 401k'!N:N,0),0)</f>
        <v>852222.9033009758</v>
      </c>
      <c r="R524" s="25">
        <f t="array" aca="1" ref="R524" ca="1">INDEX('Lorri 401b'!L:L,MATCH('Retirement Calculator'!A524,'Lorri 401b'!N:N,0),0)</f>
        <v>1300632.8716355502</v>
      </c>
      <c r="S524" s="25">
        <f t="shared" ca="1" si="527"/>
        <v>2152855.7749365261</v>
      </c>
    </row>
    <row r="525" spans="1:19" ht="15.75" customHeight="1" x14ac:dyDescent="0.3">
      <c r="A525" s="37">
        <v>66932</v>
      </c>
      <c r="B525" s="409">
        <f t="shared" ref="B525:C525" si="531">($A525-B$9)/365.25</f>
        <v>101.37166324435319</v>
      </c>
      <c r="C525" s="409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3525.4531757812501</v>
      </c>
      <c r="H525" s="25">
        <f>IF(B525&lt;62,0,'Combined Retirement'!$I$14)</f>
        <v>2192</v>
      </c>
      <c r="I525" s="25">
        <f>IF(C525&lt;62,0,'Combined Retirement'!$I$13)</f>
        <v>2420</v>
      </c>
      <c r="J525" s="25">
        <f t="shared" si="523"/>
        <v>7863.2184191855868</v>
      </c>
      <c r="K525" s="25">
        <f t="shared" si="524"/>
        <v>20282.026119384056</v>
      </c>
      <c r="L525" s="25"/>
      <c r="N525" s="25">
        <f>'Combined Retirement'!$C$18/12</f>
        <v>39153.069999999992</v>
      </c>
      <c r="O525" s="25">
        <f t="shared" si="525"/>
        <v>11007.82546143035</v>
      </c>
      <c r="P525" s="25">
        <f t="shared" si="526"/>
        <v>28145.244538569641</v>
      </c>
      <c r="Q525" s="25">
        <f t="array" aca="1" ref="Q525" ca="1">INDEX('Isaac 401k'!L:L,MATCH('Retirement Calculator'!A525,'Isaac 401k'!N:N,0),0)</f>
        <v>847877.85023546428</v>
      </c>
      <c r="R525" s="25">
        <f t="array" aca="1" ref="R525" ca="1">INDEX('Lorri 401b'!L:L,MATCH('Retirement Calculator'!A525,'Lorri 401b'!N:N,0),0)</f>
        <v>1285685.6407058169</v>
      </c>
      <c r="S525" s="25">
        <f t="shared" ca="1" si="527"/>
        <v>2133563.4909412814</v>
      </c>
    </row>
    <row r="526" spans="1:19" ht="15.75" customHeight="1" x14ac:dyDescent="0.3">
      <c r="A526" s="37">
        <v>66962</v>
      </c>
      <c r="B526" s="409">
        <f t="shared" ref="B526:C526" si="532">($A526-B$9)/365.25</f>
        <v>101.45379876796714</v>
      </c>
      <c r="C526" s="409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3525.4531757812501</v>
      </c>
      <c r="H526" s="25">
        <f>IF(B526&lt;62,0,'Combined Retirement'!$I$14)</f>
        <v>2192</v>
      </c>
      <c r="I526" s="25">
        <f>IF(C526&lt;62,0,'Combined Retirement'!$I$13)</f>
        <v>2420</v>
      </c>
      <c r="J526" s="25">
        <f t="shared" si="523"/>
        <v>7863.2184191855868</v>
      </c>
      <c r="K526" s="25">
        <f t="shared" si="524"/>
        <v>20282.026119384056</v>
      </c>
      <c r="L526" s="25"/>
      <c r="N526" s="25">
        <f>'Combined Retirement'!$C$18/12</f>
        <v>39153.069999999992</v>
      </c>
      <c r="O526" s="25">
        <f t="shared" si="525"/>
        <v>11007.82546143035</v>
      </c>
      <c r="P526" s="25">
        <f t="shared" si="526"/>
        <v>28145.244538569641</v>
      </c>
      <c r="Q526" s="25">
        <f t="array" aca="1" ref="Q526" ca="1">INDEX('Isaac 401k'!L:L,MATCH('Retirement Calculator'!A526,'Isaac 401k'!N:N,0),0)</f>
        <v>843514.6927821798</v>
      </c>
      <c r="R526" s="25">
        <f t="array" aca="1" ref="R526" ca="1">INDEX('Lorri 401b'!L:L,MATCH('Retirement Calculator'!A526,'Lorri 401b'!N:N,0),0)</f>
        <v>1270676.1296472098</v>
      </c>
      <c r="S526" s="25">
        <f t="shared" ca="1" si="527"/>
        <v>2114190.8224293897</v>
      </c>
    </row>
    <row r="527" spans="1:19" ht="15.75" customHeight="1" x14ac:dyDescent="0.3">
      <c r="A527" s="37">
        <v>66993</v>
      </c>
      <c r="B527" s="409">
        <f t="shared" ref="B527:C527" si="533">($A527-B$9)/365.25</f>
        <v>101.53867214236824</v>
      </c>
      <c r="C527" s="409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3525.4531757812501</v>
      </c>
      <c r="H527" s="25">
        <f>IF(B527&lt;62,0,'Combined Retirement'!$I$14)</f>
        <v>2192</v>
      </c>
      <c r="I527" s="25">
        <f>IF(C527&lt;62,0,'Combined Retirement'!$I$13)</f>
        <v>2420</v>
      </c>
      <c r="J527" s="25">
        <f t="shared" si="523"/>
        <v>7863.2184191855868</v>
      </c>
      <c r="K527" s="25">
        <f t="shared" si="524"/>
        <v>20282.026119384056</v>
      </c>
      <c r="L527" s="25"/>
      <c r="N527" s="25">
        <f>'Combined Retirement'!$C$18/12</f>
        <v>39153.069999999992</v>
      </c>
      <c r="O527" s="25">
        <f t="shared" si="525"/>
        <v>11007.82546143035</v>
      </c>
      <c r="P527" s="25">
        <f t="shared" si="526"/>
        <v>28145.244538569641</v>
      </c>
      <c r="Q527" s="25">
        <f t="array" aca="1" ref="Q527" ca="1">INDEX('Isaac 401k'!L:L,MATCH('Retirement Calculator'!A527,'Isaac 401k'!N:N,0),0)</f>
        <v>839133.35550617334</v>
      </c>
      <c r="R527" s="25">
        <f t="array" aca="1" ref="R527" ca="1">INDEX('Lorri 401b'!L:L,MATCH('Retirement Calculator'!A527,'Lorri 401b'!N:N,0),0)</f>
        <v>1255604.0789591917</v>
      </c>
      <c r="S527" s="25">
        <f t="shared" ca="1" si="527"/>
        <v>2094737.434465365</v>
      </c>
    </row>
    <row r="528" spans="1:19" ht="15.75" customHeight="1" x14ac:dyDescent="0.3">
      <c r="A528" s="37">
        <v>67023</v>
      </c>
      <c r="B528" s="409">
        <f t="shared" ref="B528:C528" si="534">($A528-B$9)/365.25</f>
        <v>101.6208076659822</v>
      </c>
      <c r="C528" s="409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3525.4531757812501</v>
      </c>
      <c r="H528" s="25">
        <f>IF(B528&lt;62,0,'Combined Retirement'!$I$14)</f>
        <v>2192</v>
      </c>
      <c r="I528" s="25">
        <f>IF(C528&lt;62,0,'Combined Retirement'!$I$13)</f>
        <v>2420</v>
      </c>
      <c r="J528" s="25">
        <f t="shared" si="523"/>
        <v>7863.2184191855868</v>
      </c>
      <c r="K528" s="25">
        <f t="shared" si="524"/>
        <v>20282.026119384056</v>
      </c>
      <c r="L528" s="25"/>
      <c r="N528" s="25">
        <f>'Combined Retirement'!$C$18/12</f>
        <v>39153.069999999992</v>
      </c>
      <c r="O528" s="25">
        <f t="shared" si="525"/>
        <v>11007.82546143035</v>
      </c>
      <c r="P528" s="25">
        <f t="shared" si="526"/>
        <v>28145.244538569641</v>
      </c>
      <c r="Q528" s="25">
        <f t="array" aca="1" ref="Q528" ca="1">INDEX('Isaac 401k'!L:L,MATCH('Retirement Calculator'!A528,'Isaac 401k'!N:N,0),0)</f>
        <v>834733.76265818346</v>
      </c>
      <c r="R528" s="25">
        <f t="array" aca="1" ref="R528" ca="1">INDEX('Lorri 401b'!L:L,MATCH('Retirement Calculator'!A528,'Lorri 401b'!N:N,0),0)</f>
        <v>1240469.2280599736</v>
      </c>
      <c r="S528" s="25">
        <f t="shared" ca="1" si="527"/>
        <v>2075202.990718157</v>
      </c>
    </row>
    <row r="529" spans="1:19" ht="15.75" customHeight="1" x14ac:dyDescent="0.3">
      <c r="A529" s="37">
        <v>67054</v>
      </c>
      <c r="B529" s="409">
        <f t="shared" ref="B529:C529" si="535">($A529-B$9)/365.25</f>
        <v>101.7056810403833</v>
      </c>
      <c r="C529" s="409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3525.4531757812501</v>
      </c>
      <c r="H529" s="25">
        <f>IF(B529&lt;62,0,'Combined Retirement'!$I$14)</f>
        <v>2192</v>
      </c>
      <c r="I529" s="25">
        <f>IF(C529&lt;62,0,'Combined Retirement'!$I$13)</f>
        <v>2420</v>
      </c>
      <c r="J529" s="25">
        <f t="shared" si="523"/>
        <v>7863.2184191855868</v>
      </c>
      <c r="K529" s="25">
        <f t="shared" si="524"/>
        <v>20282.026119384056</v>
      </c>
      <c r="L529" s="25"/>
      <c r="N529" s="25">
        <f>'Combined Retirement'!$C$18/12</f>
        <v>39153.069999999992</v>
      </c>
      <c r="O529" s="25">
        <f t="shared" si="525"/>
        <v>11007.82546143035</v>
      </c>
      <c r="P529" s="25">
        <f t="shared" si="526"/>
        <v>28145.244538569641</v>
      </c>
      <c r="Q529" s="25">
        <f t="array" aca="1" ref="Q529" ca="1">INDEX('Isaac 401k'!L:L,MATCH('Retirement Calculator'!A529,'Isaac 401k'!N:N,0),0)</f>
        <v>830315.83817332704</v>
      </c>
      <c r="R529" s="25">
        <f t="array" aca="1" ref="R529" ca="1">INDEX('Lorri 401b'!L:L,MATCH('Retirement Calculator'!A529,'Lorri 401b'!N:N,0),0)</f>
        <v>1225271.3152820086</v>
      </c>
      <c r="S529" s="25">
        <f t="shared" ca="1" si="527"/>
        <v>2055587.1534553356</v>
      </c>
    </row>
    <row r="530" spans="1:19" ht="15.75" customHeight="1" x14ac:dyDescent="0.3">
      <c r="A530" s="37">
        <v>67085</v>
      </c>
      <c r="B530" s="409">
        <f t="shared" ref="B530:C530" si="536">($A530-B$9)/365.25</f>
        <v>101.7905544147844</v>
      </c>
      <c r="C530" s="409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3525.4531757812501</v>
      </c>
      <c r="H530" s="25">
        <f>IF(B530&lt;62,0,'Combined Retirement'!$I$14)</f>
        <v>2192</v>
      </c>
      <c r="I530" s="25">
        <f>IF(C530&lt;62,0,'Combined Retirement'!$I$13)</f>
        <v>2420</v>
      </c>
      <c r="J530" s="25">
        <f t="shared" si="523"/>
        <v>7863.2184191855868</v>
      </c>
      <c r="K530" s="25">
        <f t="shared" si="524"/>
        <v>20282.026119384056</v>
      </c>
      <c r="L530" s="25"/>
      <c r="N530" s="25">
        <f>'Combined Retirement'!$C$18/12</f>
        <v>39153.069999999992</v>
      </c>
      <c r="O530" s="25">
        <f t="shared" si="525"/>
        <v>11007.82546143035</v>
      </c>
      <c r="P530" s="25">
        <f t="shared" si="526"/>
        <v>28145.244538569641</v>
      </c>
      <c r="Q530" s="25">
        <f t="array" aca="1" ref="Q530" ca="1">INDEX('Isaac 401k'!L:L,MATCH('Retirement Calculator'!A530,'Isaac 401k'!N:N,0),0)</f>
        <v>825879.50566978368</v>
      </c>
      <c r="R530" s="25">
        <f t="array" aca="1" ref="R530" ca="1">INDEX('Lorri 401b'!L:L,MATCH('Retirement Calculator'!A530,'Lorri 401b'!N:N,0),0)</f>
        <v>1210010.0778674688</v>
      </c>
      <c r="S530" s="25">
        <f t="shared" ca="1" si="527"/>
        <v>2035889.5835372526</v>
      </c>
    </row>
    <row r="531" spans="1:19" ht="15.75" customHeight="1" x14ac:dyDescent="0.3">
      <c r="A531" s="37">
        <v>67115</v>
      </c>
      <c r="B531" s="409">
        <f t="shared" ref="B531:C531" si="537">($A531-B$9)/365.25</f>
        <v>101.87268993839835</v>
      </c>
      <c r="C531" s="409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3525.4531757812501</v>
      </c>
      <c r="H531" s="25">
        <f>IF(B531&lt;62,0,'Combined Retirement'!$I$14)</f>
        <v>2192</v>
      </c>
      <c r="I531" s="25">
        <f>IF(C531&lt;62,0,'Combined Retirement'!$I$13)</f>
        <v>2420</v>
      </c>
      <c r="J531" s="25">
        <f t="shared" si="523"/>
        <v>7863.2184191855868</v>
      </c>
      <c r="K531" s="25">
        <f t="shared" si="524"/>
        <v>20282.026119384056</v>
      </c>
      <c r="L531" s="25"/>
      <c r="N531" s="25">
        <f>'Combined Retirement'!$C$18/12</f>
        <v>39153.069999999992</v>
      </c>
      <c r="O531" s="25">
        <f t="shared" si="525"/>
        <v>11007.82546143035</v>
      </c>
      <c r="P531" s="25">
        <f t="shared" si="526"/>
        <v>28145.244538569641</v>
      </c>
      <c r="Q531" s="25">
        <f t="array" aca="1" ref="Q531" ca="1">INDEX('Isaac 401k'!L:L,MATCH('Retirement Calculator'!A531,'Isaac 401k'!N:N,0),0)</f>
        <v>821424.68844747555</v>
      </c>
      <c r="R531" s="25">
        <f t="array" aca="1" ref="R531" ca="1">INDEX('Lorri 401b'!L:L,MATCH('Retirement Calculator'!A531,'Lorri 401b'!N:N,0),0)</f>
        <v>1194685.2519637018</v>
      </c>
      <c r="S531" s="25">
        <f t="shared" ca="1" si="527"/>
        <v>2016109.9404111775</v>
      </c>
    </row>
    <row r="532" spans="1:19" ht="15.75" customHeight="1" x14ac:dyDescent="0.3">
      <c r="A532" s="37">
        <v>67146</v>
      </c>
      <c r="B532" s="409">
        <f t="shared" ref="B532:C532" si="538">($A532-B$9)/365.25</f>
        <v>101.95756331279945</v>
      </c>
      <c r="C532" s="409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3525.4531757812501</v>
      </c>
      <c r="H532" s="25">
        <f>IF(B532&lt;62,0,'Combined Retirement'!$I$14)</f>
        <v>2192</v>
      </c>
      <c r="I532" s="25">
        <f>IF(C532&lt;62,0,'Combined Retirement'!$I$13)</f>
        <v>2420</v>
      </c>
      <c r="J532" s="25">
        <f t="shared" si="523"/>
        <v>7863.2184191855868</v>
      </c>
      <c r="K532" s="25">
        <f t="shared" si="524"/>
        <v>20282.026119384056</v>
      </c>
      <c r="L532" s="25"/>
      <c r="N532" s="25">
        <f>'Combined Retirement'!$C$18/12</f>
        <v>39153.069999999992</v>
      </c>
      <c r="O532" s="25">
        <f t="shared" si="525"/>
        <v>11007.82546143035</v>
      </c>
      <c r="P532" s="25">
        <f t="shared" si="526"/>
        <v>28145.244538569641</v>
      </c>
      <c r="Q532" s="25">
        <f t="array" aca="1" ref="Q532" ca="1">INDEX('Isaac 401k'!L:L,MATCH('Retirement Calculator'!A532,'Isaac 401k'!N:N,0),0)</f>
        <v>816951.3094867412</v>
      </c>
      <c r="R532" s="25">
        <f t="array" aca="1" ref="R532" ca="1">INDEX('Lorri 401b'!L:L,MATCH('Retirement Calculator'!A532,'Lorri 401b'!N:N,0),0)</f>
        <v>1179296.5726186691</v>
      </c>
      <c r="S532" s="25">
        <f t="shared" ca="1" si="527"/>
        <v>1996247.8821054103</v>
      </c>
    </row>
    <row r="533" spans="1:19" ht="15.75" customHeight="1" x14ac:dyDescent="0.3">
      <c r="A533" s="37">
        <v>67176</v>
      </c>
      <c r="B533" s="409">
        <f t="shared" ref="B533:C533" si="539">($A533-B$9)/365.25</f>
        <v>102.03969883641342</v>
      </c>
      <c r="C533" s="409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3525.4531757812501</v>
      </c>
      <c r="H533" s="25">
        <f>IF(B533&lt;62,0,'Combined Retirement'!$I$14)</f>
        <v>2192</v>
      </c>
      <c r="I533" s="25">
        <f>IF(C533&lt;62,0,'Combined Retirement'!$I$13)</f>
        <v>2420</v>
      </c>
      <c r="J533" s="25">
        <f t="shared" si="523"/>
        <v>7863.2184191855868</v>
      </c>
      <c r="K533" s="25">
        <f t="shared" si="524"/>
        <v>20282.026119384056</v>
      </c>
      <c r="L533" s="25"/>
      <c r="N533" s="25">
        <f>'Combined Retirement'!$C$18/12</f>
        <v>39153.069999999992</v>
      </c>
      <c r="O533" s="25">
        <f t="shared" si="525"/>
        <v>11007.82546143035</v>
      </c>
      <c r="P533" s="25">
        <f t="shared" si="526"/>
        <v>28145.244538569641</v>
      </c>
      <c r="Q533" s="25">
        <f t="array" aca="1" ref="Q533" ca="1">INDEX('Isaac 401k'!L:L,MATCH('Retirement Calculator'!A533,'Isaac 401k'!N:N,0),0)</f>
        <v>812459.29144700372</v>
      </c>
      <c r="R533" s="25">
        <f t="array" aca="1" ref="R533" ca="1">INDEX('Lorri 401b'!L:L,MATCH('Retirement Calculator'!A533,'Lorri 401b'!N:N,0),0)</f>
        <v>1163843.7737763654</v>
      </c>
      <c r="S533" s="25">
        <f t="shared" ca="1" si="527"/>
        <v>1976303.0652233693</v>
      </c>
    </row>
    <row r="534" spans="1:19" ht="15.75" customHeight="1" x14ac:dyDescent="0.3">
      <c r="A534" s="37">
        <v>67207</v>
      </c>
      <c r="B534" s="409">
        <f t="shared" ref="B534:C534" si="540">($A534-B$9)/365.25</f>
        <v>102.12457221081451</v>
      </c>
      <c r="C534" s="409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3525.4531757812501</v>
      </c>
      <c r="H534" s="25">
        <f>IF(B534&lt;62,0,'Combined Retirement'!$I$14)</f>
        <v>2192</v>
      </c>
      <c r="I534" s="25">
        <f>IF(C534&lt;62,0,'Combined Retirement'!$I$13)</f>
        <v>2420</v>
      </c>
      <c r="J534" s="25">
        <f t="shared" si="523"/>
        <v>7863.2184191855868</v>
      </c>
      <c r="K534" s="25">
        <f t="shared" si="524"/>
        <v>20282.026119384056</v>
      </c>
      <c r="L534" s="25"/>
      <c r="N534" s="25">
        <f>'Combined Retirement'!$C$18/12</f>
        <v>39153.069999999992</v>
      </c>
      <c r="O534" s="25">
        <f t="shared" si="525"/>
        <v>11007.82546143035</v>
      </c>
      <c r="P534" s="25">
        <f t="shared" si="526"/>
        <v>28145.244538569641</v>
      </c>
      <c r="Q534" s="25">
        <f t="array" aca="1" ref="Q534" ca="1">INDEX('Isaac 401k'!L:L,MATCH('Retirement Calculator'!A534,'Isaac 401k'!N:N,0),0)</f>
        <v>807948.55666543404</v>
      </c>
      <c r="R534" s="25">
        <f t="array" aca="1" ref="R534" ca="1">INDEX('Lorri 401b'!L:L,MATCH('Retirement Calculator'!A534,'Lorri 401b'!N:N,0),0)</f>
        <v>1148326.5882722188</v>
      </c>
      <c r="S534" s="25">
        <f t="shared" ca="1" si="527"/>
        <v>1956275.1449376529</v>
      </c>
    </row>
    <row r="535" spans="1:19" ht="15.75" customHeight="1" x14ac:dyDescent="0.3">
      <c r="A535" s="37">
        <v>67238</v>
      </c>
      <c r="B535" s="409">
        <f t="shared" ref="B535:C535" si="541">($A535-B$9)/365.25</f>
        <v>102.2094455852156</v>
      </c>
      <c r="C535" s="409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3525.4531757812501</v>
      </c>
      <c r="H535" s="25">
        <f>IF(B535&lt;62,0,'Combined Retirement'!$I$14)</f>
        <v>2192</v>
      </c>
      <c r="I535" s="25">
        <f>IF(C535&lt;62,0,'Combined Retirement'!$I$13)</f>
        <v>2420</v>
      </c>
      <c r="J535" s="25">
        <f t="shared" si="523"/>
        <v>7863.2184191855868</v>
      </c>
      <c r="K535" s="25">
        <f t="shared" si="524"/>
        <v>20282.026119384056</v>
      </c>
      <c r="L535" s="25"/>
      <c r="N535" s="25">
        <f>'Combined Retirement'!$C$18/12</f>
        <v>39153.069999999992</v>
      </c>
      <c r="O535" s="25">
        <f t="shared" si="525"/>
        <v>11007.82546143035</v>
      </c>
      <c r="P535" s="25">
        <f t="shared" si="526"/>
        <v>28145.244538569641</v>
      </c>
      <c r="Q535" s="25">
        <f t="array" aca="1" ref="Q535" ca="1">INDEX('Isaac 401k'!L:L,MATCH('Retirement Calculator'!A535,'Isaac 401k'!N:N,0),0)</f>
        <v>803419.02715560782</v>
      </c>
      <c r="R535" s="25">
        <f t="array" aca="1" ref="R535" ca="1">INDEX('Lorri 401b'!L:L,MATCH('Retirement Calculator'!A535,'Lorri 401b'!N:N,0),0)</f>
        <v>1132744.7478284717</v>
      </c>
      <c r="S535" s="25">
        <f t="shared" ca="1" si="527"/>
        <v>1936163.7749840794</v>
      </c>
    </row>
    <row r="536" spans="1:19" ht="15.75" customHeight="1" x14ac:dyDescent="0.3">
      <c r="A536" s="37">
        <v>67267</v>
      </c>
      <c r="B536" s="409">
        <f t="shared" ref="B536:C536" si="542">($A536-B$9)/365.25</f>
        <v>102.28884325804243</v>
      </c>
      <c r="C536" s="409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3525.4531757812501</v>
      </c>
      <c r="H536" s="25">
        <f>IF(B536&lt;62,0,'Combined Retirement'!$I$14)</f>
        <v>2192</v>
      </c>
      <c r="I536" s="25">
        <f>IF(C536&lt;62,0,'Combined Retirement'!$I$13)</f>
        <v>2420</v>
      </c>
      <c r="J536" s="25">
        <f t="shared" si="523"/>
        <v>7863.2184191855868</v>
      </c>
      <c r="K536" s="25">
        <f t="shared" si="524"/>
        <v>20282.026119384056</v>
      </c>
      <c r="L536" s="25"/>
      <c r="N536" s="25">
        <f>'Combined Retirement'!$C$18/12</f>
        <v>39153.069999999992</v>
      </c>
      <c r="O536" s="25">
        <f t="shared" si="525"/>
        <v>11007.82546143035</v>
      </c>
      <c r="P536" s="25">
        <f t="shared" si="526"/>
        <v>28145.244538569641</v>
      </c>
      <c r="Q536" s="25">
        <f t="array" aca="1" ref="Q536" ca="1">INDEX('Isaac 401k'!L:L,MATCH('Retirement Calculator'!A536,'Isaac 401k'!N:N,0),0)</f>
        <v>798870.6246061573</v>
      </c>
      <c r="R536" s="25">
        <f t="array" aca="1" ref="R536" ca="1">INDEX('Lorri 401b'!L:L,MATCH('Retirement Calculator'!A536,'Lorri 401b'!N:N,0),0)</f>
        <v>1117097.9830495422</v>
      </c>
      <c r="S536" s="25">
        <f t="shared" ca="1" si="527"/>
        <v>1915968.6076556994</v>
      </c>
    </row>
    <row r="537" spans="1:19" ht="15.75" customHeight="1" x14ac:dyDescent="0.3">
      <c r="A537" s="37">
        <v>67298</v>
      </c>
      <c r="B537" s="409">
        <f t="shared" ref="B537:C537" si="543">($A537-B$9)/365.25</f>
        <v>102.37371663244353</v>
      </c>
      <c r="C537" s="409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3525.4531757812501</v>
      </c>
      <c r="H537" s="25">
        <f>IF(B537&lt;62,0,'Combined Retirement'!$I$14)</f>
        <v>2192</v>
      </c>
      <c r="I537" s="25">
        <f>IF(C537&lt;62,0,'Combined Retirement'!$I$13)</f>
        <v>2420</v>
      </c>
      <c r="J537" s="25">
        <f t="shared" si="523"/>
        <v>7863.2184191855868</v>
      </c>
      <c r="K537" s="25">
        <f t="shared" si="524"/>
        <v>20282.026119384056</v>
      </c>
      <c r="L537" s="25"/>
      <c r="N537" s="25">
        <f>'Combined Retirement'!$C$18/12</f>
        <v>39153.069999999992</v>
      </c>
      <c r="O537" s="25">
        <f t="shared" si="525"/>
        <v>11007.82546143035</v>
      </c>
      <c r="P537" s="25">
        <f t="shared" si="526"/>
        <v>28145.244538569641</v>
      </c>
      <c r="Q537" s="25">
        <f t="array" aca="1" ref="Q537" ca="1">INDEX('Isaac 401k'!L:L,MATCH('Retirement Calculator'!A537,'Isaac 401k'!N:N,0),0)</f>
        <v>794303.27037941746</v>
      </c>
      <c r="R537" s="25">
        <f t="array" aca="1" ref="R537" ca="1">INDEX('Lorri 401b'!L:L,MATCH('Retirement Calculator'!A537,'Lorri 401b'!N:N,0),0)</f>
        <v>1101386.0234173671</v>
      </c>
      <c r="S537" s="25">
        <f t="shared" ca="1" si="527"/>
        <v>1895689.2937967847</v>
      </c>
    </row>
    <row r="538" spans="1:19" ht="15.75" customHeight="1" x14ac:dyDescent="0.3">
      <c r="A538" s="37">
        <v>67328</v>
      </c>
      <c r="B538" s="409">
        <f t="shared" ref="B538:C538" si="544">($A538-B$9)/365.25</f>
        <v>102.45585215605749</v>
      </c>
      <c r="C538" s="409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3525.4531757812501</v>
      </c>
      <c r="H538" s="25">
        <f>IF(B538&lt;62,0,'Combined Retirement'!$I$14)</f>
        <v>2192</v>
      </c>
      <c r="I538" s="25">
        <f>IF(C538&lt;62,0,'Combined Retirement'!$I$13)</f>
        <v>2420</v>
      </c>
      <c r="J538" s="25">
        <f t="shared" si="523"/>
        <v>7863.2184191855868</v>
      </c>
      <c r="K538" s="25">
        <f t="shared" si="524"/>
        <v>20282.026119384056</v>
      </c>
      <c r="L538" s="25"/>
      <c r="N538" s="25">
        <f>'Combined Retirement'!$C$18/12</f>
        <v>39153.069999999992</v>
      </c>
      <c r="O538" s="25">
        <f t="shared" si="525"/>
        <v>11007.82546143035</v>
      </c>
      <c r="P538" s="25">
        <f t="shared" si="526"/>
        <v>28145.244538569641</v>
      </c>
      <c r="Q538" s="25">
        <f t="array" aca="1" ref="Q538" ca="1">INDEX('Isaac 401k'!L:L,MATCH('Retirement Calculator'!A538,'Isaac 401k'!N:N,0),0)</f>
        <v>789716.88551006617</v>
      </c>
      <c r="R538" s="25">
        <f t="array" aca="1" ref="R538" ca="1">INDEX('Lorri 401b'!L:L,MATCH('Retirement Calculator'!A538,'Lorri 401b'!N:N,0),0)</f>
        <v>1085608.5972867247</v>
      </c>
      <c r="S538" s="25">
        <f t="shared" ca="1" si="527"/>
        <v>1875325.482796791</v>
      </c>
    </row>
    <row r="539" spans="1:19" ht="15.75" customHeight="1" x14ac:dyDescent="0.3">
      <c r="A539" s="37">
        <v>67359</v>
      </c>
      <c r="B539" s="409">
        <f t="shared" ref="B539:C539" si="545">($A539-B$9)/365.25</f>
        <v>102.54072553045859</v>
      </c>
      <c r="C539" s="409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3525.4531757812501</v>
      </c>
      <c r="H539" s="25">
        <f>IF(B539&lt;62,0,'Combined Retirement'!$I$14)</f>
        <v>2192</v>
      </c>
      <c r="I539" s="25">
        <f>IF(C539&lt;62,0,'Combined Retirement'!$I$13)</f>
        <v>2420</v>
      </c>
      <c r="J539" s="25">
        <f t="shared" si="523"/>
        <v>7863.2184191855868</v>
      </c>
      <c r="K539" s="25">
        <f t="shared" si="524"/>
        <v>20282.026119384056</v>
      </c>
      <c r="L539" s="25"/>
      <c r="N539" s="25">
        <f>'Combined Retirement'!$C$18/12</f>
        <v>39153.069999999992</v>
      </c>
      <c r="O539" s="25">
        <f t="shared" si="525"/>
        <v>11007.82546143035</v>
      </c>
      <c r="P539" s="25">
        <f t="shared" si="526"/>
        <v>28145.244538569641</v>
      </c>
      <c r="Q539" s="25">
        <f t="array" aca="1" ref="Q539" ca="1">INDEX('Isaac 401k'!L:L,MATCH('Retirement Calculator'!A539,'Isaac 401k'!N:N,0),0)</f>
        <v>785111.39070375927</v>
      </c>
      <c r="R539" s="25">
        <f t="array" aca="1" ref="R539" ca="1">INDEX('Lorri 401b'!L:L,MATCH('Retirement Calculator'!A539,'Lorri 401b'!N:N,0),0)</f>
        <v>1069765.4318805379</v>
      </c>
      <c r="S539" s="25">
        <f t="shared" ca="1" si="527"/>
        <v>1854876.822584297</v>
      </c>
    </row>
    <row r="540" spans="1:19" ht="15.75" customHeight="1" x14ac:dyDescent="0.3">
      <c r="A540" s="37">
        <v>67389</v>
      </c>
      <c r="B540" s="409">
        <f t="shared" ref="B540:C540" si="546">($A540-B$9)/365.25</f>
        <v>102.62286105407256</v>
      </c>
      <c r="C540" s="409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3525.4531757812501</v>
      </c>
      <c r="H540" s="25">
        <f>IF(B540&lt;62,0,'Combined Retirement'!$I$14)</f>
        <v>2192</v>
      </c>
      <c r="I540" s="25">
        <f>IF(C540&lt;62,0,'Combined Retirement'!$I$13)</f>
        <v>2420</v>
      </c>
      <c r="J540" s="25">
        <f t="shared" si="523"/>
        <v>7863.2184191855868</v>
      </c>
      <c r="K540" s="25">
        <f t="shared" si="524"/>
        <v>20282.026119384056</v>
      </c>
      <c r="L540" s="25"/>
      <c r="N540" s="25">
        <f>'Combined Retirement'!$C$18/12</f>
        <v>39153.069999999992</v>
      </c>
      <c r="O540" s="25">
        <f t="shared" si="525"/>
        <v>11007.82546143035</v>
      </c>
      <c r="P540" s="25">
        <f t="shared" si="526"/>
        <v>28145.244538569641</v>
      </c>
      <c r="Q540" s="25">
        <f t="array" aca="1" ref="Q540" ca="1">INDEX('Isaac 401k'!L:L,MATCH('Retirement Calculator'!A540,'Isaac 401k'!N:N,0),0)</f>
        <v>780486.70633575937</v>
      </c>
      <c r="R540" s="25">
        <f t="array" aca="1" ref="R540" ca="1">INDEX('Lorri 401b'!L:L,MATCH('Retirement Calculator'!A540,'Lorri 401b'!N:N,0),0)</f>
        <v>1053856.2532851587</v>
      </c>
      <c r="S540" s="25">
        <f t="shared" ca="1" si="527"/>
        <v>1834342.9596209181</v>
      </c>
    </row>
    <row r="541" spans="1:19" ht="15.75" customHeight="1" x14ac:dyDescent="0.3">
      <c r="A541" s="37">
        <v>67420</v>
      </c>
      <c r="B541" s="409">
        <f t="shared" ref="B541:C541" si="547">($A541-B$9)/365.25</f>
        <v>102.70773442847364</v>
      </c>
      <c r="C541" s="409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3525.4531757812501</v>
      </c>
      <c r="H541" s="25">
        <f>IF(B541&lt;62,0,'Combined Retirement'!$I$14)</f>
        <v>2192</v>
      </c>
      <c r="I541" s="25">
        <f>IF(C541&lt;62,0,'Combined Retirement'!$I$13)</f>
        <v>2420</v>
      </c>
      <c r="J541" s="25">
        <f t="shared" si="523"/>
        <v>7863.2184191855868</v>
      </c>
      <c r="K541" s="25">
        <f t="shared" si="524"/>
        <v>20282.026119384056</v>
      </c>
      <c r="L541" s="25"/>
      <c r="N541" s="25">
        <f>'Combined Retirement'!$C$18/12</f>
        <v>39153.069999999992</v>
      </c>
      <c r="O541" s="25">
        <f t="shared" si="525"/>
        <v>11007.82546143035</v>
      </c>
      <c r="P541" s="25">
        <f t="shared" si="526"/>
        <v>28145.244538569641</v>
      </c>
      <c r="Q541" s="25">
        <f t="array" aca="1" ref="Q541" ca="1">INDEX('Isaac 401k'!L:L,MATCH('Retirement Calculator'!A541,'Isaac 401k'!N:N,0),0)</f>
        <v>775842.75244955951</v>
      </c>
      <c r="R541" s="25">
        <f t="array" aca="1" ref="R541" ca="1">INDEX('Lorri 401b'!L:L,MATCH('Retirement Calculator'!A541,'Lorri 401b'!N:N,0),0)</f>
        <v>1037880.786445632</v>
      </c>
      <c r="S541" s="25">
        <f t="shared" ca="1" si="527"/>
        <v>1813723.5388951916</v>
      </c>
    </row>
    <row r="542" spans="1:19" ht="15.75" customHeight="1" x14ac:dyDescent="0.3">
      <c r="A542" s="37">
        <v>67451</v>
      </c>
      <c r="B542" s="409">
        <f t="shared" ref="B542:C542" si="548">($A542-B$9)/365.25</f>
        <v>102.79260780287474</v>
      </c>
      <c r="C542" s="409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3525.4531757812501</v>
      </c>
      <c r="H542" s="25">
        <f>IF(B542&lt;62,0,'Combined Retirement'!$I$14)</f>
        <v>2192</v>
      </c>
      <c r="I542" s="25">
        <f>IF(C542&lt;62,0,'Combined Retirement'!$I$13)</f>
        <v>2420</v>
      </c>
      <c r="J542" s="25">
        <f t="shared" si="523"/>
        <v>7863.2184191855868</v>
      </c>
      <c r="K542" s="25">
        <f t="shared" si="524"/>
        <v>20282.026119384056</v>
      </c>
      <c r="L542" s="25"/>
      <c r="N542" s="25">
        <f>'Combined Retirement'!$C$18/12</f>
        <v>39153.069999999992</v>
      </c>
      <c r="O542" s="25">
        <f t="shared" si="525"/>
        <v>11007.82546143035</v>
      </c>
      <c r="P542" s="25">
        <f t="shared" si="526"/>
        <v>28145.244538569641</v>
      </c>
      <c r="Q542" s="25">
        <f t="array" aca="1" ref="Q542" ca="1">INDEX('Isaac 401k'!L:L,MATCH('Retirement Calculator'!A542,'Isaac 401k'!N:N,0),0)</f>
        <v>771179.44875550049</v>
      </c>
      <c r="R542" s="25">
        <f t="array" aca="1" ref="R542" ca="1">INDEX('Lorri 401b'!L:L,MATCH('Retirement Calculator'!A542,'Lorri 401b'!N:N,0),0)</f>
        <v>1021838.7551609406</v>
      </c>
      <c r="S542" s="25">
        <f t="shared" ca="1" si="527"/>
        <v>1793018.2039164412</v>
      </c>
    </row>
    <row r="543" spans="1:19" ht="15.75" customHeight="1" x14ac:dyDescent="0.3">
      <c r="A543" s="37">
        <v>67481</v>
      </c>
      <c r="B543" s="409">
        <f t="shared" ref="B543:C543" si="549">($A543-B$9)/365.25</f>
        <v>102.87474332648871</v>
      </c>
      <c r="C543" s="409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3525.4531757812501</v>
      </c>
      <c r="H543" s="25">
        <f>IF(B543&lt;62,0,'Combined Retirement'!$I$14)</f>
        <v>2192</v>
      </c>
      <c r="I543" s="25">
        <f>IF(C543&lt;62,0,'Combined Retirement'!$I$13)</f>
        <v>2420</v>
      </c>
      <c r="J543" s="25">
        <f t="shared" si="523"/>
        <v>7863.2184191855868</v>
      </c>
      <c r="K543" s="25">
        <f t="shared" si="524"/>
        <v>20282.026119384056</v>
      </c>
      <c r="L543" s="25"/>
      <c r="N543" s="25">
        <f>'Combined Retirement'!$C$18/12</f>
        <v>39153.069999999992</v>
      </c>
      <c r="O543" s="25">
        <f t="shared" si="525"/>
        <v>11007.82546143035</v>
      </c>
      <c r="P543" s="25">
        <f t="shared" si="526"/>
        <v>28145.244538569641</v>
      </c>
      <c r="Q543" s="25">
        <f t="array" aca="1" ref="Q543" ca="1">INDEX('Isaac 401k'!L:L,MATCH('Retirement Calculator'!A543,'Isaac 401k'!N:N,0),0)</f>
        <v>766496.71462938283</v>
      </c>
      <c r="R543" s="25">
        <f t="array" aca="1" ref="R543" ca="1">INDEX('Lorri 401b'!L:L,MATCH('Retirement Calculator'!A543,'Lorri 401b'!N:N,0),0)</f>
        <v>1005729.8820792296</v>
      </c>
      <c r="S543" s="25">
        <f t="shared" ca="1" si="527"/>
        <v>1772226.5967086125</v>
      </c>
    </row>
    <row r="544" spans="1:19" ht="15.75" customHeight="1" x14ac:dyDescent="0.3">
      <c r="A544" s="37">
        <v>67512</v>
      </c>
      <c r="B544" s="409">
        <f t="shared" ref="B544:C544" si="550">($A544-B$9)/365.25</f>
        <v>102.9596167008898</v>
      </c>
      <c r="C544" s="409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3525.4531757812501</v>
      </c>
      <c r="H544" s="25">
        <f>IF(B544&lt;62,0,'Combined Retirement'!$I$14)</f>
        <v>2192</v>
      </c>
      <c r="I544" s="25">
        <f>IF(C544&lt;62,0,'Combined Retirement'!$I$13)</f>
        <v>2420</v>
      </c>
      <c r="J544" s="25">
        <f t="shared" si="523"/>
        <v>7863.2184191855868</v>
      </c>
      <c r="K544" s="25">
        <f t="shared" si="524"/>
        <v>20282.026119384056</v>
      </c>
      <c r="L544" s="25"/>
      <c r="N544" s="25">
        <f>'Combined Retirement'!$C$18/12</f>
        <v>39153.069999999992</v>
      </c>
      <c r="O544" s="25">
        <f t="shared" si="525"/>
        <v>11007.82546143035</v>
      </c>
      <c r="P544" s="25">
        <f t="shared" si="526"/>
        <v>28145.244538569641</v>
      </c>
      <c r="Q544" s="25">
        <f t="array" aca="1" ref="Q544" ca="1">INDEX('Isaac 401k'!L:L,MATCH('Retirement Calculator'!A544,'Isaac 401k'!N:N,0),0)</f>
        <v>761794.46911107306</v>
      </c>
      <c r="R544" s="25">
        <f t="array" aca="1" ref="R544" ca="1">INDEX('Lorri 401b'!L:L,MATCH('Retirement Calculator'!A544,'Lorri 401b'!N:N,0),0)</f>
        <v>989553.88869301148</v>
      </c>
      <c r="S544" s="25">
        <f t="shared" ca="1" si="527"/>
        <v>1751348.3578040847</v>
      </c>
    </row>
    <row r="545" spans="1:19" ht="15.75" customHeight="1" x14ac:dyDescent="0.3">
      <c r="A545" s="37">
        <v>67542</v>
      </c>
      <c r="B545" s="409">
        <f t="shared" ref="B545:C545" si="551">($A545-B$9)/365.25</f>
        <v>103.04175222450377</v>
      </c>
      <c r="C545" s="409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3525.4531757812501</v>
      </c>
      <c r="H545" s="25">
        <f>IF(B545&lt;62,0,'Combined Retirement'!$I$14)</f>
        <v>2192</v>
      </c>
      <c r="I545" s="25">
        <f>IF(C545&lt;62,0,'Combined Retirement'!$I$13)</f>
        <v>2420</v>
      </c>
      <c r="J545" s="25">
        <f t="shared" si="523"/>
        <v>7863.2184191855868</v>
      </c>
      <c r="K545" s="25">
        <f t="shared" si="524"/>
        <v>20282.026119384056</v>
      </c>
      <c r="L545" s="25"/>
      <c r="N545" s="25">
        <f>'Combined Retirement'!$C$18/12</f>
        <v>39153.069999999992</v>
      </c>
      <c r="O545" s="25">
        <f t="shared" si="525"/>
        <v>11007.82546143035</v>
      </c>
      <c r="P545" s="25">
        <f t="shared" si="526"/>
        <v>28145.244538569641</v>
      </c>
      <c r="Q545" s="25">
        <f t="array" aca="1" ref="Q545" ca="1">INDEX('Isaac 401k'!L:L,MATCH('Retirement Calculator'!A545,'Isaac 401k'!N:N,0),0)</f>
        <v>757072.63090310362</v>
      </c>
      <c r="R545" s="25">
        <f t="array" aca="1" ref="R545" ca="1">INDEX('Lorri 401b'!L:L,MATCH('Retirement Calculator'!A545,'Lorri 401b'!N:N,0),0)</f>
        <v>973310.49533435085</v>
      </c>
      <c r="S545" s="25">
        <f t="shared" ca="1" si="527"/>
        <v>1730383.1262374544</v>
      </c>
    </row>
    <row r="546" spans="1:19" ht="15.75" customHeight="1" x14ac:dyDescent="0.3">
      <c r="A546" s="37">
        <v>67573</v>
      </c>
      <c r="B546" s="409">
        <f t="shared" ref="B546:C546" si="552">($A546-B$9)/365.25</f>
        <v>103.12662559890487</v>
      </c>
      <c r="C546" s="409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3525.4531757812501</v>
      </c>
      <c r="H546" s="25">
        <f>IF(B546&lt;62,0,'Combined Retirement'!$I$14)</f>
        <v>2192</v>
      </c>
      <c r="I546" s="25">
        <f>IF(C546&lt;62,0,'Combined Retirement'!$I$13)</f>
        <v>2420</v>
      </c>
      <c r="J546" s="25">
        <f t="shared" si="523"/>
        <v>7863.2184191855868</v>
      </c>
      <c r="K546" s="25">
        <f t="shared" si="524"/>
        <v>20282.026119384056</v>
      </c>
      <c r="L546" s="25"/>
      <c r="N546" s="25">
        <f>'Combined Retirement'!$C$18/12</f>
        <v>39153.069999999992</v>
      </c>
      <c r="O546" s="25">
        <f t="shared" si="525"/>
        <v>11007.82546143035</v>
      </c>
      <c r="P546" s="25">
        <f t="shared" si="526"/>
        <v>28145.244538569641</v>
      </c>
      <c r="Q546" s="25">
        <f t="array" aca="1" ref="Q546" ca="1">INDEX('Isaac 401k'!L:L,MATCH('Retirement Calculator'!A546,'Isaac 401k'!N:N,0),0)</f>
        <v>752331.11836926767</v>
      </c>
      <c r="R546" s="25">
        <f t="array" aca="1" ref="R546" ca="1">INDEX('Lorri 401b'!L:L,MATCH('Retirement Calculator'!A546,'Lorri 401b'!N:N,0),0)</f>
        <v>956999.42117002909</v>
      </c>
      <c r="S546" s="25">
        <f t="shared" ca="1" si="527"/>
        <v>1709330.5395392966</v>
      </c>
    </row>
    <row r="547" spans="1:19" ht="15.75" customHeight="1" x14ac:dyDescent="0.3">
      <c r="A547" s="37">
        <v>67604</v>
      </c>
      <c r="B547" s="409">
        <f t="shared" ref="B547:C547" si="553">($A547-B$9)/365.25</f>
        <v>103.21149897330595</v>
      </c>
      <c r="C547" s="409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3525.4531757812501</v>
      </c>
      <c r="H547" s="25">
        <f>IF(B547&lt;62,0,'Combined Retirement'!$I$14)</f>
        <v>2192</v>
      </c>
      <c r="I547" s="25">
        <f>IF(C547&lt;62,0,'Combined Retirement'!$I$13)</f>
        <v>2420</v>
      </c>
      <c r="J547" s="25">
        <f t="shared" si="523"/>
        <v>7863.2184191855868</v>
      </c>
      <c r="K547" s="25">
        <f t="shared" si="524"/>
        <v>20282.026119384056</v>
      </c>
      <c r="L547" s="25"/>
      <c r="N547" s="25">
        <f>'Combined Retirement'!$C$18/12</f>
        <v>39153.069999999992</v>
      </c>
      <c r="O547" s="25">
        <f t="shared" si="525"/>
        <v>11007.82546143035</v>
      </c>
      <c r="P547" s="25">
        <f t="shared" si="526"/>
        <v>28145.244538569641</v>
      </c>
      <c r="Q547" s="25">
        <f t="array" aca="1" ref="Q547" ca="1">INDEX('Isaac 401k'!L:L,MATCH('Retirement Calculator'!A547,'Isaac 401k'!N:N,0),0)</f>
        <v>747569.84953320737</v>
      </c>
      <c r="R547" s="25">
        <f t="array" aca="1" ref="R547" ca="1">INDEX('Lorri 401b'!L:L,MATCH('Retirement Calculator'!A547,'Lorri 401b'!N:N,0),0)</f>
        <v>940620.38419668935</v>
      </c>
      <c r="S547" s="25">
        <f t="shared" ca="1" si="527"/>
        <v>1688190.2337298966</v>
      </c>
    </row>
    <row r="548" spans="1:19" ht="15.75" customHeight="1" x14ac:dyDescent="0.3">
      <c r="A548" s="37">
        <v>67632</v>
      </c>
      <c r="B548" s="409">
        <f t="shared" ref="B548:C548" si="554">($A548-B$9)/365.25</f>
        <v>103.28815879534565</v>
      </c>
      <c r="C548" s="409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3525.4531757812501</v>
      </c>
      <c r="H548" s="25">
        <f>IF(B548&lt;62,0,'Combined Retirement'!$I$14)</f>
        <v>2192</v>
      </c>
      <c r="I548" s="25">
        <f>IF(C548&lt;62,0,'Combined Retirement'!$I$13)</f>
        <v>2420</v>
      </c>
      <c r="J548" s="25">
        <f t="shared" si="523"/>
        <v>7863.2184191855868</v>
      </c>
      <c r="K548" s="25">
        <f t="shared" si="524"/>
        <v>20282.026119384056</v>
      </c>
      <c r="L548" s="25"/>
      <c r="N548" s="25">
        <f>'Combined Retirement'!$C$18/12</f>
        <v>39153.069999999992</v>
      </c>
      <c r="O548" s="25">
        <f t="shared" si="525"/>
        <v>11007.82546143035</v>
      </c>
      <c r="P548" s="25">
        <f t="shared" si="526"/>
        <v>28145.244538569641</v>
      </c>
      <c r="Q548" s="25">
        <f t="array" aca="1" ref="Q548" ca="1">INDEX('Isaac 401k'!L:L,MATCH('Retirement Calculator'!A548,'Isaac 401k'!N:N,0),0)</f>
        <v>742788.74207699683</v>
      </c>
      <c r="R548" s="25">
        <f t="array" aca="1" ref="R548" ca="1">INDEX('Lorri 401b'!L:L,MATCH('Retirement Calculator'!A548,'Lorri 401b'!N:N,0),0)</f>
        <v>924173.10123596073</v>
      </c>
      <c r="S548" s="25">
        <f t="shared" ca="1" si="527"/>
        <v>1666961.8433129576</v>
      </c>
    </row>
    <row r="549" spans="1:19" ht="15.75" customHeight="1" x14ac:dyDescent="0.3">
      <c r="A549" s="37">
        <v>67663</v>
      </c>
      <c r="B549" s="409">
        <f t="shared" ref="B549:C549" si="555">($A549-B$9)/365.25</f>
        <v>103.37303216974675</v>
      </c>
      <c r="C549" s="409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3525.4531757812501</v>
      </c>
      <c r="H549" s="25">
        <f>IF(B549&lt;62,0,'Combined Retirement'!$I$14)</f>
        <v>2192</v>
      </c>
      <c r="I549" s="25">
        <f>IF(C549&lt;62,0,'Combined Retirement'!$I$13)</f>
        <v>2420</v>
      </c>
      <c r="J549" s="25">
        <f t="shared" si="523"/>
        <v>7863.2184191855868</v>
      </c>
      <c r="K549" s="25">
        <f t="shared" si="524"/>
        <v>20282.026119384056</v>
      </c>
      <c r="L549" s="25"/>
      <c r="N549" s="25">
        <f>'Combined Retirement'!$C$18/12</f>
        <v>39153.069999999992</v>
      </c>
      <c r="O549" s="25">
        <f t="shared" si="525"/>
        <v>11007.82546143035</v>
      </c>
      <c r="P549" s="25">
        <f t="shared" si="526"/>
        <v>28145.244538569641</v>
      </c>
      <c r="Q549" s="25">
        <f t="array" aca="1" ref="Q549" ca="1">INDEX('Isaac 401k'!L:L,MATCH('Retirement Calculator'!A549,'Isaac 401k'!N:N,0),0)</f>
        <v>737987.71333971876</v>
      </c>
      <c r="R549" s="25">
        <f t="array" aca="1" ref="R549" ca="1">INDEX('Lorri 401b'!L:L,MATCH('Retirement Calculator'!A549,'Lorri 401b'!N:N,0),0)</f>
        <v>907657.28792956239</v>
      </c>
      <c r="S549" s="25">
        <f t="shared" ca="1" si="527"/>
        <v>1645645.0012692811</v>
      </c>
    </row>
    <row r="550" spans="1:19" ht="15.75" customHeight="1" x14ac:dyDescent="0.3">
      <c r="A550" s="37">
        <v>67693</v>
      </c>
      <c r="B550" s="409">
        <f t="shared" ref="B550:C550" si="556">($A550-B$9)/365.25</f>
        <v>103.45516769336071</v>
      </c>
      <c r="C550" s="409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3525.4531757812501</v>
      </c>
      <c r="H550" s="25">
        <f>IF(B550&lt;62,0,'Combined Retirement'!$I$14)</f>
        <v>2192</v>
      </c>
      <c r="I550" s="25">
        <f>IF(C550&lt;62,0,'Combined Retirement'!$I$13)</f>
        <v>2420</v>
      </c>
      <c r="J550" s="25">
        <f t="shared" si="523"/>
        <v>7863.2184191855868</v>
      </c>
      <c r="K550" s="25">
        <f t="shared" si="524"/>
        <v>20282.026119384056</v>
      </c>
      <c r="L550" s="25"/>
      <c r="N550" s="25">
        <f>'Combined Retirement'!$C$18/12</f>
        <v>39153.069999999992</v>
      </c>
      <c r="O550" s="25">
        <f t="shared" si="525"/>
        <v>11007.82546143035</v>
      </c>
      <c r="P550" s="25">
        <f t="shared" si="526"/>
        <v>28145.244538569641</v>
      </c>
      <c r="Q550" s="25">
        <f t="array" aca="1" ref="Q550" ca="1">INDEX('Isaac 401k'!L:L,MATCH('Retirement Calculator'!A550,'Isaac 401k'!N:N,0),0)</f>
        <v>733166.6803160354</v>
      </c>
      <c r="R550" s="25">
        <f t="array" aca="1" ref="R550" ca="1">INDEX('Lorri 401b'!L:L,MATCH('Retirement Calculator'!A550,'Lorri 401b'!N:N,0),0)</f>
        <v>891072.65873438737</v>
      </c>
      <c r="S550" s="25">
        <f t="shared" ca="1" si="527"/>
        <v>1624239.3390504229</v>
      </c>
    </row>
    <row r="551" spans="1:19" ht="15.75" customHeight="1" x14ac:dyDescent="0.3">
      <c r="A551" s="37">
        <v>67724</v>
      </c>
      <c r="B551" s="409">
        <f t="shared" ref="B551:C551" si="557">($A551-B$9)/365.25</f>
        <v>103.54004106776181</v>
      </c>
      <c r="C551" s="409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3525.4531757812501</v>
      </c>
      <c r="H551" s="25">
        <f>IF(B551&lt;62,0,'Combined Retirement'!$I$14)</f>
        <v>2192</v>
      </c>
      <c r="I551" s="25">
        <f>IF(C551&lt;62,0,'Combined Retirement'!$I$13)</f>
        <v>2420</v>
      </c>
      <c r="J551" s="25">
        <f t="shared" si="523"/>
        <v>7863.2184191855868</v>
      </c>
      <c r="K551" s="25">
        <f t="shared" si="524"/>
        <v>20282.026119384056</v>
      </c>
      <c r="L551" s="25"/>
      <c r="N551" s="25">
        <f>'Combined Retirement'!$C$18/12</f>
        <v>39153.069999999992</v>
      </c>
      <c r="O551" s="25">
        <f t="shared" si="525"/>
        <v>11007.82546143035</v>
      </c>
      <c r="P551" s="25">
        <f t="shared" si="526"/>
        <v>28145.244538569641</v>
      </c>
      <c r="Q551" s="25">
        <f t="array" aca="1" ref="Q551" ca="1">INDEX('Isaac 401k'!L:L,MATCH('Retirement Calculator'!A551,'Isaac 401k'!N:N,0),0)</f>
        <v>728325.55965475331</v>
      </c>
      <c r="R551" s="25">
        <f t="array" aca="1" ref="R551" ca="1">INDEX('Lorri 401b'!L:L,MATCH('Retirement Calculator'!A551,'Lorri 401b'!N:N,0),0)</f>
        <v>874418.92691756575</v>
      </c>
      <c r="S551" s="25">
        <f t="shared" ca="1" si="527"/>
        <v>1602744.4865723192</v>
      </c>
    </row>
    <row r="552" spans="1:19" ht="15.75" customHeight="1" x14ac:dyDescent="0.3">
      <c r="A552" s="37">
        <v>67754</v>
      </c>
      <c r="B552" s="409">
        <f t="shared" ref="B552:C552" si="558">($A552-B$9)/365.25</f>
        <v>103.62217659137578</v>
      </c>
      <c r="C552" s="409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3525.4531757812501</v>
      </c>
      <c r="H552" s="25">
        <f>IF(B552&lt;62,0,'Combined Retirement'!$I$14)</f>
        <v>2192</v>
      </c>
      <c r="I552" s="25">
        <f>IF(C552&lt;62,0,'Combined Retirement'!$I$13)</f>
        <v>2420</v>
      </c>
      <c r="J552" s="25">
        <f t="shared" si="523"/>
        <v>7863.2184191855868</v>
      </c>
      <c r="K552" s="25">
        <f t="shared" si="524"/>
        <v>20282.026119384056</v>
      </c>
      <c r="L552" s="25"/>
      <c r="N552" s="25">
        <f>'Combined Retirement'!$C$18/12</f>
        <v>39153.069999999992</v>
      </c>
      <c r="O552" s="25">
        <f t="shared" si="525"/>
        <v>11007.82546143035</v>
      </c>
      <c r="P552" s="25">
        <f t="shared" si="526"/>
        <v>28145.244538569641</v>
      </c>
      <c r="Q552" s="25">
        <f t="array" aca="1" ref="Q552" ca="1">INDEX('Isaac 401k'!L:L,MATCH('Retirement Calculator'!A552,'Isaac 401k'!N:N,0),0)</f>
        <v>723464.26765738253</v>
      </c>
      <c r="R552" s="25">
        <f t="array" aca="1" ref="R552" ca="1">INDEX('Lorri 401b'!L:L,MATCH('Retirement Calculator'!A552,'Lorri 401b'!N:N,0),0)</f>
        <v>857695.80455150746</v>
      </c>
      <c r="S552" s="25">
        <f t="shared" ca="1" si="527"/>
        <v>1581160.07220889</v>
      </c>
    </row>
    <row r="553" spans="1:19" ht="15.75" customHeight="1" x14ac:dyDescent="0.3">
      <c r="A553" s="37">
        <v>67785</v>
      </c>
      <c r="B553" s="409">
        <f t="shared" ref="B553:C553" si="559">($A553-B$9)/365.25</f>
        <v>103.70704996577686</v>
      </c>
      <c r="C553" s="409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3525.4531757812501</v>
      </c>
      <c r="H553" s="25">
        <f>IF(B553&lt;62,0,'Combined Retirement'!$I$14)</f>
        <v>2192</v>
      </c>
      <c r="I553" s="25">
        <f>IF(C553&lt;62,0,'Combined Retirement'!$I$13)</f>
        <v>2420</v>
      </c>
      <c r="J553" s="25">
        <f t="shared" si="523"/>
        <v>7863.2184191855868</v>
      </c>
      <c r="K553" s="25">
        <f t="shared" si="524"/>
        <v>20282.026119384056</v>
      </c>
      <c r="L553" s="25"/>
      <c r="N553" s="25">
        <f>'Combined Retirement'!$C$18/12</f>
        <v>39153.069999999992</v>
      </c>
      <c r="O553" s="25">
        <f t="shared" si="525"/>
        <v>11007.82546143035</v>
      </c>
      <c r="P553" s="25">
        <f t="shared" si="526"/>
        <v>28145.244538569641</v>
      </c>
      <c r="Q553" s="25">
        <f t="array" aca="1" ref="Q553" ca="1">INDEX('Isaac 401k'!L:L,MATCH('Retirement Calculator'!A553,'Isaac 401k'!N:N,0),0)</f>
        <v>718582.72027668939</v>
      </c>
      <c r="R553" s="25">
        <f t="array" aca="1" ref="R553" ca="1">INDEX('Lorri 401b'!L:L,MATCH('Retirement Calculator'!A553,'Lorri 401b'!N:N,0),0)</f>
        <v>840903.00250892388</v>
      </c>
      <c r="S553" s="25">
        <f t="shared" ca="1" si="527"/>
        <v>1559485.7227856133</v>
      </c>
    </row>
    <row r="554" spans="1:19" ht="15.75" customHeight="1" x14ac:dyDescent="0.3">
      <c r="A554" s="37">
        <v>67816</v>
      </c>
      <c r="B554" s="409">
        <f t="shared" ref="B554:C554" si="560">($A554-B$9)/365.25</f>
        <v>103.79192334017796</v>
      </c>
      <c r="C554" s="409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3525.4531757812501</v>
      </c>
      <c r="H554" s="25">
        <f>IF(B554&lt;62,0,'Combined Retirement'!$I$14)</f>
        <v>2192</v>
      </c>
      <c r="I554" s="25">
        <f>IF(C554&lt;62,0,'Combined Retirement'!$I$13)</f>
        <v>2420</v>
      </c>
      <c r="J554" s="25">
        <f t="shared" si="523"/>
        <v>7863.2184191855868</v>
      </c>
      <c r="K554" s="25">
        <f t="shared" si="524"/>
        <v>20282.026119384056</v>
      </c>
      <c r="L554" s="25"/>
      <c r="N554" s="25">
        <f>'Combined Retirement'!$C$18/12</f>
        <v>39153.069999999992</v>
      </c>
      <c r="O554" s="25">
        <f t="shared" si="525"/>
        <v>11007.82546143035</v>
      </c>
      <c r="P554" s="25">
        <f t="shared" si="526"/>
        <v>28145.244538569641</v>
      </c>
      <c r="Q554" s="25">
        <f t="array" aca="1" ref="Q554" ca="1">INDEX('Isaac 401k'!L:L,MATCH('Retirement Calculator'!A554,'Isaac 401k'!N:N,0),0)</f>
        <v>713680.83311524335</v>
      </c>
      <c r="R554" s="25">
        <f t="array" aca="1" ref="R554" ca="1">INDEX('Lorri 401b'!L:L,MATCH('Retirement Calculator'!A554,'Lorri 401b'!N:N,0),0)</f>
        <v>824040.23045782954</v>
      </c>
      <c r="S554" s="25">
        <f t="shared" ca="1" si="527"/>
        <v>1537721.0635730729</v>
      </c>
    </row>
    <row r="555" spans="1:19" ht="15.75" customHeight="1" x14ac:dyDescent="0.3">
      <c r="A555" s="37">
        <v>67846</v>
      </c>
      <c r="B555" s="409">
        <f t="shared" ref="B555:C555" si="561">($A555-B$9)/365.25</f>
        <v>103.87405886379193</v>
      </c>
      <c r="C555" s="409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3525.4531757812501</v>
      </c>
      <c r="H555" s="25">
        <f>IF(B555&lt;62,0,'Combined Retirement'!$I$14)</f>
        <v>2192</v>
      </c>
      <c r="I555" s="25">
        <f>IF(C555&lt;62,0,'Combined Retirement'!$I$13)</f>
        <v>2420</v>
      </c>
      <c r="J555" s="25">
        <f t="shared" si="523"/>
        <v>7863.2184191855868</v>
      </c>
      <c r="K555" s="25">
        <f t="shared" si="524"/>
        <v>20282.026119384056</v>
      </c>
      <c r="L555" s="25"/>
      <c r="N555" s="25">
        <f>'Combined Retirement'!$C$18/12</f>
        <v>39153.069999999992</v>
      </c>
      <c r="O555" s="25">
        <f t="shared" si="525"/>
        <v>11007.82546143035</v>
      </c>
      <c r="P555" s="25">
        <f t="shared" si="526"/>
        <v>28145.244538569641</v>
      </c>
      <c r="Q555" s="25">
        <f t="array" aca="1" ref="Q555" ca="1">INDEX('Isaac 401k'!L:L,MATCH('Retirement Calculator'!A555,'Isaac 401k'!N:N,0),0)</f>
        <v>708758.52142395801</v>
      </c>
      <c r="R555" s="25">
        <f t="array" aca="1" ref="R555" ca="1">INDEX('Lorri 401b'!L:L,MATCH('Retirement Calculator'!A555,'Lorri 401b'!N:N,0),0)</f>
        <v>807107.19685652235</v>
      </c>
      <c r="S555" s="25">
        <f t="shared" ca="1" si="527"/>
        <v>1515865.7182804802</v>
      </c>
    </row>
    <row r="556" spans="1:19" ht="15.75" customHeight="1" x14ac:dyDescent="0.3">
      <c r="A556" s="37">
        <v>67877</v>
      </c>
      <c r="B556" s="409">
        <f t="shared" ref="B556:C556" si="562">($A556-B$9)/365.25</f>
        <v>103.95893223819301</v>
      </c>
      <c r="C556" s="409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3525.4531757812501</v>
      </c>
      <c r="H556" s="25">
        <f>IF(B556&lt;62,0,'Combined Retirement'!$I$14)</f>
        <v>2192</v>
      </c>
      <c r="I556" s="25">
        <f>IF(C556&lt;62,0,'Combined Retirement'!$I$13)</f>
        <v>2420</v>
      </c>
      <c r="J556" s="25">
        <f t="shared" si="523"/>
        <v>7863.2184191855868</v>
      </c>
      <c r="K556" s="25">
        <f t="shared" si="524"/>
        <v>20282.026119384056</v>
      </c>
      <c r="L556" s="25"/>
      <c r="N556" s="25">
        <f>'Combined Retirement'!$C$18/12</f>
        <v>39153.069999999992</v>
      </c>
      <c r="O556" s="25">
        <f t="shared" si="525"/>
        <v>11007.82546143035</v>
      </c>
      <c r="P556" s="25">
        <f t="shared" si="526"/>
        <v>28145.244538569641</v>
      </c>
      <c r="Q556" s="25">
        <f t="array" aca="1" ref="Q556" ca="1">INDEX('Isaac 401k'!L:L,MATCH('Retirement Calculator'!A556,'Isaac 401k'!N:N,0),0)</f>
        <v>703815.70010062563</v>
      </c>
      <c r="R556" s="25">
        <f t="array" aca="1" ref="R556" ca="1">INDEX('Lorri 401b'!L:L,MATCH('Retirement Calculator'!A556,'Lorri 401b'!N:N,0),0)</f>
        <v>790103.60894854297</v>
      </c>
      <c r="S556" s="25">
        <f t="shared" ca="1" si="527"/>
        <v>1493919.3090491686</v>
      </c>
    </row>
    <row r="557" spans="1:19" ht="15.75" customHeight="1" x14ac:dyDescent="0.3">
      <c r="A557" s="37">
        <v>67907</v>
      </c>
      <c r="B557" s="409">
        <f t="shared" ref="B557:C557" si="563">($A557-B$9)/365.25</f>
        <v>104.04106776180699</v>
      </c>
      <c r="C557" s="409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3525.4531757812501</v>
      </c>
      <c r="H557" s="25">
        <f>IF(B557&lt;62,0,'Combined Retirement'!$I$14)</f>
        <v>2192</v>
      </c>
      <c r="I557" s="25">
        <f>IF(C557&lt;62,0,'Combined Retirement'!$I$13)</f>
        <v>2420</v>
      </c>
      <c r="J557" s="25">
        <f t="shared" si="523"/>
        <v>7863.2184191855868</v>
      </c>
      <c r="K557" s="25">
        <f t="shared" si="524"/>
        <v>20282.026119384056</v>
      </c>
      <c r="L557" s="25"/>
      <c r="N557" s="25">
        <f>'Combined Retirement'!$C$18/12</f>
        <v>39153.069999999992</v>
      </c>
      <c r="O557" s="25">
        <f t="shared" si="525"/>
        <v>11007.82546143035</v>
      </c>
      <c r="P557" s="25">
        <f t="shared" si="526"/>
        <v>28145.244538569641</v>
      </c>
      <c r="Q557" s="25">
        <f t="array" aca="1" ref="Q557" ca="1">INDEX('Isaac 401k'!L:L,MATCH('Retirement Calculator'!A557,'Isaac 401k'!N:N,0),0)</f>
        <v>698852.28368844604</v>
      </c>
      <c r="R557" s="25">
        <f t="array" aca="1" ref="R557" ca="1">INDEX('Lorri 401b'!L:L,MATCH('Retirement Calculator'!A557,'Lorri 401b'!N:N,0),0)</f>
        <v>773029.17275761371</v>
      </c>
      <c r="S557" s="25">
        <f t="shared" ca="1" si="527"/>
        <v>1471881.4564460597</v>
      </c>
    </row>
    <row r="558" spans="1:19" ht="15.75" customHeight="1" x14ac:dyDescent="0.3">
      <c r="A558" s="37">
        <v>67938</v>
      </c>
      <c r="B558" s="409">
        <f t="shared" ref="B558:C558" si="564">($A558-B$9)/365.25</f>
        <v>104.12594113620807</v>
      </c>
      <c r="C558" s="409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3525.4531757812501</v>
      </c>
      <c r="H558" s="25">
        <f>IF(B558&lt;62,0,'Combined Retirement'!$I$14)</f>
        <v>2192</v>
      </c>
      <c r="I558" s="25">
        <f>IF(C558&lt;62,0,'Combined Retirement'!$I$13)</f>
        <v>2420</v>
      </c>
      <c r="J558" s="25">
        <f t="shared" si="523"/>
        <v>7863.2184191855868</v>
      </c>
      <c r="K558" s="25">
        <f t="shared" si="524"/>
        <v>20282.026119384056</v>
      </c>
      <c r="L558" s="25"/>
      <c r="N558" s="25">
        <f>'Combined Retirement'!$C$18/12</f>
        <v>39153.069999999992</v>
      </c>
      <c r="O558" s="25">
        <f t="shared" si="525"/>
        <v>11007.82546143035</v>
      </c>
      <c r="P558" s="25">
        <f t="shared" si="526"/>
        <v>28145.244538569641</v>
      </c>
      <c r="Q558" s="25">
        <f t="array" aca="1" ref="Q558" ca="1">INDEX('Isaac 401k'!L:L,MATCH('Retirement Calculator'!A558,'Isaac 401k'!N:N,0),0)</f>
        <v>693868.18637454906</v>
      </c>
      <c r="R558" s="25">
        <f t="array" aca="1" ref="R558" ca="1">INDEX('Lorri 401b'!L:L,MATCH('Retirement Calculator'!A558,'Lorri 401b'!N:N,0),0)</f>
        <v>755883.59308255557</v>
      </c>
      <c r="S558" s="25">
        <f t="shared" ca="1" si="527"/>
        <v>1449751.7794571046</v>
      </c>
    </row>
    <row r="559" spans="1:19" ht="15.75" customHeight="1" x14ac:dyDescent="0.3">
      <c r="A559" s="37">
        <v>67969</v>
      </c>
      <c r="B559" s="409">
        <f t="shared" ref="B559:C559" si="565">($A559-B$9)/365.25</f>
        <v>104.21081451060917</v>
      </c>
      <c r="C559" s="409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3525.4531757812501</v>
      </c>
      <c r="H559" s="25">
        <f>IF(B559&lt;62,0,'Combined Retirement'!$I$14)</f>
        <v>2192</v>
      </c>
      <c r="I559" s="25">
        <f>IF(C559&lt;62,0,'Combined Retirement'!$I$13)</f>
        <v>2420</v>
      </c>
      <c r="J559" s="25">
        <f t="shared" si="523"/>
        <v>7863.2184191855868</v>
      </c>
      <c r="K559" s="25">
        <f t="shared" si="524"/>
        <v>20282.026119384056</v>
      </c>
      <c r="L559" s="25"/>
      <c r="N559" s="25">
        <f>'Combined Retirement'!$C$18/12</f>
        <v>39153.069999999992</v>
      </c>
      <c r="O559" s="25">
        <f t="shared" si="525"/>
        <v>11007.82546143035</v>
      </c>
      <c r="P559" s="25">
        <f t="shared" si="526"/>
        <v>28145.244538569641</v>
      </c>
      <c r="Q559" s="25">
        <f t="array" aca="1" ref="Q559" ca="1">INDEX('Isaac 401k'!L:L,MATCH('Retirement Calculator'!A559,'Isaac 401k'!N:N,0),0)</f>
        <v>688863.32198851078</v>
      </c>
      <c r="R559" s="25">
        <f t="array" aca="1" ref="R559" ca="1">INDEX('Lorri 401b'!L:L,MATCH('Retirement Calculator'!A559,'Lorri 401b'!N:N,0),0)</f>
        <v>738666.57349218463</v>
      </c>
      <c r="S559" s="25">
        <f t="shared" ca="1" si="527"/>
        <v>1427529.8954806954</v>
      </c>
    </row>
    <row r="560" spans="1:19" ht="15.75" customHeight="1" x14ac:dyDescent="0.3">
      <c r="A560" s="37">
        <v>67997</v>
      </c>
      <c r="B560" s="409">
        <f t="shared" ref="B560:C560" si="566">($A560-B$9)/365.25</f>
        <v>104.28747433264887</v>
      </c>
      <c r="C560" s="409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3525.4531757812501</v>
      </c>
      <c r="H560" s="25">
        <f>IF(B560&lt;62,0,'Combined Retirement'!$I$14)</f>
        <v>2192</v>
      </c>
      <c r="I560" s="25">
        <f>IF(C560&lt;62,0,'Combined Retirement'!$I$13)</f>
        <v>2420</v>
      </c>
      <c r="J560" s="25">
        <f t="shared" si="523"/>
        <v>7863.2184191855868</v>
      </c>
      <c r="K560" s="25">
        <f t="shared" si="524"/>
        <v>20282.026119384056</v>
      </c>
      <c r="L560" s="25"/>
      <c r="N560" s="25">
        <f>'Combined Retirement'!$C$18/12</f>
        <v>39153.069999999992</v>
      </c>
      <c r="O560" s="25">
        <f t="shared" si="525"/>
        <v>11007.82546143035</v>
      </c>
      <c r="P560" s="25">
        <f t="shared" si="526"/>
        <v>28145.244538569641</v>
      </c>
      <c r="Q560" s="25">
        <f t="array" aca="1" ref="Q560" ca="1">INDEX('Isaac 401k'!L:L,MATCH('Retirement Calculator'!A560,'Isaac 401k'!N:N,0),0)</f>
        <v>683837.60400086408</v>
      </c>
      <c r="R560" s="25">
        <f t="array" aca="1" ref="R560" ca="1">INDEX('Lorri 401b'!L:L,MATCH('Retirement Calculator'!A560,'Lorri 401b'!N:N,0),0)</f>
        <v>721377.81632018718</v>
      </c>
      <c r="S560" s="25">
        <f t="shared" ca="1" si="527"/>
        <v>1405215.4203210513</v>
      </c>
    </row>
    <row r="561" spans="1:19" ht="15.75" customHeight="1" x14ac:dyDescent="0.3">
      <c r="A561" s="37">
        <v>68028</v>
      </c>
      <c r="B561" s="409">
        <f t="shared" ref="B561:C561" si="567">($A561-B$9)/365.25</f>
        <v>104.37234770704997</v>
      </c>
      <c r="C561" s="409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3525.4531757812501</v>
      </c>
      <c r="H561" s="25">
        <f>IF(B561&lt;62,0,'Combined Retirement'!$I$14)</f>
        <v>2192</v>
      </c>
      <c r="I561" s="25">
        <f>IF(C561&lt;62,0,'Combined Retirement'!$I$13)</f>
        <v>2420</v>
      </c>
      <c r="J561" s="25">
        <f t="shared" si="523"/>
        <v>7863.2184191855868</v>
      </c>
      <c r="K561" s="25">
        <f t="shared" si="524"/>
        <v>20282.026119384056</v>
      </c>
      <c r="L561" s="25"/>
      <c r="N561" s="25">
        <f>'Combined Retirement'!$C$18/12</f>
        <v>39153.069999999992</v>
      </c>
      <c r="O561" s="25">
        <f t="shared" si="525"/>
        <v>11007.82546143035</v>
      </c>
      <c r="P561" s="25">
        <f t="shared" si="526"/>
        <v>28145.244538569641</v>
      </c>
      <c r="Q561" s="25">
        <f t="array" aca="1" ref="Q561" ca="1">INDEX('Isaac 401k'!L:L,MATCH('Retirement Calculator'!A561,'Isaac 401k'!N:N,0),0)</f>
        <v>678790.94552160217</v>
      </c>
      <c r="R561" s="25">
        <f t="array" aca="1" ref="R561" ca="1">INDEX('Lorri 401b'!L:L,MATCH('Retirement Calculator'!A561,'Lorri 401b'!N:N,0),0)</f>
        <v>704017.02265997312</v>
      </c>
      <c r="S561" s="25">
        <f t="shared" ca="1" si="527"/>
        <v>1382807.9681815752</v>
      </c>
    </row>
    <row r="562" spans="1:19" ht="15.75" customHeight="1" x14ac:dyDescent="0.3">
      <c r="A562" s="37">
        <v>68058</v>
      </c>
      <c r="B562" s="409">
        <f t="shared" ref="B562:C562" si="568">($A562-B$9)/365.25</f>
        <v>104.45448323066393</v>
      </c>
      <c r="C562" s="409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3525.4531757812501</v>
      </c>
      <c r="H562" s="25">
        <f>IF(B562&lt;62,0,'Combined Retirement'!$I$14)</f>
        <v>2192</v>
      </c>
      <c r="I562" s="25">
        <f>IF(C562&lt;62,0,'Combined Retirement'!$I$13)</f>
        <v>2420</v>
      </c>
      <c r="J562" s="25">
        <f t="shared" si="523"/>
        <v>7863.2184191855868</v>
      </c>
      <c r="K562" s="25">
        <f t="shared" si="524"/>
        <v>20282.026119384056</v>
      </c>
      <c r="L562" s="25"/>
      <c r="N562" s="25">
        <f>'Combined Retirement'!$C$18/12</f>
        <v>39153.069999999992</v>
      </c>
      <c r="O562" s="25">
        <f t="shared" si="525"/>
        <v>11007.82546143035</v>
      </c>
      <c r="P562" s="25">
        <f t="shared" si="526"/>
        <v>28145.244538569641</v>
      </c>
      <c r="Q562" s="25">
        <f t="array" aca="1" ref="Q562" ca="1">INDEX('Isaac 401k'!L:L,MATCH('Retirement Calculator'!A562,'Isaac 401k'!N:N,0),0)</f>
        <v>673723.25929867662</v>
      </c>
      <c r="R562" s="25">
        <f t="array" aca="1" ref="R562" ca="1">INDEX('Lorri 401b'!L:L,MATCH('Retirement Calculator'!A562,'Lorri 401b'!N:N,0),0)</f>
        <v>686583.8923595082</v>
      </c>
      <c r="S562" s="25">
        <f t="shared" ca="1" si="527"/>
        <v>1360307.1516581848</v>
      </c>
    </row>
    <row r="563" spans="1:19" ht="15.75" customHeight="1" x14ac:dyDescent="0.3">
      <c r="A563" s="37">
        <v>68089</v>
      </c>
      <c r="B563" s="409">
        <f t="shared" ref="B563:C563" si="569">($A563-B$9)/365.25</f>
        <v>104.53935660506502</v>
      </c>
      <c r="C563" s="409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3525.4531757812501</v>
      </c>
      <c r="H563" s="25">
        <f>IF(B563&lt;62,0,'Combined Retirement'!$I$14)</f>
        <v>2192</v>
      </c>
      <c r="I563" s="25">
        <f>IF(C563&lt;62,0,'Combined Retirement'!$I$13)</f>
        <v>2420</v>
      </c>
      <c r="J563" s="25">
        <f t="shared" si="523"/>
        <v>7863.2184191855868</v>
      </c>
      <c r="K563" s="25">
        <f t="shared" si="524"/>
        <v>20282.026119384056</v>
      </c>
      <c r="L563" s="25"/>
      <c r="N563" s="25">
        <f>'Combined Retirement'!$C$18/12</f>
        <v>39153.069999999992</v>
      </c>
      <c r="O563" s="25">
        <f t="shared" si="525"/>
        <v>11007.82546143035</v>
      </c>
      <c r="P563" s="25">
        <f t="shared" si="526"/>
        <v>28145.244538569641</v>
      </c>
      <c r="Q563" s="25">
        <f t="array" aca="1" ref="Q563" ca="1">INDEX('Isaac 401k'!L:L,MATCH('Retirement Calculator'!A563,'Isaac 401k'!N:N,0),0)</f>
        <v>668634.45771648886</v>
      </c>
      <c r="R563" s="25">
        <f t="array" aca="1" ref="R563" ca="1">INDEX('Lorri 401b'!L:L,MATCH('Retirement Calculator'!A563,'Lorri 401b'!N:N,0),0)</f>
        <v>669078.12401612464</v>
      </c>
      <c r="S563" s="25">
        <f t="shared" ca="1" si="527"/>
        <v>1337712.5817326135</v>
      </c>
    </row>
    <row r="564" spans="1:19" ht="15.75" customHeight="1" x14ac:dyDescent="0.3">
      <c r="A564" s="37">
        <v>68119</v>
      </c>
      <c r="B564" s="409">
        <f t="shared" ref="B564:C564" si="570">($A564-B$9)/365.25</f>
        <v>104.62149212867898</v>
      </c>
      <c r="C564" s="409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3525.4531757812501</v>
      </c>
      <c r="H564" s="25">
        <f>IF(B564&lt;62,0,'Combined Retirement'!$I$14)</f>
        <v>2192</v>
      </c>
      <c r="I564" s="25">
        <f>IF(C564&lt;62,0,'Combined Retirement'!$I$13)</f>
        <v>2420</v>
      </c>
      <c r="J564" s="25">
        <f t="shared" si="523"/>
        <v>7863.2184191855868</v>
      </c>
      <c r="K564" s="25">
        <f t="shared" si="524"/>
        <v>20282.026119384056</v>
      </c>
      <c r="L564" s="25"/>
      <c r="N564" s="25">
        <f>'Combined Retirement'!$C$18/12</f>
        <v>39153.069999999992</v>
      </c>
      <c r="O564" s="25">
        <f t="shared" si="525"/>
        <v>11007.82546143035</v>
      </c>
      <c r="P564" s="25">
        <f t="shared" si="526"/>
        <v>28145.244538569641</v>
      </c>
      <c r="Q564" s="25">
        <f t="array" aca="1" ref="Q564" ca="1">INDEX('Isaac 401k'!L:L,MATCH('Retirement Calculator'!A564,'Isaac 401k'!N:N,0),0)</f>
        <v>663524.45279437536</v>
      </c>
      <c r="R564" s="25">
        <f t="array" aca="1" ref="R564" ca="1">INDEX('Lorri 401b'!L:L,MATCH('Retirement Calculator'!A564,'Lorri 401b'!N:N,0),0)</f>
        <v>651499.4149713103</v>
      </c>
      <c r="S564" s="25">
        <f t="shared" ca="1" si="527"/>
        <v>1315023.8677656855</v>
      </c>
    </row>
    <row r="565" spans="1:19" ht="15.75" customHeight="1" x14ac:dyDescent="0.3">
      <c r="A565" s="37">
        <v>68150</v>
      </c>
      <c r="B565" s="409">
        <f t="shared" ref="B565:C565" si="571">($A565-B$9)/365.25</f>
        <v>104.70636550308008</v>
      </c>
      <c r="C565" s="409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3525.4531757812501</v>
      </c>
      <c r="H565" s="25">
        <f>IF(B565&lt;62,0,'Combined Retirement'!$I$14)</f>
        <v>2192</v>
      </c>
      <c r="I565" s="25">
        <f>IF(C565&lt;62,0,'Combined Retirement'!$I$13)</f>
        <v>2420</v>
      </c>
      <c r="J565" s="25">
        <f t="shared" si="523"/>
        <v>7863.2184191855868</v>
      </c>
      <c r="K565" s="25">
        <f t="shared" si="524"/>
        <v>20282.026119384056</v>
      </c>
      <c r="L565" s="25"/>
      <c r="N565" s="25">
        <f>'Combined Retirement'!$C$18/12</f>
        <v>39153.069999999992</v>
      </c>
      <c r="O565" s="25">
        <f t="shared" si="525"/>
        <v>11007.82546143035</v>
      </c>
      <c r="P565" s="25">
        <f t="shared" si="526"/>
        <v>28145.244538569641</v>
      </c>
      <c r="Q565" s="25">
        <f t="array" aca="1" ref="Q565" ca="1">INDEX('Isaac 401k'!L:L,MATCH('Retirement Calculator'!A565,'Isaac 401k'!N:N,0),0)</f>
        <v>658393.15618508635</v>
      </c>
      <c r="R565" s="25">
        <f t="array" aca="1" ref="R565" ca="1">INDEX('Lorri 401b'!L:L,MATCH('Retirement Calculator'!A565,'Lorri 401b'!N:N,0),0)</f>
        <v>633847.46130547591</v>
      </c>
      <c r="S565" s="25">
        <f t="shared" ca="1" si="527"/>
        <v>1292240.6174905621</v>
      </c>
    </row>
    <row r="566" spans="1:19" ht="15.75" customHeight="1" x14ac:dyDescent="0.3">
      <c r="A566" s="37">
        <v>68181</v>
      </c>
      <c r="B566" s="409">
        <f t="shared" ref="B566:C566" si="572">($A566-B$9)/365.25</f>
        <v>104.79123887748118</v>
      </c>
      <c r="C566" s="409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3525.4531757812501</v>
      </c>
      <c r="H566" s="25">
        <f>IF(B566&lt;62,0,'Combined Retirement'!$I$14)</f>
        <v>2192</v>
      </c>
      <c r="I566" s="25">
        <f>IF(C566&lt;62,0,'Combined Retirement'!$I$13)</f>
        <v>2420</v>
      </c>
      <c r="J566" s="25">
        <f t="shared" si="523"/>
        <v>7863.2184191855868</v>
      </c>
      <c r="K566" s="25">
        <f t="shared" si="524"/>
        <v>20282.026119384056</v>
      </c>
      <c r="L566" s="25"/>
      <c r="N566" s="25">
        <f>'Combined Retirement'!$C$18/12</f>
        <v>39153.069999999992</v>
      </c>
      <c r="O566" s="25">
        <f t="shared" si="525"/>
        <v>11007.82546143035</v>
      </c>
      <c r="P566" s="25">
        <f t="shared" si="526"/>
        <v>28145.244538569641</v>
      </c>
      <c r="Q566" s="25">
        <f t="array" aca="1" ref="Q566" ca="1">INDEX('Isaac 401k'!L:L,MATCH('Retirement Calculator'!A566,'Isaac 401k'!N:N,0),0)</f>
        <v>653240.47917325865</v>
      </c>
      <c r="R566" s="25">
        <f t="array" aca="1" ref="R566" ca="1">INDEX('Lorri 401b'!L:L,MATCH('Retirement Calculator'!A566,'Lorri 401b'!N:N,0),0)</f>
        <v>616121.95783270057</v>
      </c>
      <c r="S566" s="25">
        <f t="shared" ca="1" si="527"/>
        <v>1269362.4370059592</v>
      </c>
    </row>
    <row r="567" spans="1:19" ht="15.75" customHeight="1" x14ac:dyDescent="0.3">
      <c r="A567" s="37">
        <v>68211</v>
      </c>
      <c r="B567" s="409">
        <f t="shared" ref="B567:C567" si="573">($A567-B$9)/365.25</f>
        <v>104.87337440109513</v>
      </c>
      <c r="C567" s="409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3525.4531757812501</v>
      </c>
      <c r="H567" s="25">
        <f>IF(B567&lt;62,0,'Combined Retirement'!$I$14)</f>
        <v>2192</v>
      </c>
      <c r="I567" s="25">
        <f>IF(C567&lt;62,0,'Combined Retirement'!$I$13)</f>
        <v>2420</v>
      </c>
      <c r="J567" s="25">
        <f t="shared" si="523"/>
        <v>7863.2184191855868</v>
      </c>
      <c r="K567" s="25">
        <f t="shared" si="524"/>
        <v>20282.026119384056</v>
      </c>
      <c r="L567" s="25"/>
      <c r="N567" s="25">
        <f>'Combined Retirement'!$C$18/12</f>
        <v>39153.069999999992</v>
      </c>
      <c r="O567" s="25">
        <f t="shared" si="525"/>
        <v>11007.82546143035</v>
      </c>
      <c r="P567" s="25">
        <f t="shared" si="526"/>
        <v>28145.244538569641</v>
      </c>
      <c r="Q567" s="25">
        <f t="array" aca="1" ref="Q567" ca="1">INDEX('Isaac 401k'!L:L,MATCH('Retirement Calculator'!A567,'Isaac 401k'!N:N,0),0)</f>
        <v>648066.33267388167</v>
      </c>
      <c r="R567" s="25">
        <f t="array" aca="1" ref="R567" ca="1">INDEX('Lorri 401b'!L:L,MATCH('Retirement Calculator'!A567,'Lorri 401b'!N:N,0),0)</f>
        <v>598322.59809545532</v>
      </c>
      <c r="S567" s="25">
        <f t="shared" ca="1" si="527"/>
        <v>1246388.9307693369</v>
      </c>
    </row>
    <row r="568" spans="1:19" ht="15.75" customHeight="1" x14ac:dyDescent="0.3">
      <c r="A568" s="37">
        <v>68242</v>
      </c>
      <c r="B568" s="409">
        <f t="shared" ref="B568:C568" si="574">($A568-B$9)/365.25</f>
        <v>104.95824777549623</v>
      </c>
      <c r="C568" s="409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3525.4531757812501</v>
      </c>
      <c r="H568" s="25">
        <f>IF(B568&lt;62,0,'Combined Retirement'!$I$14)</f>
        <v>2192</v>
      </c>
      <c r="I568" s="25">
        <f>IF(C568&lt;62,0,'Combined Retirement'!$I$13)</f>
        <v>2420</v>
      </c>
      <c r="J568" s="25">
        <f t="shared" si="523"/>
        <v>7863.2184191855868</v>
      </c>
      <c r="K568" s="25">
        <f t="shared" si="524"/>
        <v>20282.026119384056</v>
      </c>
      <c r="L568" s="25"/>
      <c r="N568" s="25">
        <f>'Combined Retirement'!$C$18/12</f>
        <v>39153.069999999992</v>
      </c>
      <c r="O568" s="25">
        <f t="shared" si="525"/>
        <v>11007.82546143035</v>
      </c>
      <c r="P568" s="25">
        <f t="shared" si="526"/>
        <v>28145.244538569641</v>
      </c>
      <c r="Q568" s="25">
        <f t="array" aca="1" ref="Q568" ca="1">INDEX('Isaac 401k'!L:L,MATCH('Retirement Calculator'!A568,'Isaac 401k'!N:N,0),0)</f>
        <v>642870.62723075727</v>
      </c>
      <c r="R568" s="25">
        <f t="array" aca="1" ref="R568" ca="1">INDEX('Lorri 401b'!L:L,MATCH('Retirement Calculator'!A568,'Lorri 401b'!N:N,0),0)</f>
        <v>580449.07435930485</v>
      </c>
      <c r="S568" s="25">
        <f t="shared" ca="1" si="527"/>
        <v>1223319.7015900621</v>
      </c>
    </row>
    <row r="569" spans="1:19" ht="15.75" customHeight="1" x14ac:dyDescent="0.3">
      <c r="A569" s="37">
        <v>68272</v>
      </c>
      <c r="B569" s="409">
        <f t="shared" ref="B569:C569" si="575">($A569-B$9)/365.25</f>
        <v>105.0403832991102</v>
      </c>
      <c r="C569" s="409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3525.4531757812501</v>
      </c>
      <c r="H569" s="25">
        <f>IF(B569&lt;62,0,'Combined Retirement'!$I$14)</f>
        <v>2192</v>
      </c>
      <c r="I569" s="25">
        <f>IF(C569&lt;62,0,'Combined Retirement'!$I$13)</f>
        <v>2420</v>
      </c>
      <c r="J569" s="25">
        <f t="shared" si="523"/>
        <v>7863.2184191855868</v>
      </c>
      <c r="K569" s="25">
        <f t="shared" si="524"/>
        <v>20282.026119384056</v>
      </c>
      <c r="L569" s="25"/>
      <c r="N569" s="25">
        <f>'Combined Retirement'!$C$18/12</f>
        <v>39153.069999999992</v>
      </c>
      <c r="O569" s="25">
        <f t="shared" si="525"/>
        <v>11007.82546143035</v>
      </c>
      <c r="P569" s="25">
        <f t="shared" si="526"/>
        <v>28145.244538569641</v>
      </c>
      <c r="Q569" s="25">
        <f t="array" aca="1" ref="Q569" ca="1">INDEX('Isaac 401k'!L:L,MATCH('Retirement Calculator'!A569,'Isaac 401k'!N:N,0),0)</f>
        <v>637653.27301495324</v>
      </c>
      <c r="R569" s="25">
        <f t="array" aca="1" ref="R569" ca="1">INDEX('Lorri 401b'!L:L,MATCH('Retirement Calculator'!A569,'Lorri 401b'!N:N,0),0)</f>
        <v>562501.0776075871</v>
      </c>
      <c r="S569" s="25">
        <f t="shared" ca="1" si="527"/>
        <v>1200154.3506225403</v>
      </c>
    </row>
    <row r="570" spans="1:19" ht="15.75" customHeight="1" x14ac:dyDescent="0.3">
      <c r="A570" s="37">
        <v>68303</v>
      </c>
      <c r="B570" s="409">
        <f t="shared" ref="B570:C570" si="576">($A570-B$9)/365.25</f>
        <v>105.12525667351129</v>
      </c>
      <c r="C570" s="409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3525.4531757812501</v>
      </c>
      <c r="H570" s="25">
        <f>IF(B570&lt;62,0,'Combined Retirement'!$I$14)</f>
        <v>2192</v>
      </c>
      <c r="I570" s="25">
        <f>IF(C570&lt;62,0,'Combined Retirement'!$I$13)</f>
        <v>2420</v>
      </c>
      <c r="J570" s="25">
        <f t="shared" si="523"/>
        <v>7863.2184191855868</v>
      </c>
      <c r="K570" s="25">
        <f t="shared" si="524"/>
        <v>20282.026119384056</v>
      </c>
      <c r="L570" s="25"/>
      <c r="N570" s="25">
        <f>'Combined Retirement'!$C$18/12</f>
        <v>39153.069999999992</v>
      </c>
      <c r="O570" s="25">
        <f t="shared" si="525"/>
        <v>11007.82546143035</v>
      </c>
      <c r="P570" s="25">
        <f t="shared" si="526"/>
        <v>28145.244538569641</v>
      </c>
      <c r="Q570" s="25">
        <f t="array" aca="1" ref="Q570" ca="1">INDEX('Isaac 401k'!L:L,MATCH('Retirement Calculator'!A570,'Isaac 401k'!N:N,0),0)</f>
        <v>632414.17982325004</v>
      </c>
      <c r="R570" s="25">
        <f t="array" aca="1" ref="R570" ca="1">INDEX('Lorri 401b'!L:L,MATCH('Retirement Calculator'!A570,'Lorri 401b'!N:N,0),0)</f>
        <v>544478.29753607046</v>
      </c>
      <c r="S570" s="25">
        <f t="shared" ca="1" si="527"/>
        <v>1176892.4773593205</v>
      </c>
    </row>
    <row r="571" spans="1:19" ht="15.75" customHeight="1" x14ac:dyDescent="0.3">
      <c r="A571" s="37">
        <v>68334</v>
      </c>
      <c r="B571" s="409">
        <f t="shared" ref="B571:C571" si="577">($A571-B$9)/365.25</f>
        <v>105.21013004791239</v>
      </c>
      <c r="C571" s="409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3525.4531757812501</v>
      </c>
      <c r="H571" s="25">
        <f>IF(B571&lt;62,0,'Combined Retirement'!$I$14)</f>
        <v>2192</v>
      </c>
      <c r="I571" s="25">
        <f>IF(C571&lt;62,0,'Combined Retirement'!$I$13)</f>
        <v>2420</v>
      </c>
      <c r="J571" s="25">
        <f t="shared" si="523"/>
        <v>7863.2184191855868</v>
      </c>
      <c r="K571" s="25">
        <f t="shared" si="524"/>
        <v>20282.026119384056</v>
      </c>
      <c r="L571" s="25"/>
      <c r="N571" s="25">
        <f>'Combined Retirement'!$C$18/12</f>
        <v>39153.069999999992</v>
      </c>
      <c r="O571" s="25">
        <f t="shared" si="525"/>
        <v>11007.82546143035</v>
      </c>
      <c r="P571" s="25">
        <f t="shared" si="526"/>
        <v>28145.244538569641</v>
      </c>
      <c r="Q571" s="25">
        <f t="array" aca="1" ref="Q571" ca="1">INDEX('Isaac 401k'!L:L,MATCH('Retirement Calculator'!A571,'Isaac 401k'!N:N,0),0)</f>
        <v>627153.25707658136</v>
      </c>
      <c r="R571" s="25">
        <f t="array" aca="1" ref="R571" ca="1">INDEX('Lorri 401b'!L:L,MATCH('Retirement Calculator'!A571,'Lorri 401b'!N:N,0),0)</f>
        <v>526380.42254758929</v>
      </c>
      <c r="S571" s="25">
        <f t="shared" ca="1" si="527"/>
        <v>1153533.6796241705</v>
      </c>
    </row>
    <row r="572" spans="1:19" ht="15.75" customHeight="1" x14ac:dyDescent="0.3">
      <c r="A572" s="37">
        <v>68362</v>
      </c>
      <c r="B572" s="409">
        <f t="shared" ref="B572:C572" si="578">($A572-B$9)/365.25</f>
        <v>105.28678986995209</v>
      </c>
      <c r="C572" s="409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3525.4531757812501</v>
      </c>
      <c r="H572" s="25">
        <f>IF(B572&lt;62,0,'Combined Retirement'!$I$14)</f>
        <v>2192</v>
      </c>
      <c r="I572" s="25">
        <f>IF(C572&lt;62,0,'Combined Retirement'!$I$13)</f>
        <v>2420</v>
      </c>
      <c r="J572" s="25">
        <f t="shared" si="523"/>
        <v>7863.2184191855868</v>
      </c>
      <c r="K572" s="25">
        <f t="shared" si="524"/>
        <v>20282.026119384056</v>
      </c>
      <c r="L572" s="25"/>
      <c r="N572" s="25">
        <f>'Combined Retirement'!$C$18/12</f>
        <v>39153.069999999992</v>
      </c>
      <c r="O572" s="25">
        <f t="shared" si="525"/>
        <v>11007.82546143035</v>
      </c>
      <c r="P572" s="25">
        <f t="shared" si="526"/>
        <v>28145.244538569641</v>
      </c>
      <c r="Q572" s="25">
        <f t="array" aca="1" ref="Q572" ca="1">INDEX('Isaac 401k'!L:L,MATCH('Retirement Calculator'!A572,'Isaac 401k'!N:N,0),0)</f>
        <v>621870.41381846822</v>
      </c>
      <c r="R572" s="25">
        <f t="array" aca="1" ref="R572" ca="1">INDEX('Lorri 401b'!L:L,MATCH('Retirement Calculator'!A572,'Lorri 401b'!N:N,0),0)</f>
        <v>508207.13974665612</v>
      </c>
      <c r="S572" s="25">
        <f t="shared" ca="1" si="527"/>
        <v>1130077.5535651243</v>
      </c>
    </row>
    <row r="573" spans="1:19" ht="15.75" customHeight="1" x14ac:dyDescent="0.3">
      <c r="A573" s="37">
        <v>68393</v>
      </c>
      <c r="B573" s="409">
        <f t="shared" ref="B573:C573" si="579">($A573-B$9)/365.25</f>
        <v>105.37166324435319</v>
      </c>
      <c r="C573" s="409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3525.4531757812501</v>
      </c>
      <c r="H573" s="25">
        <f>IF(B573&lt;62,0,'Combined Retirement'!$I$14)</f>
        <v>2192</v>
      </c>
      <c r="I573" s="25">
        <f>IF(C573&lt;62,0,'Combined Retirement'!$I$13)</f>
        <v>2420</v>
      </c>
      <c r="J573" s="25">
        <f t="shared" si="523"/>
        <v>7863.2184191855868</v>
      </c>
      <c r="K573" s="25">
        <f t="shared" si="524"/>
        <v>20282.026119384056</v>
      </c>
      <c r="L573" s="25"/>
      <c r="N573" s="25">
        <f>'Combined Retirement'!$C$18/12</f>
        <v>39153.069999999992</v>
      </c>
      <c r="O573" s="25">
        <f t="shared" si="525"/>
        <v>11007.82546143035</v>
      </c>
      <c r="P573" s="25">
        <f t="shared" si="526"/>
        <v>28145.244538569641</v>
      </c>
      <c r="Q573" s="25">
        <f t="array" aca="1" ref="Q573" ca="1">INDEX('Isaac 401k'!L:L,MATCH('Retirement Calculator'!A573,'Isaac 401k'!N:N,0),0)</f>
        <v>616565.55871344625</v>
      </c>
      <c r="R573" s="25">
        <f t="array" aca="1" ref="R573" ca="1">INDEX('Lorri 401b'!L:L,MATCH('Retirement Calculator'!A573,'Lorri 401b'!N:N,0),0)</f>
        <v>489958.13493405236</v>
      </c>
      <c r="S573" s="25">
        <f t="shared" ca="1" si="527"/>
        <v>1106523.6936474987</v>
      </c>
    </row>
    <row r="574" spans="1:19" ht="15.75" customHeight="1" x14ac:dyDescent="0.3">
      <c r="A574" s="37">
        <v>68423</v>
      </c>
      <c r="B574" s="409">
        <f t="shared" ref="B574:C574" si="580">($A574-B$9)/365.25</f>
        <v>105.45379876796714</v>
      </c>
      <c r="C574" s="409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3525.4531757812501</v>
      </c>
      <c r="H574" s="25">
        <f>IF(B574&lt;62,0,'Combined Retirement'!$I$14)</f>
        <v>2192</v>
      </c>
      <c r="I574" s="25">
        <f>IF(C574&lt;62,0,'Combined Retirement'!$I$13)</f>
        <v>2420</v>
      </c>
      <c r="J574" s="25">
        <f t="shared" si="523"/>
        <v>7863.2184191855868</v>
      </c>
      <c r="K574" s="25">
        <f t="shared" si="524"/>
        <v>20282.026119384056</v>
      </c>
      <c r="L574" s="25"/>
      <c r="N574" s="25">
        <f>'Combined Retirement'!$C$18/12</f>
        <v>39153.069999999992</v>
      </c>
      <c r="O574" s="25">
        <f t="shared" si="525"/>
        <v>11007.82546143035</v>
      </c>
      <c r="P574" s="25">
        <f t="shared" si="526"/>
        <v>28145.244538569641</v>
      </c>
      <c r="Q574" s="25">
        <f t="array" aca="1" ref="Q574" ca="1">INDEX('Isaac 401k'!L:L,MATCH('Retirement Calculator'!A574,'Isaac 401k'!N:N,0),0)</f>
        <v>611238.6000454867</v>
      </c>
      <c r="R574" s="25">
        <f t="array" aca="1" ref="R574" ca="1">INDEX('Lorri 401b'!L:L,MATCH('Retirement Calculator'!A574,'Lorri 401b'!N:N,0),0)</f>
        <v>471633.09260139609</v>
      </c>
      <c r="S574" s="25">
        <f t="shared" ca="1" si="527"/>
        <v>1082871.6926468827</v>
      </c>
    </row>
    <row r="575" spans="1:19" ht="15.75" customHeight="1" x14ac:dyDescent="0.3">
      <c r="A575" s="37">
        <v>68454</v>
      </c>
      <c r="B575" s="409">
        <f t="shared" ref="B575:C575" si="581">($A575-B$9)/365.25</f>
        <v>105.53867214236824</v>
      </c>
      <c r="C575" s="409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3525.4531757812501</v>
      </c>
      <c r="H575" s="25">
        <f>IF(B575&lt;62,0,'Combined Retirement'!$I$14)</f>
        <v>2192</v>
      </c>
      <c r="I575" s="25">
        <f>IF(C575&lt;62,0,'Combined Retirement'!$I$13)</f>
        <v>2420</v>
      </c>
      <c r="J575" s="25">
        <f t="shared" si="523"/>
        <v>7863.2184191855868</v>
      </c>
      <c r="K575" s="25">
        <f t="shared" si="524"/>
        <v>20282.026119384056</v>
      </c>
      <c r="L575" s="25"/>
      <c r="N575" s="25">
        <f>'Combined Retirement'!$C$18/12</f>
        <v>39153.069999999992</v>
      </c>
      <c r="O575" s="25">
        <f t="shared" si="525"/>
        <v>11007.82546143035</v>
      </c>
      <c r="P575" s="25">
        <f t="shared" si="526"/>
        <v>28145.244538569641</v>
      </c>
      <c r="Q575" s="25">
        <f t="array" aca="1" ref="Q575" ca="1">INDEX('Isaac 401k'!L:L,MATCH('Retirement Calculator'!A575,'Isaac 401k'!N:N,0),0)</f>
        <v>605889.44571641064</v>
      </c>
      <c r="R575" s="25">
        <f t="array" aca="1" ref="R575" ca="1">INDEX('Lorri 401b'!L:L,MATCH('Retirement Calculator'!A575,'Lorri 401b'!N:N,0),0)</f>
        <v>453231.69592568709</v>
      </c>
      <c r="S575" s="25">
        <f t="shared" ca="1" si="527"/>
        <v>1059121.1416420978</v>
      </c>
    </row>
    <row r="576" spans="1:19" ht="15.75" customHeight="1" x14ac:dyDescent="0.3">
      <c r="A576" s="37">
        <v>68484</v>
      </c>
      <c r="B576" s="409">
        <f t="shared" ref="B576:C576" si="582">($A576-B$9)/365.25</f>
        <v>105.6208076659822</v>
      </c>
      <c r="C576" s="409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3525.4531757812501</v>
      </c>
      <c r="H576" s="25">
        <f>IF(B576&lt;62,0,'Combined Retirement'!$I$14)</f>
        <v>2192</v>
      </c>
      <c r="I576" s="25">
        <f>IF(C576&lt;62,0,'Combined Retirement'!$I$13)</f>
        <v>2420</v>
      </c>
      <c r="J576" s="25">
        <f t="shared" si="523"/>
        <v>7863.2184191855868</v>
      </c>
      <c r="K576" s="25">
        <f t="shared" si="524"/>
        <v>20282.026119384056</v>
      </c>
      <c r="L576" s="25"/>
      <c r="N576" s="25">
        <f>'Combined Retirement'!$C$18/12</f>
        <v>39153.069999999992</v>
      </c>
      <c r="O576" s="25">
        <f t="shared" si="525"/>
        <v>11007.82546143035</v>
      </c>
      <c r="P576" s="25">
        <f t="shared" si="526"/>
        <v>28145.244538569641</v>
      </c>
      <c r="Q576" s="25">
        <f t="array" aca="1" ref="Q576" ca="1">INDEX('Isaac 401k'!L:L,MATCH('Retirement Calculator'!A576,'Isaac 401k'!N:N,0),0)</f>
        <v>600518.00324429676</v>
      </c>
      <c r="R576" s="25">
        <f t="array" aca="1" ref="R576" ca="1">INDEX('Lorri 401b'!L:L,MATCH('Retirement Calculator'!A576,'Lorri 401b'!N:N,0),0)</f>
        <v>434753.62676382932</v>
      </c>
      <c r="S576" s="25">
        <f t="shared" ca="1" si="527"/>
        <v>1035271.6300081261</v>
      </c>
    </row>
    <row r="577" spans="1:19" ht="15.75" customHeight="1" x14ac:dyDescent="0.3">
      <c r="A577" s="37">
        <v>68515</v>
      </c>
      <c r="B577" s="409">
        <f t="shared" ref="B577:C577" si="583">($A577-B$9)/365.25</f>
        <v>105.7056810403833</v>
      </c>
      <c r="C577" s="409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3525.4531757812501</v>
      </c>
      <c r="H577" s="25">
        <f>IF(B577&lt;62,0,'Combined Retirement'!$I$14)</f>
        <v>2192</v>
      </c>
      <c r="I577" s="25">
        <f>IF(C577&lt;62,0,'Combined Retirement'!$I$13)</f>
        <v>2420</v>
      </c>
      <c r="J577" s="25">
        <f t="shared" si="523"/>
        <v>7863.2184191855868</v>
      </c>
      <c r="K577" s="25">
        <f t="shared" si="524"/>
        <v>20282.026119384056</v>
      </c>
      <c r="L577" s="25"/>
      <c r="N577" s="25">
        <f>'Combined Retirement'!$C$18/12</f>
        <v>39153.069999999992</v>
      </c>
      <c r="O577" s="25">
        <f t="shared" si="525"/>
        <v>11007.82546143035</v>
      </c>
      <c r="P577" s="25">
        <f t="shared" si="526"/>
        <v>28145.244538569641</v>
      </c>
      <c r="Q577" s="25">
        <f t="array" aca="1" ref="Q577" ca="1">INDEX('Isaac 401k'!L:L,MATCH('Retirement Calculator'!A577,'Isaac 401k'!N:N,0),0)</f>
        <v>595124.17976188241</v>
      </c>
      <c r="R577" s="25">
        <f t="array" aca="1" ref="R577" ca="1">INDEX('Lorri 401b'!L:L,MATCH('Retirement Calculator'!A577,'Lorri 401b'!N:N,0),0)</f>
        <v>416198.56564713048</v>
      </c>
      <c r="S577" s="25">
        <f t="shared" ca="1" si="527"/>
        <v>1011322.7454090129</v>
      </c>
    </row>
    <row r="578" spans="1:19" ht="15.75" customHeight="1" x14ac:dyDescent="0.3">
      <c r="A578" s="37">
        <v>68546</v>
      </c>
      <c r="B578" s="409">
        <f t="shared" ref="B578:C578" si="584">($A578-B$9)/365.25</f>
        <v>105.7905544147844</v>
      </c>
      <c r="C578" s="409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3525.4531757812501</v>
      </c>
      <c r="H578" s="25">
        <f>IF(B578&lt;62,0,'Combined Retirement'!$I$14)</f>
        <v>2192</v>
      </c>
      <c r="I578" s="25">
        <f>IF(C578&lt;62,0,'Combined Retirement'!$I$13)</f>
        <v>2420</v>
      </c>
      <c r="J578" s="25">
        <f t="shared" si="523"/>
        <v>7863.2184191855868</v>
      </c>
      <c r="K578" s="25">
        <f t="shared" si="524"/>
        <v>20282.026119384056</v>
      </c>
      <c r="L578" s="25"/>
      <c r="N578" s="25">
        <f>'Combined Retirement'!$C$18/12</f>
        <v>39153.069999999992</v>
      </c>
      <c r="O578" s="25">
        <f t="shared" si="525"/>
        <v>11007.82546143035</v>
      </c>
      <c r="P578" s="25">
        <f t="shared" si="526"/>
        <v>28145.244538569641</v>
      </c>
      <c r="Q578" s="25">
        <f t="array" aca="1" ref="Q578" ca="1">INDEX('Isaac 401k'!L:L,MATCH('Retirement Calculator'!A578,'Isaac 401k'!N:N,0),0)</f>
        <v>589707.88201495807</v>
      </c>
      <c r="R578" s="25">
        <f t="array" aca="1" ref="R578" ca="1">INDEX('Lorri 401b'!L:L,MATCH('Retirement Calculator'!A578,'Lorri 401b'!N:N,0),0)</f>
        <v>397566.19177577872</v>
      </c>
      <c r="S578" s="25">
        <f t="shared" ca="1" si="527"/>
        <v>987274.07379073673</v>
      </c>
    </row>
    <row r="579" spans="1:19" ht="15.75" customHeight="1" x14ac:dyDescent="0.3">
      <c r="A579" s="37">
        <v>68576</v>
      </c>
      <c r="B579" s="409">
        <f t="shared" ref="B579:C579" si="585">($A579-B$9)/365.25</f>
        <v>105.87268993839835</v>
      </c>
      <c r="C579" s="409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3525.4531757812501</v>
      </c>
      <c r="H579" s="25">
        <f>IF(B579&lt;62,0,'Combined Retirement'!$I$14)</f>
        <v>2192</v>
      </c>
      <c r="I579" s="25">
        <f>IF(C579&lt;62,0,'Combined Retirement'!$I$13)</f>
        <v>2420</v>
      </c>
      <c r="J579" s="25">
        <f t="shared" si="523"/>
        <v>7863.2184191855868</v>
      </c>
      <c r="K579" s="25">
        <f t="shared" si="524"/>
        <v>20282.026119384056</v>
      </c>
      <c r="L579" s="25"/>
      <c r="N579" s="25">
        <f>'Combined Retirement'!$C$18/12</f>
        <v>39153.069999999992</v>
      </c>
      <c r="O579" s="25">
        <f t="shared" si="525"/>
        <v>11007.82546143035</v>
      </c>
      <c r="P579" s="25">
        <f t="shared" si="526"/>
        <v>28145.244538569641</v>
      </c>
      <c r="Q579" s="25">
        <f t="array" aca="1" ref="Q579" ca="1">INDEX('Isaac 401k'!L:L,MATCH('Retirement Calculator'!A579,'Isaac 401k'!N:N,0),0)</f>
        <v>584269.01636075485</v>
      </c>
      <c r="R579" s="25">
        <f t="array" aca="1" ref="R579" ca="1">INDEX('Lorri 401b'!L:L,MATCH('Retirement Calculator'!A579,'Lorri 401b'!N:N,0),0)</f>
        <v>378856.18301329634</v>
      </c>
      <c r="S579" s="25">
        <f t="shared" ca="1" si="527"/>
        <v>963125.19937405118</v>
      </c>
    </row>
    <row r="580" spans="1:19" ht="15.75" customHeight="1" x14ac:dyDescent="0.3">
      <c r="A580" s="37">
        <v>68607</v>
      </c>
      <c r="B580" s="409">
        <f t="shared" ref="B580:C580" si="586">($A580-B$9)/365.25</f>
        <v>105.95756331279945</v>
      </c>
      <c r="C580" s="409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3525.4531757812501</v>
      </c>
      <c r="H580" s="25">
        <f>IF(B580&lt;62,0,'Combined Retirement'!$I$14)</f>
        <v>2192</v>
      </c>
      <c r="I580" s="25">
        <f>IF(C580&lt;62,0,'Combined Retirement'!$I$13)</f>
        <v>2420</v>
      </c>
      <c r="J580" s="25">
        <f t="shared" si="523"/>
        <v>7863.2184191855868</v>
      </c>
      <c r="K580" s="25">
        <f t="shared" si="524"/>
        <v>20282.026119384056</v>
      </c>
      <c r="L580" s="25"/>
      <c r="N580" s="25">
        <f>'Combined Retirement'!$C$18/12</f>
        <v>39153.069999999992</v>
      </c>
      <c r="O580" s="25">
        <f t="shared" si="525"/>
        <v>11007.82546143035</v>
      </c>
      <c r="P580" s="25">
        <f t="shared" si="526"/>
        <v>28145.244538569641</v>
      </c>
      <c r="Q580" s="25">
        <f t="array" aca="1" ref="Q580" ca="1">INDEX('Isaac 401k'!L:L,MATCH('Retirement Calculator'!A580,'Isaac 401k'!N:N,0),0)</f>
        <v>578807.48876632575</v>
      </c>
      <c r="R580" s="25">
        <f t="array" aca="1" ref="R580" ca="1">INDEX('Lorri 401b'!L:L,MATCH('Retirement Calculator'!A580,'Lorri 401b'!N:N,0),0)</f>
        <v>360068.21588097024</v>
      </c>
      <c r="S580" s="25">
        <f t="shared" ca="1" si="527"/>
        <v>938875.70464729599</v>
      </c>
    </row>
    <row r="581" spans="1:19" ht="15.75" customHeight="1" x14ac:dyDescent="0.3">
      <c r="A581" s="37">
        <v>68637</v>
      </c>
      <c r="B581" s="409">
        <f t="shared" ref="B581:C581" si="587">($A581-B$9)/365.25</f>
        <v>106.03969883641342</v>
      </c>
      <c r="C581" s="409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3525.4531757812501</v>
      </c>
      <c r="H581" s="25">
        <f>IF(B581&lt;62,0,'Combined Retirement'!$I$14)</f>
        <v>2192</v>
      </c>
      <c r="I581" s="25">
        <f>IF(C581&lt;62,0,'Combined Retirement'!$I$13)</f>
        <v>2420</v>
      </c>
      <c r="J581" s="25">
        <f t="shared" si="523"/>
        <v>7863.2184191855868</v>
      </c>
      <c r="K581" s="25">
        <f t="shared" si="524"/>
        <v>20282.026119384056</v>
      </c>
      <c r="L581" s="25"/>
      <c r="N581" s="25">
        <f>'Combined Retirement'!$C$18/12</f>
        <v>39153.069999999992</v>
      </c>
      <c r="O581" s="25">
        <f t="shared" si="525"/>
        <v>11007.82546143035</v>
      </c>
      <c r="P581" s="25">
        <f t="shared" si="526"/>
        <v>28145.244538569641</v>
      </c>
      <c r="Q581" s="25">
        <f t="array" aca="1" ref="Q581" ca="1">INDEX('Isaac 401k'!L:L,MATCH('Retirement Calculator'!A581,'Isaac 401k'!N:N,0),0)</f>
        <v>573323.20480691991</v>
      </c>
      <c r="R581" s="25">
        <f t="array" aca="1" ref="R581" ca="1">INDEX('Lorri 401b'!L:L,MATCH('Retirement Calculator'!A581,'Lorri 401b'!N:N,0),0)</f>
        <v>341201.96555225947</v>
      </c>
      <c r="S581" s="25">
        <f t="shared" ca="1" si="527"/>
        <v>914525.17035917938</v>
      </c>
    </row>
    <row r="582" spans="1:19" ht="15.75" customHeight="1" x14ac:dyDescent="0.3">
      <c r="A582" s="37">
        <v>68668</v>
      </c>
      <c r="B582" s="409">
        <f t="shared" ref="B582:C582" si="588">($A582-B$9)/365.25</f>
        <v>106.12457221081451</v>
      </c>
      <c r="C582" s="409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3525.4531757812501</v>
      </c>
      <c r="H582" s="25">
        <f>IF(B582&lt;62,0,'Combined Retirement'!$I$14)</f>
        <v>2192</v>
      </c>
      <c r="I582" s="25">
        <f>IF(C582&lt;62,0,'Combined Retirement'!$I$13)</f>
        <v>2420</v>
      </c>
      <c r="J582" s="25">
        <f t="shared" si="523"/>
        <v>7863.2184191855868</v>
      </c>
      <c r="K582" s="25">
        <f t="shared" si="524"/>
        <v>20282.026119384056</v>
      </c>
      <c r="L582" s="25"/>
      <c r="N582" s="25">
        <f>'Combined Retirement'!$C$18/12</f>
        <v>39153.069999999992</v>
      </c>
      <c r="O582" s="25">
        <f t="shared" si="525"/>
        <v>11007.82546143035</v>
      </c>
      <c r="P582" s="25">
        <f t="shared" si="526"/>
        <v>28145.244538569641</v>
      </c>
      <c r="Q582" s="25">
        <f t="array" aca="1" ref="Q582" ca="1">INDEX('Isaac 401k'!L:L,MATCH('Retirement Calculator'!A582,'Isaac 401k'!N:N,0),0)</f>
        <v>567816.0696643499</v>
      </c>
      <c r="R582" s="25">
        <f t="array" aca="1" ref="R582" ca="1">INDEX('Lorri 401b'!L:L,MATCH('Retirement Calculator'!A582,'Lorri 401b'!N:N,0),0)</f>
        <v>322257.10584717907</v>
      </c>
      <c r="S582" s="25">
        <f t="shared" ca="1" si="527"/>
        <v>890073.17551152897</v>
      </c>
    </row>
    <row r="583" spans="1:19" ht="15.75" customHeight="1" x14ac:dyDescent="0.3">
      <c r="A583" s="37">
        <v>68699</v>
      </c>
      <c r="B583" s="409">
        <f t="shared" ref="B583:C583" si="589">($A583-B$9)/365.25</f>
        <v>106.2094455852156</v>
      </c>
      <c r="C583" s="409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3525.4531757812501</v>
      </c>
      <c r="H583" s="25">
        <f>IF(B583&lt;62,0,'Combined Retirement'!$I$14)</f>
        <v>2192</v>
      </c>
      <c r="I583" s="25">
        <f>IF(C583&lt;62,0,'Combined Retirement'!$I$13)</f>
        <v>2420</v>
      </c>
      <c r="J583" s="25">
        <f t="shared" si="523"/>
        <v>7863.2184191855868</v>
      </c>
      <c r="K583" s="25">
        <f t="shared" si="524"/>
        <v>20282.026119384056</v>
      </c>
      <c r="L583" s="25"/>
      <c r="N583" s="25">
        <f>'Combined Retirement'!$C$18/12</f>
        <v>39153.069999999992</v>
      </c>
      <c r="O583" s="25">
        <f t="shared" si="525"/>
        <v>11007.82546143035</v>
      </c>
      <c r="P583" s="25">
        <f t="shared" si="526"/>
        <v>28145.244538569641</v>
      </c>
      <c r="Q583" s="25">
        <f t="array" aca="1" ref="Q583" ca="1">INDEX('Isaac 401k'!L:L,MATCH('Retirement Calculator'!A583,'Isaac 401k'!N:N,0),0)</f>
        <v>562285.98812535242</v>
      </c>
      <c r="R583" s="25">
        <f t="array" aca="1" ref="R583" ca="1">INDEX('Lorri 401b'!L:L,MATCH('Retirement Calculator'!A583,'Lorri 401b'!N:N,0),0)</f>
        <v>303233.30922666087</v>
      </c>
      <c r="S583" s="25">
        <f t="shared" ca="1" si="527"/>
        <v>865519.29735201329</v>
      </c>
    </row>
    <row r="584" spans="1:19" ht="15.75" customHeight="1" x14ac:dyDescent="0.3">
      <c r="A584" s="37">
        <v>68728</v>
      </c>
      <c r="B584" s="409">
        <f t="shared" ref="B584:C584" si="590">($A584-B$9)/365.25</f>
        <v>106.28884325804243</v>
      </c>
      <c r="C584" s="409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3525.4531757812501</v>
      </c>
      <c r="H584" s="25">
        <f>IF(B584&lt;62,0,'Combined Retirement'!$I$14)</f>
        <v>2192</v>
      </c>
      <c r="I584" s="25">
        <f>IF(C584&lt;62,0,'Combined Retirement'!$I$13)</f>
        <v>2420</v>
      </c>
      <c r="J584" s="25">
        <f t="shared" si="523"/>
        <v>7863.2184191855868</v>
      </c>
      <c r="K584" s="25">
        <f t="shared" si="524"/>
        <v>20282.026119384056</v>
      </c>
      <c r="L584" s="25"/>
      <c r="N584" s="25">
        <f>'Combined Retirement'!$C$18/12</f>
        <v>39153.069999999992</v>
      </c>
      <c r="O584" s="25">
        <f t="shared" si="525"/>
        <v>11007.82546143035</v>
      </c>
      <c r="P584" s="25">
        <f t="shared" si="526"/>
        <v>28145.244538569641</v>
      </c>
      <c r="Q584" s="25">
        <f t="array" aca="1" ref="Q584" ca="1">INDEX('Isaac 401k'!L:L,MATCH('Retirement Calculator'!A584,'Isaac 401k'!N:N,0),0)</f>
        <v>556732.86457994254</v>
      </c>
      <c r="R584" s="25">
        <f t="array" aca="1" ref="R584" ca="1">INDEX('Lorri 401b'!L:L,MATCH('Retirement Calculator'!A584,'Lorri 401b'!N:N,0),0)</f>
        <v>284130.24678689049</v>
      </c>
      <c r="S584" s="25">
        <f t="shared" ca="1" si="527"/>
        <v>840863.11136683309</v>
      </c>
    </row>
    <row r="585" spans="1:19" ht="15.75" customHeight="1" x14ac:dyDescent="0.3">
      <c r="A585" s="37">
        <v>68759</v>
      </c>
      <c r="B585" s="409">
        <f t="shared" ref="B585:C585" si="591">($A585-B$9)/365.25</f>
        <v>106.37371663244353</v>
      </c>
      <c r="C585" s="409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3525.4531757812501</v>
      </c>
      <c r="H585" s="25">
        <f>IF(B585&lt;62,0,'Combined Retirement'!$I$14)</f>
        <v>2192</v>
      </c>
      <c r="I585" s="25">
        <f>IF(C585&lt;62,0,'Combined Retirement'!$I$13)</f>
        <v>2420</v>
      </c>
      <c r="J585" s="25">
        <f t="shared" si="523"/>
        <v>7863.2184191855868</v>
      </c>
      <c r="K585" s="25">
        <f t="shared" si="524"/>
        <v>20282.026119384056</v>
      </c>
      <c r="L585" s="25"/>
      <c r="N585" s="25">
        <f>'Combined Retirement'!$C$18/12</f>
        <v>39153.069999999992</v>
      </c>
      <c r="O585" s="25">
        <f t="shared" si="525"/>
        <v>11007.82546143035</v>
      </c>
      <c r="P585" s="25">
        <f t="shared" si="526"/>
        <v>28145.244538569641</v>
      </c>
      <c r="Q585" s="25">
        <f t="array" aca="1" ref="Q585" ca="1">INDEX('Isaac 401k'!L:L,MATCH('Retirement Calculator'!A585,'Isaac 401k'!N:N,0),0)</f>
        <v>551156.60301976011</v>
      </c>
      <c r="R585" s="25">
        <f t="array" aca="1" ref="R585" ca="1">INDEX('Lorri 401b'!L:L,MATCH('Retirement Calculator'!A585,'Lorri 401b'!N:N,0),0)</f>
        <v>264947.58825362107</v>
      </c>
      <c r="S585" s="25">
        <f t="shared" ca="1" si="527"/>
        <v>816104.19127338124</v>
      </c>
    </row>
    <row r="586" spans="1:19" ht="15.75" customHeight="1" x14ac:dyDescent="0.3">
      <c r="A586" s="37">
        <v>68789</v>
      </c>
      <c r="B586" s="409">
        <f t="shared" ref="B586:C586" si="592">($A586-B$9)/365.25</f>
        <v>106.45585215605749</v>
      </c>
      <c r="C586" s="409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3525.4531757812501</v>
      </c>
      <c r="H586" s="25">
        <f>IF(B586&lt;62,0,'Combined Retirement'!$I$14)</f>
        <v>2192</v>
      </c>
      <c r="I586" s="25">
        <f>IF(C586&lt;62,0,'Combined Retirement'!$I$13)</f>
        <v>2420</v>
      </c>
      <c r="J586" s="25">
        <f t="shared" si="523"/>
        <v>7863.2184191855868</v>
      </c>
      <c r="K586" s="25">
        <f t="shared" si="524"/>
        <v>20282.026119384056</v>
      </c>
      <c r="L586" s="25"/>
      <c r="N586" s="25">
        <f>'Combined Retirement'!$C$18/12</f>
        <v>39153.069999999992</v>
      </c>
      <c r="O586" s="25">
        <f t="shared" si="525"/>
        <v>11007.82546143035</v>
      </c>
      <c r="P586" s="25">
        <f t="shared" si="526"/>
        <v>28145.244538569641</v>
      </c>
      <c r="Q586" s="25">
        <f t="array" aca="1" ref="Q586" ca="1">INDEX('Isaac 401k'!L:L,MATCH('Retirement Calculator'!A586,'Isaac 401k'!N:N,0),0)</f>
        <v>545557.10703641025</v>
      </c>
      <c r="R586" s="25">
        <f t="array" aca="1" ref="R586" ca="1">INDEX('Lorri 401b'!L:L,MATCH('Retirement Calculator'!A586,'Lorri 401b'!N:N,0),0)</f>
        <v>245685.00197646301</v>
      </c>
      <c r="S586" s="25">
        <f t="shared" ca="1" si="527"/>
        <v>791242.10901287326</v>
      </c>
    </row>
    <row r="587" spans="1:19" ht="15.75" customHeight="1" x14ac:dyDescent="0.3">
      <c r="A587" s="37">
        <v>68820</v>
      </c>
      <c r="B587" s="409">
        <f t="shared" ref="B587:C587" si="593">($A587-B$9)/365.25</f>
        <v>106.54072553045859</v>
      </c>
      <c r="C587" s="409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3525.4531757812501</v>
      </c>
      <c r="H587" s="25">
        <f>IF(B587&lt;62,0,'Combined Retirement'!$I$14)</f>
        <v>2192</v>
      </c>
      <c r="I587" s="25">
        <f>IF(C587&lt;62,0,'Combined Retirement'!$I$13)</f>
        <v>2420</v>
      </c>
      <c r="J587" s="25">
        <f t="shared" si="523"/>
        <v>7863.2184191855868</v>
      </c>
      <c r="K587" s="25">
        <f t="shared" si="524"/>
        <v>20282.026119384056</v>
      </c>
      <c r="L587" s="25"/>
      <c r="N587" s="25">
        <f>'Combined Retirement'!$C$18/12</f>
        <v>39153.069999999992</v>
      </c>
      <c r="O587" s="25">
        <f t="shared" si="525"/>
        <v>11007.82546143035</v>
      </c>
      <c r="P587" s="25">
        <f t="shared" si="526"/>
        <v>28145.244538569641</v>
      </c>
      <c r="Q587" s="25">
        <f t="array" aca="1" ref="Q587" ca="1">INDEX('Isaac 401k'!L:L,MATCH('Retirement Calculator'!A587,'Isaac 401k'!N:N,0),0)</f>
        <v>539934.27981979644</v>
      </c>
      <c r="R587" s="25">
        <f t="array" aca="1" ref="R587" ca="1">INDEX('Lorri 401b'!L:L,MATCH('Retirement Calculator'!A587,'Lorri 401b'!N:N,0),0)</f>
        <v>226342.15492315014</v>
      </c>
      <c r="S587" s="25">
        <f t="shared" ca="1" si="527"/>
        <v>766276.43474294664</v>
      </c>
    </row>
    <row r="588" spans="1:19" ht="15.75" customHeight="1" x14ac:dyDescent="0.3">
      <c r="A588" s="37">
        <v>68850</v>
      </c>
      <c r="B588" s="409">
        <f t="shared" ref="B588:C588" si="594">($A588-B$9)/365.25</f>
        <v>106.62286105407256</v>
      </c>
      <c r="C588" s="409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3525.4531757812501</v>
      </c>
      <c r="H588" s="25">
        <f>IF(B588&lt;62,0,'Combined Retirement'!$I$14)</f>
        <v>2192</v>
      </c>
      <c r="I588" s="25">
        <f>IF(C588&lt;62,0,'Combined Retirement'!$I$13)</f>
        <v>2420</v>
      </c>
      <c r="J588" s="25">
        <f t="shared" si="523"/>
        <v>7863.2184191855868</v>
      </c>
      <c r="K588" s="25">
        <f t="shared" si="524"/>
        <v>20282.026119384056</v>
      </c>
      <c r="L588" s="25"/>
      <c r="N588" s="25">
        <f>'Combined Retirement'!$C$18/12</f>
        <v>39153.069999999992</v>
      </c>
      <c r="O588" s="25">
        <f t="shared" si="525"/>
        <v>11007.82546143035</v>
      </c>
      <c r="P588" s="25">
        <f t="shared" si="526"/>
        <v>28145.244538569641</v>
      </c>
      <c r="Q588" s="25">
        <f t="array" aca="1" ref="Q588" ca="1">INDEX('Isaac 401k'!L:L,MATCH('Retirement Calculator'!A588,'Isaac 401k'!N:N,0),0)</f>
        <v>534288.02415644669</v>
      </c>
      <c r="R588" s="25">
        <f t="array" aca="1" ref="R588" ca="1">INDEX('Lorri 401b'!L:L,MATCH('Retirement Calculator'!A588,'Lorri 401b'!N:N,0),0)</f>
        <v>206918.71267378179</v>
      </c>
      <c r="S588" s="25">
        <f t="shared" ca="1" si="527"/>
        <v>741206.73683022847</v>
      </c>
    </row>
    <row r="589" spans="1:19" ht="15.75" customHeight="1" x14ac:dyDescent="0.3">
      <c r="A589" s="37">
        <v>68881</v>
      </c>
      <c r="B589" s="409">
        <f t="shared" ref="B589:C589" si="595">($A589-B$9)/365.25</f>
        <v>106.70773442847364</v>
      </c>
      <c r="C589" s="409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3525.4531757812501</v>
      </c>
      <c r="H589" s="25">
        <f>IF(B589&lt;62,0,'Combined Retirement'!$I$14)</f>
        <v>2192</v>
      </c>
      <c r="I589" s="25">
        <f>IF(C589&lt;62,0,'Combined Retirement'!$I$13)</f>
        <v>2420</v>
      </c>
      <c r="J589" s="25">
        <f t="shared" si="523"/>
        <v>7863.2184191855868</v>
      </c>
      <c r="K589" s="25">
        <f t="shared" si="524"/>
        <v>20282.026119384056</v>
      </c>
      <c r="L589" s="25"/>
      <c r="N589" s="25">
        <f>'Combined Retirement'!$C$18/12</f>
        <v>39153.069999999992</v>
      </c>
      <c r="O589" s="25">
        <f t="shared" si="525"/>
        <v>11007.82546143035</v>
      </c>
      <c r="P589" s="25">
        <f t="shared" si="526"/>
        <v>28145.244538569641</v>
      </c>
      <c r="Q589" s="25">
        <f t="array" aca="1" ref="Q589" ca="1">INDEX('Isaac 401k'!L:L,MATCH('Retirement Calculator'!A589,'Isaac 401k'!N:N,0),0)</f>
        <v>528618.24242783303</v>
      </c>
      <c r="R589" s="25">
        <f t="array" aca="1" ref="R589" ca="1">INDEX('Lorri 401b'!L:L,MATCH('Retirement Calculator'!A589,'Lorri 401b'!N:N,0),0)</f>
        <v>187414.33941504106</v>
      </c>
      <c r="S589" s="25">
        <f t="shared" ca="1" si="527"/>
        <v>716032.58184287406</v>
      </c>
    </row>
    <row r="590" spans="1:19" ht="15.75" customHeight="1" x14ac:dyDescent="0.3">
      <c r="A590" s="37">
        <v>68912</v>
      </c>
      <c r="B590" s="409">
        <f t="shared" ref="B590:C590" si="596">($A590-B$9)/365.25</f>
        <v>106.79260780287474</v>
      </c>
      <c r="C590" s="409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3525.4531757812501</v>
      </c>
      <c r="H590" s="25">
        <f>IF(B590&lt;62,0,'Combined Retirement'!$I$14)</f>
        <v>2192</v>
      </c>
      <c r="I590" s="25">
        <f>IF(C590&lt;62,0,'Combined Retirement'!$I$13)</f>
        <v>2420</v>
      </c>
      <c r="J590" s="25">
        <f t="shared" si="523"/>
        <v>7863.2184191855868</v>
      </c>
      <c r="K590" s="25">
        <f t="shared" si="524"/>
        <v>20282.026119384056</v>
      </c>
      <c r="L590" s="25"/>
      <c r="N590" s="25">
        <f>'Combined Retirement'!$C$18/12</f>
        <v>39153.069999999992</v>
      </c>
      <c r="O590" s="25">
        <f t="shared" si="525"/>
        <v>11007.82546143035</v>
      </c>
      <c r="P590" s="25">
        <f t="shared" si="526"/>
        <v>28145.244538569641</v>
      </c>
      <c r="Q590" s="25">
        <f t="array" aca="1" ref="Q590" ca="1">INDEX('Isaac 401k'!L:L,MATCH('Retirement Calculator'!A590,'Isaac 401k'!N:N,0),0)</f>
        <v>522924.83660868346</v>
      </c>
      <c r="R590" s="25">
        <f t="array" aca="1" ref="R590" ca="1">INDEX('Lorri 401b'!L:L,MATCH('Retirement Calculator'!A590,'Lorri 401b'!N:N,0),0)</f>
        <v>167828.69793438888</v>
      </c>
      <c r="S590" s="25">
        <f t="shared" ca="1" si="527"/>
        <v>690753.53454307234</v>
      </c>
    </row>
    <row r="591" spans="1:19" ht="15.75" customHeight="1" x14ac:dyDescent="0.3">
      <c r="A591" s="37">
        <v>68942</v>
      </c>
      <c r="B591" s="409">
        <f t="shared" ref="B591:C591" si="597">($A591-B$9)/365.25</f>
        <v>106.87474332648871</v>
      </c>
      <c r="C591" s="409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3525.4531757812501</v>
      </c>
      <c r="H591" s="25">
        <f>IF(B591&lt;62,0,'Combined Retirement'!$I$14)</f>
        <v>2192</v>
      </c>
      <c r="I591" s="25">
        <f>IF(C591&lt;62,0,'Combined Retirement'!$I$13)</f>
        <v>2420</v>
      </c>
      <c r="J591" s="25">
        <f t="shared" si="523"/>
        <v>7863.2184191855868</v>
      </c>
      <c r="K591" s="25">
        <f t="shared" si="524"/>
        <v>20282.026119384056</v>
      </c>
      <c r="L591" s="25"/>
      <c r="N591" s="25">
        <f>'Combined Retirement'!$C$18/12</f>
        <v>39153.069999999992</v>
      </c>
      <c r="O591" s="25">
        <f t="shared" si="525"/>
        <v>11007.82546143035</v>
      </c>
      <c r="P591" s="25">
        <f t="shared" si="526"/>
        <v>28145.244538569641</v>
      </c>
      <c r="Q591" s="25">
        <f t="array" aca="1" ref="Q591" ca="1">INDEX('Isaac 401k'!L:L,MATCH('Retirement Calculator'!A591,'Isaac 401k'!N:N,0),0)</f>
        <v>517207.70826528745</v>
      </c>
      <c r="R591" s="25">
        <f t="array" aca="1" ref="R591" ca="1">INDEX('Lorri 401b'!L:L,MATCH('Retirement Calculator'!A591,'Lorri 401b'!N:N,0),0)</f>
        <v>148161.44961423404</v>
      </c>
      <c r="S591" s="25">
        <f t="shared" ca="1" si="527"/>
        <v>665369.15787952149</v>
      </c>
    </row>
    <row r="592" spans="1:19" ht="15.75" customHeight="1" x14ac:dyDescent="0.3">
      <c r="A592" s="37">
        <v>68973</v>
      </c>
      <c r="B592" s="409">
        <f t="shared" ref="B592:C592" si="598">($A592-B$9)/365.25</f>
        <v>106.9596167008898</v>
      </c>
      <c r="C592" s="409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3525.4531757812501</v>
      </c>
      <c r="H592" s="25">
        <f>IF(B592&lt;62,0,'Combined Retirement'!$I$14)</f>
        <v>2192</v>
      </c>
      <c r="I592" s="25">
        <f>IF(C592&lt;62,0,'Combined Retirement'!$I$13)</f>
        <v>2420</v>
      </c>
      <c r="J592" s="25">
        <f t="shared" si="523"/>
        <v>7863.2184191855868</v>
      </c>
      <c r="K592" s="25">
        <f t="shared" si="524"/>
        <v>20282.026119384056</v>
      </c>
      <c r="L592" s="25"/>
      <c r="N592" s="25">
        <f>'Combined Retirement'!$C$18/12</f>
        <v>39153.069999999992</v>
      </c>
      <c r="O592" s="25">
        <f t="shared" si="525"/>
        <v>11007.82546143035</v>
      </c>
      <c r="P592" s="25">
        <f t="shared" si="526"/>
        <v>28145.244538569641</v>
      </c>
      <c r="Q592" s="25">
        <f t="array" aca="1" ref="Q592" ca="1">INDEX('Isaac 401k'!L:L,MATCH('Retirement Calculator'!A592,'Isaac 401k'!N:N,0),0)</f>
        <v>511466.75855379394</v>
      </c>
      <c r="R592" s="25">
        <f t="array" aca="1" ref="R592" ca="1">INDEX('Lorri 401b'!L:L,MATCH('Retirement Calculator'!A592,'Lorri 401b'!N:N,0),0)</f>
        <v>128412.25442607852</v>
      </c>
      <c r="S592" s="25">
        <f t="shared" ca="1" si="527"/>
        <v>639879.01297987252</v>
      </c>
    </row>
    <row r="593" spans="1:19" ht="15.75" customHeight="1" x14ac:dyDescent="0.3">
      <c r="A593" s="37">
        <v>69003</v>
      </c>
      <c r="B593" s="409">
        <f t="shared" ref="B593:C593" si="599">($A593-B$9)/365.25</f>
        <v>107.04175222450377</v>
      </c>
      <c r="C593" s="409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3525.4531757812501</v>
      </c>
      <c r="H593" s="25">
        <f>IF(B593&lt;62,0,'Combined Retirement'!$I$14)</f>
        <v>2192</v>
      </c>
      <c r="I593" s="25">
        <f>IF(C593&lt;62,0,'Combined Retirement'!$I$13)</f>
        <v>2420</v>
      </c>
      <c r="J593" s="25">
        <f t="shared" si="523"/>
        <v>7863.2184191855868</v>
      </c>
      <c r="K593" s="25">
        <f t="shared" si="524"/>
        <v>20282.026119384056</v>
      </c>
      <c r="L593" s="25"/>
      <c r="N593" s="25">
        <f>'Combined Retirement'!$C$18/12</f>
        <v>39153.069999999992</v>
      </c>
      <c r="O593" s="25">
        <f t="shared" si="525"/>
        <v>11007.82546143035</v>
      </c>
      <c r="P593" s="25">
        <f t="shared" si="526"/>
        <v>28145.244538569641</v>
      </c>
      <c r="Q593" s="25">
        <f t="array" aca="1" ref="Q593" ca="1">INDEX('Isaac 401k'!L:L,MATCH('Retirement Calculator'!A593,'Isaac 401k'!N:N,0),0)</f>
        <v>505701.88821850251</v>
      </c>
      <c r="R593" s="25">
        <f t="array" aca="1" ref="R593" ca="1">INDEX('Lorri 401b'!L:L,MATCH('Retirement Calculator'!A593,'Lorri 401b'!N:N,0),0)</f>
        <v>108580.77092463903</v>
      </c>
      <c r="S593" s="25">
        <f t="shared" ca="1" si="527"/>
        <v>614282.65914314159</v>
      </c>
    </row>
    <row r="594" spans="1:19" ht="15.75" customHeight="1" x14ac:dyDescent="0.3">
      <c r="A594" s="37">
        <v>69034</v>
      </c>
      <c r="B594" s="409">
        <f t="shared" ref="B594:C594" si="600">($A594-B$9)/365.25</f>
        <v>107.12662559890487</v>
      </c>
      <c r="C594" s="409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3525.4531757812501</v>
      </c>
      <c r="H594" s="25">
        <f>IF(B594&lt;62,0,'Combined Retirement'!$I$14)</f>
        <v>2192</v>
      </c>
      <c r="I594" s="25">
        <f>IF(C594&lt;62,0,'Combined Retirement'!$I$13)</f>
        <v>2420</v>
      </c>
      <c r="J594" s="25">
        <f t="shared" si="523"/>
        <v>7863.2184191855868</v>
      </c>
      <c r="K594" s="25">
        <f t="shared" si="524"/>
        <v>20282.026119384056</v>
      </c>
      <c r="L594" s="25"/>
      <c r="N594" s="25">
        <f>'Combined Retirement'!$C$18/12</f>
        <v>39153.069999999992</v>
      </c>
      <c r="O594" s="25">
        <f t="shared" si="525"/>
        <v>11007.82546143035</v>
      </c>
      <c r="P594" s="25">
        <f t="shared" si="526"/>
        <v>28145.244538569641</v>
      </c>
      <c r="Q594" s="25">
        <f t="array" aca="1" ref="Q594" ca="1">INDEX('Isaac 401k'!L:L,MATCH('Retirement Calculator'!A594,'Isaac 401k'!N:N,0),0)</f>
        <v>499912.99759014737</v>
      </c>
      <c r="R594" s="25">
        <f t="array" aca="1" ref="R594" ca="1">INDEX('Lorri 401b'!L:L,MATCH('Retirement Calculator'!A594,'Lorri 401b'!N:N,0),0)</f>
        <v>88666.656241943536</v>
      </c>
      <c r="S594" s="25">
        <f t="shared" ca="1" si="527"/>
        <v>588579.6538320909</v>
      </c>
    </row>
    <row r="595" spans="1:19" ht="15.75" customHeight="1" x14ac:dyDescent="0.3">
      <c r="A595" s="37">
        <v>69065</v>
      </c>
      <c r="B595" s="409">
        <f t="shared" ref="B595:C595" si="601">($A595-B$9)/365.25</f>
        <v>107.21149897330595</v>
      </c>
      <c r="C595" s="409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3525.4531757812501</v>
      </c>
      <c r="H595" s="25">
        <f>IF(B595&lt;62,0,'Combined Retirement'!$I$14)</f>
        <v>2192</v>
      </c>
      <c r="I595" s="25">
        <f>IF(C595&lt;62,0,'Combined Retirement'!$I$13)</f>
        <v>2420</v>
      </c>
      <c r="J595" s="25">
        <f t="shared" si="523"/>
        <v>7863.2184191855868</v>
      </c>
      <c r="K595" s="25">
        <f t="shared" si="524"/>
        <v>20282.026119384056</v>
      </c>
      <c r="L595" s="25"/>
      <c r="N595" s="25">
        <f>'Combined Retirement'!$C$18/12</f>
        <v>39153.069999999992</v>
      </c>
      <c r="O595" s="25">
        <f t="shared" si="525"/>
        <v>11007.82546143035</v>
      </c>
      <c r="P595" s="25">
        <f t="shared" si="526"/>
        <v>28145.244538569641</v>
      </c>
      <c r="Q595" s="25">
        <f t="array" aca="1" ref="Q595" ca="1">INDEX('Isaac 401k'!L:L,MATCH('Retirement Calculator'!A595,'Isaac 401k'!N:N,0),0)</f>
        <v>494099.9865841741</v>
      </c>
      <c r="R595" s="25">
        <f t="array" aca="1" ref="R595" ca="1">INDEX('Lorri 401b'!L:L,MATCH('Retirement Calculator'!A595,'Lorri 401b'!N:N,0),0)</f>
        <v>68669.566081403478</v>
      </c>
      <c r="S595" s="25">
        <f t="shared" ca="1" si="527"/>
        <v>562769.55266557762</v>
      </c>
    </row>
    <row r="596" spans="1:19" ht="15.75" customHeight="1" x14ac:dyDescent="0.3">
      <c r="A596" s="37">
        <v>69093</v>
      </c>
      <c r="B596" s="409">
        <f t="shared" ref="B596:C596" si="602">($A596-B$9)/365.25</f>
        <v>107.28815879534565</v>
      </c>
      <c r="C596" s="409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3525.4531757812501</v>
      </c>
      <c r="H596" s="25">
        <f>IF(B596&lt;62,0,'Combined Retirement'!$I$14)</f>
        <v>2192</v>
      </c>
      <c r="I596" s="25">
        <f>IF(C596&lt;62,0,'Combined Retirement'!$I$13)</f>
        <v>2420</v>
      </c>
      <c r="J596" s="25">
        <f t="shared" si="523"/>
        <v>7863.2184191855868</v>
      </c>
      <c r="K596" s="25">
        <f t="shared" si="524"/>
        <v>20282.026119384056</v>
      </c>
      <c r="L596" s="25"/>
      <c r="N596" s="25">
        <f>'Combined Retirement'!$C$18/12</f>
        <v>39153.069999999992</v>
      </c>
      <c r="O596" s="25">
        <f t="shared" si="525"/>
        <v>11007.82546143035</v>
      </c>
      <c r="P596" s="25">
        <f t="shared" si="526"/>
        <v>28145.244538569641</v>
      </c>
      <c r="Q596" s="25">
        <f t="array" aca="1" ref="Q596" ca="1">INDEX('Isaac 401k'!L:L,MATCH('Retirement Calculator'!A596,'Isaac 401k'!N:N,0),0)</f>
        <v>488262.7546990093</v>
      </c>
      <c r="R596" s="25">
        <f t="array" aca="1" ref="R596" ca="1">INDEX('Lorri 401b'!L:L,MATCH('Retirement Calculator'!A596,'Lorri 401b'!N:N,0),0)</f>
        <v>48589.154711861171</v>
      </c>
      <c r="S596" s="25">
        <f t="shared" ca="1" si="527"/>
        <v>536851.90941087052</v>
      </c>
    </row>
    <row r="597" spans="1:19" ht="15.75" customHeight="1" x14ac:dyDescent="0.3">
      <c r="A597" s="37">
        <v>69124</v>
      </c>
      <c r="B597" s="409">
        <f t="shared" ref="B597:C597" si="603">($A597-B$9)/365.25</f>
        <v>107.37303216974675</v>
      </c>
      <c r="C597" s="409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3525.4531757812501</v>
      </c>
      <c r="H597" s="25">
        <f>IF(B597&lt;62,0,'Combined Retirement'!$I$14)</f>
        <v>2192</v>
      </c>
      <c r="I597" s="25">
        <f>IF(C597&lt;62,0,'Combined Retirement'!$I$13)</f>
        <v>2420</v>
      </c>
      <c r="J597" s="25">
        <f t="shared" si="523"/>
        <v>7863.2184191855868</v>
      </c>
      <c r="K597" s="25">
        <f t="shared" si="524"/>
        <v>20282.026119384056</v>
      </c>
      <c r="L597" s="25"/>
      <c r="N597" s="25">
        <f>'Combined Retirement'!$C$18/12</f>
        <v>39153.069999999992</v>
      </c>
      <c r="O597" s="25">
        <f t="shared" si="525"/>
        <v>11007.82546143035</v>
      </c>
      <c r="P597" s="25">
        <f t="shared" si="526"/>
        <v>28145.244538569641</v>
      </c>
      <c r="Q597" s="25">
        <f t="array" aca="1" ref="Q597" ca="1">INDEX('Isaac 401k'!L:L,MATCH('Retirement Calculator'!A597,'Isaac 401k'!N:N,0),0)</f>
        <v>482401.20101432293</v>
      </c>
      <c r="R597" s="25">
        <f t="array" aca="1" ref="R597" ca="1">INDEX('Lorri 401b'!L:L,MATCH('Retirement Calculator'!A597,'Lorri 401b'!N:N,0),0)</f>
        <v>28425.074961612438</v>
      </c>
      <c r="S597" s="25">
        <f t="shared" ca="1" si="527"/>
        <v>510826.27597593539</v>
      </c>
    </row>
    <row r="598" spans="1:19" ht="15.75" customHeight="1" x14ac:dyDescent="0.3">
      <c r="A598" s="37">
        <v>69154</v>
      </c>
      <c r="B598" s="409">
        <f t="shared" ref="B598:C598" si="604">($A598-B$9)/365.25</f>
        <v>107.45516769336071</v>
      </c>
      <c r="C598" s="409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3525.4531757812501</v>
      </c>
      <c r="H598" s="25">
        <f>IF(B598&lt;62,0,'Combined Retirement'!$I$14)</f>
        <v>2192</v>
      </c>
      <c r="I598" s="25">
        <f>IF(C598&lt;62,0,'Combined Retirement'!$I$13)</f>
        <v>2420</v>
      </c>
      <c r="J598" s="25">
        <f t="shared" si="523"/>
        <v>7863.2184191855868</v>
      </c>
      <c r="K598" s="25">
        <f t="shared" si="524"/>
        <v>20282.026119384056</v>
      </c>
      <c r="L598" s="25"/>
      <c r="N598" s="25">
        <f>'Combined Retirement'!$C$18/12</f>
        <v>39153.069999999992</v>
      </c>
      <c r="O598" s="25">
        <f t="shared" si="525"/>
        <v>11007.82546143035</v>
      </c>
      <c r="P598" s="25">
        <f t="shared" si="526"/>
        <v>28145.244538569641</v>
      </c>
      <c r="Q598" s="25">
        <f t="array" aca="1" ref="Q598" ca="1">INDEX('Isaac 401k'!L:L,MATCH('Retirement Calculator'!A598,'Isaac 401k'!N:N,0),0)</f>
        <v>476515.22418928373</v>
      </c>
      <c r="R598" s="25">
        <f t="array" aca="1" ref="R598" ca="1">INDEX('Lorri 401b'!L:L,MATCH('Retirement Calculator'!A598,'Lorri 401b'!N:N,0),0)</f>
        <v>8176.9782124043331</v>
      </c>
      <c r="S598" s="25">
        <f t="shared" ca="1" si="527"/>
        <v>484692.20240168809</v>
      </c>
    </row>
    <row r="599" spans="1:19" ht="15.75" customHeight="1" x14ac:dyDescent="0.3">
      <c r="A599" s="37">
        <v>69185</v>
      </c>
      <c r="B599" s="409">
        <f t="shared" ref="B599:C599" si="605">($A599-B$9)/365.25</f>
        <v>107.54004106776181</v>
      </c>
      <c r="C599" s="409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3525.4531757812501</v>
      </c>
      <c r="H599" s="25">
        <f>IF(B599&lt;62,0,'Combined Retirement'!$I$14)</f>
        <v>2192</v>
      </c>
      <c r="I599" s="25">
        <f>IF(C599&lt;62,0,'Combined Retirement'!$I$13)</f>
        <v>2420</v>
      </c>
      <c r="J599" s="25">
        <f t="shared" si="523"/>
        <v>7863.2184191855868</v>
      </c>
      <c r="K599" s="25">
        <f t="shared" si="524"/>
        <v>20282.026119384056</v>
      </c>
      <c r="L599" s="25"/>
      <c r="N599" s="25">
        <f>'Combined Retirement'!$C$18/12</f>
        <v>39153.069999999992</v>
      </c>
      <c r="O599" s="25">
        <f t="shared" si="525"/>
        <v>11007.82546143035</v>
      </c>
      <c r="P599" s="25">
        <f t="shared" si="526"/>
        <v>28145.244538569641</v>
      </c>
      <c r="Q599" s="25">
        <f t="array" aca="1" ref="Q599" ca="1">INDEX('Isaac 401k'!L:L,MATCH('Retirement Calculator'!A599,'Isaac 401k'!N:N,0),0)</f>
        <v>470604.72246080689</v>
      </c>
      <c r="R599" s="25">
        <f t="array" aca="1" ref="R599" ca="1">INDEX('Lorri 401b'!L:L,MATCH('Retirement Calculator'!A599,'Lorri 401b'!N:N,0),0)</f>
        <v>-12155.485606592138</v>
      </c>
      <c r="S599" s="25">
        <f t="shared" ca="1" si="527"/>
        <v>458449.23685421475</v>
      </c>
    </row>
    <row r="600" spans="1:19" ht="15.75" customHeight="1" x14ac:dyDescent="0.3">
      <c r="A600" s="37">
        <v>69215</v>
      </c>
      <c r="B600" s="409">
        <f t="shared" ref="B600:C600" si="606">($A600-B$9)/365.25</f>
        <v>107.62217659137578</v>
      </c>
      <c r="C600" s="409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3525.4531757812501</v>
      </c>
      <c r="H600" s="25">
        <f>IF(B600&lt;62,0,'Combined Retirement'!$I$14)</f>
        <v>2192</v>
      </c>
      <c r="I600" s="25">
        <f>IF(C600&lt;62,0,'Combined Retirement'!$I$13)</f>
        <v>2420</v>
      </c>
      <c r="J600" s="25">
        <f t="shared" si="523"/>
        <v>7863.2184191855868</v>
      </c>
      <c r="K600" s="25">
        <f t="shared" si="524"/>
        <v>20282.026119384056</v>
      </c>
      <c r="L600" s="25"/>
      <c r="N600" s="25">
        <f>'Combined Retirement'!$C$18/12</f>
        <v>39153.069999999992</v>
      </c>
      <c r="O600" s="25">
        <f t="shared" si="525"/>
        <v>11007.82546143035</v>
      </c>
      <c r="P600" s="25">
        <f t="shared" si="526"/>
        <v>28145.244538569641</v>
      </c>
      <c r="Q600" s="25">
        <f t="array" aca="1" ref="Q600" ca="1">INDEX('Isaac 401k'!L:L,MATCH('Retirement Calculator'!A600,'Isaac 401k'!N:N,0),0)</f>
        <v>464669.59364179469</v>
      </c>
      <c r="R600" s="25">
        <f t="array" aca="1" ref="R600" ca="1">INDEX('Lorri 401b'!L:L,MATCH('Retirement Calculator'!A600,'Lorri 401b'!N:N,0),0)</f>
        <v>-32572.668024834427</v>
      </c>
      <c r="S600" s="25">
        <f t="shared" ca="1" si="527"/>
        <v>432096.92561696027</v>
      </c>
    </row>
    <row r="601" spans="1:19" ht="15.75" customHeight="1" x14ac:dyDescent="0.3">
      <c r="A601" s="37">
        <v>69246</v>
      </c>
      <c r="B601" s="409">
        <f t="shared" ref="B601:C601" si="607">($A601-B$9)/365.25</f>
        <v>107.70704996577686</v>
      </c>
      <c r="C601" s="409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3525.4531757812501</v>
      </c>
      <c r="H601" s="25">
        <f>IF(B601&lt;62,0,'Combined Retirement'!$I$14)</f>
        <v>2192</v>
      </c>
      <c r="I601" s="25">
        <f>IF(C601&lt;62,0,'Combined Retirement'!$I$13)</f>
        <v>2420</v>
      </c>
      <c r="J601" s="25">
        <f t="shared" si="523"/>
        <v>7863.2184191855868</v>
      </c>
      <c r="K601" s="25">
        <f t="shared" si="524"/>
        <v>20282.026119384056</v>
      </c>
      <c r="L601" s="25"/>
      <c r="N601" s="25">
        <f>'Combined Retirement'!$C$18/12</f>
        <v>39153.069999999992</v>
      </c>
      <c r="O601" s="25">
        <f t="shared" si="525"/>
        <v>11007.82546143035</v>
      </c>
      <c r="P601" s="25">
        <f t="shared" si="526"/>
        <v>28145.244538569641</v>
      </c>
      <c r="Q601" s="25">
        <f t="array" aca="1" ref="Q601" ca="1">INDEX('Isaac 401k'!L:L,MATCH('Retirement Calculator'!A601,'Isaac 401k'!N:N,0),0)</f>
        <v>458709.73511936999</v>
      </c>
      <c r="R601" s="25">
        <f t="array" aca="1" ref="R601" ca="1">INDEX('Lorri 401b'!L:L,MATCH('Retirement Calculator'!A601,'Lorri 401b'!N:N,0),0)</f>
        <v>-53074.922036486059</v>
      </c>
      <c r="S601" s="25">
        <f t="shared" ca="1" si="527"/>
        <v>405634.81308288395</v>
      </c>
    </row>
    <row r="602" spans="1:19" ht="15.75" customHeight="1" x14ac:dyDescent="0.3">
      <c r="A602" s="37">
        <v>69277</v>
      </c>
      <c r="B602" s="409">
        <f t="shared" ref="B602:C602" si="608">($A602-B$9)/365.25</f>
        <v>107.79192334017796</v>
      </c>
      <c r="C602" s="409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3525.4531757812501</v>
      </c>
      <c r="H602" s="25">
        <f>IF(B602&lt;62,0,'Combined Retirement'!$I$14)</f>
        <v>2192</v>
      </c>
      <c r="I602" s="25">
        <f>IF(C602&lt;62,0,'Combined Retirement'!$I$13)</f>
        <v>2420</v>
      </c>
      <c r="J602" s="25">
        <f t="shared" si="523"/>
        <v>7863.2184191855868</v>
      </c>
      <c r="K602" s="25">
        <f t="shared" si="524"/>
        <v>20282.026119384056</v>
      </c>
      <c r="L602" s="25"/>
      <c r="N602" s="25">
        <f>'Combined Retirement'!$C$18/12</f>
        <v>39153.069999999992</v>
      </c>
      <c r="O602" s="25">
        <f t="shared" si="525"/>
        <v>11007.82546143035</v>
      </c>
      <c r="P602" s="25">
        <f t="shared" si="526"/>
        <v>28145.244538569641</v>
      </c>
      <c r="Q602" s="25">
        <f t="array" aca="1" ref="Q602" ca="1">INDEX('Isaac 401k'!L:L,MATCH('Retirement Calculator'!A602,'Isaac 401k'!N:N,0),0)</f>
        <v>452725.04385310179</v>
      </c>
      <c r="R602" s="25">
        <f t="array" aca="1" ref="R602" ca="1">INDEX('Lorri 401b'!L:L,MATCH('Retirement Calculator'!A602,'Lorri 401b'!N:N,0),0)</f>
        <v>-73662.602106519567</v>
      </c>
      <c r="S602" s="25">
        <f t="shared" ca="1" si="527"/>
        <v>379062.44174658222</v>
      </c>
    </row>
    <row r="603" spans="1:19" ht="15.75" customHeight="1" x14ac:dyDescent="0.3">
      <c r="A603" s="37">
        <v>69307</v>
      </c>
      <c r="B603" s="409">
        <f t="shared" ref="B603:C603" si="609">($A603-B$9)/365.25</f>
        <v>107.87405886379193</v>
      </c>
      <c r="C603" s="409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3525.4531757812501</v>
      </c>
      <c r="H603" s="25">
        <f>IF(B603&lt;62,0,'Combined Retirement'!$I$14)</f>
        <v>2192</v>
      </c>
      <c r="I603" s="25">
        <f>IF(C603&lt;62,0,'Combined Retirement'!$I$13)</f>
        <v>2420</v>
      </c>
      <c r="J603" s="25">
        <f t="shared" si="523"/>
        <v>7863.2184191855868</v>
      </c>
      <c r="K603" s="25">
        <f t="shared" si="524"/>
        <v>20282.026119384056</v>
      </c>
      <c r="L603" s="25"/>
      <c r="N603" s="25">
        <f>'Combined Retirement'!$C$18/12</f>
        <v>39153.069999999992</v>
      </c>
      <c r="O603" s="25">
        <f t="shared" si="525"/>
        <v>11007.82546143035</v>
      </c>
      <c r="P603" s="25">
        <f t="shared" si="526"/>
        <v>28145.244538569641</v>
      </c>
      <c r="Q603" s="25">
        <f t="array" aca="1" ref="Q603" ca="1">INDEX('Isaac 401k'!L:L,MATCH('Retirement Calculator'!A603,'Isaac 401k'!N:N,0),0)</f>
        <v>446715.41637322417</v>
      </c>
      <c r="R603" s="25">
        <f t="array" aca="1" ref="R603" ca="1">INDEX('Lorri 401b'!L:L,MATCH('Retirement Calculator'!A603,'Lorri 401b'!N:N,0),0)</f>
        <v>-94336.064176844884</v>
      </c>
      <c r="S603" s="25">
        <f t="shared" ca="1" si="527"/>
        <v>352379.35219637927</v>
      </c>
    </row>
    <row r="604" spans="1:19" ht="15.75" customHeight="1" x14ac:dyDescent="0.3">
      <c r="A604" s="37">
        <v>69338</v>
      </c>
      <c r="B604" s="409">
        <f t="shared" ref="B604:C604" si="610">($A604-B$9)/365.25</f>
        <v>107.95893223819301</v>
      </c>
      <c r="C604" s="409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3525.4531757812501</v>
      </c>
      <c r="H604" s="25">
        <f>IF(B604&lt;62,0,'Combined Retirement'!$I$14)</f>
        <v>2192</v>
      </c>
      <c r="I604" s="25">
        <f>IF(C604&lt;62,0,'Combined Retirement'!$I$13)</f>
        <v>2420</v>
      </c>
      <c r="J604" s="25">
        <f t="shared" si="523"/>
        <v>7863.2184191855868</v>
      </c>
      <c r="K604" s="25">
        <f t="shared" si="524"/>
        <v>20282.026119384056</v>
      </c>
      <c r="L604" s="25"/>
      <c r="N604" s="25">
        <f>'Combined Retirement'!$C$18/12</f>
        <v>39153.069999999992</v>
      </c>
      <c r="O604" s="25">
        <f t="shared" si="525"/>
        <v>11007.82546143035</v>
      </c>
      <c r="P604" s="25">
        <f t="shared" si="526"/>
        <v>28145.244538569641</v>
      </c>
      <c r="Q604" s="25">
        <f t="array" aca="1" ref="Q604" ca="1">INDEX('Isaac 401k'!L:L,MATCH('Retirement Calculator'!A604,'Isaac 401k'!N:N,0),0)</f>
        <v>440680.74877884705</v>
      </c>
      <c r="R604" s="25">
        <f t="array" aca="1" ref="R604" ca="1">INDEX('Lorri 401b'!L:L,MATCH('Retirement Calculator'!A604,'Lorri 401b'!N:N,0),0)</f>
        <v>-115095.66567246323</v>
      </c>
      <c r="S604" s="25">
        <f t="shared" ca="1" si="527"/>
        <v>325585.0831063838</v>
      </c>
    </row>
    <row r="605" spans="1:19" ht="15.75" customHeight="1" x14ac:dyDescent="0.3">
      <c r="A605" s="37">
        <v>69368</v>
      </c>
      <c r="B605" s="409">
        <f t="shared" ref="B605:C605" si="611">($A605-B$9)/365.25</f>
        <v>108.04106776180699</v>
      </c>
      <c r="C605" s="409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3525.4531757812501</v>
      </c>
      <c r="H605" s="25">
        <f>IF(B605&lt;62,0,'Combined Retirement'!$I$14)</f>
        <v>2192</v>
      </c>
      <c r="I605" s="25">
        <f>IF(C605&lt;62,0,'Combined Retirement'!$I$13)</f>
        <v>2420</v>
      </c>
      <c r="J605" s="25">
        <f t="shared" si="523"/>
        <v>7863.2184191855868</v>
      </c>
      <c r="K605" s="25">
        <f t="shared" si="524"/>
        <v>20282.026119384056</v>
      </c>
      <c r="L605" s="25"/>
      <c r="N605" s="25">
        <f>'Combined Retirement'!$C$18/12</f>
        <v>39153.069999999992</v>
      </c>
      <c r="O605" s="25">
        <f t="shared" si="525"/>
        <v>11007.82546143035</v>
      </c>
      <c r="P605" s="25">
        <f t="shared" si="526"/>
        <v>28145.244538569641</v>
      </c>
      <c r="Q605" s="25">
        <f t="array" aca="1" ref="Q605" ca="1">INDEX('Isaac 401k'!L:L,MATCH('Retirement Calculator'!A605,'Isaac 401k'!N:N,0),0)</f>
        <v>434620.93673616002</v>
      </c>
      <c r="R605" s="25">
        <f t="array" aca="1" ref="R605" ca="1">INDEX('Lorri 401b'!L:L,MATCH('Retirement Calculator'!A605,'Lorri 401b'!N:N,0),0)</f>
        <v>-135941.76550764666</v>
      </c>
      <c r="S605" s="25">
        <f t="shared" ca="1" si="527"/>
        <v>298679.17122851335</v>
      </c>
    </row>
    <row r="606" spans="1:19" ht="15.75" customHeight="1" x14ac:dyDescent="0.3">
      <c r="A606" s="37">
        <v>69399</v>
      </c>
      <c r="B606" s="409">
        <f t="shared" ref="B606:C606" si="612">($A606-B$9)/365.25</f>
        <v>108.12594113620807</v>
      </c>
      <c r="C606" s="409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3525.4531757812501</v>
      </c>
      <c r="H606" s="25">
        <f>IF(B606&lt;62,0,'Combined Retirement'!$I$14)</f>
        <v>2192</v>
      </c>
      <c r="I606" s="25">
        <f>IF(C606&lt;62,0,'Combined Retirement'!$I$13)</f>
        <v>2420</v>
      </c>
      <c r="J606" s="25">
        <f t="shared" si="523"/>
        <v>7863.2184191855868</v>
      </c>
      <c r="K606" s="25">
        <f t="shared" si="524"/>
        <v>20282.026119384056</v>
      </c>
      <c r="L606" s="25"/>
      <c r="N606" s="25">
        <f>'Combined Retirement'!$C$18/12</f>
        <v>39153.069999999992</v>
      </c>
      <c r="O606" s="25">
        <f t="shared" si="525"/>
        <v>11007.82546143035</v>
      </c>
      <c r="P606" s="25">
        <f t="shared" si="526"/>
        <v>28145.244538569641</v>
      </c>
      <c r="Q606" s="25">
        <f t="array" aca="1" ref="Q606" ca="1">INDEX('Isaac 401k'!L:L,MATCH('Retirement Calculator'!A606,'Isaac 401k'!N:N,0),0)</f>
        <v>428535.87547662848</v>
      </c>
      <c r="R606" s="25">
        <f t="array" aca="1" ref="R606" ca="1">INDEX('Lorri 401b'!L:L,MATCH('Retirement Calculator'!A606,'Lorri 401b'!N:N,0),0)</f>
        <v>-156874.72409214333</v>
      </c>
      <c r="S606" s="25">
        <f t="shared" ca="1" si="527"/>
        <v>271661.15138448519</v>
      </c>
    </row>
    <row r="607" spans="1:19" ht="15.75" customHeight="1" x14ac:dyDescent="0.3">
      <c r="A607" s="37">
        <v>69430</v>
      </c>
      <c r="B607" s="409">
        <f t="shared" ref="B607:C607" si="613">($A607-B$9)/365.25</f>
        <v>108.21081451060917</v>
      </c>
      <c r="C607" s="409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3525.4531757812501</v>
      </c>
      <c r="H607" s="25">
        <f>IF(B607&lt;62,0,'Combined Retirement'!$I$14)</f>
        <v>2192</v>
      </c>
      <c r="I607" s="25">
        <f>IF(C607&lt;62,0,'Combined Retirement'!$I$13)</f>
        <v>2420</v>
      </c>
      <c r="J607" s="25">
        <f t="shared" si="523"/>
        <v>7863.2184191855868</v>
      </c>
      <c r="K607" s="25">
        <f t="shared" si="524"/>
        <v>20282.026119384056</v>
      </c>
      <c r="L607" s="25"/>
      <c r="N607" s="25">
        <f>'Combined Retirement'!$C$18/12</f>
        <v>39153.069999999992</v>
      </c>
      <c r="O607" s="25">
        <f t="shared" si="525"/>
        <v>11007.82546143035</v>
      </c>
      <c r="P607" s="25">
        <f t="shared" si="526"/>
        <v>28145.244538569641</v>
      </c>
      <c r="Q607" s="25">
        <f t="array" aca="1" ref="Q607" ca="1">INDEX('Isaac 401k'!L:L,MATCH('Retirement Calculator'!A607,'Isaac 401k'!N:N,0),0)</f>
        <v>422425.45979518222</v>
      </c>
      <c r="R607" s="25">
        <f t="array" aca="1" ref="R607" ca="1">INDEX('Lorri 401b'!L:L,MATCH('Retirement Calculator'!A607,'Lorri 401b'!N:N,0),0)</f>
        <v>-177894.90333740876</v>
      </c>
      <c r="S607" s="25">
        <f t="shared" ca="1" si="527"/>
        <v>244530.55645777346</v>
      </c>
    </row>
    <row r="608" spans="1:19" ht="15.75" customHeight="1" x14ac:dyDescent="0.3">
      <c r="A608" s="37">
        <v>69458</v>
      </c>
      <c r="B608" s="409">
        <f t="shared" ref="B608:C608" si="614">($A608-B$9)/365.25</f>
        <v>108.28747433264887</v>
      </c>
      <c r="C608" s="409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3525.4531757812501</v>
      </c>
      <c r="H608" s="25">
        <f>IF(B608&lt;62,0,'Combined Retirement'!$I$14)</f>
        <v>2192</v>
      </c>
      <c r="I608" s="25">
        <f>IF(C608&lt;62,0,'Combined Retirement'!$I$13)</f>
        <v>2420</v>
      </c>
      <c r="J608" s="25">
        <f t="shared" si="523"/>
        <v>7863.2184191855868</v>
      </c>
      <c r="K608" s="25">
        <f t="shared" si="524"/>
        <v>20282.026119384056</v>
      </c>
      <c r="L608" s="25"/>
      <c r="N608" s="25">
        <f>'Combined Retirement'!$C$18/12</f>
        <v>39153.069999999992</v>
      </c>
      <c r="O608" s="25">
        <f t="shared" si="525"/>
        <v>11007.82546143035</v>
      </c>
      <c r="P608" s="25">
        <f t="shared" si="526"/>
        <v>28145.244538569641</v>
      </c>
      <c r="Q608" s="25">
        <f t="array" aca="1" ref="Q608" ca="1">INDEX('Isaac 401k'!L:L,MATCH('Retirement Calculator'!A608,'Isaac 401k'!N:N,0),0)</f>
        <v>416289.58404839662</v>
      </c>
      <c r="R608" s="25">
        <f t="array" aca="1" ref="R608" ca="1">INDEX('Lorri 401b'!L:L,MATCH('Retirement Calculator'!A608,'Lorri 401b'!N:N,0),0)</f>
        <v>-199002.66666286279</v>
      </c>
      <c r="S608" s="25">
        <f t="shared" ca="1" si="527"/>
        <v>217286.91738553383</v>
      </c>
    </row>
    <row r="609" spans="1:19" ht="15.75" customHeight="1" x14ac:dyDescent="0.3">
      <c r="A609" s="37">
        <v>69489</v>
      </c>
      <c r="B609" s="409">
        <f t="shared" ref="B609:C609" si="615">($A609-B$9)/365.25</f>
        <v>108.37234770704997</v>
      </c>
      <c r="C609" s="409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3525.4531757812501</v>
      </c>
      <c r="H609" s="25">
        <f>IF(B609&lt;62,0,'Combined Retirement'!$I$14)</f>
        <v>2192</v>
      </c>
      <c r="I609" s="25">
        <f>IF(C609&lt;62,0,'Combined Retirement'!$I$13)</f>
        <v>2420</v>
      </c>
      <c r="J609" s="25">
        <f t="shared" si="523"/>
        <v>7863.2184191855868</v>
      </c>
      <c r="K609" s="25">
        <f t="shared" si="524"/>
        <v>20282.026119384056</v>
      </c>
      <c r="L609" s="25"/>
      <c r="N609" s="25">
        <f>'Combined Retirement'!$C$18/12</f>
        <v>39153.069999999992</v>
      </c>
      <c r="O609" s="25">
        <f t="shared" si="525"/>
        <v>11007.82546143035</v>
      </c>
      <c r="P609" s="25">
        <f t="shared" si="526"/>
        <v>28145.244538569641</v>
      </c>
      <c r="Q609" s="25">
        <f t="array" aca="1" ref="Q609" ca="1">INDEX('Isaac 401k'!L:L,MATCH('Retirement Calculator'!A609,'Isaac 401k'!N:N,0),0)</f>
        <v>410128.14215266606</v>
      </c>
      <c r="R609" s="25">
        <f t="array" aca="1" ref="R609" ca="1">INDEX('Lorri 401b'!L:L,MATCH('Retirement Calculator'!A609,'Lorri 401b'!N:N,0),0)</f>
        <v>-220198.37900217288</v>
      </c>
      <c r="S609" s="25">
        <f t="shared" ca="1" si="527"/>
        <v>189929.76315049318</v>
      </c>
    </row>
    <row r="610" spans="1:19" ht="15.75" customHeight="1" x14ac:dyDescent="0.3">
      <c r="A610" s="37">
        <v>69519</v>
      </c>
      <c r="B610" s="409">
        <f t="shared" ref="B610:C610" si="616">($A610-B$9)/365.25</f>
        <v>108.45448323066393</v>
      </c>
      <c r="C610" s="409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3525.4531757812501</v>
      </c>
      <c r="H610" s="25">
        <f>IF(B610&lt;62,0,'Combined Retirement'!$I$14)</f>
        <v>2192</v>
      </c>
      <c r="I610" s="25">
        <f>IF(C610&lt;62,0,'Combined Retirement'!$I$13)</f>
        <v>2420</v>
      </c>
      <c r="J610" s="25">
        <f t="shared" si="523"/>
        <v>7863.2184191855868</v>
      </c>
      <c r="K610" s="25">
        <f t="shared" si="524"/>
        <v>20282.026119384056</v>
      </c>
      <c r="L610" s="25"/>
      <c r="N610" s="25">
        <f>'Combined Retirement'!$C$18/12</f>
        <v>39153.069999999992</v>
      </c>
      <c r="O610" s="25">
        <f t="shared" si="525"/>
        <v>11007.82546143035</v>
      </c>
      <c r="P610" s="25">
        <f t="shared" si="526"/>
        <v>28145.244538569641</v>
      </c>
      <c r="Q610" s="25">
        <f t="array" aca="1" ref="Q610" ca="1">INDEX('Isaac 401k'!L:L,MATCH('Retirement Calculator'!A610,'Isaac 401k'!N:N,0),0)</f>
        <v>403941.02758236998</v>
      </c>
      <c r="R610" s="25">
        <f t="array" aca="1" ref="R610" ca="1">INDEX('Lorri 401b'!L:L,MATCH('Retirement Calculator'!A610,'Lorri 401b'!N:N,0),0)</f>
        <v>-241482.40680956343</v>
      </c>
      <c r="S610" s="25">
        <f t="shared" ca="1" si="527"/>
        <v>162458.62077280655</v>
      </c>
    </row>
    <row r="611" spans="1:19" ht="15.75" customHeight="1" x14ac:dyDescent="0.3">
      <c r="A611" s="37">
        <v>69550</v>
      </c>
      <c r="B611" s="409">
        <f t="shared" ref="B611:C611" si="617">($A611-B$9)/365.25</f>
        <v>108.53935660506502</v>
      </c>
      <c r="C611" s="409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3525.4531757812501</v>
      </c>
      <c r="H611" s="25">
        <f>IF(B611&lt;62,0,'Combined Retirement'!$I$14)</f>
        <v>2192</v>
      </c>
      <c r="I611" s="25">
        <f>IF(C611&lt;62,0,'Combined Retirement'!$I$13)</f>
        <v>2420</v>
      </c>
      <c r="J611" s="25">
        <f t="shared" si="523"/>
        <v>7863.2184191855868</v>
      </c>
      <c r="K611" s="25">
        <f t="shared" si="524"/>
        <v>20282.026119384056</v>
      </c>
      <c r="L611" s="25"/>
      <c r="N611" s="25">
        <f>'Combined Retirement'!$C$18/12</f>
        <v>39153.069999999992</v>
      </c>
      <c r="O611" s="25">
        <f t="shared" si="525"/>
        <v>11007.82546143035</v>
      </c>
      <c r="P611" s="25">
        <f t="shared" si="526"/>
        <v>28145.244538569641</v>
      </c>
      <c r="Q611" s="25">
        <f t="array" aca="1" ref="Q611" ca="1">INDEX('Isaac 401k'!L:L,MATCH('Retirement Calculator'!A611,'Isaac 401k'!N:N,0),0)</f>
        <v>397728.13336803095</v>
      </c>
      <c r="R611" s="25">
        <f t="array" aca="1" ref="R611" ca="1">INDEX('Lorri 401b'!L:L,MATCH('Retirement Calculator'!A611,'Lorri 401b'!N:N,0),0)</f>
        <v>-262855.11806615145</v>
      </c>
      <c r="S611" s="25">
        <f t="shared" ca="1" si="527"/>
        <v>134873.0153018795</v>
      </c>
    </row>
    <row r="612" spans="1:19" ht="15.75" customHeight="1" x14ac:dyDescent="0.3">
      <c r="A612" s="37">
        <v>69580</v>
      </c>
      <c r="B612" s="409">
        <f t="shared" ref="B612:C612" si="618">($A612-B$9)/365.25</f>
        <v>108.62149212867898</v>
      </c>
      <c r="C612" s="409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3525.4531757812501</v>
      </c>
      <c r="H612" s="25">
        <f>IF(B612&lt;62,0,'Combined Retirement'!$I$14)</f>
        <v>2192</v>
      </c>
      <c r="I612" s="25">
        <f>IF(C612&lt;62,0,'Combined Retirement'!$I$13)</f>
        <v>2420</v>
      </c>
      <c r="J612" s="25">
        <f t="shared" si="523"/>
        <v>7863.2184191855868</v>
      </c>
      <c r="K612" s="25">
        <f t="shared" si="524"/>
        <v>20282.026119384056</v>
      </c>
      <c r="L612" s="25"/>
      <c r="N612" s="25">
        <f>'Combined Retirement'!$C$18/12</f>
        <v>39153.069999999992</v>
      </c>
      <c r="O612" s="25">
        <f t="shared" si="525"/>
        <v>11007.82546143035</v>
      </c>
      <c r="P612" s="25">
        <f t="shared" si="526"/>
        <v>28145.244538569641</v>
      </c>
      <c r="Q612" s="25">
        <f t="array" aca="1" ref="Q612" ca="1">INDEX('Isaac 401k'!L:L,MATCH('Retirement Calculator'!A612,'Isaac 401k'!N:N,0),0)</f>
        <v>391489.35209446552</v>
      </c>
      <c r="R612" s="25">
        <f t="array" aca="1" ref="R612" ca="1">INDEX('Lorri 401b'!L:L,MATCH('Retirement Calculator'!A612,'Lorri 401b'!N:N,0),0)</f>
        <v>-284316.88228630857</v>
      </c>
      <c r="S612" s="25">
        <f t="shared" ca="1" si="527"/>
        <v>107172.46980815695</v>
      </c>
    </row>
    <row r="613" spans="1:19" ht="15.75" customHeight="1" x14ac:dyDescent="0.3">
      <c r="A613" s="37">
        <v>69611</v>
      </c>
      <c r="B613" s="409">
        <f t="shared" ref="B613:C613" si="619">($A613-B$9)/365.25</f>
        <v>108.70636550308008</v>
      </c>
      <c r="C613" s="409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3525.4531757812501</v>
      </c>
      <c r="H613" s="25">
        <f>IF(B613&lt;62,0,'Combined Retirement'!$I$14)</f>
        <v>2192</v>
      </c>
      <c r="I613" s="25">
        <f>IF(C613&lt;62,0,'Combined Retirement'!$I$13)</f>
        <v>2420</v>
      </c>
      <c r="J613" s="25">
        <f t="shared" si="523"/>
        <v>7863.2184191855868</v>
      </c>
      <c r="K613" s="25">
        <f t="shared" si="524"/>
        <v>20282.026119384056</v>
      </c>
      <c r="L613" s="25"/>
      <c r="N613" s="25">
        <f>'Combined Retirement'!$C$18/12</f>
        <v>39153.069999999992</v>
      </c>
      <c r="O613" s="25">
        <f t="shared" si="525"/>
        <v>11007.82546143035</v>
      </c>
      <c r="P613" s="25">
        <f t="shared" si="526"/>
        <v>28145.244538569641</v>
      </c>
      <c r="Q613" s="25">
        <f t="array" aca="1" ref="Q613" ca="1">INDEX('Isaac 401k'!L:L,MATCH('Retirement Calculator'!A613,'Isaac 401k'!N:N,0),0)</f>
        <v>385224.57589892694</v>
      </c>
      <c r="R613" s="25">
        <f t="array" aca="1" ref="R613" ca="1">INDEX('Lorri 401b'!L:L,MATCH('Retirement Calculator'!A613,'Lorri 401b'!N:N,0),0)</f>
        <v>-305868.07052404963</v>
      </c>
      <c r="S613" s="25">
        <f t="shared" ca="1" si="527"/>
        <v>79356.505374877306</v>
      </c>
    </row>
    <row r="614" spans="1:19" ht="15.75" customHeight="1" x14ac:dyDescent="0.3">
      <c r="A614" s="37">
        <v>69642</v>
      </c>
      <c r="B614" s="409">
        <f t="shared" ref="B614:C614" si="620">($A614-B$9)/365.25</f>
        <v>108.79123887748118</v>
      </c>
      <c r="C614" s="409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3525.4531757812501</v>
      </c>
      <c r="H614" s="25">
        <f>IF(B614&lt;62,0,'Combined Retirement'!$I$14)</f>
        <v>2192</v>
      </c>
      <c r="I614" s="25">
        <f>IF(C614&lt;62,0,'Combined Retirement'!$I$13)</f>
        <v>2420</v>
      </c>
      <c r="J614" s="25">
        <f t="shared" si="523"/>
        <v>7863.2184191855868</v>
      </c>
      <c r="K614" s="25">
        <f t="shared" si="524"/>
        <v>20282.026119384056</v>
      </c>
      <c r="L614" s="25"/>
      <c r="N614" s="25">
        <f>'Combined Retirement'!$C$18/12</f>
        <v>39153.069999999992</v>
      </c>
      <c r="O614" s="25">
        <f t="shared" si="525"/>
        <v>11007.82546143035</v>
      </c>
      <c r="P614" s="25">
        <f t="shared" si="526"/>
        <v>28145.244538569641</v>
      </c>
      <c r="Q614" s="25">
        <f t="array" aca="1" ref="Q614" ca="1">INDEX('Isaac 401k'!L:L,MATCH('Retirement Calculator'!A614,'Isaac 401k'!N:N,0),0)</f>
        <v>378933.69646924024</v>
      </c>
      <c r="R614" s="25">
        <f t="array" aca="1" ref="R614" ca="1">INDEX('Lorri 401b'!L:L,MATCH('Retirement Calculator'!A614,'Lorri 401b'!N:N,0),0)</f>
        <v>-327509.05537944799</v>
      </c>
      <c r="S614" s="25">
        <f t="shared" ca="1" si="527"/>
        <v>51424.641089792247</v>
      </c>
    </row>
    <row r="615" spans="1:19" ht="15.75" customHeight="1" x14ac:dyDescent="0.3">
      <c r="A615" s="37">
        <v>69672</v>
      </c>
      <c r="B615" s="409">
        <f t="shared" ref="B615:C615" si="621">($A615-B$9)/365.25</f>
        <v>108.87337440109513</v>
      </c>
      <c r="C615" s="409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3525.4531757812501</v>
      </c>
      <c r="H615" s="25">
        <f>IF(B615&lt;62,0,'Combined Retirement'!$I$14)</f>
        <v>2192</v>
      </c>
      <c r="I615" s="25">
        <f>IF(C615&lt;62,0,'Combined Retirement'!$I$13)</f>
        <v>2420</v>
      </c>
      <c r="J615" s="25">
        <f t="shared" si="523"/>
        <v>7863.2184191855868</v>
      </c>
      <c r="K615" s="25">
        <f t="shared" si="524"/>
        <v>20282.026119384056</v>
      </c>
      <c r="L615" s="25"/>
      <c r="N615" s="25">
        <f>'Combined Retirement'!$C$18/12</f>
        <v>39153.069999999992</v>
      </c>
      <c r="O615" s="25">
        <f t="shared" si="525"/>
        <v>11007.82546143035</v>
      </c>
      <c r="P615" s="25">
        <f t="shared" si="526"/>
        <v>28145.244538569641</v>
      </c>
      <c r="Q615" s="25">
        <f t="array" aca="1" ref="Q615" ca="1">INDEX('Isaac 401k'!L:L,MATCH('Retirement Calculator'!A615,'Isaac 401k'!N:N,0),0)</f>
        <v>372616.60504192987</v>
      </c>
      <c r="R615" s="25">
        <f t="array" aca="1" ref="R615" ca="1">INDEX('Lorri 401b'!L:L,MATCH('Retirement Calculator'!A615,'Lorri 401b'!N:N,0),0)</f>
        <v>-349240.21100507717</v>
      </c>
      <c r="S615" s="25">
        <f t="shared" ca="1" si="527"/>
        <v>23376.394036852696</v>
      </c>
    </row>
    <row r="616" spans="1:19" ht="15.75" customHeight="1" x14ac:dyDescent="0.3">
      <c r="A616" s="37">
        <v>69703</v>
      </c>
      <c r="B616" s="409">
        <f t="shared" ref="B616:C616" si="622">($A616-B$9)/365.25</f>
        <v>108.95824777549623</v>
      </c>
      <c r="C616" s="409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3525.4531757812501</v>
      </c>
      <c r="H616" s="25">
        <f>IF(B616&lt;62,0,'Combined Retirement'!$I$14)</f>
        <v>2192</v>
      </c>
      <c r="I616" s="25">
        <f>IF(C616&lt;62,0,'Combined Retirement'!$I$13)</f>
        <v>2420</v>
      </c>
      <c r="J616" s="25">
        <f t="shared" si="523"/>
        <v>7863.2184191855868</v>
      </c>
      <c r="K616" s="25">
        <f t="shared" si="524"/>
        <v>20282.026119384056</v>
      </c>
      <c r="L616" s="25"/>
      <c r="N616" s="25">
        <f>'Combined Retirement'!$C$18/12</f>
        <v>39153.069999999992</v>
      </c>
      <c r="O616" s="25">
        <f t="shared" si="525"/>
        <v>11007.82546143035</v>
      </c>
      <c r="P616" s="25">
        <f t="shared" si="526"/>
        <v>28145.244538569641</v>
      </c>
      <c r="Q616" s="25">
        <f t="array" aca="1" ref="Q616" ca="1">INDEX('Isaac 401k'!L:L,MATCH('Retirement Calculator'!A616,'Isaac 401k'!N:N,0),0)</f>
        <v>366273.19240033906</v>
      </c>
      <c r="R616" s="25">
        <f t="array" aca="1" ref="R616" ca="1">INDEX('Lorri 401b'!L:L,MATCH('Retirement Calculator'!A616,'Lorri 401b'!N:N,0),0)</f>
        <v>-371061.91311247979</v>
      </c>
      <c r="S616" s="25">
        <f t="shared" ca="1" si="527"/>
        <v>-4788.7207121407264</v>
      </c>
    </row>
    <row r="617" spans="1:19" ht="15.75" customHeight="1" x14ac:dyDescent="0.3">
      <c r="A617" s="37">
        <v>69733</v>
      </c>
      <c r="B617" s="409">
        <f t="shared" ref="B617:C617" si="623">($A617-B$9)/365.25</f>
        <v>109.0403832991102</v>
      </c>
      <c r="C617" s="409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3525.4531757812501</v>
      </c>
      <c r="H617" s="25">
        <f>IF(B617&lt;62,0,'Combined Retirement'!$I$14)</f>
        <v>2192</v>
      </c>
      <c r="I617" s="25">
        <f>IF(C617&lt;62,0,'Combined Retirement'!$I$13)</f>
        <v>2420</v>
      </c>
      <c r="J617" s="25">
        <f t="shared" si="523"/>
        <v>7863.2184191855868</v>
      </c>
      <c r="K617" s="25">
        <f t="shared" si="524"/>
        <v>20282.026119384056</v>
      </c>
      <c r="L617" s="25"/>
      <c r="N617" s="25">
        <f>'Combined Retirement'!$C$18/12</f>
        <v>39153.069999999992</v>
      </c>
      <c r="O617" s="25">
        <f t="shared" si="525"/>
        <v>11007.82546143035</v>
      </c>
      <c r="P617" s="25">
        <f t="shared" si="526"/>
        <v>28145.244538569641</v>
      </c>
      <c r="Q617" s="25">
        <f t="array" aca="1" ref="Q617" ca="1">INDEX('Isaac 401k'!L:L,MATCH('Retirement Calculator'!A617,'Isaac 401k'!N:N,0),0)</f>
        <v>359903.34887274157</v>
      </c>
      <c r="R617" s="25">
        <f t="array" aca="1" ref="R617" ca="1">INDEX('Lorri 401b'!L:L,MATCH('Retirement Calculator'!A617,'Lorri 401b'!N:N,0),0)</f>
        <v>-392974.53897866327</v>
      </c>
      <c r="S617" s="25">
        <f t="shared" ca="1" si="527"/>
        <v>-33071.190105921705</v>
      </c>
    </row>
    <row r="618" spans="1:19" ht="15.75" customHeight="1" x14ac:dyDescent="0.3">
      <c r="A618" s="37">
        <v>69764</v>
      </c>
      <c r="B618" s="409">
        <f t="shared" ref="B618:C618" si="624">($A618-B$9)/365.25</f>
        <v>109.12525667351129</v>
      </c>
      <c r="C618" s="409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3525.4531757812501</v>
      </c>
      <c r="H618" s="25">
        <f>IF(B618&lt;62,0,'Combined Retirement'!$I$14)</f>
        <v>2192</v>
      </c>
      <c r="I618" s="25">
        <f>IF(C618&lt;62,0,'Combined Retirement'!$I$13)</f>
        <v>2420</v>
      </c>
      <c r="J618" s="25">
        <f t="shared" si="523"/>
        <v>7863.2184191855868</v>
      </c>
      <c r="K618" s="25">
        <f t="shared" si="524"/>
        <v>20282.026119384056</v>
      </c>
      <c r="L618" s="25"/>
      <c r="N618" s="25">
        <f>'Combined Retirement'!$C$18/12</f>
        <v>39153.069999999992</v>
      </c>
      <c r="O618" s="25">
        <f t="shared" si="525"/>
        <v>11007.82546143035</v>
      </c>
      <c r="P618" s="25">
        <f t="shared" si="526"/>
        <v>28145.244538569641</v>
      </c>
      <c r="Q618" s="25">
        <f t="array" aca="1" ref="Q618" ca="1">INDEX('Isaac 401k'!L:L,MATCH('Retirement Calculator'!A618,'Isaac 401k'!N:N,0),0)</f>
        <v>353506.9643304458</v>
      </c>
      <c r="R618" s="25">
        <f t="array" aca="1" ref="R618" ca="1">INDEX('Lorri 401b'!L:L,MATCH('Retirement Calculator'!A618,'Lorri 401b'!N:N,0),0)</f>
        <v>-414978.46745262248</v>
      </c>
      <c r="S618" s="25">
        <f t="shared" ca="1" si="527"/>
        <v>-61471.503122176684</v>
      </c>
    </row>
    <row r="619" spans="1:19" ht="15.75" customHeight="1" x14ac:dyDescent="0.3">
      <c r="A619" s="37">
        <v>69795</v>
      </c>
      <c r="B619" s="409">
        <f t="shared" ref="B619:C619" si="625">($A619-B$9)/365.25</f>
        <v>109.21013004791239</v>
      </c>
      <c r="C619" s="409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3525.4531757812501</v>
      </c>
      <c r="H619" s="25">
        <f>IF(B619&lt;62,0,'Combined Retirement'!$I$14)</f>
        <v>2192</v>
      </c>
      <c r="I619" s="25">
        <f>IF(C619&lt;62,0,'Combined Retirement'!$I$13)</f>
        <v>2420</v>
      </c>
      <c r="J619" s="25">
        <f t="shared" si="523"/>
        <v>7863.2184191855868</v>
      </c>
      <c r="K619" s="25">
        <f t="shared" si="524"/>
        <v>20282.026119384056</v>
      </c>
      <c r="L619" s="25"/>
      <c r="N619" s="25">
        <f>'Combined Retirement'!$C$18/12</f>
        <v>39153.069999999992</v>
      </c>
      <c r="O619" s="25">
        <f t="shared" si="525"/>
        <v>11007.82546143035</v>
      </c>
      <c r="P619" s="25">
        <f t="shared" si="526"/>
        <v>28145.244538569641</v>
      </c>
      <c r="Q619" s="25">
        <f t="array" aca="1" ref="Q619" ca="1">INDEX('Isaac 401k'!L:L,MATCH('Retirement Calculator'!A619,'Isaac 401k'!N:N,0),0)</f>
        <v>347083.92818589043</v>
      </c>
      <c r="R619" s="25">
        <f t="array" aca="1" ref="R619" ca="1">INDEX('Lorri 401b'!L:L,MATCH('Retirement Calculator'!A619,'Lorri 401b'!N:N,0),0)</f>
        <v>-437074.0789618899</v>
      </c>
      <c r="S619" s="25">
        <f t="shared" ca="1" si="527"/>
        <v>-89990.150775999471</v>
      </c>
    </row>
    <row r="620" spans="1:19" ht="15.75" customHeight="1" x14ac:dyDescent="0.3">
      <c r="A620" s="37">
        <v>69823</v>
      </c>
      <c r="B620" s="409">
        <f t="shared" ref="B620:C620" si="626">($A620-B$9)/365.25</f>
        <v>109.28678986995209</v>
      </c>
      <c r="C620" s="409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3525.4531757812501</v>
      </c>
      <c r="H620" s="25">
        <f>IF(B620&lt;62,0,'Combined Retirement'!$I$14)</f>
        <v>2192</v>
      </c>
      <c r="I620" s="25">
        <f>IF(C620&lt;62,0,'Combined Retirement'!$I$13)</f>
        <v>2420</v>
      </c>
      <c r="J620" s="25">
        <f t="shared" si="523"/>
        <v>7863.2184191855868</v>
      </c>
      <c r="K620" s="25">
        <f t="shared" si="524"/>
        <v>20282.026119384056</v>
      </c>
      <c r="L620" s="25"/>
      <c r="N620" s="25">
        <f>'Combined Retirement'!$C$18/12</f>
        <v>39153.069999999992</v>
      </c>
      <c r="O620" s="25">
        <f t="shared" si="525"/>
        <v>11007.82546143035</v>
      </c>
      <c r="P620" s="25">
        <f t="shared" si="526"/>
        <v>28145.244538569641</v>
      </c>
      <c r="Q620" s="25">
        <f t="array" aca="1" ref="Q620" ca="1">INDEX('Isaac 401k'!L:L,MATCH('Retirement Calculator'!A620,'Isaac 401k'!N:N,0),0)</f>
        <v>340634.12939073273</v>
      </c>
      <c r="R620" s="25">
        <f t="array" aca="1" ref="R620" ca="1">INDEX('Lorri 401b'!L:L,MATCH('Retirement Calculator'!A620,'Lorri 401b'!N:N,0),0)</f>
        <v>-459261.75551911257</v>
      </c>
      <c r="S620" s="25">
        <f t="shared" ca="1" si="527"/>
        <v>-118627.62612837984</v>
      </c>
    </row>
    <row r="621" spans="1:19" ht="15.75" customHeight="1" x14ac:dyDescent="0.3">
      <c r="A621" s="37">
        <v>69854</v>
      </c>
      <c r="B621" s="409">
        <f t="shared" ref="B621:C621" si="627">($A621-B$9)/365.25</f>
        <v>109.37166324435319</v>
      </c>
      <c r="C621" s="409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3525.4531757812501</v>
      </c>
      <c r="H621" s="25">
        <f>IF(B621&lt;62,0,'Combined Retirement'!$I$14)</f>
        <v>2192</v>
      </c>
      <c r="I621" s="25">
        <f>IF(C621&lt;62,0,'Combined Retirement'!$I$13)</f>
        <v>2420</v>
      </c>
      <c r="J621" s="25">
        <f t="shared" si="523"/>
        <v>7863.2184191855868</v>
      </c>
      <c r="K621" s="25">
        <f t="shared" si="524"/>
        <v>20282.026119384056</v>
      </c>
      <c r="L621" s="25"/>
      <c r="N621" s="25">
        <f>'Combined Retirement'!$C$18/12</f>
        <v>39153.069999999992</v>
      </c>
      <c r="O621" s="25">
        <f t="shared" si="525"/>
        <v>11007.82546143035</v>
      </c>
      <c r="P621" s="25">
        <f t="shared" si="526"/>
        <v>28145.244538569641</v>
      </c>
      <c r="Q621" s="25">
        <f t="array" aca="1" ref="Q621" ca="1">INDEX('Isaac 401k'!L:L,MATCH('Retirement Calculator'!A621,'Isaac 401k'!N:N,0),0)</f>
        <v>334157.45643392857</v>
      </c>
      <c r="R621" s="25">
        <f t="array" aca="1" ref="R621" ca="1">INDEX('Lorri 401b'!L:L,MATCH('Retirement Calculator'!A621,'Lorri 401b'!N:N,0),0)</f>
        <v>-481541.88072865701</v>
      </c>
      <c r="S621" s="25">
        <f t="shared" ca="1" si="527"/>
        <v>-147384.42429472844</v>
      </c>
    </row>
    <row r="622" spans="1:19" ht="15.75" customHeight="1" x14ac:dyDescent="0.3">
      <c r="A622" s="37">
        <v>69884</v>
      </c>
      <c r="B622" s="409">
        <f t="shared" ref="B622:C622" si="628">($A622-B$9)/365.25</f>
        <v>109.45379876796714</v>
      </c>
      <c r="C622" s="409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3525.4531757812501</v>
      </c>
      <c r="H622" s="25">
        <f>IF(B622&lt;62,0,'Combined Retirement'!$I$14)</f>
        <v>2192</v>
      </c>
      <c r="I622" s="25">
        <f>IF(C622&lt;62,0,'Combined Retirement'!$I$13)</f>
        <v>2420</v>
      </c>
      <c r="J622" s="25">
        <f t="shared" si="523"/>
        <v>7863.2184191855868</v>
      </c>
      <c r="K622" s="25">
        <f t="shared" si="524"/>
        <v>20282.026119384056</v>
      </c>
      <c r="L622" s="25"/>
      <c r="N622" s="25">
        <f>'Combined Retirement'!$C$18/12</f>
        <v>39153.069999999992</v>
      </c>
      <c r="O622" s="25">
        <f t="shared" si="525"/>
        <v>11007.82546143035</v>
      </c>
      <c r="P622" s="25">
        <f t="shared" si="526"/>
        <v>28145.244538569641</v>
      </c>
      <c r="Q622" s="25">
        <f t="array" aca="1" ref="Q622" ca="1">INDEX('Isaac 401k'!L:L,MATCH('Retirement Calculator'!A622,'Isaac 401k'!N:N,0),0)</f>
        <v>327653.79733980441</v>
      </c>
      <c r="R622" s="25">
        <f t="array" aca="1" ref="R622" ca="1">INDEX('Lorri 401b'!L:L,MATCH('Retirement Calculator'!A622,'Lorri 401b'!N:N,0),0)</f>
        <v>-503914.83979324123</v>
      </c>
      <c r="S622" s="25">
        <f t="shared" ca="1" si="527"/>
        <v>-176261.04245343682</v>
      </c>
    </row>
    <row r="623" spans="1:19" ht="15.75" customHeight="1" x14ac:dyDescent="0.3">
      <c r="A623" s="37">
        <v>69915</v>
      </c>
      <c r="B623" s="409">
        <f t="shared" ref="B623:C623" si="629">($A623-B$9)/365.25</f>
        <v>109.53867214236824</v>
      </c>
      <c r="C623" s="409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3525.4531757812501</v>
      </c>
      <c r="H623" s="25">
        <f>IF(B623&lt;62,0,'Combined Retirement'!$I$14)</f>
        <v>2192</v>
      </c>
      <c r="I623" s="25">
        <f>IF(C623&lt;62,0,'Combined Retirement'!$I$13)</f>
        <v>2420</v>
      </c>
      <c r="J623" s="25">
        <f t="shared" si="523"/>
        <v>7863.2184191855868</v>
      </c>
      <c r="K623" s="25">
        <f t="shared" si="524"/>
        <v>20282.026119384056</v>
      </c>
      <c r="L623" s="25"/>
      <c r="N623" s="25">
        <f>'Combined Retirement'!$C$18/12</f>
        <v>39153.069999999992</v>
      </c>
      <c r="O623" s="25">
        <f t="shared" si="525"/>
        <v>11007.82546143035</v>
      </c>
      <c r="P623" s="25">
        <f t="shared" si="526"/>
        <v>28145.244538569641</v>
      </c>
      <c r="Q623" s="25">
        <f t="array" aca="1" ref="Q623" ca="1">INDEX('Isaac 401k'!L:L,MATCH('Retirement Calculator'!A623,'Isaac 401k'!N:N,0),0)</f>
        <v>321123.03966612136</v>
      </c>
      <c r="R623" s="25">
        <f t="array" aca="1" ref="R623" ca="1">INDEX('Lorri 401b'!L:L,MATCH('Retirement Calculator'!A623,'Lorri 401b'!N:N,0),0)</f>
        <v>-526381.01952059451</v>
      </c>
      <c r="S623" s="25">
        <f t="shared" ca="1" si="527"/>
        <v>-205257.97985447315</v>
      </c>
    </row>
    <row r="624" spans="1:19" ht="15.75" customHeight="1" x14ac:dyDescent="0.3">
      <c r="A624" s="37">
        <v>69945</v>
      </c>
      <c r="B624" s="409">
        <f t="shared" ref="B624:C624" si="630">($A624-B$9)/365.25</f>
        <v>109.6208076659822</v>
      </c>
      <c r="C624" s="409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3525.4531757812501</v>
      </c>
      <c r="H624" s="25">
        <f>IF(B624&lt;62,0,'Combined Retirement'!$I$14)</f>
        <v>2192</v>
      </c>
      <c r="I624" s="25">
        <f>IF(C624&lt;62,0,'Combined Retirement'!$I$13)</f>
        <v>2420</v>
      </c>
      <c r="J624" s="25">
        <f t="shared" si="523"/>
        <v>7863.2184191855868</v>
      </c>
      <c r="K624" s="25">
        <f t="shared" si="524"/>
        <v>20282.026119384056</v>
      </c>
      <c r="L624" s="25"/>
      <c r="N624" s="25">
        <f>'Combined Retirement'!$C$18/12</f>
        <v>39153.069999999992</v>
      </c>
      <c r="O624" s="25">
        <f t="shared" si="525"/>
        <v>11007.82546143035</v>
      </c>
      <c r="P624" s="25">
        <f t="shared" si="526"/>
        <v>28145.244538569641</v>
      </c>
      <c r="Q624" s="25">
        <f t="array" aca="1" ref="Q624" ca="1">INDEX('Isaac 401k'!L:L,MATCH('Retirement Calculator'!A624,'Isaac 401k'!N:N,0),0)</f>
        <v>314565.0705021313</v>
      </c>
      <c r="R624" s="25">
        <f t="array" aca="1" ref="R624" ca="1">INDEX('Lorri 401b'!L:L,MATCH('Retirement Calculator'!A624,'Lorri 401b'!N:N,0),0)</f>
        <v>-548940.8083301452</v>
      </c>
      <c r="S624" s="25">
        <f t="shared" ca="1" si="527"/>
        <v>-234375.73782801389</v>
      </c>
    </row>
    <row r="625" spans="1:19" ht="15.75" customHeight="1" x14ac:dyDescent="0.3">
      <c r="A625" s="37">
        <v>69976</v>
      </c>
      <c r="B625" s="409">
        <f t="shared" ref="B625:C625" si="631">($A625-B$9)/365.25</f>
        <v>109.7056810403833</v>
      </c>
      <c r="C625" s="409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3525.4531757812501</v>
      </c>
      <c r="H625" s="25">
        <f>IF(B625&lt;62,0,'Combined Retirement'!$I$14)</f>
        <v>2192</v>
      </c>
      <c r="I625" s="25">
        <f>IF(C625&lt;62,0,'Combined Retirement'!$I$13)</f>
        <v>2420</v>
      </c>
      <c r="J625" s="25">
        <f t="shared" si="523"/>
        <v>7863.2184191855868</v>
      </c>
      <c r="K625" s="25">
        <f t="shared" si="524"/>
        <v>20282.026119384056</v>
      </c>
      <c r="L625" s="25"/>
      <c r="N625" s="25">
        <f>'Combined Retirement'!$C$18/12</f>
        <v>39153.069999999992</v>
      </c>
      <c r="O625" s="25">
        <f t="shared" si="525"/>
        <v>11007.82546143035</v>
      </c>
      <c r="P625" s="25">
        <f t="shared" si="526"/>
        <v>28145.244538569641</v>
      </c>
      <c r="Q625" s="25">
        <f t="array" aca="1" ref="Q625" ca="1">INDEX('Isaac 401k'!L:L,MATCH('Retirement Calculator'!A625,'Isaac 401k'!N:N,0),0)</f>
        <v>307979.77646662464</v>
      </c>
      <c r="R625" s="25">
        <f t="array" aca="1" ref="R625" ca="1">INDEX('Lorri 401b'!L:L,MATCH('Retirement Calculator'!A625,'Lorri 401b'!N:N,0),0)</f>
        <v>-571594.59625973564</v>
      </c>
      <c r="S625" s="25">
        <f t="shared" ca="1" si="527"/>
        <v>-263614.819793111</v>
      </c>
    </row>
    <row r="626" spans="1:19" ht="15.75" customHeight="1" x14ac:dyDescent="0.3">
      <c r="A626" s="37">
        <v>70007</v>
      </c>
      <c r="B626" s="409">
        <f t="shared" ref="B626:C626" si="632">($A626-B$9)/365.25</f>
        <v>109.7905544147844</v>
      </c>
      <c r="C626" s="409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3525.4531757812501</v>
      </c>
      <c r="H626" s="25">
        <f>IF(B626&lt;62,0,'Combined Retirement'!$I$14)</f>
        <v>2192</v>
      </c>
      <c r="I626" s="25">
        <f>IF(C626&lt;62,0,'Combined Retirement'!$I$13)</f>
        <v>2420</v>
      </c>
      <c r="J626" s="25">
        <f t="shared" si="523"/>
        <v>7863.2184191855868</v>
      </c>
      <c r="K626" s="25">
        <f t="shared" si="524"/>
        <v>20282.026119384056</v>
      </c>
      <c r="L626" s="25"/>
      <c r="N626" s="25">
        <f>'Combined Retirement'!$C$18/12</f>
        <v>39153.069999999992</v>
      </c>
      <c r="O626" s="25">
        <f t="shared" si="525"/>
        <v>11007.82546143035</v>
      </c>
      <c r="P626" s="25">
        <f t="shared" si="526"/>
        <v>28145.244538569641</v>
      </c>
      <c r="Q626" s="25">
        <f t="array" aca="1" ref="Q626" ca="1">INDEX('Isaac 401k'!L:L,MATCH('Retirement Calculator'!A626,'Isaac 401k'!N:N,0),0)</f>
        <v>301367.04370597005</v>
      </c>
      <c r="R626" s="25">
        <f t="array" aca="1" ref="R626" ca="1">INDEX('Lorri 401b'!L:L,MATCH('Retirement Calculator'!A626,'Lorri 401b'!N:N,0),0)</f>
        <v>-594342.77497236605</v>
      </c>
      <c r="S626" s="25">
        <f t="shared" ca="1" si="527"/>
        <v>-292975.731266396</v>
      </c>
    </row>
    <row r="627" spans="1:19" ht="15.75" customHeight="1" x14ac:dyDescent="0.3">
      <c r="A627" s="37">
        <v>70037</v>
      </c>
      <c r="B627" s="409">
        <f t="shared" ref="B627:C627" si="633">($A627-B$9)/365.25</f>
        <v>109.87268993839835</v>
      </c>
      <c r="C627" s="409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3525.4531757812501</v>
      </c>
      <c r="H627" s="25">
        <f>IF(B627&lt;62,0,'Combined Retirement'!$I$14)</f>
        <v>2192</v>
      </c>
      <c r="I627" s="25">
        <f>IF(C627&lt;62,0,'Combined Retirement'!$I$13)</f>
        <v>2420</v>
      </c>
      <c r="J627" s="25">
        <f t="shared" si="523"/>
        <v>7863.2184191855868</v>
      </c>
      <c r="K627" s="25">
        <f t="shared" si="524"/>
        <v>20282.026119384056</v>
      </c>
      <c r="L627" s="25"/>
      <c r="N627" s="25">
        <f>'Combined Retirement'!$C$18/12</f>
        <v>39153.069999999992</v>
      </c>
      <c r="O627" s="25">
        <f t="shared" si="525"/>
        <v>11007.82546143035</v>
      </c>
      <c r="P627" s="25">
        <f t="shared" si="526"/>
        <v>28145.244538569641</v>
      </c>
      <c r="Q627" s="25">
        <f t="array" aca="1" ref="Q627" ca="1">INDEX('Isaac 401k'!L:L,MATCH('Retirement Calculator'!A627,'Isaac 401k'!N:N,0),0)</f>
        <v>294726.75789214607</v>
      </c>
      <c r="R627" s="25">
        <f t="array" aca="1" ref="R627" ca="1">INDEX('Lorri 401b'!L:L,MATCH('Retirement Calculator'!A627,'Lorri 401b'!N:N,0),0)</f>
        <v>-617185.73776296573</v>
      </c>
      <c r="S627" s="25">
        <f t="shared" ca="1" si="527"/>
        <v>-322458.97987081966</v>
      </c>
    </row>
    <row r="628" spans="1:19" ht="15.75" customHeight="1" x14ac:dyDescent="0.3">
      <c r="A628" s="37">
        <v>70068</v>
      </c>
      <c r="B628" s="409">
        <f t="shared" ref="B628:C628" si="634">($A628-B$9)/365.25</f>
        <v>109.95756331279945</v>
      </c>
      <c r="C628" s="409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3525.4531757812501</v>
      </c>
      <c r="H628" s="25">
        <f>IF(B628&lt;62,0,'Combined Retirement'!$I$14)</f>
        <v>2192</v>
      </c>
      <c r="I628" s="25">
        <f>IF(C628&lt;62,0,'Combined Retirement'!$I$13)</f>
        <v>2420</v>
      </c>
      <c r="J628" s="25">
        <f t="shared" si="523"/>
        <v>7863.2184191855868</v>
      </c>
      <c r="K628" s="25">
        <f t="shared" si="524"/>
        <v>20282.026119384056</v>
      </c>
      <c r="L628" s="25"/>
      <c r="N628" s="25">
        <f>'Combined Retirement'!$C$18/12</f>
        <v>39153.069999999992</v>
      </c>
      <c r="O628" s="25">
        <f t="shared" si="525"/>
        <v>11007.82546143035</v>
      </c>
      <c r="P628" s="25">
        <f t="shared" si="526"/>
        <v>28145.244538569641</v>
      </c>
      <c r="Q628" s="25">
        <f t="array" aca="1" ref="Q628" ca="1">INDEX('Isaac 401k'!L:L,MATCH('Retirement Calculator'!A628,'Isaac 401k'!N:N,0),0)</f>
        <v>288058.80422076449</v>
      </c>
      <c r="R628" s="25">
        <f t="array" aca="1" ref="R628" ca="1">INDEX('Lorri 401b'!L:L,MATCH('Retirement Calculator'!A628,'Lorri 401b'!N:N,0),0)</f>
        <v>-640123.87956519297</v>
      </c>
      <c r="S628" s="25">
        <f t="shared" ca="1" si="527"/>
        <v>-352065.07534442848</v>
      </c>
    </row>
    <row r="629" spans="1:19" ht="15.75" customHeight="1" x14ac:dyDescent="0.3">
      <c r="A629" s="37">
        <v>70098</v>
      </c>
      <c r="B629" s="409">
        <f t="shared" ref="B629:C629" si="635">($A629-B$9)/365.25</f>
        <v>110.03969883641342</v>
      </c>
      <c r="C629" s="409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3525.4531757812501</v>
      </c>
      <c r="H629" s="25">
        <f>IF(B629&lt;62,0,'Combined Retirement'!$I$14)</f>
        <v>2192</v>
      </c>
      <c r="I629" s="25">
        <f>IF(C629&lt;62,0,'Combined Retirement'!$I$13)</f>
        <v>2420</v>
      </c>
      <c r="J629" s="25">
        <f t="shared" si="523"/>
        <v>7863.2184191855868</v>
      </c>
      <c r="K629" s="25">
        <f t="shared" si="524"/>
        <v>20282.026119384056</v>
      </c>
      <c r="L629" s="25"/>
      <c r="N629" s="25">
        <f>'Combined Retirement'!$C$18/12</f>
        <v>39153.069999999992</v>
      </c>
      <c r="O629" s="25">
        <f t="shared" si="525"/>
        <v>11007.82546143035</v>
      </c>
      <c r="P629" s="25">
        <f t="shared" si="526"/>
        <v>28145.244538569641</v>
      </c>
      <c r="Q629" s="25">
        <f t="array" aca="1" ref="Q629" ca="1">INDEX('Isaac 401k'!L:L,MATCH('Retirement Calculator'!A629,'Isaac 401k'!N:N,0),0)</f>
        <v>281363.06740908546</v>
      </c>
      <c r="R629" s="25">
        <f t="array" aca="1" ref="R629" ca="1">INDEX('Lorri 401b'!L:L,MATCH('Retirement Calculator'!A629,'Lorri 401b'!N:N,0),0)</f>
        <v>-663157.59695826285</v>
      </c>
      <c r="S629" s="25">
        <f t="shared" ca="1" si="527"/>
        <v>-381794.52954917739</v>
      </c>
    </row>
    <row r="630" spans="1:19" ht="15.75" customHeight="1" x14ac:dyDescent="0.3">
      <c r="A630" s="37">
        <v>70129</v>
      </c>
      <c r="B630" s="409">
        <f t="shared" ref="B630:C630" si="636">($A630-B$9)/365.25</f>
        <v>110.12457221081451</v>
      </c>
      <c r="C630" s="409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3525.4531757812501</v>
      </c>
      <c r="H630" s="25">
        <f>IF(B630&lt;62,0,'Combined Retirement'!$I$14)</f>
        <v>2192</v>
      </c>
      <c r="I630" s="25">
        <f>IF(C630&lt;62,0,'Combined Retirement'!$I$13)</f>
        <v>2420</v>
      </c>
      <c r="J630" s="25">
        <f t="shared" si="523"/>
        <v>7863.2184191855868</v>
      </c>
      <c r="K630" s="25">
        <f t="shared" si="524"/>
        <v>20282.026119384056</v>
      </c>
      <c r="L630" s="25"/>
      <c r="N630" s="25">
        <f>'Combined Retirement'!$C$18/12</f>
        <v>39153.069999999992</v>
      </c>
      <c r="O630" s="25">
        <f t="shared" si="525"/>
        <v>11007.82546143035</v>
      </c>
      <c r="P630" s="25">
        <f t="shared" si="526"/>
        <v>28145.244538569641</v>
      </c>
      <c r="Q630" s="25">
        <f t="array" aca="1" ref="Q630" ca="1">INDEX('Isaac 401k'!L:L,MATCH('Retirement Calculator'!A630,'Isaac 401k'!N:N,0),0)</f>
        <v>274639.43169402442</v>
      </c>
      <c r="R630" s="25">
        <f t="array" aca="1" ref="R630" ca="1">INDEX('Lorri 401b'!L:L,MATCH('Retirement Calculator'!A630,'Lorri 401b'!N:N,0),0)</f>
        <v>-686287.28817380383</v>
      </c>
      <c r="S630" s="25">
        <f t="shared" ca="1" si="527"/>
        <v>-411647.85647977941</v>
      </c>
    </row>
    <row r="631" spans="1:19" ht="15.75" customHeight="1" x14ac:dyDescent="0.3">
      <c r="A631" s="37">
        <v>70160</v>
      </c>
      <c r="B631" s="409">
        <f t="shared" ref="B631:C631" si="637">($A631-B$9)/365.25</f>
        <v>110.2094455852156</v>
      </c>
      <c r="C631" s="409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3525.4531757812501</v>
      </c>
      <c r="H631" s="25">
        <f>IF(B631&lt;62,0,'Combined Retirement'!$I$14)</f>
        <v>2192</v>
      </c>
      <c r="I631" s="25">
        <f>IF(C631&lt;62,0,'Combined Retirement'!$I$13)</f>
        <v>2420</v>
      </c>
      <c r="J631" s="25">
        <f t="shared" si="523"/>
        <v>7863.2184191855868</v>
      </c>
      <c r="K631" s="25">
        <f t="shared" si="524"/>
        <v>20282.026119384056</v>
      </c>
      <c r="L631" s="25"/>
      <c r="N631" s="25">
        <f>'Combined Retirement'!$C$18/12</f>
        <v>39153.069999999992</v>
      </c>
      <c r="O631" s="25">
        <f t="shared" si="525"/>
        <v>11007.82546143035</v>
      </c>
      <c r="P631" s="25">
        <f t="shared" si="526"/>
        <v>28145.244538569641</v>
      </c>
      <c r="Q631" s="25">
        <f t="array" aca="1" ref="Q631" ca="1">INDEX('Isaac 401k'!L:L,MATCH('Retirement Calculator'!A631,'Isaac 401k'!N:N,0),0)</f>
        <v>267887.78083015064</v>
      </c>
      <c r="R631" s="25">
        <f t="array" aca="1" ref="R631" ca="1">INDEX('Lorri 401b'!L:L,MATCH('Retirement Calculator'!A631,'Lorri 401b'!N:N,0),0)</f>
        <v>-709513.35310274293</v>
      </c>
      <c r="S631" s="25">
        <f t="shared" ca="1" si="527"/>
        <v>-441625.57227259228</v>
      </c>
    </row>
    <row r="632" spans="1:19" ht="15.75" customHeight="1" x14ac:dyDescent="0.3">
      <c r="A632" s="37">
        <v>70189</v>
      </c>
      <c r="B632" s="409">
        <f t="shared" ref="B632:C632" si="638">($A632-B$9)/365.25</f>
        <v>110.28884325804243</v>
      </c>
      <c r="C632" s="409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3525.4531757812501</v>
      </c>
      <c r="H632" s="25">
        <f>IF(B632&lt;62,0,'Combined Retirement'!$I$14)</f>
        <v>2192</v>
      </c>
      <c r="I632" s="25">
        <f>IF(C632&lt;62,0,'Combined Retirement'!$I$13)</f>
        <v>2420</v>
      </c>
      <c r="J632" s="25">
        <f t="shared" si="523"/>
        <v>7863.2184191855868</v>
      </c>
      <c r="K632" s="25">
        <f t="shared" si="524"/>
        <v>20282.026119384056</v>
      </c>
      <c r="L632" s="25"/>
      <c r="N632" s="25">
        <f>'Combined Retirement'!$C$18/12</f>
        <v>39153.069999999992</v>
      </c>
      <c r="O632" s="25">
        <f t="shared" si="525"/>
        <v>11007.82546143035</v>
      </c>
      <c r="P632" s="25">
        <f t="shared" si="526"/>
        <v>28145.244538569641</v>
      </c>
      <c r="Q632" s="25">
        <f t="array" aca="1" ref="Q632" ca="1">INDEX('Isaac 401k'!L:L,MATCH('Retirement Calculator'!A632,'Isaac 401k'!N:N,0),0)</f>
        <v>261107.99808767744</v>
      </c>
      <c r="R632" s="25">
        <f t="array" aca="1" ref="R632" ca="1">INDEX('Lorri 401b'!L:L,MATCH('Retirement Calculator'!A632,'Lorri 401b'!N:N,0),0)</f>
        <v>-732836.19330221927</v>
      </c>
      <c r="S632" s="25">
        <f t="shared" ca="1" si="527"/>
        <v>-471728.19521454186</v>
      </c>
    </row>
    <row r="633" spans="1:19" ht="15.75" customHeight="1" x14ac:dyDescent="0.3">
      <c r="A633" s="37">
        <v>70220</v>
      </c>
      <c r="B633" s="409">
        <f t="shared" ref="B633:C633" si="639">($A633-B$9)/365.25</f>
        <v>110.37371663244353</v>
      </c>
      <c r="C633" s="409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3525.4531757812501</v>
      </c>
      <c r="H633" s="25">
        <f>IF(B633&lt;62,0,'Combined Retirement'!$I$14)</f>
        <v>2192</v>
      </c>
      <c r="I633" s="25">
        <f>IF(C633&lt;62,0,'Combined Retirement'!$I$13)</f>
        <v>2420</v>
      </c>
      <c r="J633" s="25">
        <f t="shared" si="523"/>
        <v>7863.2184191855868</v>
      </c>
      <c r="K633" s="25">
        <f t="shared" si="524"/>
        <v>20282.026119384056</v>
      </c>
      <c r="L633" s="25"/>
      <c r="N633" s="25">
        <f>'Combined Retirement'!$C$18/12</f>
        <v>39153.069999999992</v>
      </c>
      <c r="O633" s="25">
        <f t="shared" si="525"/>
        <v>11007.82546143035</v>
      </c>
      <c r="P633" s="25">
        <f t="shared" si="526"/>
        <v>28145.244538569641</v>
      </c>
      <c r="Q633" s="25">
        <f t="array" aca="1" ref="Q633" ca="1">INDEX('Isaac 401k'!L:L,MATCH('Retirement Calculator'!A633,'Isaac 401k'!N:N,0),0)</f>
        <v>254299.96625044392</v>
      </c>
      <c r="R633" s="25">
        <f t="array" aca="1" ref="R633" ca="1">INDEX('Lorri 401b'!L:L,MATCH('Retirement Calculator'!A633,'Lorri 401b'!N:N,0),0)</f>
        <v>-756256.21200252674</v>
      </c>
      <c r="S633" s="25">
        <f t="shared" ca="1" si="527"/>
        <v>-501956.24575208279</v>
      </c>
    </row>
    <row r="634" spans="1:19" ht="15.75" customHeight="1" x14ac:dyDescent="0.3">
      <c r="A634" s="37">
        <v>70250</v>
      </c>
      <c r="B634" s="409">
        <f t="shared" ref="B634:C634" si="640">($A634-B$9)/365.25</f>
        <v>110.45585215605749</v>
      </c>
      <c r="C634" s="409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3525.4531757812501</v>
      </c>
      <c r="H634" s="25">
        <f>IF(B634&lt;62,0,'Combined Retirement'!$I$14)</f>
        <v>2192</v>
      </c>
      <c r="I634" s="25">
        <f>IF(C634&lt;62,0,'Combined Retirement'!$I$13)</f>
        <v>2420</v>
      </c>
      <c r="J634" s="25">
        <f t="shared" si="523"/>
        <v>7863.2184191855868</v>
      </c>
      <c r="K634" s="25">
        <f t="shared" si="524"/>
        <v>20282.026119384056</v>
      </c>
      <c r="L634" s="25"/>
      <c r="N634" s="25">
        <f>'Combined Retirement'!$C$18/12</f>
        <v>39153.069999999992</v>
      </c>
      <c r="O634" s="25">
        <f t="shared" si="525"/>
        <v>11007.82546143035</v>
      </c>
      <c r="P634" s="25">
        <f t="shared" si="526"/>
        <v>28145.244538569641</v>
      </c>
      <c r="Q634" s="25">
        <f t="array" aca="1" ref="Q634" ca="1">INDEX('Isaac 401k'!L:L,MATCH('Retirement Calculator'!A634,'Isaac 401k'!N:N,0),0)</f>
        <v>247463.56761388859</v>
      </c>
      <c r="R634" s="25">
        <f t="array" aca="1" ref="R634" ca="1">INDEX('Lorri 401b'!L:L,MATCH('Retirement Calculator'!A634,'Lorri 401b'!N:N,0),0)</f>
        <v>-779773.81411408552</v>
      </c>
      <c r="S634" s="25">
        <f t="shared" ca="1" si="527"/>
        <v>-532310.24650019687</v>
      </c>
    </row>
    <row r="635" spans="1:19" ht="15.75" customHeight="1" x14ac:dyDescent="0.3">
      <c r="A635" s="37">
        <v>70281</v>
      </c>
      <c r="B635" s="409">
        <f t="shared" ref="B635:C635" si="641">($A635-B$9)/365.25</f>
        <v>110.54072553045859</v>
      </c>
      <c r="C635" s="409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3525.4531757812501</v>
      </c>
      <c r="H635" s="25">
        <f>IF(B635&lt;62,0,'Combined Retirement'!$I$14)</f>
        <v>2192</v>
      </c>
      <c r="I635" s="25">
        <f>IF(C635&lt;62,0,'Combined Retirement'!$I$13)</f>
        <v>2420</v>
      </c>
      <c r="J635" s="25">
        <f t="shared" si="523"/>
        <v>7863.2184191855868</v>
      </c>
      <c r="K635" s="25">
        <f t="shared" si="524"/>
        <v>20282.026119384056</v>
      </c>
      <c r="L635" s="25"/>
      <c r="N635" s="25">
        <f>'Combined Retirement'!$C$18/12</f>
        <v>39153.069999999992</v>
      </c>
      <c r="O635" s="25">
        <f t="shared" si="525"/>
        <v>11007.82546143035</v>
      </c>
      <c r="P635" s="25">
        <f t="shared" si="526"/>
        <v>28145.244538569641</v>
      </c>
      <c r="Q635" s="25">
        <f t="array" aca="1" ref="Q635" ca="1">INDEX('Isaac 401k'!L:L,MATCH('Retirement Calculator'!A635,'Isaac 401k'!N:N,0),0)</f>
        <v>240598.68398301429</v>
      </c>
      <c r="R635" s="25">
        <f t="array" aca="1" ref="R635" ca="1">INDEX('Lorri 401b'!L:L,MATCH('Retirement Calculator'!A635,'Lorri 401b'!N:N,0),0)</f>
        <v>-803389.40623444237</v>
      </c>
      <c r="S635" s="25">
        <f t="shared" ca="1" si="527"/>
        <v>-562790.72225142806</v>
      </c>
    </row>
    <row r="636" spans="1:19" ht="15.75" customHeight="1" x14ac:dyDescent="0.3">
      <c r="A636" s="37">
        <v>70311</v>
      </c>
      <c r="B636" s="409">
        <f t="shared" ref="B636:C636" si="642">($A636-B$9)/365.25</f>
        <v>110.62286105407256</v>
      </c>
      <c r="C636" s="409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3525.4531757812501</v>
      </c>
      <c r="H636" s="25">
        <f>IF(B636&lt;62,0,'Combined Retirement'!$I$14)</f>
        <v>2192</v>
      </c>
      <c r="I636" s="25">
        <f>IF(C636&lt;62,0,'Combined Retirement'!$I$13)</f>
        <v>2420</v>
      </c>
      <c r="J636" s="25">
        <f t="shared" si="523"/>
        <v>7863.2184191855868</v>
      </c>
      <c r="K636" s="25">
        <f t="shared" si="524"/>
        <v>20282.026119384056</v>
      </c>
      <c r="L636" s="25"/>
      <c r="N636" s="25">
        <f>'Combined Retirement'!$C$18/12</f>
        <v>39153.069999999992</v>
      </c>
      <c r="O636" s="25">
        <f t="shared" si="525"/>
        <v>11007.82546143035</v>
      </c>
      <c r="P636" s="25">
        <f t="shared" si="526"/>
        <v>28145.244538569641</v>
      </c>
      <c r="Q636" s="25">
        <f t="array" aca="1" ref="Q636" ca="1">INDEX('Isaac 401k'!L:L,MATCH('Retirement Calculator'!A636,'Isaac 401k'!N:N,0),0)</f>
        <v>233705.19667034465</v>
      </c>
      <c r="R636" s="25">
        <f t="array" aca="1" ref="R636" ca="1">INDEX('Lorri 401b'!L:L,MATCH('Retirement Calculator'!A636,'Lorri 401b'!N:N,0),0)</f>
        <v>-827103.39665530075</v>
      </c>
      <c r="S636" s="25">
        <f t="shared" ca="1" si="527"/>
        <v>-593398.19998495607</v>
      </c>
    </row>
    <row r="637" spans="1:19" ht="15.75" customHeight="1" x14ac:dyDescent="0.3">
      <c r="A637" s="37">
        <v>70342</v>
      </c>
      <c r="B637" s="409">
        <f t="shared" ref="B637:C637" si="643">($A637-B$9)/365.25</f>
        <v>110.70773442847364</v>
      </c>
      <c r="C637" s="409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3525.4531757812501</v>
      </c>
      <c r="H637" s="25">
        <f>IF(B637&lt;62,0,'Combined Retirement'!$I$14)</f>
        <v>2192</v>
      </c>
      <c r="I637" s="25">
        <f>IF(C637&lt;62,0,'Combined Retirement'!$I$13)</f>
        <v>2420</v>
      </c>
      <c r="J637" s="25">
        <f t="shared" si="523"/>
        <v>7863.2184191855868</v>
      </c>
      <c r="K637" s="25">
        <f t="shared" si="524"/>
        <v>20282.026119384056</v>
      </c>
      <c r="L637" s="25"/>
      <c r="N637" s="25">
        <f>'Combined Retirement'!$C$18/12</f>
        <v>39153.069999999992</v>
      </c>
      <c r="O637" s="25">
        <f t="shared" si="525"/>
        <v>11007.82546143035</v>
      </c>
      <c r="P637" s="25">
        <f t="shared" si="526"/>
        <v>28145.244538569641</v>
      </c>
      <c r="Q637" s="25">
        <f t="array" aca="1" ref="Q637" ca="1">INDEX('Isaac 401k'!L:L,MATCH('Retirement Calculator'!A637,'Isaac 401k'!N:N,0),0)</f>
        <v>226782.98649387225</v>
      </c>
      <c r="R637" s="25">
        <f t="array" aca="1" ref="R637" ca="1">INDEX('Lorri 401b'!L:L,MATCH('Retirement Calculator'!A637,'Lorri 401b'!N:N,0),0)</f>
        <v>-850916.19536957936</v>
      </c>
      <c r="S637" s="25">
        <f t="shared" ca="1" si="527"/>
        <v>-624133.20887570712</v>
      </c>
    </row>
    <row r="638" spans="1:19" ht="15.75" customHeight="1" x14ac:dyDescent="0.3">
      <c r="A638" s="37">
        <v>70373</v>
      </c>
      <c r="B638" s="409">
        <f t="shared" ref="B638:C638" si="644">($A638-B$9)/365.25</f>
        <v>110.79260780287474</v>
      </c>
      <c r="C638" s="409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3525.4531757812501</v>
      </c>
      <c r="H638" s="25">
        <f>IF(B638&lt;62,0,'Combined Retirement'!$I$14)</f>
        <v>2192</v>
      </c>
      <c r="I638" s="25">
        <f>IF(C638&lt;62,0,'Combined Retirement'!$I$13)</f>
        <v>2420</v>
      </c>
      <c r="J638" s="25">
        <f t="shared" si="523"/>
        <v>7863.2184191855868</v>
      </c>
      <c r="K638" s="25">
        <f t="shared" si="524"/>
        <v>20282.026119384056</v>
      </c>
      <c r="L638" s="25"/>
      <c r="N638" s="25">
        <f>'Combined Retirement'!$C$18/12</f>
        <v>39153.069999999992</v>
      </c>
      <c r="O638" s="25">
        <f t="shared" si="525"/>
        <v>11007.82546143035</v>
      </c>
      <c r="P638" s="25">
        <f t="shared" si="526"/>
        <v>28145.244538569641</v>
      </c>
      <c r="Q638" s="25">
        <f t="array" aca="1" ref="Q638" ca="1">INDEX('Isaac 401k'!L:L,MATCH('Retirement Calculator'!A638,'Isaac 401k'!N:N,0),0)</f>
        <v>219831.93377499786</v>
      </c>
      <c r="R638" s="25">
        <f t="array" aca="1" ref="R638" ca="1">INDEX('Lorri 401b'!L:L,MATCH('Retirement Calculator'!A638,'Lorri 401b'!N:N,0),0)</f>
        <v>-874828.21407850087</v>
      </c>
      <c r="S638" s="25">
        <f t="shared" ca="1" si="527"/>
        <v>-654996.28030350304</v>
      </c>
    </row>
    <row r="639" spans="1:19" ht="15.75" customHeight="1" x14ac:dyDescent="0.3">
      <c r="A639" s="37">
        <v>70403</v>
      </c>
      <c r="B639" s="409">
        <f t="shared" ref="B639:C639" si="645">($A639-B$9)/365.25</f>
        <v>110.87474332648871</v>
      </c>
      <c r="C639" s="409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3525.4531757812501</v>
      </c>
      <c r="H639" s="25">
        <f>IF(B639&lt;62,0,'Combined Retirement'!$I$14)</f>
        <v>2192</v>
      </c>
      <c r="I639" s="25">
        <f>IF(C639&lt;62,0,'Combined Retirement'!$I$13)</f>
        <v>2420</v>
      </c>
      <c r="J639" s="25">
        <f t="shared" si="523"/>
        <v>7863.2184191855868</v>
      </c>
      <c r="K639" s="25">
        <f t="shared" si="524"/>
        <v>20282.026119384056</v>
      </c>
      <c r="L639" s="25"/>
      <c r="N639" s="25">
        <f>'Combined Retirement'!$C$18/12</f>
        <v>39153.069999999992</v>
      </c>
      <c r="O639" s="25">
        <f t="shared" si="525"/>
        <v>11007.82546143035</v>
      </c>
      <c r="P639" s="25">
        <f t="shared" si="526"/>
        <v>28145.244538569641</v>
      </c>
      <c r="Q639" s="25">
        <f t="array" aca="1" ref="Q639" ca="1">INDEX('Isaac 401k'!L:L,MATCH('Retirement Calculator'!A639,'Isaac 401k'!N:N,0),0)</f>
        <v>212851.9183364615</v>
      </c>
      <c r="R639" s="25">
        <f t="array" aca="1" ref="R639" ca="1">INDEX('Lorri 401b'!L:L,MATCH('Retirement Calculator'!A639,'Lorri 401b'!N:N,0),0)</f>
        <v>-898839.86619870947</v>
      </c>
      <c r="S639" s="25">
        <f t="shared" ca="1" si="527"/>
        <v>-685987.94786224794</v>
      </c>
    </row>
    <row r="640" spans="1:19" ht="15.75" customHeight="1" x14ac:dyDescent="0.3">
      <c r="A640" s="37">
        <v>70434</v>
      </c>
      <c r="B640" s="409">
        <f t="shared" ref="B640:C640" si="646">($A640-B$9)/365.25</f>
        <v>110.9596167008898</v>
      </c>
      <c r="C640" s="409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3525.4531757812501</v>
      </c>
      <c r="H640" s="25">
        <f>IF(B640&lt;62,0,'Combined Retirement'!$I$14)</f>
        <v>2192</v>
      </c>
      <c r="I640" s="25">
        <f>IF(C640&lt;62,0,'Combined Retirement'!$I$13)</f>
        <v>2420</v>
      </c>
      <c r="J640" s="25">
        <f t="shared" si="523"/>
        <v>7863.2184191855868</v>
      </c>
      <c r="K640" s="25">
        <f t="shared" si="524"/>
        <v>20282.026119384056</v>
      </c>
      <c r="L640" s="25"/>
      <c r="N640" s="25">
        <f>'Combined Retirement'!$C$18/12</f>
        <v>39153.069999999992</v>
      </c>
      <c r="O640" s="25">
        <f t="shared" si="525"/>
        <v>11007.82546143035</v>
      </c>
      <c r="P640" s="25">
        <f t="shared" si="526"/>
        <v>28145.244538569641</v>
      </c>
      <c r="Q640" s="25">
        <f t="array" aca="1" ref="Q640" ca="1">INDEX('Isaac 401k'!L:L,MATCH('Retirement Calculator'!A640,'Isaac 401k'!N:N,0),0)</f>
        <v>205842.81950026457</v>
      </c>
      <c r="R640" s="25">
        <f t="array" aca="1" ref="R640" ca="1">INDEX('Lorri 401b'!L:L,MATCH('Retirement Calculator'!A640,'Lorri 401b'!N:N,0),0)</f>
        <v>-922951.56686941895</v>
      </c>
      <c r="S640" s="25">
        <f t="shared" ca="1" si="527"/>
        <v>-717108.74736915436</v>
      </c>
    </row>
    <row r="641" spans="1:19" ht="15.75" customHeight="1" x14ac:dyDescent="0.3">
      <c r="A641" s="37">
        <v>70464</v>
      </c>
      <c r="B641" s="409">
        <f t="shared" ref="B641:C641" si="647">($A641-B$9)/365.25</f>
        <v>111.04175222450377</v>
      </c>
      <c r="C641" s="409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3525.4531757812501</v>
      </c>
      <c r="H641" s="25">
        <f>IF(B641&lt;62,0,'Combined Retirement'!$I$14)</f>
        <v>2192</v>
      </c>
      <c r="I641" s="25">
        <f>IF(C641&lt;62,0,'Combined Retirement'!$I$13)</f>
        <v>2420</v>
      </c>
      <c r="J641" s="25">
        <f t="shared" si="523"/>
        <v>7863.2184191855868</v>
      </c>
      <c r="K641" s="25">
        <f t="shared" si="524"/>
        <v>20282.026119384056</v>
      </c>
      <c r="L641" s="25"/>
      <c r="N641" s="25">
        <f>'Combined Retirement'!$C$18/12</f>
        <v>39153.069999999992</v>
      </c>
      <c r="O641" s="25">
        <f t="shared" si="525"/>
        <v>11007.82546143035</v>
      </c>
      <c r="P641" s="25">
        <f t="shared" si="526"/>
        <v>28145.244538569641</v>
      </c>
      <c r="Q641" s="25">
        <f t="array" aca="1" ref="Q641" ca="1">INDEX('Isaac 401k'!L:L,MATCH('Retirement Calculator'!A641,'Isaac 401k'!N:N,0),0)</f>
        <v>198804.51608558348</v>
      </c>
      <c r="R641" s="25">
        <f t="array" aca="1" ref="R641" ca="1">INDEX('Lorri 401b'!L:L,MATCH('Retirement Calculator'!A641,'Lorri 401b'!N:N,0),0)</f>
        <v>-947163.73295958969</v>
      </c>
      <c r="S641" s="25">
        <f t="shared" ca="1" si="527"/>
        <v>-748359.2168740062</v>
      </c>
    </row>
    <row r="642" spans="1:19" ht="15.75" customHeight="1" x14ac:dyDescent="0.3">
      <c r="A642" s="37">
        <v>70495</v>
      </c>
      <c r="B642" s="409">
        <f t="shared" ref="B642:C642" si="648">($A642-B$9)/365.25</f>
        <v>111.12662559890487</v>
      </c>
      <c r="C642" s="409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3525.4531757812501</v>
      </c>
      <c r="H642" s="25">
        <f>IF(B642&lt;62,0,'Combined Retirement'!$I$14)</f>
        <v>2192</v>
      </c>
      <c r="I642" s="25">
        <f>IF(C642&lt;62,0,'Combined Retirement'!$I$13)</f>
        <v>2420</v>
      </c>
      <c r="J642" s="25">
        <f t="shared" si="523"/>
        <v>7863.2184191855868</v>
      </c>
      <c r="K642" s="25">
        <f t="shared" si="524"/>
        <v>20282.026119384056</v>
      </c>
      <c r="L642" s="25"/>
      <c r="N642" s="25">
        <f>'Combined Retirement'!$C$18/12</f>
        <v>39153.069999999992</v>
      </c>
      <c r="O642" s="25">
        <f t="shared" si="525"/>
        <v>11007.82546143035</v>
      </c>
      <c r="P642" s="25">
        <f t="shared" si="526"/>
        <v>28145.244538569641</v>
      </c>
      <c r="Q642" s="25">
        <f t="array" aca="1" ref="Q642" ca="1">INDEX('Isaac 401k'!L:L,MATCH('Retirement Calculator'!A642,'Isaac 401k'!N:N,0),0)</f>
        <v>191736.88640667457</v>
      </c>
      <c r="R642" s="25">
        <f t="array" aca="1" ref="R642" ca="1">INDEX('Lorri 401b'!L:L,MATCH('Retirement Calculator'!A642,'Lorri 401b'!N:N,0),0)</f>
        <v>-971476.78307513613</v>
      </c>
      <c r="S642" s="25">
        <f t="shared" ca="1" si="527"/>
        <v>-779739.89666846162</v>
      </c>
    </row>
    <row r="643" spans="1:19" ht="15.75" customHeight="1" x14ac:dyDescent="0.3">
      <c r="A643" s="37">
        <v>70526</v>
      </c>
      <c r="B643" s="409">
        <f t="shared" ref="B643:C643" si="649">($A643-B$9)/365.25</f>
        <v>111.21149897330595</v>
      </c>
      <c r="C643" s="409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3525.4531757812501</v>
      </c>
      <c r="H643" s="25">
        <f>IF(B643&lt;62,0,'Combined Retirement'!$I$14)</f>
        <v>2192</v>
      </c>
      <c r="I643" s="25">
        <f>IF(C643&lt;62,0,'Combined Retirement'!$I$13)</f>
        <v>2420</v>
      </c>
      <c r="J643" s="25">
        <f t="shared" si="523"/>
        <v>7863.2184191855868</v>
      </c>
      <c r="K643" s="25">
        <f t="shared" si="524"/>
        <v>20282.026119384056</v>
      </c>
      <c r="L643" s="25"/>
      <c r="N643" s="25">
        <f>'Combined Retirement'!$C$18/12</f>
        <v>39153.069999999992</v>
      </c>
      <c r="O643" s="25">
        <f t="shared" si="525"/>
        <v>11007.82546143035</v>
      </c>
      <c r="P643" s="25">
        <f t="shared" si="526"/>
        <v>28145.244538569641</v>
      </c>
      <c r="Q643" s="25">
        <f t="array" aca="1" ref="Q643" ca="1">INDEX('Isaac 401k'!L:L,MATCH('Retirement Calculator'!A643,'Isaac 401k'!N:N,0),0)</f>
        <v>184639.80827077021</v>
      </c>
      <c r="R643" s="25">
        <f t="array" aca="1" ref="R643" ca="1">INDEX('Lorri 401b'!L:L,MATCH('Retirement Calculator'!A643,'Lorri 401b'!N:N,0),0)</f>
        <v>-995891.13756616402</v>
      </c>
      <c r="S643" s="25">
        <f t="shared" ca="1" si="527"/>
        <v>-811251.32929539378</v>
      </c>
    </row>
    <row r="644" spans="1:19" ht="15.75" customHeight="1" x14ac:dyDescent="0.3">
      <c r="A644" s="37">
        <v>70554</v>
      </c>
      <c r="B644" s="409">
        <f t="shared" ref="B644:C644" si="650">($A644-B$9)/365.25</f>
        <v>111.28815879534565</v>
      </c>
      <c r="C644" s="409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3525.4531757812501</v>
      </c>
      <c r="H644" s="25">
        <f>IF(B644&lt;62,0,'Combined Retirement'!$I$14)</f>
        <v>2192</v>
      </c>
      <c r="I644" s="25">
        <f>IF(C644&lt;62,0,'Combined Retirement'!$I$13)</f>
        <v>2420</v>
      </c>
      <c r="J644" s="25">
        <f t="shared" si="523"/>
        <v>7863.2184191855868</v>
      </c>
      <c r="K644" s="25">
        <f t="shared" si="524"/>
        <v>20282.026119384056</v>
      </c>
      <c r="L644" s="25"/>
      <c r="N644" s="25">
        <f>'Combined Retirement'!$C$18/12</f>
        <v>39153.069999999992</v>
      </c>
      <c r="O644" s="25">
        <f t="shared" si="525"/>
        <v>11007.82546143035</v>
      </c>
      <c r="P644" s="25">
        <f t="shared" si="526"/>
        <v>28145.244538569641</v>
      </c>
      <c r="Q644" s="25">
        <f t="array" aca="1" ref="Q644" ca="1">INDEX('Isaac 401k'!L:L,MATCH('Retirement Calculator'!A644,'Isaac 401k'!N:N,0),0)</f>
        <v>177513.15897596625</v>
      </c>
      <c r="R644" s="25">
        <f t="array" aca="1" ref="R644" ca="1">INDEX('Lorri 401b'!L:L,MATCH('Retirement Calculator'!A644,'Lorri 401b'!N:N,0),0)</f>
        <v>-1020407.2185342379</v>
      </c>
      <c r="S644" s="25">
        <f t="shared" ca="1" si="527"/>
        <v>-842894.05955827166</v>
      </c>
    </row>
    <row r="645" spans="1:19" ht="15.75" customHeight="1" x14ac:dyDescent="0.3">
      <c r="A645" s="37">
        <v>70585</v>
      </c>
      <c r="B645" s="409">
        <f t="shared" ref="B645:C645" si="651">($A645-B$9)/365.25</f>
        <v>111.37303216974675</v>
      </c>
      <c r="C645" s="409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3525.4531757812501</v>
      </c>
      <c r="H645" s="25">
        <f>IF(B645&lt;62,0,'Combined Retirement'!$I$14)</f>
        <v>2192</v>
      </c>
      <c r="I645" s="25">
        <f>IF(C645&lt;62,0,'Combined Retirement'!$I$13)</f>
        <v>2420</v>
      </c>
      <c r="J645" s="25">
        <f t="shared" si="523"/>
        <v>7863.2184191855868</v>
      </c>
      <c r="K645" s="25">
        <f t="shared" si="524"/>
        <v>20282.026119384056</v>
      </c>
      <c r="L645" s="25"/>
      <c r="N645" s="25">
        <f>'Combined Retirement'!$C$18/12</f>
        <v>39153.069999999992</v>
      </c>
      <c r="O645" s="25">
        <f t="shared" si="525"/>
        <v>11007.82546143035</v>
      </c>
      <c r="P645" s="25">
        <f t="shared" si="526"/>
        <v>28145.244538569641</v>
      </c>
      <c r="Q645" s="25">
        <f t="array" aca="1" ref="Q645" ca="1">INDEX('Isaac 401k'!L:L,MATCH('Retirement Calculator'!A645,'Isaac 401k'!N:N,0),0)</f>
        <v>170356.81530910058</v>
      </c>
      <c r="R645" s="25">
        <f t="array" aca="1" ref="R645" ca="1">INDEX('Lorri 401b'!L:L,MATCH('Retirement Calculator'!A645,'Lorri 401b'!N:N,0),0)</f>
        <v>-1045025.4498396788</v>
      </c>
      <c r="S645" s="25">
        <f t="shared" ca="1" si="527"/>
        <v>-874668.63453057827</v>
      </c>
    </row>
    <row r="646" spans="1:19" ht="15.75" customHeight="1" x14ac:dyDescent="0.3">
      <c r="A646" s="37">
        <v>70615</v>
      </c>
      <c r="B646" s="409">
        <f t="shared" ref="B646:C646" si="652">($A646-B$9)/365.25</f>
        <v>111.45516769336071</v>
      </c>
      <c r="C646" s="409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3525.4531757812501</v>
      </c>
      <c r="H646" s="25">
        <f>IF(B646&lt;62,0,'Combined Retirement'!$I$14)</f>
        <v>2192</v>
      </c>
      <c r="I646" s="25">
        <f>IF(C646&lt;62,0,'Combined Retirement'!$I$13)</f>
        <v>2420</v>
      </c>
      <c r="J646" s="25">
        <f t="shared" si="523"/>
        <v>7863.2184191855868</v>
      </c>
      <c r="K646" s="25">
        <f t="shared" si="524"/>
        <v>20282.026119384056</v>
      </c>
      <c r="L646" s="25"/>
      <c r="N646" s="25">
        <f>'Combined Retirement'!$C$18/12</f>
        <v>39153.069999999992</v>
      </c>
      <c r="O646" s="25">
        <f t="shared" si="525"/>
        <v>11007.82546143035</v>
      </c>
      <c r="P646" s="25">
        <f t="shared" si="526"/>
        <v>28145.244538569641</v>
      </c>
      <c r="Q646" s="25">
        <f t="array" aca="1" ref="Q646" ca="1">INDEX('Isaac 401k'!L:L,MATCH('Retirement Calculator'!A646,'Isaac 401k'!N:N,0),0)</f>
        <v>163170.65354362299</v>
      </c>
      <c r="R646" s="25">
        <f t="array" aca="1" ref="R646" ca="1">INDEX('Lorri 401b'!L:L,MATCH('Retirement Calculator'!A646,'Lorri 401b'!N:N,0),0)</f>
        <v>-1069746.2571088923</v>
      </c>
      <c r="S646" s="25">
        <f t="shared" ca="1" si="527"/>
        <v>-906575.60356526938</v>
      </c>
    </row>
    <row r="647" spans="1:19" ht="15.75" customHeight="1" x14ac:dyDescent="0.3">
      <c r="A647" s="37">
        <v>70646</v>
      </c>
      <c r="B647" s="409">
        <f t="shared" ref="B647:C647" si="653">($A647-B$9)/365.25</f>
        <v>111.54004106776181</v>
      </c>
      <c r="C647" s="409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3525.4531757812501</v>
      </c>
      <c r="H647" s="25">
        <f>IF(B647&lt;62,0,'Combined Retirement'!$I$14)</f>
        <v>2192</v>
      </c>
      <c r="I647" s="25">
        <f>IF(C647&lt;62,0,'Combined Retirement'!$I$13)</f>
        <v>2420</v>
      </c>
      <c r="J647" s="25">
        <f t="shared" si="523"/>
        <v>7863.2184191855868</v>
      </c>
      <c r="K647" s="25">
        <f t="shared" si="524"/>
        <v>20282.026119384056</v>
      </c>
      <c r="L647" s="25"/>
      <c r="N647" s="25">
        <f>'Combined Retirement'!$C$18/12</f>
        <v>39153.069999999992</v>
      </c>
      <c r="O647" s="25">
        <f t="shared" si="525"/>
        <v>11007.82546143035</v>
      </c>
      <c r="P647" s="25">
        <f t="shared" si="526"/>
        <v>28145.244538569641</v>
      </c>
      <c r="Q647" s="25">
        <f t="array" aca="1" ref="Q647" ca="1">INDEX('Isaac 401k'!L:L,MATCH('Retirement Calculator'!A647,'Isaac 401k'!N:N,0),0)</f>
        <v>155954.54943745589</v>
      </c>
      <c r="R647" s="25">
        <f t="array" aca="1" ref="R647" ca="1">INDEX('Lorri 401b'!L:L,MATCH('Retirement Calculator'!A647,'Lorri 401b'!N:N,0),0)</f>
        <v>-1094570.0677417275</v>
      </c>
      <c r="S647" s="25">
        <f t="shared" ca="1" si="527"/>
        <v>-938615.51830427162</v>
      </c>
    </row>
    <row r="648" spans="1:19" ht="15.75" customHeight="1" x14ac:dyDescent="0.3">
      <c r="A648" s="37">
        <v>70676</v>
      </c>
      <c r="B648" s="409">
        <f t="shared" ref="B648:C648" si="654">($A648-B$9)/365.25</f>
        <v>111.62217659137578</v>
      </c>
      <c r="C648" s="409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3525.4531757812501</v>
      </c>
      <c r="H648" s="25">
        <f>IF(B648&lt;62,0,'Combined Retirement'!$I$14)</f>
        <v>2192</v>
      </c>
      <c r="I648" s="25">
        <f>IF(C648&lt;62,0,'Combined Retirement'!$I$13)</f>
        <v>2420</v>
      </c>
      <c r="J648" s="25">
        <f t="shared" si="523"/>
        <v>7863.2184191855868</v>
      </c>
      <c r="K648" s="25">
        <f t="shared" si="524"/>
        <v>20282.026119384056</v>
      </c>
      <c r="L648" s="25"/>
      <c r="N648" s="25">
        <f>'Combined Retirement'!$C$18/12</f>
        <v>39153.069999999992</v>
      </c>
      <c r="O648" s="25">
        <f t="shared" si="525"/>
        <v>11007.82546143035</v>
      </c>
      <c r="P648" s="25">
        <f t="shared" si="526"/>
        <v>28145.244538569641</v>
      </c>
      <c r="Q648" s="25">
        <f t="array" aca="1" ref="Q648" ca="1">INDEX('Isaac 401k'!L:L,MATCH('Retirement Calculator'!A648,'Isaac 401k'!N:N,0),0)</f>
        <v>148708.37823084643</v>
      </c>
      <c r="R648" s="25">
        <f t="array" aca="1" ref="R648" ca="1">INDEX('Lorri 401b'!L:L,MATCH('Retirement Calculator'!A648,'Lorri 401b'!N:N,0),0)</f>
        <v>-1119497.310918866</v>
      </c>
      <c r="S648" s="25">
        <f t="shared" ca="1" si="527"/>
        <v>-970788.93268801947</v>
      </c>
    </row>
    <row r="649" spans="1:19" ht="15.75" customHeight="1" x14ac:dyDescent="0.3">
      <c r="A649" s="37">
        <v>70707</v>
      </c>
      <c r="B649" s="409">
        <f t="shared" ref="B649:C649" si="655">($A649-B$9)/365.25</f>
        <v>111.70704996577686</v>
      </c>
      <c r="C649" s="409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3525.4531757812501</v>
      </c>
      <c r="H649" s="25">
        <f>IF(B649&lt;62,0,'Combined Retirement'!$I$14)</f>
        <v>2192</v>
      </c>
      <c r="I649" s="25">
        <f>IF(C649&lt;62,0,'Combined Retirement'!$I$13)</f>
        <v>2420</v>
      </c>
      <c r="J649" s="25">
        <f t="shared" si="523"/>
        <v>7863.2184191855868</v>
      </c>
      <c r="K649" s="25">
        <f t="shared" si="524"/>
        <v>20282.026119384056</v>
      </c>
      <c r="L649" s="25"/>
      <c r="N649" s="25">
        <f>'Combined Retirement'!$C$18/12</f>
        <v>39153.069999999992</v>
      </c>
      <c r="O649" s="25">
        <f t="shared" si="525"/>
        <v>11007.82546143035</v>
      </c>
      <c r="P649" s="25">
        <f t="shared" si="526"/>
        <v>28145.244538569641</v>
      </c>
      <c r="Q649" s="25">
        <f t="array" aca="1" ref="Q649" ca="1">INDEX('Isaac 401k'!L:L,MATCH('Retirement Calculator'!A649,'Isaac 401k'!N:N,0),0)</f>
        <v>141432.01464420944</v>
      </c>
      <c r="R649" s="25">
        <f t="array" aca="1" ref="R649" ca="1">INDEX('Lorri 401b'!L:L,MATCH('Retirement Calculator'!A649,'Lorri 401b'!N:N,0),0)</f>
        <v>-1144528.4176092427</v>
      </c>
      <c r="S649" s="25">
        <f t="shared" ca="1" si="527"/>
        <v>-1003096.4029650333</v>
      </c>
    </row>
    <row r="650" spans="1:19" ht="15.75" customHeight="1" x14ac:dyDescent="0.3">
      <c r="A650" s="37">
        <v>70738</v>
      </c>
      <c r="B650" s="409">
        <f t="shared" ref="B650:C650" si="656">($A650-B$9)/365.25</f>
        <v>111.79192334017796</v>
      </c>
      <c r="C650" s="409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3525.4531757812501</v>
      </c>
      <c r="H650" s="25">
        <f>IF(B650&lt;62,0,'Combined Retirement'!$I$14)</f>
        <v>2192</v>
      </c>
      <c r="I650" s="25">
        <f>IF(C650&lt;62,0,'Combined Retirement'!$I$13)</f>
        <v>2420</v>
      </c>
      <c r="J650" s="25">
        <f t="shared" si="523"/>
        <v>7863.2184191855868</v>
      </c>
      <c r="K650" s="25">
        <f t="shared" si="524"/>
        <v>20282.026119384056</v>
      </c>
      <c r="L650" s="25"/>
      <c r="N650" s="25">
        <f>'Combined Retirement'!$C$18/12</f>
        <v>39153.069999999992</v>
      </c>
      <c r="O650" s="25">
        <f t="shared" si="525"/>
        <v>11007.82546143035</v>
      </c>
      <c r="P650" s="25">
        <f t="shared" si="526"/>
        <v>28145.244538569641</v>
      </c>
      <c r="Q650" s="25">
        <f t="array" aca="1" ref="Q650" ca="1">INDEX('Isaac 401k'!L:L,MATCH('Retirement Calculator'!A650,'Isaac 401k'!N:N,0),0)</f>
        <v>134125.33287596147</v>
      </c>
      <c r="R650" s="25">
        <f t="array" aca="1" ref="R650" ca="1">INDEX('Lorri 401b'!L:L,MATCH('Retirement Calculator'!A650,'Lorri 401b'!N:N,0),0)</f>
        <v>-1169663.820577496</v>
      </c>
      <c r="S650" s="25">
        <f t="shared" ca="1" si="527"/>
        <v>-1035538.4877015345</v>
      </c>
    </row>
    <row r="651" spans="1:19" ht="15.75" customHeight="1" x14ac:dyDescent="0.3">
      <c r="A651" s="37">
        <v>70768</v>
      </c>
      <c r="B651" s="409">
        <f t="shared" ref="B651:C651" si="657">($A651-B$9)/365.25</f>
        <v>111.87405886379193</v>
      </c>
      <c r="C651" s="409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3525.4531757812501</v>
      </c>
      <c r="H651" s="25">
        <f>IF(B651&lt;62,0,'Combined Retirement'!$I$14)</f>
        <v>2192</v>
      </c>
      <c r="I651" s="25">
        <f>IF(C651&lt;62,0,'Combined Retirement'!$I$13)</f>
        <v>2420</v>
      </c>
      <c r="J651" s="25">
        <f t="shared" si="523"/>
        <v>7863.2184191855868</v>
      </c>
      <c r="K651" s="25">
        <f t="shared" si="524"/>
        <v>20282.026119384056</v>
      </c>
      <c r="L651" s="25"/>
      <c r="N651" s="25">
        <f>'Combined Retirement'!$C$18/12</f>
        <v>39153.069999999992</v>
      </c>
      <c r="O651" s="25">
        <f t="shared" si="525"/>
        <v>11007.82546143035</v>
      </c>
      <c r="P651" s="25">
        <f t="shared" si="526"/>
        <v>28145.244538569641</v>
      </c>
      <c r="Q651" s="25">
        <f t="array" aca="1" ref="Q651" ca="1">INDEX('Isaac 401k'!L:L,MATCH('Retirement Calculator'!A651,'Isaac 401k'!N:N,0),0)</f>
        <v>126788.20660034577</v>
      </c>
      <c r="R651" s="25">
        <f t="array" aca="1" ref="R651" ca="1">INDEX('Lorri 401b'!L:L,MATCH('Retirement Calculator'!A651,'Lorri 401b'!N:N,0),0)</f>
        <v>-1194903.9543914504</v>
      </c>
      <c r="S651" s="25">
        <f t="shared" ca="1" si="527"/>
        <v>-1068115.7477911047</v>
      </c>
    </row>
    <row r="652" spans="1:19" ht="15.75" customHeight="1" x14ac:dyDescent="0.3">
      <c r="A652" s="37">
        <v>70799</v>
      </c>
      <c r="B652" s="409">
        <f t="shared" ref="B652:C652" si="658">($A652-B$9)/365.25</f>
        <v>111.95893223819301</v>
      </c>
      <c r="C652" s="409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3525.4531757812501</v>
      </c>
      <c r="H652" s="25">
        <f>IF(B652&lt;62,0,'Combined Retirement'!$I$14)</f>
        <v>2192</v>
      </c>
      <c r="I652" s="25">
        <f>IF(C652&lt;62,0,'Combined Retirement'!$I$13)</f>
        <v>2420</v>
      </c>
      <c r="J652" s="25">
        <f t="shared" si="523"/>
        <v>7863.2184191855868</v>
      </c>
      <c r="K652" s="25">
        <f t="shared" si="524"/>
        <v>20282.026119384056</v>
      </c>
      <c r="L652" s="25"/>
      <c r="N652" s="25">
        <f>'Combined Retirement'!$C$18/12</f>
        <v>39153.069999999992</v>
      </c>
      <c r="O652" s="25">
        <f t="shared" si="525"/>
        <v>11007.82546143035</v>
      </c>
      <c r="P652" s="25">
        <f t="shared" si="526"/>
        <v>28145.244538569641</v>
      </c>
      <c r="Q652" s="25">
        <f t="array" aca="1" ref="Q652" ca="1">INDEX('Isaac 401k'!L:L,MATCH('Retirement Calculator'!A652,'Isaac 401k'!N:N,0),0)</f>
        <v>119420.50896524834</v>
      </c>
      <c r="R652" s="25">
        <f t="array" aca="1" ref="R652" ca="1">INDEX('Lorri 401b'!L:L,MATCH('Retirement Calculator'!A652,'Lorri 401b'!N:N,0),0)</f>
        <v>-1220249.2554296295</v>
      </c>
      <c r="S652" s="25">
        <f t="shared" ca="1" si="527"/>
        <v>-1100828.7464643812</v>
      </c>
    </row>
    <row r="653" spans="1:19" ht="15.75" customHeight="1" x14ac:dyDescent="0.3">
      <c r="A653" s="37">
        <v>70829</v>
      </c>
      <c r="B653" s="409">
        <f t="shared" ref="B653:C653" si="659">($A653-B$9)/365.25</f>
        <v>112.04106776180699</v>
      </c>
      <c r="C653" s="409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3525.4531757812501</v>
      </c>
      <c r="H653" s="25">
        <f>IF(B653&lt;62,0,'Combined Retirement'!$I$14)</f>
        <v>2192</v>
      </c>
      <c r="I653" s="25">
        <f>IF(C653&lt;62,0,'Combined Retirement'!$I$13)</f>
        <v>2420</v>
      </c>
      <c r="J653" s="25">
        <f t="shared" si="523"/>
        <v>7863.2184191855868</v>
      </c>
      <c r="K653" s="25">
        <f t="shared" si="524"/>
        <v>20282.026119384056</v>
      </c>
      <c r="L653" s="25"/>
      <c r="N653" s="25">
        <f>'Combined Retirement'!$C$18/12</f>
        <v>39153.069999999992</v>
      </c>
      <c r="O653" s="25">
        <f t="shared" si="525"/>
        <v>11007.82546143035</v>
      </c>
      <c r="P653" s="25">
        <f t="shared" si="526"/>
        <v>28145.244538569641</v>
      </c>
      <c r="Q653" s="25">
        <f t="array" aca="1" ref="Q653" ca="1">INDEX('Isaac 401k'!L:L,MATCH('Retirement Calculator'!A653,'Isaac 401k'!N:N,0),0)</f>
        <v>112022.11259000468</v>
      </c>
      <c r="R653" s="25">
        <f t="array" aca="1" ref="R653" ca="1">INDEX('Lorri 401b'!L:L,MATCH('Retirement Calculator'!A653,'Lorri 401b'!N:N,0),0)</f>
        <v>-1245700.161888801</v>
      </c>
      <c r="S653" s="25">
        <f t="shared" ca="1" si="527"/>
        <v>-1133678.0492987963</v>
      </c>
    </row>
    <row r="654" spans="1:19" ht="15.75" customHeight="1" x14ac:dyDescent="0.3">
      <c r="A654" s="37">
        <v>70860</v>
      </c>
      <c r="B654" s="409">
        <f t="shared" ref="B654:C654" si="660">($A654-B$9)/365.25</f>
        <v>112.12594113620807</v>
      </c>
      <c r="C654" s="409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3525.4531757812501</v>
      </c>
      <c r="H654" s="25">
        <f>IF(B654&lt;62,0,'Combined Retirement'!$I$14)</f>
        <v>2192</v>
      </c>
      <c r="I654" s="25">
        <f>IF(C654&lt;62,0,'Combined Retirement'!$I$13)</f>
        <v>2420</v>
      </c>
      <c r="J654" s="25">
        <f t="shared" si="523"/>
        <v>7863.2184191855868</v>
      </c>
      <c r="K654" s="25">
        <f t="shared" si="524"/>
        <v>20282.026119384056</v>
      </c>
      <c r="L654" s="25"/>
      <c r="N654" s="25">
        <f>'Combined Retirement'!$C$18/12</f>
        <v>39153.069999999992</v>
      </c>
      <c r="O654" s="25">
        <f t="shared" si="525"/>
        <v>11007.82546143035</v>
      </c>
      <c r="P654" s="25">
        <f t="shared" si="526"/>
        <v>28145.244538569641</v>
      </c>
      <c r="Q654" s="25">
        <f t="array" aca="1" ref="Q654" ca="1">INDEX('Isaac 401k'!L:L,MATCH('Retirement Calculator'!A654,'Isaac 401k'!N:N,0),0)</f>
        <v>104592.8895631975</v>
      </c>
      <c r="R654" s="25">
        <f t="array" aca="1" ref="R654" ca="1">INDEX('Lorri 401b'!L:L,MATCH('Retirement Calculator'!A654,'Lorri 401b'!N:N,0),0)</f>
        <v>-1271257.1137915524</v>
      </c>
      <c r="S654" s="25">
        <f t="shared" ca="1" si="527"/>
        <v>-1166664.2242283549</v>
      </c>
    </row>
    <row r="655" spans="1:19" ht="15.75" customHeight="1" x14ac:dyDescent="0.3">
      <c r="A655" s="37">
        <v>70891</v>
      </c>
      <c r="B655" s="409">
        <f t="shared" ref="B655:C655" si="661">($A655-B$9)/365.25</f>
        <v>112.21081451060917</v>
      </c>
      <c r="C655" s="409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3525.4531757812501</v>
      </c>
      <c r="H655" s="25">
        <f>IF(B655&lt;62,0,'Combined Retirement'!$I$14)</f>
        <v>2192</v>
      </c>
      <c r="I655" s="25">
        <f>IF(C655&lt;62,0,'Combined Retirement'!$I$13)</f>
        <v>2420</v>
      </c>
      <c r="J655" s="25">
        <f t="shared" si="523"/>
        <v>7863.2184191855868</v>
      </c>
      <c r="K655" s="25">
        <f t="shared" si="524"/>
        <v>20282.026119384056</v>
      </c>
      <c r="L655" s="25"/>
      <c r="N655" s="25">
        <f>'Combined Retirement'!$C$18/12</f>
        <v>39153.069999999992</v>
      </c>
      <c r="O655" s="25">
        <f t="shared" si="525"/>
        <v>11007.82546143035</v>
      </c>
      <c r="P655" s="25">
        <f t="shared" si="526"/>
        <v>28145.244538569641</v>
      </c>
      <c r="Q655" s="25">
        <f t="array" aca="1" ref="Q655" ca="1">INDEX('Isaac 401k'!L:L,MATCH('Retirement Calculator'!A655,'Isaac 401k'!N:N,0),0)</f>
        <v>97132.711440445288</v>
      </c>
      <c r="R655" s="25">
        <f t="array" aca="1" ref="R655" ca="1">INDEX('Lorri 401b'!L:L,MATCH('Retirement Calculator'!A655,'Lorri 401b'!N:N,0),0)</f>
        <v>-1296920.5529938985</v>
      </c>
      <c r="S655" s="25">
        <f t="shared" ca="1" si="527"/>
        <v>-1199787.8415534531</v>
      </c>
    </row>
    <row r="656" spans="1:19" ht="15.75" customHeight="1" x14ac:dyDescent="0.3">
      <c r="A656" s="37">
        <v>70919</v>
      </c>
      <c r="B656" s="409">
        <f t="shared" ref="B656:C656" si="662">($A656-B$9)/365.25</f>
        <v>112.28747433264887</v>
      </c>
      <c r="C656" s="409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3525.4531757812501</v>
      </c>
      <c r="H656" s="25">
        <f>IF(B656&lt;62,0,'Combined Retirement'!$I$14)</f>
        <v>2192</v>
      </c>
      <c r="I656" s="25">
        <f>IF(C656&lt;62,0,'Combined Retirement'!$I$13)</f>
        <v>2420</v>
      </c>
      <c r="J656" s="25">
        <f t="shared" si="523"/>
        <v>7863.2184191855868</v>
      </c>
      <c r="K656" s="25">
        <f t="shared" si="524"/>
        <v>20282.026119384056</v>
      </c>
      <c r="L656" s="25"/>
      <c r="N656" s="25">
        <f>'Combined Retirement'!$C$18/12</f>
        <v>39153.069999999992</v>
      </c>
      <c r="O656" s="25">
        <f t="shared" si="525"/>
        <v>11007.82546143035</v>
      </c>
      <c r="P656" s="25">
        <f t="shared" si="526"/>
        <v>28145.244538569641</v>
      </c>
      <c r="Q656" s="25">
        <f t="array" aca="1" ref="Q656" ca="1">INDEX('Isaac 401k'!L:L,MATCH('Retirement Calculator'!A656,'Isaac 401k'!N:N,0),0)</f>
        <v>89641.44924218161</v>
      </c>
      <c r="R656" s="25">
        <f t="array" aca="1" ref="R656" ca="1">INDEX('Lorri 401b'!L:L,MATCH('Retirement Calculator'!A656,'Lorri 401b'!N:N,0),0)</f>
        <v>-1322690.9231929211</v>
      </c>
      <c r="S656" s="25">
        <f t="shared" ca="1" si="527"/>
        <v>-1233049.4739507395</v>
      </c>
    </row>
    <row r="657" spans="1:19" ht="15.75" customHeight="1" x14ac:dyDescent="0.3">
      <c r="A657" s="37">
        <v>70950</v>
      </c>
      <c r="B657" s="409">
        <f t="shared" ref="B657:C657" si="663">($A657-B$9)/365.25</f>
        <v>112.37234770704997</v>
      </c>
      <c r="C657" s="409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3525.4531757812501</v>
      </c>
      <c r="H657" s="25">
        <f>IF(B657&lt;62,0,'Combined Retirement'!$I$14)</f>
        <v>2192</v>
      </c>
      <c r="I657" s="25">
        <f>IF(C657&lt;62,0,'Combined Retirement'!$I$13)</f>
        <v>2420</v>
      </c>
      <c r="J657" s="25">
        <f t="shared" si="523"/>
        <v>7863.2184191855868</v>
      </c>
      <c r="K657" s="25">
        <f t="shared" si="524"/>
        <v>20282.026119384056</v>
      </c>
      <c r="L657" s="25"/>
      <c r="N657" s="25">
        <f>'Combined Retirement'!$C$18/12</f>
        <v>39153.069999999992</v>
      </c>
      <c r="O657" s="25">
        <f t="shared" si="525"/>
        <v>11007.82546143035</v>
      </c>
      <c r="P657" s="25">
        <f t="shared" si="526"/>
        <v>28145.244538569641</v>
      </c>
      <c r="Q657" s="25">
        <f t="array" aca="1" ref="Q657" ca="1">INDEX('Isaac 401k'!L:L,MATCH('Retirement Calculator'!A657,'Isaac 401k'!N:N,0),0)</f>
        <v>82118.973451425161</v>
      </c>
      <c r="R657" s="25">
        <f t="array" aca="1" ref="R657" ca="1">INDEX('Lorri 401b'!L:L,MATCH('Retirement Calculator'!A657,'Lorri 401b'!N:N,0),0)</f>
        <v>-1348568.6699344397</v>
      </c>
      <c r="S657" s="25">
        <f t="shared" ca="1" si="527"/>
        <v>-1266449.6964830146</v>
      </c>
    </row>
    <row r="658" spans="1:19" ht="15.75" customHeight="1" x14ac:dyDescent="0.3">
      <c r="A658" s="37">
        <v>70980</v>
      </c>
      <c r="B658" s="409">
        <f t="shared" ref="B658:C658" si="664">($A658-B$9)/365.25</f>
        <v>112.45448323066393</v>
      </c>
      <c r="C658" s="409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3525.4531757812501</v>
      </c>
      <c r="H658" s="25">
        <f>IF(B658&lt;62,0,'Combined Retirement'!$I$14)</f>
        <v>2192</v>
      </c>
      <c r="I658" s="25">
        <f>IF(C658&lt;62,0,'Combined Retirement'!$I$13)</f>
        <v>2420</v>
      </c>
      <c r="J658" s="25">
        <f t="shared" si="523"/>
        <v>7863.2184191855868</v>
      </c>
      <c r="K658" s="25">
        <f t="shared" si="524"/>
        <v>20282.026119384056</v>
      </c>
      <c r="L658" s="25"/>
      <c r="N658" s="25">
        <f>'Combined Retirement'!$C$18/12</f>
        <v>39153.069999999992</v>
      </c>
      <c r="O658" s="25">
        <f t="shared" si="525"/>
        <v>11007.82546143035</v>
      </c>
      <c r="P658" s="25">
        <f t="shared" si="526"/>
        <v>28145.244538569641</v>
      </c>
      <c r="Q658" s="25">
        <f t="array" aca="1" ref="Q658" ca="1">INDEX('Isaac 401k'!L:L,MATCH('Retirement Calculator'!A658,'Isaac 401k'!N:N,0),0)</f>
        <v>74565.154011540566</v>
      </c>
      <c r="R658" s="25">
        <f t="array" aca="1" ref="R658" ca="1">INDEX('Lorri 401b'!L:L,MATCH('Retirement Calculator'!A658,'Lorri 401b'!N:N,0),0)</f>
        <v>-1374554.2406207146</v>
      </c>
      <c r="S658" s="25">
        <f t="shared" ca="1" si="527"/>
        <v>-1299989.086609174</v>
      </c>
    </row>
    <row r="659" spans="1:19" ht="15.75" customHeight="1" x14ac:dyDescent="0.3">
      <c r="A659" s="37">
        <v>71011</v>
      </c>
      <c r="B659" s="409">
        <f t="shared" ref="B659:C659" si="665">($A659-B$9)/365.25</f>
        <v>112.53935660506502</v>
      </c>
      <c r="C659" s="409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3525.4531757812501</v>
      </c>
      <c r="H659" s="25">
        <f>IF(B659&lt;62,0,'Combined Retirement'!$I$14)</f>
        <v>2192</v>
      </c>
      <c r="I659" s="25">
        <f>IF(C659&lt;62,0,'Combined Retirement'!$I$13)</f>
        <v>2420</v>
      </c>
      <c r="J659" s="25">
        <f t="shared" si="523"/>
        <v>7863.2184191855868</v>
      </c>
      <c r="K659" s="25">
        <f t="shared" si="524"/>
        <v>20282.026119384056</v>
      </c>
      <c r="L659" s="25"/>
      <c r="N659" s="25">
        <f>'Combined Retirement'!$C$18/12</f>
        <v>39153.069999999992</v>
      </c>
      <c r="O659" s="25">
        <f t="shared" si="525"/>
        <v>11007.82546143035</v>
      </c>
      <c r="P659" s="25">
        <f t="shared" si="526"/>
        <v>28145.244538569641</v>
      </c>
      <c r="Q659" s="25">
        <f t="array" aca="1" ref="Q659" ca="1">INDEX('Isaac 401k'!L:L,MATCH('Retirement Calculator'!A659,'Isaac 401k'!N:N,0),0)</f>
        <v>66979.860323989793</v>
      </c>
      <c r="R659" s="25">
        <f t="array" aca="1" ref="R659" ca="1">INDEX('Lorri 401b'!L:L,MATCH('Retirement Calculator'!A659,'Lorri 401b'!N:N,0),0)</f>
        <v>-1400648.0845181823</v>
      </c>
      <c r="S659" s="25">
        <f t="shared" ca="1" si="527"/>
        <v>-1333668.2241941926</v>
      </c>
    </row>
    <row r="660" spans="1:19" ht="15.75" customHeight="1" x14ac:dyDescent="0.3">
      <c r="A660" s="37">
        <v>71041</v>
      </c>
      <c r="B660" s="409">
        <f t="shared" ref="B660:C660" si="666">($A660-B$9)/365.25</f>
        <v>112.62149212867898</v>
      </c>
      <c r="C660" s="409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3525.4531757812501</v>
      </c>
      <c r="H660" s="25">
        <f>IF(B660&lt;62,0,'Combined Retirement'!$I$14)</f>
        <v>2192</v>
      </c>
      <c r="I660" s="25">
        <f>IF(C660&lt;62,0,'Combined Retirement'!$I$13)</f>
        <v>2420</v>
      </c>
      <c r="J660" s="25">
        <f t="shared" si="523"/>
        <v>7863.2184191855868</v>
      </c>
      <c r="K660" s="25">
        <f t="shared" si="524"/>
        <v>20282.026119384056</v>
      </c>
      <c r="L660" s="25"/>
      <c r="N660" s="25">
        <f>'Combined Retirement'!$C$18/12</f>
        <v>39153.069999999992</v>
      </c>
      <c r="O660" s="25">
        <f t="shared" si="525"/>
        <v>11007.82546143035</v>
      </c>
      <c r="P660" s="25">
        <f t="shared" si="526"/>
        <v>28145.244538569641</v>
      </c>
      <c r="Q660" s="25">
        <f t="array" aca="1" ref="Q660" ca="1">INDEX('Isaac 401k'!L:L,MATCH('Retirement Calculator'!A660,'Isaac 401k'!N:N,0),0)</f>
        <v>59362.961246074228</v>
      </c>
      <c r="R660" s="25">
        <f t="array" aca="1" ref="R660" ca="1">INDEX('Lorri 401b'!L:L,MATCH('Retirement Calculator'!A660,'Lorri 401b'!N:N,0),0)</f>
        <v>-1426850.6527652228</v>
      </c>
      <c r="S660" s="25">
        <f t="shared" ca="1" si="527"/>
        <v>-1367487.6915191486</v>
      </c>
    </row>
    <row r="661" spans="1:19" ht="15.75" customHeight="1" x14ac:dyDescent="0.3">
      <c r="A661" s="37">
        <v>71072</v>
      </c>
      <c r="B661" s="409">
        <f t="shared" ref="B661:C661" si="667">($A661-B$9)/365.25</f>
        <v>112.70636550308008</v>
      </c>
      <c r="C661" s="409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3525.4531757812501</v>
      </c>
      <c r="H661" s="25">
        <f>IF(B661&lt;62,0,'Combined Retirement'!$I$14)</f>
        <v>2192</v>
      </c>
      <c r="I661" s="25">
        <f>IF(C661&lt;62,0,'Combined Retirement'!$I$13)</f>
        <v>2420</v>
      </c>
      <c r="J661" s="25">
        <f t="shared" si="523"/>
        <v>7863.2184191855868</v>
      </c>
      <c r="K661" s="25">
        <f t="shared" si="524"/>
        <v>20282.026119384056</v>
      </c>
      <c r="L661" s="25"/>
      <c r="N661" s="25">
        <f>'Combined Retirement'!$C$18/12</f>
        <v>39153.069999999992</v>
      </c>
      <c r="O661" s="25">
        <f t="shared" si="525"/>
        <v>11007.82546143035</v>
      </c>
      <c r="P661" s="25">
        <f t="shared" si="526"/>
        <v>28145.244538569641</v>
      </c>
      <c r="Q661" s="25">
        <f t="array" aca="1" ref="Q661" ca="1">INDEX('Isaac 401k'!L:L,MATCH('Retirement Calculator'!A661,'Isaac 401k'!N:N,0),0)</f>
        <v>51714.325088667349</v>
      </c>
      <c r="R661" s="25">
        <f t="array" aca="1" ref="R661" ca="1">INDEX('Lorri 401b'!L:L,MATCH('Retirement Calculator'!A661,'Lorri 401b'!N:N,0),0)</f>
        <v>-1453162.3983799594</v>
      </c>
      <c r="S661" s="25">
        <f t="shared" ca="1" si="527"/>
        <v>-1401448.0732912919</v>
      </c>
    </row>
    <row r="662" spans="1:19" ht="15.75" customHeight="1" x14ac:dyDescent="0.3">
      <c r="A662" s="37">
        <v>71103</v>
      </c>
      <c r="B662" s="409">
        <f t="shared" ref="B662:C662" si="668">($A662-B$9)/365.25</f>
        <v>112.79123887748118</v>
      </c>
      <c r="C662" s="409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3525.4531757812501</v>
      </c>
      <c r="H662" s="25">
        <f>IF(B662&lt;62,0,'Combined Retirement'!$I$14)</f>
        <v>2192</v>
      </c>
      <c r="I662" s="25">
        <f>IF(C662&lt;62,0,'Combined Retirement'!$I$13)</f>
        <v>2420</v>
      </c>
      <c r="J662" s="25">
        <f t="shared" si="523"/>
        <v>7863.2184191855868</v>
      </c>
      <c r="K662" s="25">
        <f t="shared" si="524"/>
        <v>20282.026119384056</v>
      </c>
      <c r="L662" s="25"/>
      <c r="N662" s="25">
        <f>'Combined Retirement'!$C$18/12</f>
        <v>39153.069999999992</v>
      </c>
      <c r="O662" s="25">
        <f t="shared" si="525"/>
        <v>11007.82546143035</v>
      </c>
      <c r="P662" s="25">
        <f t="shared" si="526"/>
        <v>28145.244538569641</v>
      </c>
      <c r="Q662" s="25">
        <f t="array" aca="1" ref="Q662" ca="1">INDEX('Isaac 401k'!L:L,MATCH('Retirement Calculator'!A662,'Isaac 401k'!N:N,0),0)</f>
        <v>44033.819613937936</v>
      </c>
      <c r="R662" s="25">
        <f t="array" aca="1" ref="R662" ca="1">INDEX('Lorri 401b'!L:L,MATCH('Retirement Calculator'!A662,'Lorri 401b'!N:N,0),0)</f>
        <v>-1479583.7762680906</v>
      </c>
      <c r="S662" s="25">
        <f t="shared" ca="1" si="527"/>
        <v>-1435549.9566541526</v>
      </c>
    </row>
    <row r="663" spans="1:19" ht="15.75" customHeight="1" x14ac:dyDescent="0.3">
      <c r="A663" s="37">
        <v>71133</v>
      </c>
      <c r="B663" s="409">
        <f t="shared" ref="B663:C663" si="669">($A663-B$9)/365.25</f>
        <v>112.87337440109513</v>
      </c>
      <c r="C663" s="409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3525.4531757812501</v>
      </c>
      <c r="H663" s="25">
        <f>IF(B663&lt;62,0,'Combined Retirement'!$I$14)</f>
        <v>2192</v>
      </c>
      <c r="I663" s="25">
        <f>IF(C663&lt;62,0,'Combined Retirement'!$I$13)</f>
        <v>2420</v>
      </c>
      <c r="J663" s="25">
        <f t="shared" si="523"/>
        <v>7863.2184191855868</v>
      </c>
      <c r="K663" s="25">
        <f t="shared" si="524"/>
        <v>20282.026119384056</v>
      </c>
      <c r="L663" s="25"/>
      <c r="N663" s="25">
        <f>'Combined Retirement'!$C$18/12</f>
        <v>39153.069999999992</v>
      </c>
      <c r="O663" s="25">
        <f t="shared" si="525"/>
        <v>11007.82546143035</v>
      </c>
      <c r="P663" s="25">
        <f t="shared" si="526"/>
        <v>28145.244538569641</v>
      </c>
      <c r="Q663" s="25">
        <f t="array" aca="1" ref="Q663" ca="1">INDEX('Isaac 401k'!L:L,MATCH('Retirement Calculator'!A663,'Isaac 401k'!N:N,0),0)</f>
        <v>36321.312033063819</v>
      </c>
      <c r="R663" s="25">
        <f t="array" aca="1" ref="R663" ca="1">INDEX('Lorri 401b'!L:L,MATCH('Retirement Calculator'!A663,'Lorri 401b'!N:N,0),0)</f>
        <v>-1506115.2432307557</v>
      </c>
      <c r="S663" s="25">
        <f t="shared" ca="1" si="527"/>
        <v>-1469793.9311976919</v>
      </c>
    </row>
    <row r="664" spans="1:19" ht="15.75" customHeight="1" x14ac:dyDescent="0.3">
      <c r="A664" s="37">
        <v>71164</v>
      </c>
      <c r="B664" s="409">
        <f t="shared" ref="B664:C664" si="670">($A664-B$9)/365.25</f>
        <v>112.95824777549623</v>
      </c>
      <c r="C664" s="409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3525.4531757812501</v>
      </c>
      <c r="H664" s="25">
        <f>IF(B664&lt;62,0,'Combined Retirement'!$I$14)</f>
        <v>2192</v>
      </c>
      <c r="I664" s="25">
        <f>IF(C664&lt;62,0,'Combined Retirement'!$I$13)</f>
        <v>2420</v>
      </c>
      <c r="J664" s="25">
        <f t="shared" si="523"/>
        <v>7863.2184191855868</v>
      </c>
      <c r="K664" s="25">
        <f t="shared" si="524"/>
        <v>20282.026119384056</v>
      </c>
      <c r="L664" s="25"/>
      <c r="N664" s="25">
        <f>'Combined Retirement'!$C$18/12</f>
        <v>39153.069999999992</v>
      </c>
      <c r="O664" s="25">
        <f t="shared" si="525"/>
        <v>11007.82546143035</v>
      </c>
      <c r="P664" s="25">
        <f t="shared" si="526"/>
        <v>28145.244538569641</v>
      </c>
      <c r="Q664" s="25">
        <f t="array" aca="1" ref="Q664" ca="1">INDEX('Isaac 401k'!L:L,MATCH('Retirement Calculator'!A664,'Isaac 401k'!N:N,0),0)</f>
        <v>28576.669003936062</v>
      </c>
      <c r="R664" s="25">
        <f t="array" aca="1" ref="R664" ca="1">INDEX('Lorri 401b'!L:L,MATCH('Retirement Calculator'!A664,'Lorri 401b'!N:N,0),0)</f>
        <v>-1532757.2579724318</v>
      </c>
      <c r="S664" s="25">
        <f t="shared" ca="1" si="527"/>
        <v>-1504180.5889684958</v>
      </c>
    </row>
    <row r="665" spans="1:19" ht="15.75" customHeight="1" x14ac:dyDescent="0.3">
      <c r="A665" s="37">
        <v>71194</v>
      </c>
      <c r="B665" s="409">
        <f t="shared" ref="B665:C665" si="671">($A665-B$9)/365.25</f>
        <v>113.0403832991102</v>
      </c>
      <c r="C665" s="409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3525.4531757812501</v>
      </c>
      <c r="H665" s="25">
        <f>IF(B665&lt;62,0,'Combined Retirement'!$I$14)</f>
        <v>2192</v>
      </c>
      <c r="I665" s="25">
        <f>IF(C665&lt;62,0,'Combined Retirement'!$I$13)</f>
        <v>2420</v>
      </c>
      <c r="J665" s="25">
        <f t="shared" si="523"/>
        <v>7863.2184191855868</v>
      </c>
      <c r="K665" s="25">
        <f t="shared" si="524"/>
        <v>20282.026119384056</v>
      </c>
      <c r="L665" s="25"/>
      <c r="N665" s="25">
        <f>'Combined Retirement'!$C$18/12</f>
        <v>39153.069999999992</v>
      </c>
      <c r="O665" s="25">
        <f t="shared" si="525"/>
        <v>11007.82546143035</v>
      </c>
      <c r="P665" s="25">
        <f t="shared" si="526"/>
        <v>28145.244538569641</v>
      </c>
      <c r="Q665" s="25">
        <f t="array" aca="1" ref="Q665" ca="1">INDEX('Isaac 401k'!L:L,MATCH('Retirement Calculator'!A665,'Isaac 401k'!N:N,0),0)</f>
        <v>20799.756628853604</v>
      </c>
      <c r="R665" s="25">
        <f t="array" aca="1" ref="R665" ca="1">INDEX('Lorri 401b'!L:L,MATCH('Retirement Calculator'!A665,'Lorri 401b'!N:N,0),0)</f>
        <v>-1559510.281108865</v>
      </c>
      <c r="S665" s="25">
        <f t="shared" ca="1" si="527"/>
        <v>-1538710.5244800115</v>
      </c>
    </row>
    <row r="666" spans="1:19" ht="15.75" customHeight="1" x14ac:dyDescent="0.3">
      <c r="A666" s="37">
        <v>71225</v>
      </c>
      <c r="B666" s="409">
        <f t="shared" ref="B666:C666" si="672">($A666-B$9)/365.25</f>
        <v>113.12525667351129</v>
      </c>
      <c r="C666" s="409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3525.4531757812501</v>
      </c>
      <c r="H666" s="25">
        <f>IF(B666&lt;62,0,'Combined Retirement'!$I$14)</f>
        <v>2192</v>
      </c>
      <c r="I666" s="25">
        <f>IF(C666&lt;62,0,'Combined Retirement'!$I$13)</f>
        <v>2420</v>
      </c>
      <c r="J666" s="25">
        <f t="shared" si="523"/>
        <v>7863.2184191855868</v>
      </c>
      <c r="K666" s="25">
        <f t="shared" si="524"/>
        <v>20282.026119384056</v>
      </c>
      <c r="L666" s="25"/>
      <c r="N666" s="25">
        <f>'Combined Retirement'!$C$18/12</f>
        <v>39153.069999999992</v>
      </c>
      <c r="O666" s="25">
        <f t="shared" si="525"/>
        <v>11007.82546143035</v>
      </c>
      <c r="P666" s="25">
        <f t="shared" si="526"/>
        <v>28145.244538569641</v>
      </c>
      <c r="Q666" s="25">
        <f t="array" aca="1" ref="Q666" ca="1">INDEX('Isaac 401k'!L:L,MATCH('Retirement Calculator'!A666,'Isaac 401k'!N:N,0),0)</f>
        <v>12990.4404522083</v>
      </c>
      <c r="R666" s="25">
        <f t="array" aca="1" ref="R666" ca="1">INDEX('Lorri 401b'!L:L,MATCH('Retirement Calculator'!A666,'Lorri 401b'!N:N,0),0)</f>
        <v>-1586374.7751750334</v>
      </c>
      <c r="S666" s="25">
        <f t="shared" ca="1" si="527"/>
        <v>-1573384.3347228251</v>
      </c>
    </row>
    <row r="667" spans="1:19" ht="15.75" customHeight="1" x14ac:dyDescent="0.3">
      <c r="A667" s="37">
        <v>71256</v>
      </c>
      <c r="B667" s="409">
        <f t="shared" ref="B667:C667" si="673">($A667-B$9)/365.25</f>
        <v>113.21013004791239</v>
      </c>
      <c r="C667" s="409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3525.4531757812501</v>
      </c>
      <c r="H667" s="25">
        <f>IF(B667&lt;62,0,'Combined Retirement'!$I$14)</f>
        <v>2192</v>
      </c>
      <c r="I667" s="25">
        <f>IF(C667&lt;62,0,'Combined Retirement'!$I$13)</f>
        <v>2420</v>
      </c>
      <c r="J667" s="25">
        <f t="shared" si="523"/>
        <v>7863.2184191855868</v>
      </c>
      <c r="K667" s="25">
        <f t="shared" si="524"/>
        <v>20282.026119384056</v>
      </c>
      <c r="L667" s="25"/>
      <c r="N667" s="25">
        <f>'Combined Retirement'!$C$18/12</f>
        <v>39153.069999999992</v>
      </c>
      <c r="O667" s="25">
        <f t="shared" si="525"/>
        <v>11007.82546143035</v>
      </c>
      <c r="P667" s="25">
        <f t="shared" si="526"/>
        <v>28145.244538569641</v>
      </c>
      <c r="Q667" s="25">
        <f t="array" aca="1" ref="Q667" ca="1">INDEX('Isaac 401k'!L:L,MATCH('Retirement Calculator'!A667,'Isaac 401k'!N:N,0),0)</f>
        <v>5148.585458160308</v>
      </c>
      <c r="R667" s="25">
        <f t="array" aca="1" ref="R667" ca="1">INDEX('Lorri 401b'!L:L,MATCH('Retirement Calculator'!A667,'Lorri 401b'!N:N,0),0)</f>
        <v>-1613351.2046331442</v>
      </c>
      <c r="S667" s="25">
        <f t="shared" ca="1" si="527"/>
        <v>-1608202.6191749838</v>
      </c>
    </row>
    <row r="668" spans="1:19" ht="15.75" customHeight="1" x14ac:dyDescent="0.3">
      <c r="A668" s="37">
        <v>71284</v>
      </c>
      <c r="B668" s="409">
        <f t="shared" ref="B668:C668" si="674">($A668-B$9)/365.25</f>
        <v>113.28678986995209</v>
      </c>
      <c r="C668" s="409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3525.4531757812501</v>
      </c>
      <c r="H668" s="25">
        <f>IF(B668&lt;62,0,'Combined Retirement'!$I$14)</f>
        <v>2192</v>
      </c>
      <c r="I668" s="25">
        <f>IF(C668&lt;62,0,'Combined Retirement'!$I$13)</f>
        <v>2420</v>
      </c>
      <c r="J668" s="25">
        <f t="shared" si="523"/>
        <v>7863.2184191855868</v>
      </c>
      <c r="K668" s="25">
        <f t="shared" si="524"/>
        <v>20282.026119384056</v>
      </c>
      <c r="L668" s="25"/>
      <c r="N668" s="25">
        <f>'Combined Retirement'!$C$18/12</f>
        <v>39153.069999999992</v>
      </c>
      <c r="O668" s="25">
        <f t="shared" si="525"/>
        <v>11007.82546143035</v>
      </c>
      <c r="P668" s="25">
        <f t="shared" si="526"/>
        <v>28145.244538569641</v>
      </c>
      <c r="Q668" s="25">
        <f t="array" aca="1" ref="Q668" ca="1">INDEX('Isaac 401k'!L:L,MATCH('Retirement Calculator'!A668,'Isaac 401k'!N:N,0),0)</f>
        <v>-2725.9439316962175</v>
      </c>
      <c r="R668" s="25">
        <f t="array" aca="1" ref="R668" ca="1">INDEX('Lorri 401b'!L:L,MATCH('Retirement Calculator'!A668,'Lorri 401b'!N:N,0),0)</f>
        <v>-1640440.0358806637</v>
      </c>
      <c r="S668" s="25">
        <f t="shared" ca="1" si="527"/>
        <v>-1643165.9798123599</v>
      </c>
    </row>
    <row r="669" spans="1:19" ht="15.75" customHeight="1" x14ac:dyDescent="0.3">
      <c r="A669" s="37">
        <v>71315</v>
      </c>
      <c r="B669" s="409">
        <f t="shared" ref="B669:C669" si="675">($A669-B$9)/365.25</f>
        <v>113.37166324435319</v>
      </c>
      <c r="C669" s="409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3525.4531757812501</v>
      </c>
      <c r="H669" s="25">
        <f>IF(B669&lt;62,0,'Combined Retirement'!$I$14)</f>
        <v>2192</v>
      </c>
      <c r="I669" s="25">
        <f>IF(C669&lt;62,0,'Combined Retirement'!$I$13)</f>
        <v>2420</v>
      </c>
      <c r="J669" s="25">
        <f t="shared" si="523"/>
        <v>7863.2184191855868</v>
      </c>
      <c r="K669" s="25">
        <f t="shared" si="524"/>
        <v>20282.026119384056</v>
      </c>
      <c r="L669" s="25"/>
      <c r="N669" s="25">
        <f>'Combined Retirement'!$C$18/12</f>
        <v>39153.069999999992</v>
      </c>
      <c r="O669" s="25">
        <f t="shared" si="525"/>
        <v>11007.82546143035</v>
      </c>
      <c r="P669" s="25">
        <f t="shared" si="526"/>
        <v>28145.244538569641</v>
      </c>
      <c r="Q669" s="25">
        <f t="array" aca="1" ref="Q669" ca="1">INDEX('Isaac 401k'!L:L,MATCH('Retirement Calculator'!A669,'Isaac 401k'!N:N,0),0)</f>
        <v>-10633.283860677146</v>
      </c>
      <c r="R669" s="25">
        <f t="array" aca="1" ref="R669" ca="1">INDEX('Lorri 401b'!L:L,MATCH('Retirement Calculator'!A669,'Lorri 401b'!N:N,0),0)</f>
        <v>-1667641.7372583812</v>
      </c>
      <c r="S669" s="25">
        <f t="shared" ca="1" si="527"/>
        <v>-1678275.0211190584</v>
      </c>
    </row>
    <row r="670" spans="1:19" ht="15.75" customHeight="1" x14ac:dyDescent="0.3">
      <c r="A670" s="37">
        <v>71345</v>
      </c>
      <c r="B670" s="409">
        <f t="shared" ref="B670:C670" si="676">($A670-B$9)/365.25</f>
        <v>113.45379876796714</v>
      </c>
      <c r="C670" s="409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3525.4531757812501</v>
      </c>
      <c r="H670" s="25">
        <f>IF(B670&lt;62,0,'Combined Retirement'!$I$14)</f>
        <v>2192</v>
      </c>
      <c r="I670" s="25">
        <f>IF(C670&lt;62,0,'Combined Retirement'!$I$13)</f>
        <v>2420</v>
      </c>
      <c r="J670" s="25">
        <f t="shared" si="523"/>
        <v>7863.2184191855868</v>
      </c>
      <c r="K670" s="25">
        <f t="shared" si="524"/>
        <v>20282.026119384056</v>
      </c>
      <c r="L670" s="25"/>
      <c r="N670" s="25">
        <f>'Combined Retirement'!$C$18/12</f>
        <v>39153.069999999992</v>
      </c>
      <c r="O670" s="25">
        <f t="shared" si="525"/>
        <v>11007.82546143035</v>
      </c>
      <c r="P670" s="25">
        <f t="shared" si="526"/>
        <v>28145.244538569641</v>
      </c>
      <c r="Q670" s="25">
        <f t="array" aca="1" ref="Q670" ca="1">INDEX('Isaac 401k'!L:L,MATCH('Retirement Calculator'!A670,'Isaac 401k'!N:N,0),0)</f>
        <v>-18573.571039362159</v>
      </c>
      <c r="R670" s="25">
        <f t="array" aca="1" ref="R670" ca="1">INDEX('Lorri 401b'!L:L,MATCH('Retirement Calculator'!A670,'Lorri 401b'!N:N,0),0)</f>
        <v>-1694956.7790585058</v>
      </c>
      <c r="S670" s="25">
        <f t="shared" ca="1" si="527"/>
        <v>-1713530.3500978679</v>
      </c>
    </row>
    <row r="671" spans="1:19" ht="15.75" customHeight="1" x14ac:dyDescent="0.3">
      <c r="A671" s="37">
        <v>71376</v>
      </c>
      <c r="B671" s="409">
        <f t="shared" ref="B671:C671" si="677">($A671-B$9)/365.25</f>
        <v>113.53867214236824</v>
      </c>
      <c r="C671" s="409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3525.4531757812501</v>
      </c>
      <c r="H671" s="25">
        <f>IF(B671&lt;62,0,'Combined Retirement'!$I$14)</f>
        <v>2192</v>
      </c>
      <c r="I671" s="25">
        <f>IF(C671&lt;62,0,'Combined Retirement'!$I$13)</f>
        <v>2420</v>
      </c>
      <c r="J671" s="25">
        <f t="shared" si="523"/>
        <v>7863.2184191855868</v>
      </c>
      <c r="K671" s="25">
        <f t="shared" si="524"/>
        <v>20282.026119384056</v>
      </c>
      <c r="L671" s="25"/>
      <c r="N671" s="25">
        <f>'Combined Retirement'!$C$18/12</f>
        <v>39153.069999999992</v>
      </c>
      <c r="O671" s="25">
        <f t="shared" si="525"/>
        <v>11007.82546143035</v>
      </c>
      <c r="P671" s="25">
        <f t="shared" si="526"/>
        <v>28145.244538569641</v>
      </c>
      <c r="Q671" s="25">
        <f t="array" aca="1" ref="Q671" ca="1">INDEX('Isaac 401k'!L:L,MATCH('Retirement Calculator'!A671,'Isaac 401k'!N:N,0),0)</f>
        <v>-26546.942747958365</v>
      </c>
      <c r="R671" s="25">
        <f t="array" aca="1" ref="R671" ca="1">INDEX('Lorri 401b'!L:L,MATCH('Retirement Calculator'!A671,'Lorri 401b'!N:N,0),0)</f>
        <v>-1722385.6335327977</v>
      </c>
      <c r="S671" s="25">
        <f t="shared" ca="1" si="527"/>
        <v>-1748932.5762807562</v>
      </c>
    </row>
    <row r="672" spans="1:19" ht="15.75" customHeight="1" x14ac:dyDescent="0.3">
      <c r="A672" s="37">
        <v>71406</v>
      </c>
      <c r="B672" s="409">
        <f t="shared" ref="B672:C672" si="678">($A672-B$9)/365.25</f>
        <v>113.6208076659822</v>
      </c>
      <c r="C672" s="409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3525.4531757812501</v>
      </c>
      <c r="H672" s="25">
        <f>IF(B672&lt;62,0,'Combined Retirement'!$I$14)</f>
        <v>2192</v>
      </c>
      <c r="I672" s="25">
        <f>IF(C672&lt;62,0,'Combined Retirement'!$I$13)</f>
        <v>2420</v>
      </c>
      <c r="J672" s="25">
        <f t="shared" si="523"/>
        <v>7863.2184191855868</v>
      </c>
      <c r="K672" s="25">
        <f t="shared" si="524"/>
        <v>20282.026119384056</v>
      </c>
      <c r="L672" s="25"/>
      <c r="N672" s="25">
        <f>'Combined Retirement'!$C$18/12</f>
        <v>39153.069999999992</v>
      </c>
      <c r="O672" s="25">
        <f t="shared" si="525"/>
        <v>11007.82546143035</v>
      </c>
      <c r="P672" s="25">
        <f t="shared" si="526"/>
        <v>28145.244538569641</v>
      </c>
      <c r="Q672" s="25">
        <f t="array" aca="1" ref="Q672" ca="1">INDEX('Isaac 401k'!L:L,MATCH('Retirement Calculator'!A672,'Isaac 401k'!N:N,0),0)</f>
        <v>-34553.536838673717</v>
      </c>
      <c r="R672" s="25">
        <f t="array" aca="1" ref="R672" ca="1">INDEX('Lorri 401b'!L:L,MATCH('Retirement Calculator'!A672,'Lorri 401b'!N:N,0),0)</f>
        <v>-1749928.7749007323</v>
      </c>
      <c r="S672" s="25">
        <f t="shared" ca="1" si="527"/>
        <v>-1784482.3117394061</v>
      </c>
    </row>
    <row r="673" spans="1:19" ht="15.75" customHeight="1" x14ac:dyDescent="0.3">
      <c r="A673" s="37">
        <v>71437</v>
      </c>
      <c r="B673" s="409">
        <f t="shared" ref="B673:C673" si="679">($A673-B$9)/365.25</f>
        <v>113.7056810403833</v>
      </c>
      <c r="C673" s="409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3525.4531757812501</v>
      </c>
      <c r="H673" s="25">
        <f>IF(B673&lt;62,0,'Combined Retirement'!$I$14)</f>
        <v>2192</v>
      </c>
      <c r="I673" s="25">
        <f>IF(C673&lt;62,0,'Combined Retirement'!$I$13)</f>
        <v>2420</v>
      </c>
      <c r="J673" s="25">
        <f t="shared" si="523"/>
        <v>7863.2184191855868</v>
      </c>
      <c r="K673" s="25">
        <f t="shared" si="524"/>
        <v>20282.026119384056</v>
      </c>
      <c r="L673" s="25"/>
      <c r="N673" s="25">
        <f>'Combined Retirement'!$C$18/12</f>
        <v>39153.069999999992</v>
      </c>
      <c r="O673" s="25">
        <f t="shared" si="525"/>
        <v>11007.82546143035</v>
      </c>
      <c r="P673" s="25">
        <f t="shared" si="526"/>
        <v>28145.244538569641</v>
      </c>
      <c r="Q673" s="25">
        <f t="array" aca="1" ref="Q673" ca="1">INDEX('Isaac 401k'!L:L,MATCH('Retirement Calculator'!A673,'Isaac 401k'!N:N,0),0)</f>
        <v>-42593.491738100383</v>
      </c>
      <c r="R673" s="25">
        <f t="array" aca="1" ref="R673" ca="1">INDEX('Lorri 401b'!L:L,MATCH('Retirement Calculator'!A673,'Lorri 401b'!N:N,0),0)</f>
        <v>-1777586.6793577</v>
      </c>
      <c r="S673" s="25">
        <f t="shared" ca="1" si="527"/>
        <v>-1820180.1710958004</v>
      </c>
    </row>
    <row r="674" spans="1:19" ht="15.75" customHeight="1" x14ac:dyDescent="0.3">
      <c r="A674" s="37">
        <v>71468</v>
      </c>
      <c r="B674" s="409">
        <f t="shared" ref="B674:C674" si="680">($A674-B$9)/365.25</f>
        <v>113.7905544147844</v>
      </c>
      <c r="C674" s="409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3525.4531757812501</v>
      </c>
      <c r="H674" s="25">
        <f>IF(B674&lt;62,0,'Combined Retirement'!$I$14)</f>
        <v>2192</v>
      </c>
      <c r="I674" s="25">
        <f>IF(C674&lt;62,0,'Combined Retirement'!$I$13)</f>
        <v>2420</v>
      </c>
      <c r="J674" s="25">
        <f t="shared" si="523"/>
        <v>7863.2184191855868</v>
      </c>
      <c r="K674" s="25">
        <f t="shared" si="524"/>
        <v>20282.026119384056</v>
      </c>
      <c r="L674" s="25"/>
      <c r="N674" s="25">
        <f>'Combined Retirement'!$C$18/12</f>
        <v>39153.069999999992</v>
      </c>
      <c r="O674" s="25">
        <f t="shared" si="525"/>
        <v>11007.82546143035</v>
      </c>
      <c r="P674" s="25">
        <f t="shared" si="526"/>
        <v>28145.244538569641</v>
      </c>
      <c r="Q674" s="25">
        <f t="array" aca="1" ref="Q674" ca="1">INDEX('Isaac 401k'!L:L,MATCH('Retirement Calculator'!A674,'Isaac 401k'!N:N,0),0)</f>
        <v>-50666.946449607996</v>
      </c>
      <c r="R674" s="25">
        <f t="array" aca="1" ref="R674" ca="1">INDEX('Lorri 401b'!L:L,MATCH('Retirement Calculator'!A674,'Lorri 401b'!N:N,0),0)</f>
        <v>-1805359.8250832385</v>
      </c>
      <c r="S674" s="25">
        <f t="shared" ca="1" si="527"/>
        <v>-1856026.7715328466</v>
      </c>
    </row>
    <row r="675" spans="1:19" ht="15.75" customHeight="1" x14ac:dyDescent="0.3">
      <c r="A675" s="37">
        <v>71498</v>
      </c>
      <c r="B675" s="409">
        <f t="shared" ref="B675:C675" si="681">($A675-B$9)/365.25</f>
        <v>113.87268993839835</v>
      </c>
      <c r="C675" s="409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3525.4531757812501</v>
      </c>
      <c r="H675" s="25">
        <f>IF(B675&lt;62,0,'Combined Retirement'!$I$14)</f>
        <v>2192</v>
      </c>
      <c r="I675" s="25">
        <f>IF(C675&lt;62,0,'Combined Retirement'!$I$13)</f>
        <v>2420</v>
      </c>
      <c r="J675" s="25">
        <f t="shared" si="523"/>
        <v>7863.2184191855868</v>
      </c>
      <c r="K675" s="25">
        <f t="shared" si="524"/>
        <v>20282.026119384056</v>
      </c>
      <c r="L675" s="25"/>
      <c r="N675" s="25">
        <f>'Combined Retirement'!$C$18/12</f>
        <v>39153.069999999992</v>
      </c>
      <c r="O675" s="25">
        <f t="shared" si="525"/>
        <v>11007.82546143035</v>
      </c>
      <c r="P675" s="25">
        <f t="shared" si="526"/>
        <v>28145.244538569641</v>
      </c>
      <c r="Q675" s="25">
        <f t="array" aca="1" ref="Q675" ca="1">INDEX('Isaac 401k'!L:L,MATCH('Retirement Calculator'!A675,'Isaac 401k'!N:N,0),0)</f>
        <v>-58774.040555746891</v>
      </c>
      <c r="R675" s="25">
        <f t="array" aca="1" ref="R675" ca="1">INDEX('Lorri 401b'!L:L,MATCH('Retirement Calculator'!A675,'Lorri 401b'!N:N,0),0)</f>
        <v>-1833248.6922493002</v>
      </c>
      <c r="S675" s="25">
        <f t="shared" ca="1" si="527"/>
        <v>-1892022.7328050472</v>
      </c>
    </row>
    <row r="676" spans="1:19" ht="15.75" customHeight="1" x14ac:dyDescent="0.3">
      <c r="A676" s="37">
        <v>71529</v>
      </c>
      <c r="B676" s="409">
        <f t="shared" ref="B676:C676" si="682">($A676-B$9)/365.25</f>
        <v>113.95756331279945</v>
      </c>
      <c r="C676" s="409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3525.4531757812501</v>
      </c>
      <c r="H676" s="25">
        <f>IF(B676&lt;62,0,'Combined Retirement'!$I$14)</f>
        <v>2192</v>
      </c>
      <c r="I676" s="25">
        <f>IF(C676&lt;62,0,'Combined Retirement'!$I$13)</f>
        <v>2420</v>
      </c>
      <c r="J676" s="25">
        <f t="shared" si="523"/>
        <v>7863.2184191855868</v>
      </c>
      <c r="K676" s="25">
        <f t="shared" si="524"/>
        <v>20282.026119384056</v>
      </c>
      <c r="L676" s="25"/>
      <c r="N676" s="25">
        <f>'Combined Retirement'!$C$18/12</f>
        <v>39153.069999999992</v>
      </c>
      <c r="O676" s="25">
        <f t="shared" si="525"/>
        <v>11007.82546143035</v>
      </c>
      <c r="P676" s="25">
        <f t="shared" si="526"/>
        <v>28145.244538569641</v>
      </c>
      <c r="Q676" s="25">
        <f t="array" aca="1" ref="Q676" ca="1">INDEX('Isaac 401k'!L:L,MATCH('Retirement Calculator'!A676,'Isaac 401k'!N:N,0),0)</f>
        <v>-66914.914220661361</v>
      </c>
      <c r="R676" s="25">
        <f t="array" aca="1" ref="R676" ca="1">INDEX('Lorri 401b'!L:L,MATCH('Retirement Calculator'!A676,'Lorri 401b'!N:N,0),0)</f>
        <v>-1861253.7630285537</v>
      </c>
      <c r="S676" s="25">
        <f t="shared" ca="1" si="527"/>
        <v>-1928168.6772492151</v>
      </c>
    </row>
    <row r="677" spans="1:19" ht="15.75" customHeight="1" x14ac:dyDescent="0.3">
      <c r="A677" s="37">
        <v>71559</v>
      </c>
      <c r="B677" s="409">
        <f t="shared" ref="B677:C677" si="683">($A677-B$9)/365.25</f>
        <v>114.03969883641342</v>
      </c>
      <c r="C677" s="409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3525.4531757812501</v>
      </c>
      <c r="H677" s="25">
        <f>IF(B677&lt;62,0,'Combined Retirement'!$I$14)</f>
        <v>2192</v>
      </c>
      <c r="I677" s="25">
        <f>IF(C677&lt;62,0,'Combined Retirement'!$I$13)</f>
        <v>2420</v>
      </c>
      <c r="J677" s="25">
        <f t="shared" si="523"/>
        <v>7863.2184191855868</v>
      </c>
      <c r="K677" s="25">
        <f t="shared" si="524"/>
        <v>20282.026119384056</v>
      </c>
      <c r="L677" s="25"/>
      <c r="N677" s="25">
        <f>'Combined Retirement'!$C$18/12</f>
        <v>39153.069999999992</v>
      </c>
      <c r="O677" s="25">
        <f t="shared" si="525"/>
        <v>11007.82546143035</v>
      </c>
      <c r="P677" s="25">
        <f t="shared" si="526"/>
        <v>28145.244538569641</v>
      </c>
      <c r="Q677" s="25">
        <f t="array" aca="1" ref="Q677" ca="1">INDEX('Isaac 401k'!L:L,MATCH('Retirement Calculator'!A677,'Isaac 401k'!N:N,0),0)</f>
        <v>-75089.70819251299</v>
      </c>
      <c r="R677" s="25">
        <f t="array" aca="1" ref="R677" ca="1">INDEX('Lorri 401b'!L:L,MATCH('Retirement Calculator'!A677,'Lorri 401b'!N:N,0),0)</f>
        <v>-1889375.5216027207</v>
      </c>
      <c r="S677" s="25">
        <f t="shared" ca="1" si="527"/>
        <v>-1964465.2297952338</v>
      </c>
    </row>
    <row r="678" spans="1:19" ht="15.75" customHeight="1" x14ac:dyDescent="0.3">
      <c r="A678" s="37">
        <v>71590</v>
      </c>
      <c r="B678" s="409">
        <f t="shared" ref="B678:C678" si="684">($A678-B$9)/365.25</f>
        <v>114.12457221081451</v>
      </c>
      <c r="C678" s="409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3525.4531757812501</v>
      </c>
      <c r="H678" s="25">
        <f>IF(B678&lt;62,0,'Combined Retirement'!$I$14)</f>
        <v>2192</v>
      </c>
      <c r="I678" s="25">
        <f>IF(C678&lt;62,0,'Combined Retirement'!$I$13)</f>
        <v>2420</v>
      </c>
      <c r="J678" s="25">
        <f t="shared" si="523"/>
        <v>7863.2184191855868</v>
      </c>
      <c r="K678" s="25">
        <f t="shared" si="524"/>
        <v>20282.026119384056</v>
      </c>
      <c r="L678" s="25"/>
      <c r="N678" s="25">
        <f>'Combined Retirement'!$C$18/12</f>
        <v>39153.069999999992</v>
      </c>
      <c r="O678" s="25">
        <f t="shared" si="525"/>
        <v>11007.82546143035</v>
      </c>
      <c r="P678" s="25">
        <f t="shared" si="526"/>
        <v>28145.244538569641</v>
      </c>
      <c r="Q678" s="25">
        <f t="array" aca="1" ref="Q678" ca="1">INDEX('Isaac 401k'!L:L,MATCH('Retirement Calculator'!A678,'Isaac 401k'!N:N,0),0)</f>
        <v>-83298.563805913989</v>
      </c>
      <c r="R678" s="25">
        <f t="array" aca="1" ref="R678" ca="1">INDEX('Lorri 401b'!L:L,MATCH('Retirement Calculator'!A678,'Lorri 401b'!N:N,0),0)</f>
        <v>-1917614.4541709467</v>
      </c>
      <c r="S678" s="25">
        <f t="shared" ca="1" si="527"/>
        <v>-2000913.0179768607</v>
      </c>
    </row>
    <row r="679" spans="1:19" ht="15.75" customHeight="1" x14ac:dyDescent="0.3">
      <c r="A679" s="37">
        <v>71621</v>
      </c>
      <c r="B679" s="409">
        <f t="shared" ref="B679:C679" si="685">($A679-B$9)/365.25</f>
        <v>114.2094455852156</v>
      </c>
      <c r="C679" s="409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3525.4531757812501</v>
      </c>
      <c r="H679" s="25">
        <f>IF(B679&lt;62,0,'Combined Retirement'!$I$14)</f>
        <v>2192</v>
      </c>
      <c r="I679" s="25">
        <f>IF(C679&lt;62,0,'Combined Retirement'!$I$13)</f>
        <v>2420</v>
      </c>
      <c r="J679" s="25">
        <f t="shared" si="523"/>
        <v>7863.2184191855868</v>
      </c>
      <c r="K679" s="25">
        <f t="shared" si="524"/>
        <v>20282.026119384056</v>
      </c>
      <c r="L679" s="25"/>
      <c r="N679" s="25">
        <f>'Combined Retirement'!$C$18/12</f>
        <v>39153.069999999992</v>
      </c>
      <c r="O679" s="25">
        <f t="shared" si="525"/>
        <v>11007.82546143035</v>
      </c>
      <c r="P679" s="25">
        <f t="shared" si="526"/>
        <v>28145.244538569641</v>
      </c>
      <c r="Q679" s="25">
        <f t="array" aca="1" ref="Q679" ca="1">INDEX('Isaac 401k'!L:L,MATCH('Retirement Calculator'!A679,'Isaac 401k'!N:N,0),0)</f>
        <v>-91541.622984370828</v>
      </c>
      <c r="R679" s="25">
        <f t="array" aca="1" ref="R679" ca="1">INDEX('Lorri 401b'!L:L,MATCH('Retirement Calculator'!A679,'Lorri 401b'!N:N,0),0)</f>
        <v>-1945971.048958207</v>
      </c>
      <c r="S679" s="25">
        <f t="shared" ca="1" si="527"/>
        <v>-2037512.6719425779</v>
      </c>
    </row>
    <row r="680" spans="1:19" ht="15.75" customHeight="1" x14ac:dyDescent="0.3">
      <c r="A680" s="37">
        <v>71650</v>
      </c>
      <c r="B680" s="409">
        <f t="shared" ref="B680:C680" si="686">($A680-B$9)/365.25</f>
        <v>114.28884325804243</v>
      </c>
      <c r="C680" s="409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3525.4531757812501</v>
      </c>
      <c r="H680" s="25">
        <f>IF(B680&lt;62,0,'Combined Retirement'!$I$14)</f>
        <v>2192</v>
      </c>
      <c r="I680" s="25">
        <f>IF(C680&lt;62,0,'Combined Retirement'!$I$13)</f>
        <v>2420</v>
      </c>
      <c r="J680" s="25">
        <f t="shared" si="523"/>
        <v>7863.2184191855868</v>
      </c>
      <c r="K680" s="25">
        <f t="shared" si="524"/>
        <v>20282.026119384056</v>
      </c>
      <c r="L680" s="25"/>
      <c r="N680" s="25">
        <f>'Combined Retirement'!$C$18/12</f>
        <v>39153.069999999992</v>
      </c>
      <c r="O680" s="25">
        <f t="shared" si="525"/>
        <v>11007.82546143035</v>
      </c>
      <c r="P680" s="25">
        <f t="shared" si="526"/>
        <v>28145.244538569641</v>
      </c>
      <c r="Q680" s="25">
        <f t="array" aca="1" ref="Q680" ca="1">INDEX('Isaac 401k'!L:L,MATCH('Retirement Calculator'!A680,'Isaac 401k'!N:N,0),0)</f>
        <v>-99819.028242737899</v>
      </c>
      <c r="R680" s="25">
        <f t="array" aca="1" ref="R680" ca="1">INDEX('Lorri 401b'!L:L,MATCH('Retirement Calculator'!A680,'Lorri 401b'!N:N,0),0)</f>
        <v>-1974445.7962237475</v>
      </c>
      <c r="S680" s="25">
        <f t="shared" ca="1" si="527"/>
        <v>-2074264.8244664855</v>
      </c>
    </row>
    <row r="681" spans="1:19" ht="15.75" customHeight="1" x14ac:dyDescent="0.3">
      <c r="A681" s="37">
        <v>71681</v>
      </c>
      <c r="B681" s="409">
        <f t="shared" ref="B681:C681" si="687">($A681-B$9)/365.25</f>
        <v>114.37371663244353</v>
      </c>
      <c r="C681" s="409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3525.4531757812501</v>
      </c>
      <c r="H681" s="25">
        <f>IF(B681&lt;62,0,'Combined Retirement'!$I$14)</f>
        <v>2192</v>
      </c>
      <c r="I681" s="25">
        <f>IF(C681&lt;62,0,'Combined Retirement'!$I$13)</f>
        <v>2420</v>
      </c>
      <c r="J681" s="25">
        <f t="shared" si="523"/>
        <v>7863.2184191855868</v>
      </c>
      <c r="K681" s="25">
        <f t="shared" si="524"/>
        <v>20282.026119384056</v>
      </c>
      <c r="L681" s="25"/>
      <c r="N681" s="25">
        <f>'Combined Retirement'!$C$18/12</f>
        <v>39153.069999999992</v>
      </c>
      <c r="O681" s="25">
        <f t="shared" si="525"/>
        <v>11007.82546143035</v>
      </c>
      <c r="P681" s="25">
        <f t="shared" si="526"/>
        <v>28145.244538569641</v>
      </c>
      <c r="Q681" s="25">
        <f t="array" aca="1" ref="Q681" ca="1">INDEX('Isaac 401k'!L:L,MATCH('Retirement Calculator'!A681,'Isaac 401k'!N:N,0),0)</f>
        <v>-108130.92268968151</v>
      </c>
      <c r="R681" s="25">
        <f t="array" aca="1" ref="R681" ca="1">INDEX('Lorri 401b'!L:L,MATCH('Retirement Calculator'!A681,'Lorri 401b'!N:N,0),0)</f>
        <v>-2003039.1882695612</v>
      </c>
      <c r="S681" s="25">
        <f t="shared" ca="1" si="527"/>
        <v>-2111170.1109592426</v>
      </c>
    </row>
    <row r="682" spans="1:19" ht="15.75" customHeight="1" x14ac:dyDescent="0.3">
      <c r="A682" s="37">
        <v>71711</v>
      </c>
      <c r="B682" s="409">
        <f t="shared" ref="B682:C682" si="688">($A682-B$9)/365.25</f>
        <v>114.45585215605749</v>
      </c>
      <c r="C682" s="409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3525.4531757812501</v>
      </c>
      <c r="H682" s="25">
        <f>IF(B682&lt;62,0,'Combined Retirement'!$I$14)</f>
        <v>2192</v>
      </c>
      <c r="I682" s="25">
        <f>IF(C682&lt;62,0,'Combined Retirement'!$I$13)</f>
        <v>2420</v>
      </c>
      <c r="J682" s="25">
        <f t="shared" si="523"/>
        <v>7863.2184191855868</v>
      </c>
      <c r="K682" s="25">
        <f t="shared" si="524"/>
        <v>20282.026119384056</v>
      </c>
      <c r="L682" s="25"/>
      <c r="N682" s="25">
        <f>'Combined Retirement'!$C$18/12</f>
        <v>39153.069999999992</v>
      </c>
      <c r="O682" s="25">
        <f t="shared" si="525"/>
        <v>11007.82546143035</v>
      </c>
      <c r="P682" s="25">
        <f t="shared" si="526"/>
        <v>28145.244538569641</v>
      </c>
      <c r="Q682" s="25">
        <f t="array" aca="1" ref="Q682" ca="1">INDEX('Isaac 401k'!L:L,MATCH('Retirement Calculator'!A682,'Isaac 401k'!N:N,0),0)</f>
        <v>-116477.45003015405</v>
      </c>
      <c r="R682" s="25">
        <f t="array" aca="1" ref="R682" ca="1">INDEX('Lorri 401b'!L:L,MATCH('Retirement Calculator'!A682,'Lorri 401b'!N:N,0),0)</f>
        <v>-2031751.7194488992</v>
      </c>
      <c r="S682" s="25">
        <f t="shared" ca="1" si="527"/>
        <v>-2148229.169479053</v>
      </c>
    </row>
    <row r="683" spans="1:19" ht="15.75" customHeight="1" x14ac:dyDescent="0.3">
      <c r="A683" s="37">
        <v>71742</v>
      </c>
      <c r="B683" s="409">
        <f t="shared" ref="B683:C683" si="689">($A683-B$9)/365.25</f>
        <v>114.54072553045859</v>
      </c>
      <c r="C683" s="409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3525.4531757812501</v>
      </c>
      <c r="H683" s="25">
        <f>IF(B683&lt;62,0,'Combined Retirement'!$I$14)</f>
        <v>2192</v>
      </c>
      <c r="I683" s="25">
        <f>IF(C683&lt;62,0,'Combined Retirement'!$I$13)</f>
        <v>2420</v>
      </c>
      <c r="J683" s="25">
        <f t="shared" si="523"/>
        <v>7863.2184191855868</v>
      </c>
      <c r="K683" s="25">
        <f t="shared" si="524"/>
        <v>20282.026119384056</v>
      </c>
      <c r="L683" s="25"/>
      <c r="N683" s="25">
        <f>'Combined Retirement'!$C$18/12</f>
        <v>39153.069999999992</v>
      </c>
      <c r="O683" s="25">
        <f t="shared" si="525"/>
        <v>11007.82546143035</v>
      </c>
      <c r="P683" s="25">
        <f t="shared" si="526"/>
        <v>28145.244538569641</v>
      </c>
      <c r="Q683" s="25">
        <f t="array" aca="1" ref="Q683" ca="1">INDEX('Isaac 401k'!L:L,MATCH('Retirement Calculator'!A683,'Isaac 401k'!N:N,0),0)</f>
        <v>-124858.75456787857</v>
      </c>
      <c r="R683" s="25">
        <f t="array" aca="1" ref="R683" ca="1">INDEX('Lorri 401b'!L:L,MATCH('Retirement Calculator'!A683,'Lorri 401b'!N:N,0),0)</f>
        <v>-2060583.8861748176</v>
      </c>
      <c r="S683" s="25">
        <f t="shared" ca="1" si="527"/>
        <v>-2185442.6407426964</v>
      </c>
    </row>
    <row r="684" spans="1:19" ht="15.75" customHeight="1" x14ac:dyDescent="0.3">
      <c r="A684" s="37">
        <v>71772</v>
      </c>
      <c r="B684" s="409">
        <f t="shared" ref="B684:C684" si="690">($A684-B$9)/365.25</f>
        <v>114.62286105407256</v>
      </c>
      <c r="C684" s="409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3525.4531757812501</v>
      </c>
      <c r="H684" s="25">
        <f>IF(B684&lt;62,0,'Combined Retirement'!$I$14)</f>
        <v>2192</v>
      </c>
      <c r="I684" s="25">
        <f>IF(C684&lt;62,0,'Combined Retirement'!$I$13)</f>
        <v>2420</v>
      </c>
      <c r="J684" s="25">
        <f t="shared" si="523"/>
        <v>7863.2184191855868</v>
      </c>
      <c r="K684" s="25">
        <f t="shared" si="524"/>
        <v>20282.026119384056</v>
      </c>
      <c r="L684" s="25"/>
      <c r="N684" s="25">
        <f>'Combined Retirement'!$C$18/12</f>
        <v>39153.069999999992</v>
      </c>
      <c r="O684" s="25">
        <f t="shared" si="525"/>
        <v>11007.82546143035</v>
      </c>
      <c r="P684" s="25">
        <f t="shared" si="526"/>
        <v>28145.244538569641</v>
      </c>
      <c r="Q684" s="25">
        <f t="array" aca="1" ref="Q684" ca="1">INDEX('Isaac 401k'!L:L,MATCH('Retirement Calculator'!A684,'Isaac 401k'!N:N,0),0)</f>
        <v>-133274.98120784361</v>
      </c>
      <c r="R684" s="25">
        <f t="array" aca="1" ref="R684" ca="1">INDEX('Lorri 401b'!L:L,MATCH('Retirement Calculator'!A684,'Lorri 401b'!N:N,0),0)</f>
        <v>-2089536.1869287607</v>
      </c>
      <c r="S684" s="25">
        <f t="shared" ca="1" si="527"/>
        <v>-2222811.1681366041</v>
      </c>
    </row>
    <row r="685" spans="1:19" ht="15.75" customHeight="1" x14ac:dyDescent="0.3">
      <c r="A685" s="37">
        <v>71803</v>
      </c>
      <c r="B685" s="409">
        <f t="shared" ref="B685:C685" si="691">($A685-B$9)/365.25</f>
        <v>114.70773442847364</v>
      </c>
      <c r="C685" s="409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3525.4531757812501</v>
      </c>
      <c r="H685" s="25">
        <f>IF(B685&lt;62,0,'Combined Retirement'!$I$14)</f>
        <v>2192</v>
      </c>
      <c r="I685" s="25">
        <f>IF(C685&lt;62,0,'Combined Retirement'!$I$13)</f>
        <v>2420</v>
      </c>
      <c r="J685" s="25">
        <f t="shared" si="523"/>
        <v>7863.2184191855868</v>
      </c>
      <c r="K685" s="25">
        <f t="shared" si="524"/>
        <v>20282.026119384056</v>
      </c>
      <c r="L685" s="25"/>
      <c r="N685" s="25">
        <f>'Combined Retirement'!$C$18/12</f>
        <v>39153.069999999992</v>
      </c>
      <c r="O685" s="25">
        <f t="shared" si="525"/>
        <v>11007.82546143035</v>
      </c>
      <c r="P685" s="25">
        <f t="shared" si="526"/>
        <v>28145.244538569641</v>
      </c>
      <c r="Q685" s="25">
        <f t="array" aca="1" ref="Q685" ca="1">INDEX('Isaac 401k'!L:L,MATCH('Retirement Calculator'!A685,'Isaac 401k'!N:N,0),0)</f>
        <v>-141726.27545880846</v>
      </c>
      <c r="R685" s="25">
        <f t="array" aca="1" ref="R685" ca="1">INDEX('Lorri 401b'!L:L,MATCH('Retirement Calculator'!A685,'Lorri 401b'!N:N,0),0)</f>
        <v>-2118609.1222691787</v>
      </c>
      <c r="S685" s="25">
        <f t="shared" ca="1" si="527"/>
        <v>-2260335.3977279873</v>
      </c>
    </row>
    <row r="686" spans="1:19" ht="15.75" customHeight="1" x14ac:dyDescent="0.3">
      <c r="A686" s="37">
        <v>71834</v>
      </c>
      <c r="B686" s="409">
        <f t="shared" ref="B686:C686" si="692">($A686-B$9)/365.25</f>
        <v>114.79260780287474</v>
      </c>
      <c r="C686" s="409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3525.4531757812501</v>
      </c>
      <c r="H686" s="25">
        <f>IF(B686&lt;62,0,'Combined Retirement'!$I$14)</f>
        <v>2192</v>
      </c>
      <c r="I686" s="25">
        <f>IF(C686&lt;62,0,'Combined Retirement'!$I$13)</f>
        <v>2420</v>
      </c>
      <c r="J686" s="25">
        <f t="shared" si="523"/>
        <v>7863.2184191855868</v>
      </c>
      <c r="K686" s="25">
        <f t="shared" si="524"/>
        <v>20282.026119384056</v>
      </c>
      <c r="L686" s="25"/>
      <c r="N686" s="25">
        <f>'Combined Retirement'!$C$18/12</f>
        <v>39153.069999999992</v>
      </c>
      <c r="O686" s="25">
        <f t="shared" si="525"/>
        <v>11007.82546143035</v>
      </c>
      <c r="P686" s="25">
        <f t="shared" si="526"/>
        <v>28145.244538569641</v>
      </c>
      <c r="Q686" s="25">
        <f t="array" aca="1" ref="Q686" ca="1">INDEX('Isaac 401k'!L:L,MATCH('Retirement Calculator'!A686,'Isaac 401k'!N:N,0),0)</f>
        <v>-150212.78343581903</v>
      </c>
      <c r="R686" s="25">
        <f t="array" aca="1" ref="R686" ca="1">INDEX('Lorri 401b'!L:L,MATCH('Retirement Calculator'!A686,'Lorri 401b'!N:N,0),0)</f>
        <v>-2147803.1948401816</v>
      </c>
      <c r="S686" s="25">
        <f t="shared" ca="1" si="527"/>
        <v>-2298015.9782760008</v>
      </c>
    </row>
    <row r="687" spans="1:19" ht="15.75" customHeight="1" x14ac:dyDescent="0.3">
      <c r="A687" s="37">
        <v>71864</v>
      </c>
      <c r="B687" s="409">
        <f t="shared" ref="B687:C687" si="693">($A687-B$9)/365.25</f>
        <v>114.87474332648871</v>
      </c>
      <c r="C687" s="409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3525.4531757812501</v>
      </c>
      <c r="H687" s="25">
        <f>IF(B687&lt;62,0,'Combined Retirement'!$I$14)</f>
        <v>2192</v>
      </c>
      <c r="I687" s="25">
        <f>IF(C687&lt;62,0,'Combined Retirement'!$I$13)</f>
        <v>2420</v>
      </c>
      <c r="J687" s="25">
        <f t="shared" si="523"/>
        <v>7863.2184191855868</v>
      </c>
      <c r="K687" s="25">
        <f t="shared" si="524"/>
        <v>20282.026119384056</v>
      </c>
      <c r="L687" s="25"/>
      <c r="N687" s="25">
        <f>'Combined Retirement'!$C$18/12</f>
        <v>39153.069999999992</v>
      </c>
      <c r="O687" s="25">
        <f t="shared" si="525"/>
        <v>11007.82546143035</v>
      </c>
      <c r="P687" s="25">
        <f t="shared" si="526"/>
        <v>28145.244538569641</v>
      </c>
      <c r="Q687" s="25">
        <f t="array" aca="1" ref="Q687" ca="1">INDEX('Isaac 401k'!L:L,MATCH('Retirement Calculator'!A687,'Isaac 401k'!N:N,0),0)</f>
        <v>-158734.65186273379</v>
      </c>
      <c r="R687" s="25">
        <f t="array" aca="1" ref="R687" ca="1">INDEX('Lorri 401b'!L:L,MATCH('Retirement Calculator'!A687,'Lorri 401b'!N:N,0),0)</f>
        <v>-2177118.9093802306</v>
      </c>
      <c r="S687" s="25">
        <f t="shared" ca="1" si="527"/>
        <v>-2335853.5612429646</v>
      </c>
    </row>
    <row r="688" spans="1:19" ht="15.75" customHeight="1" x14ac:dyDescent="0.3">
      <c r="A688" s="37">
        <v>71895</v>
      </c>
      <c r="B688" s="409">
        <f t="shared" ref="B688:C688" si="694">($A688-B$9)/365.25</f>
        <v>114.9596167008898</v>
      </c>
      <c r="C688" s="409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3525.4531757812501</v>
      </c>
      <c r="H688" s="25">
        <f>IF(B688&lt;62,0,'Combined Retirement'!$I$14)</f>
        <v>2192</v>
      </c>
      <c r="I688" s="25">
        <f>IF(C688&lt;62,0,'Combined Retirement'!$I$13)</f>
        <v>2420</v>
      </c>
      <c r="J688" s="25">
        <f t="shared" si="523"/>
        <v>7863.2184191855868</v>
      </c>
      <c r="K688" s="25">
        <f t="shared" si="524"/>
        <v>20282.026119384056</v>
      </c>
      <c r="L688" s="25"/>
      <c r="N688" s="25">
        <f>'Combined Retirement'!$C$18/12</f>
        <v>39153.069999999992</v>
      </c>
      <c r="O688" s="25">
        <f t="shared" si="525"/>
        <v>11007.82546143035</v>
      </c>
      <c r="P688" s="25">
        <f t="shared" si="526"/>
        <v>28145.244538569641</v>
      </c>
      <c r="Q688" s="25">
        <f t="array" aca="1" ref="Q688" ca="1">INDEX('Isaac 401k'!L:L,MATCH('Retirement Calculator'!A688,'Isaac 401k'!N:N,0),0)</f>
        <v>-167292.02807476069</v>
      </c>
      <c r="R688" s="25">
        <f t="array" aca="1" ref="R688" ca="1">INDEX('Lorri 401b'!L:L,MATCH('Retirement Calculator'!A688,'Lorri 401b'!N:N,0),0)</f>
        <v>-2206556.7727308632</v>
      </c>
      <c r="S688" s="25">
        <f t="shared" ca="1" si="527"/>
        <v>-2373848.8008056236</v>
      </c>
    </row>
    <row r="689" spans="1:19" ht="15.75" customHeight="1" x14ac:dyDescent="0.3">
      <c r="A689" s="37">
        <v>71925</v>
      </c>
      <c r="B689" s="409">
        <f t="shared" ref="B689:C689" si="695">($A689-B$9)/365.25</f>
        <v>115.04175222450377</v>
      </c>
      <c r="C689" s="409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3525.4531757812501</v>
      </c>
      <c r="H689" s="25">
        <f>IF(B689&lt;62,0,'Combined Retirement'!$I$14)</f>
        <v>2192</v>
      </c>
      <c r="I689" s="25">
        <f>IF(C689&lt;62,0,'Combined Retirement'!$I$13)</f>
        <v>2420</v>
      </c>
      <c r="J689" s="25">
        <f t="shared" si="523"/>
        <v>7863.2184191855868</v>
      </c>
      <c r="K689" s="25">
        <f t="shared" si="524"/>
        <v>20282.026119384056</v>
      </c>
      <c r="L689" s="25"/>
      <c r="N689" s="25">
        <f>'Combined Retirement'!$C$18/12</f>
        <v>39153.069999999992</v>
      </c>
      <c r="O689" s="25">
        <f t="shared" si="525"/>
        <v>11007.82546143035</v>
      </c>
      <c r="P689" s="25">
        <f t="shared" si="526"/>
        <v>28145.244538569641</v>
      </c>
      <c r="Q689" s="25">
        <f t="array" aca="1" ref="Q689" ca="1">INDEX('Isaac 401k'!L:L,MATCH('Retirement Calculator'!A689,'Isaac 401k'!N:N,0),0)</f>
        <v>-175885.06002100438</v>
      </c>
      <c r="R689" s="25">
        <f t="array" aca="1" ref="R689" ca="1">INDEX('Lorri 401b'!L:L,MATCH('Retirement Calculator'!A689,'Lorri 401b'!N:N,0),0)</f>
        <v>-2236117.2938454566</v>
      </c>
      <c r="S689" s="25">
        <f t="shared" ca="1" si="527"/>
        <v>-2412002.3538664607</v>
      </c>
    </row>
    <row r="690" spans="1:19" ht="15.75" customHeight="1" x14ac:dyDescent="0.3">
      <c r="A690" s="37">
        <v>71956</v>
      </c>
      <c r="B690" s="409">
        <f t="shared" ref="B690:C690" si="696">($A690-B$9)/365.25</f>
        <v>115.12662559890487</v>
      </c>
      <c r="C690" s="409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3525.4531757812501</v>
      </c>
      <c r="H690" s="25">
        <f>IF(B690&lt;62,0,'Combined Retirement'!$I$14)</f>
        <v>2192</v>
      </c>
      <c r="I690" s="25">
        <f>IF(C690&lt;62,0,'Combined Retirement'!$I$13)</f>
        <v>2420</v>
      </c>
      <c r="J690" s="25">
        <f t="shared" si="523"/>
        <v>7863.2184191855868</v>
      </c>
      <c r="K690" s="25">
        <f t="shared" si="524"/>
        <v>20282.026119384056</v>
      </c>
      <c r="L690" s="25"/>
      <c r="N690" s="25">
        <f>'Combined Retirement'!$C$18/12</f>
        <v>39153.069999999992</v>
      </c>
      <c r="O690" s="25">
        <f t="shared" si="525"/>
        <v>11007.82546143035</v>
      </c>
      <c r="P690" s="25">
        <f t="shared" si="526"/>
        <v>28145.244538569641</v>
      </c>
      <c r="Q690" s="25">
        <f t="array" aca="1" ref="Q690" ca="1">INDEX('Isaac 401k'!L:L,MATCH('Retirement Calculator'!A690,'Isaac 401k'!N:N,0),0)</f>
        <v>-184513.89626702407</v>
      </c>
      <c r="R690" s="25">
        <f t="array" aca="1" ref="R690" ca="1">INDEX('Lorri 401b'!L:L,MATCH('Retirement Calculator'!A690,'Lorri 401b'!N:N,0),0)</f>
        <v>-2265800.9837980275</v>
      </c>
      <c r="S690" s="25">
        <f t="shared" ca="1" si="527"/>
        <v>-2450314.8800650514</v>
      </c>
    </row>
    <row r="691" spans="1:19" ht="15.75" customHeight="1" x14ac:dyDescent="0.3">
      <c r="A691" s="37">
        <v>71987</v>
      </c>
      <c r="B691" s="409">
        <f t="shared" ref="B691:C691" si="697">($A691-B$9)/365.25</f>
        <v>115.21149897330595</v>
      </c>
      <c r="C691" s="409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3525.4531757812501</v>
      </c>
      <c r="H691" s="25">
        <f>IF(B691&lt;62,0,'Combined Retirement'!$I$14)</f>
        <v>2192</v>
      </c>
      <c r="I691" s="25">
        <f>IF(C691&lt;62,0,'Combined Retirement'!$I$13)</f>
        <v>2420</v>
      </c>
      <c r="J691" s="25">
        <f t="shared" si="523"/>
        <v>7863.2184191855868</v>
      </c>
      <c r="K691" s="25">
        <f t="shared" si="524"/>
        <v>20282.026119384056</v>
      </c>
      <c r="L691" s="25"/>
      <c r="N691" s="25">
        <f>'Combined Retirement'!$C$18/12</f>
        <v>39153.069999999992</v>
      </c>
      <c r="O691" s="25">
        <f t="shared" si="525"/>
        <v>11007.82546143035</v>
      </c>
      <c r="P691" s="25">
        <f t="shared" si="526"/>
        <v>28145.244538569641</v>
      </c>
      <c r="Q691" s="25">
        <f t="array" aca="1" ref="Q691" ca="1">INDEX('Isaac 401k'!L:L,MATCH('Retirement Calculator'!A691,'Isaac 401k'!N:N,0),0)</f>
        <v>-193178.68599740218</v>
      </c>
      <c r="R691" s="25">
        <f t="array" aca="1" ref="R691" ca="1">INDEX('Lorri 401b'!L:L,MATCH('Retirement Calculator'!A691,'Lorri 401b'!N:N,0),0)</f>
        <v>-2295608.3557920675</v>
      </c>
      <c r="S691" s="25">
        <f t="shared" ca="1" si="527"/>
        <v>-2488787.0417894698</v>
      </c>
    </row>
    <row r="692" spans="1:19" ht="15.75" customHeight="1" x14ac:dyDescent="0.3">
      <c r="A692" s="37">
        <v>72015</v>
      </c>
      <c r="B692" s="409">
        <f t="shared" ref="B692:C692" si="698">($A692-B$9)/365.25</f>
        <v>115.28815879534565</v>
      </c>
      <c r="C692" s="409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3525.4531757812501</v>
      </c>
      <c r="H692" s="25">
        <f>IF(B692&lt;62,0,'Combined Retirement'!$I$14)</f>
        <v>2192</v>
      </c>
      <c r="I692" s="25">
        <f>IF(C692&lt;62,0,'Combined Retirement'!$I$13)</f>
        <v>2420</v>
      </c>
      <c r="J692" s="25">
        <f t="shared" si="523"/>
        <v>7863.2184191855868</v>
      </c>
      <c r="K692" s="25">
        <f t="shared" si="524"/>
        <v>20282.026119384056</v>
      </c>
      <c r="L692" s="25"/>
      <c r="N692" s="25">
        <f>'Combined Retirement'!$C$18/12</f>
        <v>39153.069999999992</v>
      </c>
      <c r="O692" s="25">
        <f t="shared" si="525"/>
        <v>11007.82546143035</v>
      </c>
      <c r="P692" s="25">
        <f t="shared" si="526"/>
        <v>28145.244538569641</v>
      </c>
      <c r="Q692" s="25">
        <f t="array" aca="1" ref="Q692" ca="1">INDEX('Isaac 401k'!L:L,MATCH('Retirement Calculator'!A692,'Isaac 401k'!N:N,0),0)</f>
        <v>-201879.57901832354</v>
      </c>
      <c r="R692" s="25">
        <f t="array" aca="1" ref="R692" ca="1">INDEX('Lorri 401b'!L:L,MATCH('Retirement Calculator'!A692,'Lorri 401b'!N:N,0),0)</f>
        <v>-2325539.9251694158</v>
      </c>
      <c r="S692" s="25">
        <f t="shared" ca="1" si="527"/>
        <v>-2527419.5041877395</v>
      </c>
    </row>
    <row r="693" spans="1:19" ht="15.75" customHeight="1" x14ac:dyDescent="0.3">
      <c r="A693" s="37">
        <v>72046</v>
      </c>
      <c r="B693" s="409">
        <f t="shared" ref="B693:C693" si="699">($A693-B$9)/365.25</f>
        <v>115.37303216974675</v>
      </c>
      <c r="C693" s="409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3525.4531757812501</v>
      </c>
      <c r="H693" s="25">
        <f>IF(B693&lt;62,0,'Combined Retirement'!$I$14)</f>
        <v>2192</v>
      </c>
      <c r="I693" s="25">
        <f>IF(C693&lt;62,0,'Combined Retirement'!$I$13)</f>
        <v>2420</v>
      </c>
      <c r="J693" s="25">
        <f t="shared" si="523"/>
        <v>7863.2184191855868</v>
      </c>
      <c r="K693" s="25">
        <f t="shared" si="524"/>
        <v>20282.026119384056</v>
      </c>
      <c r="L693" s="25"/>
      <c r="N693" s="25">
        <f>'Combined Retirement'!$C$18/12</f>
        <v>39153.069999999992</v>
      </c>
      <c r="O693" s="25">
        <f t="shared" si="525"/>
        <v>11007.82546143035</v>
      </c>
      <c r="P693" s="25">
        <f t="shared" si="526"/>
        <v>28145.244538569641</v>
      </c>
      <c r="Q693" s="25">
        <f t="array" aca="1" ref="Q693" ca="1">INDEX('Isaac 401k'!L:L,MATCH('Retirement Calculator'!A693,'Isaac 401k'!N:N,0),0)</f>
        <v>-210616.7257601654</v>
      </c>
      <c r="R693" s="25">
        <f t="array" aca="1" ref="R693" ca="1">INDEX('Lorri 401b'!L:L,MATCH('Retirement Calculator'!A693,'Lorri 401b'!N:N,0),0)</f>
        <v>-2355596.2094191699</v>
      </c>
      <c r="S693" s="25">
        <f t="shared" ca="1" si="527"/>
        <v>-2566212.9351793355</v>
      </c>
    </row>
    <row r="694" spans="1:19" ht="15.75" customHeight="1" x14ac:dyDescent="0.3">
      <c r="A694" s="37">
        <v>72076</v>
      </c>
      <c r="B694" s="409">
        <f t="shared" ref="B694:C694" si="700">($A694-B$9)/365.25</f>
        <v>115.45516769336071</v>
      </c>
      <c r="C694" s="409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3525.4531757812501</v>
      </c>
      <c r="H694" s="25">
        <f>IF(B694&lt;62,0,'Combined Retirement'!$I$14)</f>
        <v>2192</v>
      </c>
      <c r="I694" s="25">
        <f>IF(C694&lt;62,0,'Combined Retirement'!$I$13)</f>
        <v>2420</v>
      </c>
      <c r="J694" s="25">
        <f t="shared" si="523"/>
        <v>7863.2184191855868</v>
      </c>
      <c r="K694" s="25">
        <f t="shared" si="524"/>
        <v>20282.026119384056</v>
      </c>
      <c r="L694" s="25"/>
      <c r="N694" s="25">
        <f>'Combined Retirement'!$C$18/12</f>
        <v>39153.069999999992</v>
      </c>
      <c r="O694" s="25">
        <f t="shared" si="525"/>
        <v>11007.82546143035</v>
      </c>
      <c r="P694" s="25">
        <f t="shared" si="526"/>
        <v>28145.244538569641</v>
      </c>
      <c r="Q694" s="25">
        <f t="array" aca="1" ref="Q694" ca="1">INDEX('Isaac 401k'!L:L,MATCH('Retirement Calculator'!A694,'Isaac 401k'!N:N,0),0)</f>
        <v>-219390.27728009826</v>
      </c>
      <c r="R694" s="25">
        <f t="array" aca="1" ref="R694" ca="1">INDEX('Lorri 401b'!L:L,MATCH('Retirement Calculator'!A694,'Lorri 401b'!N:N,0),0)</f>
        <v>-2385777.7281866311</v>
      </c>
      <c r="S694" s="25">
        <f t="shared" ca="1" si="527"/>
        <v>-2605168.0054667294</v>
      </c>
    </row>
    <row r="695" spans="1:19" ht="15.75" customHeight="1" x14ac:dyDescent="0.3">
      <c r="A695" s="37">
        <v>72107</v>
      </c>
      <c r="B695" s="409">
        <f t="shared" ref="B695:C695" si="701">($A695-B$9)/365.25</f>
        <v>115.54004106776181</v>
      </c>
      <c r="C695" s="409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3525.4531757812501</v>
      </c>
      <c r="H695" s="25">
        <f>IF(B695&lt;62,0,'Combined Retirement'!$I$14)</f>
        <v>2192</v>
      </c>
      <c r="I695" s="25">
        <f>IF(C695&lt;62,0,'Combined Retirement'!$I$13)</f>
        <v>2420</v>
      </c>
      <c r="J695" s="25">
        <f t="shared" si="523"/>
        <v>7863.2184191855868</v>
      </c>
      <c r="K695" s="25">
        <f t="shared" si="524"/>
        <v>20282.026119384056</v>
      </c>
      <c r="L695" s="25"/>
      <c r="N695" s="25">
        <f>'Combined Retirement'!$C$18/12</f>
        <v>39153.069999999992</v>
      </c>
      <c r="O695" s="25">
        <f t="shared" si="525"/>
        <v>11007.82546143035</v>
      </c>
      <c r="P695" s="25">
        <f t="shared" si="526"/>
        <v>28145.244538569641</v>
      </c>
      <c r="Q695" s="25">
        <f t="array" aca="1" ref="Q695" ca="1">INDEX('Isaac 401k'!L:L,MATCH('Retirement Calculator'!A695,'Isaac 401k'!N:N,0),0)</f>
        <v>-228200.38526469751</v>
      </c>
      <c r="R695" s="25">
        <f t="array" aca="1" ref="R695" ca="1">INDEX('Lorri 401b'!L:L,MATCH('Retirement Calculator'!A695,'Lorri 401b'!N:N,0),0)</f>
        <v>-2416085.00328229</v>
      </c>
      <c r="S695" s="25">
        <f t="shared" ca="1" si="527"/>
        <v>-2644285.3885469874</v>
      </c>
    </row>
    <row r="696" spans="1:19" ht="15.75" customHeight="1" x14ac:dyDescent="0.3">
      <c r="A696" s="37">
        <v>72137</v>
      </c>
      <c r="B696" s="409">
        <f t="shared" ref="B696:C696" si="702">($A696-B$9)/365.25</f>
        <v>115.62217659137578</v>
      </c>
      <c r="C696" s="409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3525.4531757812501</v>
      </c>
      <c r="H696" s="25">
        <f>IF(B696&lt;62,0,'Combined Retirement'!$I$14)</f>
        <v>2192</v>
      </c>
      <c r="I696" s="25">
        <f>IF(C696&lt;62,0,'Combined Retirement'!$I$13)</f>
        <v>2420</v>
      </c>
      <c r="J696" s="25">
        <f t="shared" si="523"/>
        <v>7863.2184191855868</v>
      </c>
      <c r="K696" s="25">
        <f t="shared" si="524"/>
        <v>20282.026119384056</v>
      </c>
      <c r="L696" s="25"/>
      <c r="N696" s="25">
        <f>'Combined Retirement'!$C$18/12</f>
        <v>39153.069999999992</v>
      </c>
      <c r="O696" s="25">
        <f t="shared" si="525"/>
        <v>11007.82546143035</v>
      </c>
      <c r="P696" s="25">
        <f t="shared" si="526"/>
        <v>28145.244538569641</v>
      </c>
      <c r="Q696" s="25">
        <f t="array" aca="1" ref="Q696" ca="1">INDEX('Isaac 401k'!L:L,MATCH('Retirement Calculator'!A696,'Isaac 401k'!N:N,0),0)</f>
        <v>-237047.20203256593</v>
      </c>
      <c r="R696" s="25">
        <f t="array" aca="1" ref="R696" ca="1">INDEX('Lorri 401b'!L:L,MATCH('Retirement Calculator'!A696,'Lorri 401b'!N:N,0),0)</f>
        <v>-2446518.5586908474</v>
      </c>
      <c r="S696" s="25">
        <f t="shared" ca="1" si="527"/>
        <v>-2683565.7607234134</v>
      </c>
    </row>
    <row r="697" spans="1:19" ht="15.75" customHeight="1" x14ac:dyDescent="0.3">
      <c r="A697" s="37">
        <v>72168</v>
      </c>
      <c r="B697" s="409">
        <f t="shared" ref="B697:C697" si="703">($A697-B$9)/365.25</f>
        <v>115.70704996577686</v>
      </c>
      <c r="C697" s="409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3525.4531757812501</v>
      </c>
      <c r="H697" s="25">
        <f>IF(B697&lt;62,0,'Combined Retirement'!$I$14)</f>
        <v>2192</v>
      </c>
      <c r="I697" s="25">
        <f>IF(C697&lt;62,0,'Combined Retirement'!$I$13)</f>
        <v>2420</v>
      </c>
      <c r="J697" s="25">
        <f t="shared" si="523"/>
        <v>7863.2184191855868</v>
      </c>
      <c r="K697" s="25">
        <f t="shared" si="524"/>
        <v>20282.026119384056</v>
      </c>
      <c r="L697" s="25"/>
      <c r="N697" s="25">
        <f>'Combined Retirement'!$C$18/12</f>
        <v>39153.069999999992</v>
      </c>
      <c r="O697" s="25">
        <f t="shared" si="525"/>
        <v>11007.82546143035</v>
      </c>
      <c r="P697" s="25">
        <f t="shared" si="526"/>
        <v>28145.244538569641</v>
      </c>
      <c r="Q697" s="25">
        <f t="array" aca="1" ref="Q697" ca="1">INDEX('Isaac 401k'!L:L,MATCH('Retirement Calculator'!A697,'Isaac 401k'!N:N,0),0)</f>
        <v>-245930.88053696713</v>
      </c>
      <c r="R697" s="25">
        <f t="array" aca="1" ref="R697" ca="1">INDEX('Lorri 401b'!L:L,MATCH('Retirement Calculator'!A697,'Lorri 401b'!N:N,0),0)</f>
        <v>-2477078.920580274</v>
      </c>
      <c r="S697" s="25">
        <f t="shared" ca="1" si="527"/>
        <v>-2723009.8011172409</v>
      </c>
    </row>
    <row r="698" spans="1:19" ht="15.75" customHeight="1" x14ac:dyDescent="0.3">
      <c r="A698" s="37">
        <v>72199</v>
      </c>
      <c r="B698" s="409">
        <f t="shared" ref="B698:C698" si="704">($A698-B$9)/365.25</f>
        <v>115.79192334017796</v>
      </c>
      <c r="C698" s="409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3525.4531757812501</v>
      </c>
      <c r="H698" s="25">
        <f>IF(B698&lt;62,0,'Combined Retirement'!$I$14)</f>
        <v>2192</v>
      </c>
      <c r="I698" s="25">
        <f>IF(C698&lt;62,0,'Combined Retirement'!$I$13)</f>
        <v>2420</v>
      </c>
      <c r="J698" s="25">
        <f t="shared" si="523"/>
        <v>7863.2184191855868</v>
      </c>
      <c r="K698" s="25">
        <f t="shared" si="524"/>
        <v>20282.026119384056</v>
      </c>
      <c r="L698" s="25"/>
      <c r="N698" s="25">
        <f>'Combined Retirement'!$C$18/12</f>
        <v>39153.069999999992</v>
      </c>
      <c r="O698" s="25">
        <f t="shared" si="525"/>
        <v>11007.82546143035</v>
      </c>
      <c r="P698" s="25">
        <f t="shared" si="526"/>
        <v>28145.244538569641</v>
      </c>
      <c r="Q698" s="25">
        <f t="array" aca="1" ref="Q698" ca="1">INDEX('Isaac 401k'!L:L,MATCH('Retirement Calculator'!A698,'Isaac 401k'!N:N,0),0)</f>
        <v>-254851.57436847</v>
      </c>
      <c r="R698" s="25">
        <f t="array" aca="1" ref="R698" ca="1">INDEX('Lorri 401b'!L:L,MATCH('Retirement Calculator'!A698,'Lorri 401b'!N:N,0),0)</f>
        <v>-2507766.6173109063</v>
      </c>
      <c r="S698" s="25">
        <f t="shared" ca="1" si="527"/>
        <v>-2762618.1916793762</v>
      </c>
    </row>
    <row r="699" spans="1:19" ht="15.75" customHeight="1" x14ac:dyDescent="0.3">
      <c r="A699" s="37">
        <v>72229</v>
      </c>
      <c r="B699" s="409">
        <f t="shared" ref="B699:C699" si="705">($A699-B$9)/365.25</f>
        <v>115.87405886379193</v>
      </c>
      <c r="C699" s="409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3525.4531757812501</v>
      </c>
      <c r="H699" s="25">
        <f>IF(B699&lt;62,0,'Combined Retirement'!$I$14)</f>
        <v>2192</v>
      </c>
      <c r="I699" s="25">
        <f>IF(C699&lt;62,0,'Combined Retirement'!$I$13)</f>
        <v>2420</v>
      </c>
      <c r="J699" s="25">
        <f t="shared" si="523"/>
        <v>7863.2184191855868</v>
      </c>
      <c r="K699" s="25">
        <f t="shared" si="524"/>
        <v>20282.026119384056</v>
      </c>
      <c r="L699" s="25"/>
      <c r="N699" s="25">
        <f>'Combined Retirement'!$C$18/12</f>
        <v>39153.069999999992</v>
      </c>
      <c r="O699" s="25">
        <f t="shared" si="525"/>
        <v>11007.82546143035</v>
      </c>
      <c r="P699" s="25">
        <f t="shared" si="526"/>
        <v>28145.244538569641</v>
      </c>
      <c r="Q699" s="25">
        <f t="array" aca="1" ref="Q699" ca="1">INDEX('Isaac 401k'!L:L,MATCH('Retirement Calculator'!A699,'Isaac 401k'!N:N,0),0)</f>
        <v>-263809.43775760417</v>
      </c>
      <c r="R699" s="25">
        <f t="array" aca="1" ref="R699" ca="1">INDEX('Lorri 401b'!L:L,MATCH('Retirement Calculator'!A699,'Lorri 401b'!N:N,0),0)</f>
        <v>-2538582.1794445831</v>
      </c>
      <c r="S699" s="25">
        <f t="shared" ca="1" si="527"/>
        <v>-2802391.6172021874</v>
      </c>
    </row>
    <row r="700" spans="1:19" ht="15.75" customHeight="1" x14ac:dyDescent="0.3">
      <c r="A700" s="37">
        <v>72260</v>
      </c>
      <c r="B700" s="409">
        <f t="shared" ref="B700:C700" si="706">($A700-B$9)/365.25</f>
        <v>115.95893223819301</v>
      </c>
      <c r="C700" s="409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3525.4531757812501</v>
      </c>
      <c r="H700" s="25">
        <f>IF(B700&lt;62,0,'Combined Retirement'!$I$14)</f>
        <v>2192</v>
      </c>
      <c r="I700" s="25">
        <f>IF(C700&lt;62,0,'Combined Retirement'!$I$13)</f>
        <v>2420</v>
      </c>
      <c r="J700" s="25">
        <f t="shared" si="523"/>
        <v>7863.2184191855868</v>
      </c>
      <c r="K700" s="25">
        <f t="shared" si="524"/>
        <v>20282.026119384056</v>
      </c>
      <c r="L700" s="25"/>
      <c r="N700" s="25">
        <f>'Combined Retirement'!$C$18/12</f>
        <v>39153.069999999992</v>
      </c>
      <c r="O700" s="25">
        <f t="shared" si="525"/>
        <v>11007.82546143035</v>
      </c>
      <c r="P700" s="25">
        <f t="shared" si="526"/>
        <v>28145.244538569641</v>
      </c>
      <c r="Q700" s="25">
        <f t="array" aca="1" ref="Q700" ca="1">INDEX('Isaac 401k'!L:L,MATCH('Retirement Calculator'!A700,'Isaac 401k'!N:N,0),0)</f>
        <v>-272804.6255775264</v>
      </c>
      <c r="R700" s="25">
        <f t="array" aca="1" ref="R700" ca="1">INDEX('Lorri 401b'!L:L,MATCH('Retirement Calculator'!A700,'Lorri 401b'!N:N,0),0)</f>
        <v>-2569526.1397538171</v>
      </c>
      <c r="S700" s="25">
        <f t="shared" ca="1" si="527"/>
        <v>-2842330.7653313437</v>
      </c>
    </row>
    <row r="701" spans="1:19" ht="15.75" customHeight="1" x14ac:dyDescent="0.3">
      <c r="A701" s="37">
        <v>72290</v>
      </c>
      <c r="B701" s="409">
        <f t="shared" ref="B701:C701" si="707">($A701-B$9)/365.25</f>
        <v>116.04106776180699</v>
      </c>
      <c r="C701" s="409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3525.4531757812501</v>
      </c>
      <c r="H701" s="25">
        <f>IF(B701&lt;62,0,'Combined Retirement'!$I$14)</f>
        <v>2192</v>
      </c>
      <c r="I701" s="25">
        <f>IF(C701&lt;62,0,'Combined Retirement'!$I$13)</f>
        <v>2420</v>
      </c>
      <c r="J701" s="25">
        <f t="shared" si="523"/>
        <v>7863.2184191855868</v>
      </c>
      <c r="K701" s="25">
        <f t="shared" si="524"/>
        <v>20282.026119384056</v>
      </c>
      <c r="L701" s="25"/>
      <c r="N701" s="25">
        <f>'Combined Retirement'!$C$18/12</f>
        <v>39153.069999999992</v>
      </c>
      <c r="O701" s="25">
        <f t="shared" si="525"/>
        <v>11007.82546143035</v>
      </c>
      <c r="P701" s="25">
        <f t="shared" si="526"/>
        <v>28145.244538569641</v>
      </c>
      <c r="Q701" s="25">
        <f t="array" aca="1" ref="Q701" ca="1">INDEX('Isaac 401k'!L:L,MATCH('Retirement Calculator'!A701,'Isaac 401k'!N:N,0),0)</f>
        <v>-281837.29334669828</v>
      </c>
      <c r="R701" s="25">
        <f t="array" aca="1" ref="R701" ca="1">INDEX('Lorri 401b'!L:L,MATCH('Retirement Calculator'!A701,'Lorri 401b'!N:N,0),0)</f>
        <v>-2600599.033231006</v>
      </c>
      <c r="S701" s="25">
        <f t="shared" ca="1" si="527"/>
        <v>-2882436.3265777044</v>
      </c>
    </row>
    <row r="702" spans="1:19" ht="15.75" customHeight="1" x14ac:dyDescent="0.3">
      <c r="A702" s="37">
        <v>72321</v>
      </c>
      <c r="B702" s="409">
        <f t="shared" ref="B702:C702" si="708">($A702-B$9)/365.25</f>
        <v>116.12594113620807</v>
      </c>
      <c r="C702" s="409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3525.4531757812501</v>
      </c>
      <c r="H702" s="25">
        <f>IF(B702&lt;62,0,'Combined Retirement'!$I$14)</f>
        <v>2192</v>
      </c>
      <c r="I702" s="25">
        <f>IF(C702&lt;62,0,'Combined Retirement'!$I$13)</f>
        <v>2420</v>
      </c>
      <c r="J702" s="25">
        <f t="shared" si="523"/>
        <v>7863.2184191855868</v>
      </c>
      <c r="K702" s="25">
        <f t="shared" si="524"/>
        <v>20282.026119384056</v>
      </c>
      <c r="L702" s="25"/>
      <c r="N702" s="25">
        <f>'Combined Retirement'!$C$18/12</f>
        <v>39153.069999999992</v>
      </c>
      <c r="O702" s="25">
        <f t="shared" si="525"/>
        <v>11007.82546143035</v>
      </c>
      <c r="P702" s="25">
        <f t="shared" si="526"/>
        <v>28145.244538569641</v>
      </c>
      <c r="Q702" s="25">
        <f t="array" aca="1" ref="Q702" ca="1">INDEX('Isaac 401k'!L:L,MATCH('Retirement Calculator'!A702,'Isaac 401k'!N:N,0),0)</f>
        <v>-290907.59723157506</v>
      </c>
      <c r="R702" s="25">
        <f t="array" aca="1" ref="R702" ca="1">INDEX('Lorri 401b'!L:L,MATCH('Retirement Calculator'!A702,'Lorri 401b'!N:N,0),0)</f>
        <v>-2631801.3970976835</v>
      </c>
      <c r="S702" s="25">
        <f t="shared" ca="1" si="527"/>
        <v>-2922708.9943292588</v>
      </c>
    </row>
    <row r="703" spans="1:19" ht="15.75" customHeight="1" x14ac:dyDescent="0.3">
      <c r="A703" s="37">
        <v>72352</v>
      </c>
      <c r="B703" s="409">
        <f t="shared" ref="B703:C703" si="709">($A703-B$9)/365.25</f>
        <v>116.21081451060917</v>
      </c>
      <c r="C703" s="409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3525.4531757812501</v>
      </c>
      <c r="H703" s="25">
        <f>IF(B703&lt;62,0,'Combined Retirement'!$I$14)</f>
        <v>2192</v>
      </c>
      <c r="I703" s="25">
        <f>IF(C703&lt;62,0,'Combined Retirement'!$I$13)</f>
        <v>2420</v>
      </c>
      <c r="J703" s="25">
        <f t="shared" si="523"/>
        <v>7863.2184191855868</v>
      </c>
      <c r="K703" s="25">
        <f t="shared" si="524"/>
        <v>20282.026119384056</v>
      </c>
      <c r="L703" s="25"/>
      <c r="N703" s="25">
        <f>'Combined Retirement'!$C$18/12</f>
        <v>39153.069999999992</v>
      </c>
      <c r="O703" s="25">
        <f t="shared" si="525"/>
        <v>11007.82546143035</v>
      </c>
      <c r="P703" s="25">
        <f t="shared" si="526"/>
        <v>28145.244538569641</v>
      </c>
      <c r="Q703" s="25">
        <f t="array" aca="1" ref="Q703" ca="1">INDEX('Isaac 401k'!L:L,MATCH('Retirement Calculator'!A703,'Isaac 401k'!N:N,0),0)</f>
        <v>-300015.69404930552</v>
      </c>
      <c r="R703" s="25">
        <f t="array" aca="1" ref="R703" ca="1">INDEX('Lorri 401b'!L:L,MATCH('Retirement Calculator'!A703,'Lorri 401b'!N:N,0),0)</f>
        <v>-2663133.7708138051</v>
      </c>
      <c r="S703" s="25">
        <f t="shared" ca="1" si="527"/>
        <v>-2963149.4648631103</v>
      </c>
    </row>
    <row r="704" spans="1:19" ht="15.75" customHeight="1" x14ac:dyDescent="0.3">
      <c r="A704" s="37">
        <v>72380</v>
      </c>
      <c r="B704" s="409">
        <f t="shared" ref="B704:C704" si="710">($A704-B$9)/365.25</f>
        <v>116.28747433264887</v>
      </c>
      <c r="C704" s="409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3525.4531757812501</v>
      </c>
      <c r="H704" s="25">
        <f>IF(B704&lt;62,0,'Combined Retirement'!$I$14)</f>
        <v>2192</v>
      </c>
      <c r="I704" s="25">
        <f>IF(C704&lt;62,0,'Combined Retirement'!$I$13)</f>
        <v>2420</v>
      </c>
      <c r="J704" s="25">
        <f t="shared" si="523"/>
        <v>7863.2184191855868</v>
      </c>
      <c r="K704" s="25">
        <f t="shared" si="524"/>
        <v>20282.026119384056</v>
      </c>
      <c r="L704" s="25"/>
      <c r="N704" s="25">
        <f>'Combined Retirement'!$C$18/12</f>
        <v>39153.069999999992</v>
      </c>
      <c r="O704" s="25">
        <f t="shared" si="525"/>
        <v>11007.82546143035</v>
      </c>
      <c r="P704" s="25">
        <f t="shared" si="526"/>
        <v>28145.244538569641</v>
      </c>
      <c r="Q704" s="25">
        <f t="array" aca="1" ref="Q704" ca="1">INDEX('Isaac 401k'!L:L,MATCH('Retirement Calculator'!A704,'Isaac 401k'!N:N,0),0)</f>
        <v>-309161.74127044319</v>
      </c>
      <c r="R704" s="25">
        <f t="array" aca="1" ref="R704" ca="1">INDEX('Lorri 401b'!L:L,MATCH('Retirement Calculator'!A704,'Lorri 401b'!N:N,0),0)</f>
        <v>-2694596.6960870773</v>
      </c>
      <c r="S704" s="25">
        <f t="shared" ca="1" si="527"/>
        <v>-3003758.4373575207</v>
      </c>
    </row>
    <row r="705" spans="1:19" ht="15.75" customHeight="1" x14ac:dyDescent="0.3">
      <c r="A705" s="37">
        <v>72411</v>
      </c>
      <c r="B705" s="409">
        <f t="shared" ref="B705:C705" si="711">($A705-B$9)/365.25</f>
        <v>116.37234770704997</v>
      </c>
      <c r="C705" s="409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3525.4531757812501</v>
      </c>
      <c r="H705" s="25">
        <f>IF(B705&lt;62,0,'Combined Retirement'!$I$14)</f>
        <v>2192</v>
      </c>
      <c r="I705" s="25">
        <f>IF(C705&lt;62,0,'Combined Retirement'!$I$13)</f>
        <v>2420</v>
      </c>
      <c r="J705" s="25">
        <f t="shared" si="523"/>
        <v>7863.2184191855868</v>
      </c>
      <c r="K705" s="25">
        <f t="shared" si="524"/>
        <v>20282.026119384056</v>
      </c>
      <c r="L705" s="25"/>
      <c r="N705" s="25">
        <f>'Combined Retirement'!$C$18/12</f>
        <v>39153.069999999992</v>
      </c>
      <c r="O705" s="25">
        <f t="shared" si="525"/>
        <v>11007.82546143035</v>
      </c>
      <c r="P705" s="25">
        <f t="shared" si="526"/>
        <v>28145.244538569641</v>
      </c>
      <c r="Q705" s="25">
        <f t="array" aca="1" ref="Q705" ca="1">INDEX('Isaac 401k'!L:L,MATCH('Retirement Calculator'!A705,'Isaac 401k'!N:N,0),0)</f>
        <v>-318345.8970216689</v>
      </c>
      <c r="R705" s="25">
        <f t="array" aca="1" ref="R705" ca="1">INDEX('Lorri 401b'!L:L,MATCH('Retirement Calculator'!A705,'Lorri 401b'!N:N,0),0)</f>
        <v>-2726190.7168823215</v>
      </c>
      <c r="S705" s="25">
        <f t="shared" ca="1" si="527"/>
        <v>-3044536.6139039905</v>
      </c>
    </row>
    <row r="706" spans="1:19" ht="15.75" customHeight="1" x14ac:dyDescent="0.3">
      <c r="A706" s="37">
        <v>72441</v>
      </c>
      <c r="B706" s="409">
        <f t="shared" ref="B706:C706" si="712">($A706-B$9)/365.25</f>
        <v>116.45448323066393</v>
      </c>
      <c r="C706" s="409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3525.4531757812501</v>
      </c>
      <c r="H706" s="25">
        <f>IF(B706&lt;62,0,'Combined Retirement'!$I$14)</f>
        <v>2192</v>
      </c>
      <c r="I706" s="25">
        <f>IF(C706&lt;62,0,'Combined Retirement'!$I$13)</f>
        <v>2420</v>
      </c>
      <c r="J706" s="25">
        <f t="shared" si="523"/>
        <v>7863.2184191855868</v>
      </c>
      <c r="K706" s="25">
        <f t="shared" si="524"/>
        <v>20282.026119384056</v>
      </c>
      <c r="L706" s="25"/>
      <c r="N706" s="25">
        <f>'Combined Retirement'!$C$18/12</f>
        <v>39153.069999999992</v>
      </c>
      <c r="O706" s="25">
        <f t="shared" si="525"/>
        <v>11007.82546143035</v>
      </c>
      <c r="P706" s="25">
        <f t="shared" si="526"/>
        <v>28145.244538569641</v>
      </c>
      <c r="Q706" s="25">
        <f t="array" aca="1" ref="Q706" ca="1">INDEX('Isaac 401k'!L:L,MATCH('Retirement Calculator'!A706,'Isaac 401k'!N:N,0),0)</f>
        <v>-327568.32008852472</v>
      </c>
      <c r="R706" s="25">
        <f t="array" aca="1" ref="R706" ca="1">INDEX('Lorri 401b'!L:L,MATCH('Retirement Calculator'!A706,'Lorri 401b'!N:N,0),0)</f>
        <v>-2757916.3794308794</v>
      </c>
      <c r="S706" s="25">
        <f t="shared" ca="1" si="527"/>
        <v>-3085484.6995194042</v>
      </c>
    </row>
    <row r="707" spans="1:19" ht="15.75" customHeight="1" x14ac:dyDescent="0.3">
      <c r="A707" s="37">
        <v>72472</v>
      </c>
      <c r="B707" s="409">
        <f t="shared" ref="B707:C707" si="713">($A707-B$9)/365.25</f>
        <v>116.53935660506502</v>
      </c>
      <c r="C707" s="409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3525.4531757812501</v>
      </c>
      <c r="H707" s="25">
        <f>IF(B707&lt;62,0,'Combined Retirement'!$I$14)</f>
        <v>2192</v>
      </c>
      <c r="I707" s="25">
        <f>IF(C707&lt;62,0,'Combined Retirement'!$I$13)</f>
        <v>2420</v>
      </c>
      <c r="J707" s="25">
        <f t="shared" si="523"/>
        <v>7863.2184191855868</v>
      </c>
      <c r="K707" s="25">
        <f t="shared" si="524"/>
        <v>20282.026119384056</v>
      </c>
      <c r="L707" s="25"/>
      <c r="N707" s="25">
        <f>'Combined Retirement'!$C$18/12</f>
        <v>39153.069999999992</v>
      </c>
      <c r="O707" s="25">
        <f t="shared" si="525"/>
        <v>11007.82546143035</v>
      </c>
      <c r="P707" s="25">
        <f t="shared" si="526"/>
        <v>28145.244538569641</v>
      </c>
      <c r="Q707" s="25">
        <f t="array" aca="1" ref="Q707" ca="1">INDEX('Isaac 401k'!L:L,MATCH('Retirement Calculator'!A707,'Isaac 401k'!N:N,0),0)</f>
        <v>-336829.16991815914</v>
      </c>
      <c r="R707" s="25">
        <f t="array" aca="1" ref="R707" ca="1">INDEX('Lorri 401b'!L:L,MATCH('Retirement Calculator'!A707,'Lorri 401b'!N:N,0),0)</f>
        <v>-2789774.2322400562</v>
      </c>
      <c r="S707" s="25">
        <f t="shared" ca="1" si="527"/>
        <v>-3126603.4021582152</v>
      </c>
    </row>
    <row r="708" spans="1:19" ht="15.75" customHeight="1" x14ac:dyDescent="0.3">
      <c r="A708" s="37">
        <v>72502</v>
      </c>
      <c r="B708" s="409">
        <f t="shared" ref="B708:C708" si="714">($A708-B$9)/365.25</f>
        <v>116.62149212867898</v>
      </c>
      <c r="C708" s="409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3525.4531757812501</v>
      </c>
      <c r="H708" s="25">
        <f>IF(B708&lt;62,0,'Combined Retirement'!$I$14)</f>
        <v>2192</v>
      </c>
      <c r="I708" s="25">
        <f>IF(C708&lt;62,0,'Combined Retirement'!$I$13)</f>
        <v>2420</v>
      </c>
      <c r="J708" s="25">
        <f t="shared" si="523"/>
        <v>7863.2184191855868</v>
      </c>
      <c r="K708" s="25">
        <f t="shared" si="524"/>
        <v>20282.026119384056</v>
      </c>
      <c r="L708" s="25"/>
      <c r="N708" s="25">
        <f>'Combined Retirement'!$C$18/12</f>
        <v>39153.069999999992</v>
      </c>
      <c r="O708" s="25">
        <f t="shared" si="525"/>
        <v>11007.82546143035</v>
      </c>
      <c r="P708" s="25">
        <f t="shared" si="526"/>
        <v>28145.244538569641</v>
      </c>
      <c r="Q708" s="25">
        <f t="array" aca="1" ref="Q708" ca="1">INDEX('Isaac 401k'!L:L,MATCH('Retirement Calculator'!A708,'Isaac 401k'!N:N,0),0)</f>
        <v>-346128.60662208369</v>
      </c>
      <c r="R708" s="25">
        <f t="array" aca="1" ref="R708" ca="1">INDEX('Lorri 401b'!L:L,MATCH('Retirement Calculator'!A708,'Lorri 401b'!N:N,0),0)</f>
        <v>-2821764.8261026046</v>
      </c>
      <c r="S708" s="25">
        <f t="shared" ca="1" si="527"/>
        <v>-3167893.4327246882</v>
      </c>
    </row>
    <row r="709" spans="1:19" ht="15.75" customHeight="1" x14ac:dyDescent="0.3">
      <c r="A709" s="37">
        <v>72533</v>
      </c>
      <c r="B709" s="409">
        <f t="shared" ref="B709:C709" si="715">($A709-B$9)/365.25</f>
        <v>116.70636550308008</v>
      </c>
      <c r="C709" s="409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3525.4531757812501</v>
      </c>
      <c r="H709" s="25">
        <f>IF(B709&lt;62,0,'Combined Retirement'!$I$14)</f>
        <v>2192</v>
      </c>
      <c r="I709" s="25">
        <f>IF(C709&lt;62,0,'Combined Retirement'!$I$13)</f>
        <v>2420</v>
      </c>
      <c r="J709" s="25">
        <f t="shared" si="523"/>
        <v>7863.2184191855868</v>
      </c>
      <c r="K709" s="25">
        <f t="shared" si="524"/>
        <v>20282.026119384056</v>
      </c>
      <c r="L709" s="25"/>
      <c r="N709" s="25">
        <f>'Combined Retirement'!$C$18/12</f>
        <v>39153.069999999992</v>
      </c>
      <c r="O709" s="25">
        <f t="shared" si="525"/>
        <v>11007.82546143035</v>
      </c>
      <c r="P709" s="25">
        <f t="shared" si="526"/>
        <v>28145.244538569641</v>
      </c>
      <c r="Q709" s="25">
        <f t="array" aca="1" ref="Q709" ca="1">INDEX('Isaac 401k'!L:L,MATCH('Retirement Calculator'!A709,'Isaac 401k'!N:N,0),0)</f>
        <v>-355466.79097894125</v>
      </c>
      <c r="R709" s="25">
        <f t="array" aca="1" ref="R709" ca="1">INDEX('Lorri 401b'!L:L,MATCH('Retirement Calculator'!A709,'Lorri 401b'!N:N,0),0)</f>
        <v>-2853888.7141062468</v>
      </c>
      <c r="S709" s="25">
        <f t="shared" ca="1" si="527"/>
        <v>-3209355.505085188</v>
      </c>
    </row>
    <row r="710" spans="1:19" ht="15.75" customHeight="1" x14ac:dyDescent="0.3">
      <c r="A710" s="37">
        <v>72564</v>
      </c>
      <c r="B710" s="409">
        <f t="shared" ref="B710:C710" si="716">($A710-B$9)/365.25</f>
        <v>116.79123887748118</v>
      </c>
      <c r="C710" s="409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3525.4531757812501</v>
      </c>
      <c r="H710" s="25">
        <f>IF(B710&lt;62,0,'Combined Retirement'!$I$14)</f>
        <v>2192</v>
      </c>
      <c r="I710" s="25">
        <f>IF(C710&lt;62,0,'Combined Retirement'!$I$13)</f>
        <v>2420</v>
      </c>
      <c r="J710" s="25">
        <f t="shared" si="523"/>
        <v>7863.2184191855868</v>
      </c>
      <c r="K710" s="25">
        <f t="shared" si="524"/>
        <v>20282.026119384056</v>
      </c>
      <c r="L710" s="25"/>
      <c r="N710" s="25">
        <f>'Combined Retirement'!$C$18/12</f>
        <v>39153.069999999992</v>
      </c>
      <c r="O710" s="25">
        <f t="shared" si="525"/>
        <v>11007.82546143035</v>
      </c>
      <c r="P710" s="25">
        <f t="shared" si="526"/>
        <v>28145.244538569641</v>
      </c>
      <c r="Q710" s="25">
        <f t="array" aca="1" ref="Q710" ca="1">INDEX('Isaac 401k'!L:L,MATCH('Retirement Calculator'!A710,'Isaac 401k'!N:N,0),0)</f>
        <v>-364843.88443728571</v>
      </c>
      <c r="R710" s="25">
        <f t="array" aca="1" ref="R710" ca="1">INDEX('Lorri 401b'!L:L,MATCH('Retirement Calculator'!A710,'Lorri 401b'!N:N,0),0)</f>
        <v>-2886146.4516432374</v>
      </c>
      <c r="S710" s="25">
        <f t="shared" ca="1" si="527"/>
        <v>-3250990.3360805232</v>
      </c>
    </row>
    <row r="711" spans="1:19" ht="15.75" customHeight="1" x14ac:dyDescent="0.3">
      <c r="A711" s="37">
        <v>72594</v>
      </c>
      <c r="B711" s="409">
        <f t="shared" ref="B711:C711" si="717">($A711-B$9)/365.25</f>
        <v>116.87337440109513</v>
      </c>
      <c r="C711" s="409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3525.4531757812501</v>
      </c>
      <c r="H711" s="25">
        <f>IF(B711&lt;62,0,'Combined Retirement'!$I$14)</f>
        <v>2192</v>
      </c>
      <c r="I711" s="25">
        <f>IF(C711&lt;62,0,'Combined Retirement'!$I$13)</f>
        <v>2420</v>
      </c>
      <c r="J711" s="25">
        <f t="shared" si="523"/>
        <v>7863.2184191855868</v>
      </c>
      <c r="K711" s="25">
        <f t="shared" si="524"/>
        <v>20282.026119384056</v>
      </c>
      <c r="L711" s="25"/>
      <c r="N711" s="25">
        <f>'Combined Retirement'!$C$18/12</f>
        <v>39153.069999999992</v>
      </c>
      <c r="O711" s="25">
        <f t="shared" si="525"/>
        <v>11007.82546143035</v>
      </c>
      <c r="P711" s="25">
        <f t="shared" si="526"/>
        <v>28145.244538569641</v>
      </c>
      <c r="Q711" s="25">
        <f t="array" aca="1" ref="Q711" ca="1">INDEX('Isaac 401k'!L:L,MATCH('Retirement Calculator'!A711,'Isaac 401k'!N:N,0),0)</f>
        <v>-374260.04911837331</v>
      </c>
      <c r="R711" s="25">
        <f t="array" aca="1" ref="R711" ca="1">INDEX('Lorri 401b'!L:L,MATCH('Retirement Calculator'!A711,'Lorri 401b'!N:N,0),0)</f>
        <v>-2918538.5964199658</v>
      </c>
      <c r="S711" s="25">
        <f t="shared" ca="1" si="527"/>
        <v>-3292798.6455383394</v>
      </c>
    </row>
    <row r="712" spans="1:19" ht="15.75" customHeight="1" x14ac:dyDescent="0.3">
      <c r="A712" s="37">
        <v>72625</v>
      </c>
      <c r="B712" s="409">
        <f t="shared" ref="B712:C712" si="718">($A712-B$9)/365.25</f>
        <v>116.95824777549623</v>
      </c>
      <c r="C712" s="409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3525.4531757812501</v>
      </c>
      <c r="H712" s="25">
        <f>IF(B712&lt;62,0,'Combined Retirement'!$I$14)</f>
        <v>2192</v>
      </c>
      <c r="I712" s="25">
        <f>IF(C712&lt;62,0,'Combined Retirement'!$I$13)</f>
        <v>2420</v>
      </c>
      <c r="J712" s="25">
        <f t="shared" si="523"/>
        <v>7863.2184191855868</v>
      </c>
      <c r="K712" s="25">
        <f t="shared" si="524"/>
        <v>20282.026119384056</v>
      </c>
      <c r="L712" s="25"/>
      <c r="N712" s="25">
        <f>'Combined Retirement'!$C$18/12</f>
        <v>39153.069999999992</v>
      </c>
      <c r="O712" s="25">
        <f t="shared" si="525"/>
        <v>11007.82546143035</v>
      </c>
      <c r="P712" s="25">
        <f t="shared" si="526"/>
        <v>28145.244538569641</v>
      </c>
      <c r="Q712" s="25">
        <f t="array" aca="1" ref="Q712" ca="1">INDEX('Isaac 401k'!L:L,MATCH('Retirement Calculator'!A712,'Isaac 401k'!N:N,0),0)</f>
        <v>-383715.44781896542</v>
      </c>
      <c r="R712" s="25">
        <f t="array" aca="1" ref="R712" ca="1">INDEX('Lorri 401b'!L:L,MATCH('Retirement Calculator'!A712,'Lorri 401b'!N:N,0),0)</f>
        <v>-2951065.7084665969</v>
      </c>
      <c r="S712" s="25">
        <f t="shared" ca="1" si="527"/>
        <v>-3334781.1562855626</v>
      </c>
    </row>
    <row r="713" spans="1:19" ht="15.75" customHeight="1" x14ac:dyDescent="0.3">
      <c r="A713" s="37">
        <v>72655</v>
      </c>
      <c r="B713" s="409">
        <f t="shared" ref="B713:C713" si="719">($A713-B$9)/365.25</f>
        <v>117.0403832991102</v>
      </c>
      <c r="C713" s="409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3525.4531757812501</v>
      </c>
      <c r="H713" s="25">
        <f>IF(B713&lt;62,0,'Combined Retirement'!$I$14)</f>
        <v>2192</v>
      </c>
      <c r="I713" s="25">
        <f>IF(C713&lt;62,0,'Combined Retirement'!$I$13)</f>
        <v>2420</v>
      </c>
      <c r="J713" s="25">
        <f t="shared" si="523"/>
        <v>7863.2184191855868</v>
      </c>
      <c r="K713" s="25">
        <f t="shared" si="524"/>
        <v>20282.026119384056</v>
      </c>
      <c r="L713" s="25"/>
      <c r="N713" s="25">
        <f>'Combined Retirement'!$C$18/12</f>
        <v>39153.069999999992</v>
      </c>
      <c r="O713" s="25">
        <f t="shared" si="525"/>
        <v>11007.82546143035</v>
      </c>
      <c r="P713" s="25">
        <f t="shared" si="526"/>
        <v>28145.244538569641</v>
      </c>
      <c r="Q713" s="25">
        <f t="array" aca="1" ref="Q713" ca="1">INDEX('Isaac 401k'!L:L,MATCH('Retirement Calculator'!A713,'Isaac 401k'!N:N,0),0)</f>
        <v>-393210.2440141433</v>
      </c>
      <c r="R713" s="25">
        <f t="array" aca="1" ref="R713" ca="1">INDEX('Lorri 401b'!L:L,MATCH('Retirement Calculator'!A713,'Lorri 401b'!N:N,0),0)</f>
        <v>-2983728.3501467556</v>
      </c>
      <c r="S713" s="25">
        <f t="shared" ca="1" si="527"/>
        <v>-3376938.5941608991</v>
      </c>
    </row>
    <row r="714" spans="1:19" ht="15.75" customHeight="1" x14ac:dyDescent="0.3">
      <c r="A714" s="37">
        <v>72686</v>
      </c>
      <c r="B714" s="409">
        <f t="shared" ref="B714:C714" si="720">($A714-B$9)/365.25</f>
        <v>117.12525667351129</v>
      </c>
      <c r="C714" s="409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3525.4531757812501</v>
      </c>
      <c r="H714" s="25">
        <f>IF(B714&lt;62,0,'Combined Retirement'!$I$14)</f>
        <v>2192</v>
      </c>
      <c r="I714" s="25">
        <f>IF(C714&lt;62,0,'Combined Retirement'!$I$13)</f>
        <v>2420</v>
      </c>
      <c r="J714" s="25">
        <f t="shared" si="523"/>
        <v>7863.2184191855868</v>
      </c>
      <c r="K714" s="25">
        <f t="shared" si="524"/>
        <v>20282.026119384056</v>
      </c>
      <c r="L714" s="25"/>
      <c r="N714" s="25">
        <f>'Combined Retirement'!$C$18/12</f>
        <v>39153.069999999992</v>
      </c>
      <c r="O714" s="25">
        <f t="shared" si="525"/>
        <v>11007.82546143035</v>
      </c>
      <c r="P714" s="25">
        <f t="shared" si="526"/>
        <v>28145.244538569641</v>
      </c>
      <c r="Q714" s="25">
        <f t="array" aca="1" ref="Q714" ca="1">INDEX('Isaac 401k'!L:L,MATCH('Retirement Calculator'!A714,'Isaac 401k'!N:N,0),0)</f>
        <v>-402744.60186013445</v>
      </c>
      <c r="R714" s="25">
        <f t="array" aca="1" ref="R714" ca="1">INDEX('Lorri 401b'!L:L,MATCH('Retirement Calculator'!A714,'Lorri 401b'!N:N,0),0)</f>
        <v>-3016527.0861672484</v>
      </c>
      <c r="S714" s="25">
        <f t="shared" ca="1" si="527"/>
        <v>-3419271.6880273828</v>
      </c>
    </row>
    <row r="715" spans="1:19" ht="15.75" customHeight="1" x14ac:dyDescent="0.3">
      <c r="A715" s="37">
        <v>72717</v>
      </c>
      <c r="B715" s="409">
        <f t="shared" ref="B715:C715" si="721">($A715-B$9)/365.25</f>
        <v>117.21013004791239</v>
      </c>
      <c r="C715" s="409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3525.4531757812501</v>
      </c>
      <c r="H715" s="25">
        <f>IF(B715&lt;62,0,'Combined Retirement'!$I$14)</f>
        <v>2192</v>
      </c>
      <c r="I715" s="25">
        <f>IF(C715&lt;62,0,'Combined Retirement'!$I$13)</f>
        <v>2420</v>
      </c>
      <c r="J715" s="25">
        <f t="shared" si="523"/>
        <v>7863.2184191855868</v>
      </c>
      <c r="K715" s="25">
        <f t="shared" si="524"/>
        <v>20282.026119384056</v>
      </c>
      <c r="L715" s="25"/>
      <c r="N715" s="25">
        <f>'Combined Retirement'!$C$18/12</f>
        <v>39153.069999999992</v>
      </c>
      <c r="O715" s="25">
        <f t="shared" si="525"/>
        <v>11007.82546143035</v>
      </c>
      <c r="P715" s="25">
        <f t="shared" si="526"/>
        <v>28145.244538569641</v>
      </c>
      <c r="Q715" s="25">
        <f t="array" aca="1" ref="Q715" ca="1">INDEX('Isaac 401k'!L:L,MATCH('Retirement Calculator'!A715,'Isaac 401k'!N:N,0),0)</f>
        <v>-412318.68619715056</v>
      </c>
      <c r="R715" s="25">
        <f t="array" aca="1" ref="R715" ca="1">INDEX('Lorri 401b'!L:L,MATCH('Retirement Calculator'!A715,'Lorri 401b'!N:N,0),0)</f>
        <v>-3049462.4835878266</v>
      </c>
      <c r="S715" s="25">
        <f t="shared" ca="1" si="527"/>
        <v>-3461781.1697849771</v>
      </c>
    </row>
    <row r="716" spans="1:19" ht="15.75" customHeight="1" x14ac:dyDescent="0.3">
      <c r="A716" s="37">
        <v>72745</v>
      </c>
      <c r="B716" s="409">
        <f t="shared" ref="B716:C716" si="722">($A716-B$9)/365.25</f>
        <v>117.28678986995209</v>
      </c>
      <c r="C716" s="409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3525.4531757812501</v>
      </c>
      <c r="H716" s="25">
        <f>IF(B716&lt;62,0,'Combined Retirement'!$I$14)</f>
        <v>2192</v>
      </c>
      <c r="I716" s="25">
        <f>IF(C716&lt;62,0,'Combined Retirement'!$I$13)</f>
        <v>2420</v>
      </c>
      <c r="J716" s="25">
        <f t="shared" si="523"/>
        <v>7863.2184191855868</v>
      </c>
      <c r="K716" s="25">
        <f t="shared" si="524"/>
        <v>20282.026119384056</v>
      </c>
      <c r="L716" s="25"/>
      <c r="N716" s="25">
        <f>'Combined Retirement'!$C$18/12</f>
        <v>39153.069999999992</v>
      </c>
      <c r="O716" s="25">
        <f t="shared" si="525"/>
        <v>11007.82546143035</v>
      </c>
      <c r="P716" s="25">
        <f t="shared" si="526"/>
        <v>28145.244538569641</v>
      </c>
      <c r="Q716" s="25">
        <f t="array" aca="1" ref="Q716" ca="1">INDEX('Isaac 401k'!L:L,MATCH('Retirement Calculator'!A716,'Isaac 401k'!N:N,0),0)</f>
        <v>-421932.66255223757</v>
      </c>
      <c r="R716" s="25">
        <f t="array" aca="1" ref="R716" ca="1">INDEX('Lorri 401b'!L:L,MATCH('Retirement Calculator'!A716,'Lorri 401b'!N:N,0),0)</f>
        <v>-3082535.1118309908</v>
      </c>
      <c r="S716" s="25">
        <f t="shared" ca="1" si="527"/>
        <v>-3504467.7743832283</v>
      </c>
    </row>
    <row r="717" spans="1:19" ht="15.75" customHeight="1" x14ac:dyDescent="0.3">
      <c r="A717" s="37">
        <v>72776</v>
      </c>
      <c r="B717" s="409">
        <f t="shared" ref="B717:C717" si="723">($A717-B$9)/365.25</f>
        <v>117.37166324435319</v>
      </c>
      <c r="C717" s="409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3525.4531757812501</v>
      </c>
      <c r="H717" s="25">
        <f>IF(B717&lt;62,0,'Combined Retirement'!$I$14)</f>
        <v>2192</v>
      </c>
      <c r="I717" s="25">
        <f>IF(C717&lt;62,0,'Combined Retirement'!$I$13)</f>
        <v>2420</v>
      </c>
      <c r="J717" s="25">
        <f t="shared" si="523"/>
        <v>7863.2184191855868</v>
      </c>
      <c r="K717" s="25">
        <f t="shared" si="524"/>
        <v>20282.026119384056</v>
      </c>
      <c r="L717" s="25"/>
      <c r="N717" s="25">
        <f>'Combined Retirement'!$C$18/12</f>
        <v>39153.069999999992</v>
      </c>
      <c r="O717" s="25">
        <f t="shared" si="525"/>
        <v>11007.82546143035</v>
      </c>
      <c r="P717" s="25">
        <f t="shared" si="526"/>
        <v>28145.244538569641</v>
      </c>
      <c r="Q717" s="25">
        <f t="array" aca="1" ref="Q717" ca="1">INDEX('Isaac 401k'!L:L,MATCH('Retirement Calculator'!A717,'Isaac 401k'!N:N,0),0)</f>
        <v>-431586.69714213745</v>
      </c>
      <c r="R717" s="25">
        <f t="array" aca="1" ref="R717" ca="1">INDEX('Lorri 401b'!L:L,MATCH('Retirement Calculator'!A717,'Lorri 401b'!N:N,0),0)</f>
        <v>-3115745.5426918347</v>
      </c>
      <c r="S717" s="25">
        <f t="shared" ca="1" si="527"/>
        <v>-3547332.2398339724</v>
      </c>
    </row>
    <row r="718" spans="1:19" ht="15.75" customHeight="1" x14ac:dyDescent="0.3">
      <c r="A718" s="37">
        <v>72806</v>
      </c>
      <c r="B718" s="409">
        <f t="shared" ref="B718:C718" si="724">($A718-B$9)/365.25</f>
        <v>117.45379876796714</v>
      </c>
      <c r="C718" s="409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3525.4531757812501</v>
      </c>
      <c r="H718" s="25">
        <f>IF(B718&lt;62,0,'Combined Retirement'!$I$14)</f>
        <v>2192</v>
      </c>
      <c r="I718" s="25">
        <f>IF(C718&lt;62,0,'Combined Retirement'!$I$13)</f>
        <v>2420</v>
      </c>
      <c r="J718" s="25">
        <f t="shared" si="523"/>
        <v>7863.2184191855868</v>
      </c>
      <c r="K718" s="25">
        <f t="shared" si="524"/>
        <v>20282.026119384056</v>
      </c>
      <c r="L718" s="25"/>
      <c r="N718" s="25">
        <f>'Combined Retirement'!$C$18/12</f>
        <v>39153.069999999992</v>
      </c>
      <c r="O718" s="25">
        <f t="shared" si="525"/>
        <v>11007.82546143035</v>
      </c>
      <c r="P718" s="25">
        <f t="shared" si="526"/>
        <v>28145.244538569641</v>
      </c>
      <c r="Q718" s="25">
        <f t="array" aca="1" ref="Q718" ca="1">INDEX('Isaac 401k'!L:L,MATCH('Retirement Calculator'!A718,'Isaac 401k'!N:N,0),0)</f>
        <v>-441280.95687616192</v>
      </c>
      <c r="R718" s="25">
        <f t="array" aca="1" ref="R718" ca="1">INDEX('Lorri 401b'!L:L,MATCH('Retirement Calculator'!A718,'Lorri 401b'!N:N,0),0)</f>
        <v>-3149094.350347932</v>
      </c>
      <c r="S718" s="25">
        <f t="shared" ca="1" si="527"/>
        <v>-3590375.3072240939</v>
      </c>
    </row>
    <row r="719" spans="1:19" ht="15.75" customHeight="1" x14ac:dyDescent="0.3">
      <c r="A719" s="37">
        <v>72837</v>
      </c>
      <c r="B719" s="409">
        <f t="shared" ref="B719:C719" si="725">($A719-B$9)/365.25</f>
        <v>117.53867214236824</v>
      </c>
      <c r="C719" s="409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3525.4531757812501</v>
      </c>
      <c r="H719" s="25">
        <f>IF(B719&lt;62,0,'Combined Retirement'!$I$14)</f>
        <v>2192</v>
      </c>
      <c r="I719" s="25">
        <f>IF(C719&lt;62,0,'Combined Retirement'!$I$13)</f>
        <v>2420</v>
      </c>
      <c r="J719" s="25">
        <f t="shared" si="523"/>
        <v>7863.2184191855868</v>
      </c>
      <c r="K719" s="25">
        <f t="shared" si="524"/>
        <v>20282.026119384056</v>
      </c>
      <c r="L719" s="25"/>
      <c r="N719" s="25">
        <f>'Combined Retirement'!$C$18/12</f>
        <v>39153.069999999992</v>
      </c>
      <c r="O719" s="25">
        <f t="shared" si="525"/>
        <v>11007.82546143035</v>
      </c>
      <c r="P719" s="25">
        <f t="shared" si="526"/>
        <v>28145.244538569641</v>
      </c>
      <c r="Q719" s="25">
        <f t="array" aca="1" ref="Q719" ca="1">INDEX('Isaac 401k'!L:L,MATCH('Retirement Calculator'!A719,'Isaac 401k'!N:N,0),0)</f>
        <v>-451015.60935907811</v>
      </c>
      <c r="R719" s="25">
        <f t="array" aca="1" ref="R719" ca="1">INDEX('Lorri 401b'!L:L,MATCH('Retirement Calculator'!A719,'Lorri 401b'!N:N,0),0)</f>
        <v>-3182582.1113692629</v>
      </c>
      <c r="S719" s="25">
        <f t="shared" ca="1" si="527"/>
        <v>-3633597.720728341</v>
      </c>
    </row>
    <row r="720" spans="1:19" ht="15.75" customHeight="1" x14ac:dyDescent="0.3">
      <c r="A720" s="37">
        <v>72867</v>
      </c>
      <c r="B720" s="409">
        <f t="shared" ref="B720:C720" si="726">($A720-B$9)/365.25</f>
        <v>117.6208076659822</v>
      </c>
      <c r="C720" s="409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3525.4531757812501</v>
      </c>
      <c r="H720" s="25">
        <f>IF(B720&lt;62,0,'Combined Retirement'!$I$14)</f>
        <v>2192</v>
      </c>
      <c r="I720" s="25">
        <f>IF(C720&lt;62,0,'Combined Retirement'!$I$13)</f>
        <v>2420</v>
      </c>
      <c r="J720" s="25">
        <f t="shared" si="523"/>
        <v>7863.2184191855868</v>
      </c>
      <c r="K720" s="25">
        <f t="shared" si="524"/>
        <v>20282.026119384056</v>
      </c>
      <c r="L720" s="25"/>
      <c r="N720" s="25">
        <f>'Combined Retirement'!$C$18/12</f>
        <v>39153.069999999992</v>
      </c>
      <c r="O720" s="25">
        <f t="shared" si="525"/>
        <v>11007.82546143035</v>
      </c>
      <c r="P720" s="25">
        <f t="shared" si="526"/>
        <v>28145.244538569641</v>
      </c>
      <c r="Q720" s="25">
        <f t="array" aca="1" ref="Q720" ca="1">INDEX('Isaac 401k'!L:L,MATCH('Retirement Calculator'!A720,'Isaac 401k'!N:N,0),0)</f>
        <v>-460790.8228940065</v>
      </c>
      <c r="R720" s="25">
        <f t="array" aca="1" ref="R720" ca="1">INDEX('Lorri 401b'!L:L,MATCH('Retirement Calculator'!A720,'Lorri 401b'!N:N,0),0)</f>
        <v>-3216209.4047281831</v>
      </c>
      <c r="S720" s="25">
        <f t="shared" ca="1" si="527"/>
        <v>-3677000.2276221896</v>
      </c>
    </row>
    <row r="721" spans="1:19" ht="15.75" customHeight="1" x14ac:dyDescent="0.3">
      <c r="A721" s="37">
        <v>72898</v>
      </c>
      <c r="B721" s="409">
        <f t="shared" ref="B721:C721" si="727">($A721-B$9)/365.25</f>
        <v>117.7056810403833</v>
      </c>
      <c r="C721" s="409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3525.4531757812501</v>
      </c>
      <c r="H721" s="25">
        <f>IF(B721&lt;62,0,'Combined Retirement'!$I$14)</f>
        <v>2192</v>
      </c>
      <c r="I721" s="25">
        <f>IF(C721&lt;62,0,'Combined Retirement'!$I$13)</f>
        <v>2420</v>
      </c>
      <c r="J721" s="25">
        <f t="shared" si="523"/>
        <v>7863.2184191855868</v>
      </c>
      <c r="K721" s="25">
        <f t="shared" si="524"/>
        <v>20282.026119384056</v>
      </c>
      <c r="L721" s="25"/>
      <c r="N721" s="25">
        <f>'Combined Retirement'!$C$18/12</f>
        <v>39153.069999999992</v>
      </c>
      <c r="O721" s="25">
        <f t="shared" si="525"/>
        <v>11007.82546143035</v>
      </c>
      <c r="P721" s="25">
        <f t="shared" si="526"/>
        <v>28145.244538569641</v>
      </c>
      <c r="Q721" s="25">
        <f t="array" aca="1" ref="Q721" ca="1">INDEX('Isaac 401k'!L:L,MATCH('Retirement Calculator'!A721,'Isaac 401k'!N:N,0),0)</f>
        <v>-470606.76648533042</v>
      </c>
      <c r="R721" s="25">
        <f t="array" aca="1" ref="R721" ca="1">INDEX('Lorri 401b'!L:L,MATCH('Retirement Calculator'!A721,'Lorri 401b'!N:N,0),0)</f>
        <v>-3249976.8118094318</v>
      </c>
      <c r="S721" s="25">
        <f t="shared" ca="1" si="527"/>
        <v>-3720583.5782947624</v>
      </c>
    </row>
    <row r="722" spans="1:19" ht="15.75" customHeight="1" x14ac:dyDescent="0.3">
      <c r="A722" s="37">
        <v>72929</v>
      </c>
      <c r="B722" s="409">
        <f t="shared" ref="B722:C722" si="728">($A722-B$9)/365.25</f>
        <v>117.7905544147844</v>
      </c>
      <c r="C722" s="409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3525.4531757812501</v>
      </c>
      <c r="H722" s="25">
        <f>IF(B722&lt;62,0,'Combined Retirement'!$I$14)</f>
        <v>2192</v>
      </c>
      <c r="I722" s="25">
        <f>IF(C722&lt;62,0,'Combined Retirement'!$I$13)</f>
        <v>2420</v>
      </c>
      <c r="J722" s="25">
        <f t="shared" si="523"/>
        <v>7863.2184191855868</v>
      </c>
      <c r="K722" s="25">
        <f t="shared" si="524"/>
        <v>20282.026119384056</v>
      </c>
      <c r="L722" s="25"/>
      <c r="N722" s="25">
        <f>'Combined Retirement'!$C$18/12</f>
        <v>39153.069999999992</v>
      </c>
      <c r="O722" s="25">
        <f t="shared" si="525"/>
        <v>11007.82546143035</v>
      </c>
      <c r="P722" s="25">
        <f t="shared" si="526"/>
        <v>28145.244538569641</v>
      </c>
      <c r="Q722" s="25">
        <f t="array" aca="1" ref="Q722" ca="1">INDEX('Isaac 401k'!L:L,MATCH('Retirement Calculator'!A722,'Isaac 401k'!N:N,0),0)</f>
        <v>-480463.60984161816</v>
      </c>
      <c r="R722" s="25">
        <f t="array" aca="1" ref="R722" ca="1">INDEX('Lorri 401b'!L:L,MATCH('Retirement Calculator'!A722,'Lorri 401b'!N:N,0),0)</f>
        <v>-3283884.9164201859</v>
      </c>
      <c r="S722" s="25">
        <f t="shared" ca="1" si="527"/>
        <v>-3764348.5262618042</v>
      </c>
    </row>
    <row r="723" spans="1:19" ht="15.75" customHeight="1" x14ac:dyDescent="0.3">
      <c r="A723" s="37">
        <v>72959</v>
      </c>
      <c r="B723" s="409">
        <f t="shared" ref="B723:C723" si="729">($A723-B$9)/365.25</f>
        <v>117.87268993839835</v>
      </c>
      <c r="C723" s="409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3525.4531757812501</v>
      </c>
      <c r="H723" s="25">
        <f>IF(B723&lt;62,0,'Combined Retirement'!$I$14)</f>
        <v>2192</v>
      </c>
      <c r="I723" s="25">
        <f>IF(C723&lt;62,0,'Combined Retirement'!$I$13)</f>
        <v>2420</v>
      </c>
      <c r="J723" s="25">
        <f t="shared" si="523"/>
        <v>7863.2184191855868</v>
      </c>
      <c r="K723" s="25">
        <f t="shared" si="524"/>
        <v>20282.026119384056</v>
      </c>
      <c r="L723" s="25"/>
      <c r="N723" s="25">
        <f>'Combined Retirement'!$C$18/12</f>
        <v>39153.069999999992</v>
      </c>
      <c r="O723" s="25">
        <f t="shared" si="525"/>
        <v>11007.82546143035</v>
      </c>
      <c r="P723" s="25">
        <f t="shared" si="526"/>
        <v>28145.244538569641</v>
      </c>
      <c r="Q723" s="25">
        <f t="array" aca="1" ref="Q723" ca="1">INDEX('Isaac 401k'!L:L,MATCH('Retirement Calculator'!A723,'Isaac 401k'!N:N,0),0)</f>
        <v>-490361.52337855712</v>
      </c>
      <c r="R723" s="25">
        <f t="array" aca="1" ref="R723" ca="1">INDEX('Lorri 401b'!L:L,MATCH('Retirement Calculator'!A723,'Lorri 401b'!N:N,0),0)</f>
        <v>-3317934.3048001514</v>
      </c>
      <c r="S723" s="25">
        <f t="shared" ca="1" si="527"/>
        <v>-3808295.8281787084</v>
      </c>
    </row>
    <row r="724" spans="1:19" ht="15.75" customHeight="1" x14ac:dyDescent="0.3">
      <c r="A724" s="37">
        <v>72990</v>
      </c>
      <c r="B724" s="409">
        <f t="shared" ref="B724:C724" si="730">($A724-B$9)/365.25</f>
        <v>117.95756331279945</v>
      </c>
      <c r="C724" s="409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3525.4531757812501</v>
      </c>
      <c r="H724" s="25">
        <f>IF(B724&lt;62,0,'Combined Retirement'!$I$14)</f>
        <v>2192</v>
      </c>
      <c r="I724" s="25">
        <f>IF(C724&lt;62,0,'Combined Retirement'!$I$13)</f>
        <v>2420</v>
      </c>
      <c r="J724" s="25">
        <f t="shared" si="523"/>
        <v>7863.2184191855868</v>
      </c>
      <c r="K724" s="25">
        <f t="shared" si="524"/>
        <v>20282.026119384056</v>
      </c>
      <c r="L724" s="25"/>
      <c r="N724" s="25">
        <f>'Combined Retirement'!$C$18/12</f>
        <v>39153.069999999992</v>
      </c>
      <c r="O724" s="25">
        <f t="shared" si="525"/>
        <v>11007.82546143035</v>
      </c>
      <c r="P724" s="25">
        <f t="shared" si="526"/>
        <v>28145.244538569641</v>
      </c>
      <c r="Q724" s="25">
        <f t="array" aca="1" ref="Q724" ca="1">INDEX('Isaac 401k'!L:L,MATCH('Retirement Calculator'!A724,'Isaac 401k'!N:N,0),0)</f>
        <v>-500300.67822189996</v>
      </c>
      <c r="R724" s="25">
        <f t="array" aca="1" ref="R724" ca="1">INDEX('Lorri 401b'!L:L,MATCH('Retirement Calculator'!A724,'Lorri 401b'!N:N,0),0)</f>
        <v>-3352125.5656317002</v>
      </c>
      <c r="S724" s="25">
        <f t="shared" ca="1" si="527"/>
        <v>-3852426.2438536002</v>
      </c>
    </row>
    <row r="725" spans="1:19" ht="15.75" customHeight="1" x14ac:dyDescent="0.3">
      <c r="A725" s="37">
        <v>73020</v>
      </c>
      <c r="B725" s="409">
        <f t="shared" ref="B725:C725" si="731">($A725-B$9)/365.25</f>
        <v>118.03969883641342</v>
      </c>
      <c r="C725" s="409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3525.4531757812501</v>
      </c>
      <c r="H725" s="25">
        <f>IF(B725&lt;62,0,'Combined Retirement'!$I$14)</f>
        <v>2192</v>
      </c>
      <c r="I725" s="25">
        <f>IF(C725&lt;62,0,'Combined Retirement'!$I$13)</f>
        <v>2420</v>
      </c>
      <c r="J725" s="25">
        <f t="shared" si="523"/>
        <v>7863.2184191855868</v>
      </c>
      <c r="K725" s="25">
        <f t="shared" si="524"/>
        <v>20282.026119384056</v>
      </c>
      <c r="L725" s="25"/>
      <c r="N725" s="25">
        <f>'Combined Retirement'!$C$18/12</f>
        <v>39153.069999999992</v>
      </c>
      <c r="O725" s="25">
        <f t="shared" si="525"/>
        <v>11007.82546143035</v>
      </c>
      <c r="P725" s="25">
        <f t="shared" si="526"/>
        <v>28145.244538569641</v>
      </c>
      <c r="Q725" s="25">
        <f t="array" aca="1" ref="Q725" ca="1">INDEX('Isaac 401k'!L:L,MATCH('Retirement Calculator'!A725,'Isaac 401k'!N:N,0),0)</f>
        <v>-510281.24621042341</v>
      </c>
      <c r="R725" s="25">
        <f t="array" aca="1" ref="R725" ca="1">INDEX('Lorri 401b'!L:L,MATCH('Retirement Calculator'!A725,'Lorri 401b'!N:N,0),0)</f>
        <v>-3386459.290050047</v>
      </c>
      <c r="S725" s="25">
        <f t="shared" ca="1" si="527"/>
        <v>-3896740.5362604703</v>
      </c>
    </row>
    <row r="726" spans="1:19" ht="15.75" customHeight="1" x14ac:dyDescent="0.3">
      <c r="A726" s="37">
        <v>73051</v>
      </c>
      <c r="B726" s="409">
        <f t="shared" ref="B726:C726" si="732">($A726-B$9)/365.25</f>
        <v>118.12457221081451</v>
      </c>
      <c r="C726" s="409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3525.4531757812501</v>
      </c>
      <c r="H726" s="25">
        <f>IF(B726&lt;62,0,'Combined Retirement'!$I$14)</f>
        <v>2192</v>
      </c>
      <c r="I726" s="25">
        <f>IF(C726&lt;62,0,'Combined Retirement'!$I$13)</f>
        <v>2420</v>
      </c>
      <c r="J726" s="25">
        <f t="shared" si="523"/>
        <v>7863.2184191855868</v>
      </c>
      <c r="K726" s="25">
        <f t="shared" si="524"/>
        <v>20282.026119384056</v>
      </c>
      <c r="L726" s="25"/>
      <c r="N726" s="25">
        <f>'Combined Retirement'!$C$18/12</f>
        <v>39153.069999999992</v>
      </c>
      <c r="O726" s="25">
        <f t="shared" si="525"/>
        <v>11007.82546143035</v>
      </c>
      <c r="P726" s="25">
        <f t="shared" si="526"/>
        <v>28145.244538569641</v>
      </c>
      <c r="Q726" s="25">
        <f t="array" aca="1" ref="Q726" ca="1">INDEX('Isaac 401k'!L:L,MATCH('Retirement Calculator'!A726,'Isaac 401k'!N:N,0),0)</f>
        <v>-520303.39989889908</v>
      </c>
      <c r="R726" s="25">
        <f t="array" aca="1" ref="R726" ca="1">INDEX('Lorri 401b'!L:L,MATCH('Retirement Calculator'!A726,'Lorri 401b'!N:N,0),0)</f>
        <v>-3420936.0716534704</v>
      </c>
      <c r="S726" s="25">
        <f t="shared" ca="1" si="527"/>
        <v>-3941239.4715523697</v>
      </c>
    </row>
    <row r="727" spans="1:19" ht="15.75" customHeight="1" x14ac:dyDescent="0.3">
      <c r="A727" s="37">
        <v>73082</v>
      </c>
      <c r="B727" s="409">
        <f t="shared" ref="B727:C727" si="733">($A727-B$9)/365.25</f>
        <v>118.2094455852156</v>
      </c>
      <c r="C727" s="409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3525.4531757812501</v>
      </c>
      <c r="H727" s="25">
        <f>IF(B727&lt;62,0,'Combined Retirement'!$I$14)</f>
        <v>2192</v>
      </c>
      <c r="I727" s="25">
        <f>IF(C727&lt;62,0,'Combined Retirement'!$I$13)</f>
        <v>2420</v>
      </c>
      <c r="J727" s="25">
        <f t="shared" si="523"/>
        <v>7863.2184191855868</v>
      </c>
      <c r="K727" s="25">
        <f t="shared" si="524"/>
        <v>20282.026119384056</v>
      </c>
      <c r="L727" s="25"/>
      <c r="N727" s="25">
        <f>'Combined Retirement'!$C$18/12</f>
        <v>39153.069999999992</v>
      </c>
      <c r="O727" s="25">
        <f t="shared" si="525"/>
        <v>11007.82546143035</v>
      </c>
      <c r="P727" s="25">
        <f t="shared" si="526"/>
        <v>28145.244538569641</v>
      </c>
      <c r="Q727" s="25">
        <f t="array" aca="1" ref="Q727" ca="1">INDEX('Isaac 401k'!L:L,MATCH('Retirement Calculator'!A727,'Isaac 401k'!N:N,0),0)</f>
        <v>-530367.3125610766</v>
      </c>
      <c r="R727" s="25">
        <f t="array" aca="1" ref="R727" ca="1">INDEX('Lorri 401b'!L:L,MATCH('Retirement Calculator'!A727,'Lorri 401b'!N:N,0),0)</f>
        <v>-3455556.5065135746</v>
      </c>
      <c r="S727" s="25">
        <f t="shared" ca="1" si="527"/>
        <v>-3985923.8190746512</v>
      </c>
    </row>
    <row r="728" spans="1:19" ht="15.75" customHeight="1" x14ac:dyDescent="0.3">
      <c r="A728" s="37">
        <v>73110</v>
      </c>
      <c r="B728" s="409">
        <f t="shared" ref="B728:C728" si="734">($A728-B$9)/365.25</f>
        <v>118.28610540725531</v>
      </c>
      <c r="C728" s="409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3525.4531757812501</v>
      </c>
      <c r="H728" s="25">
        <f>IF(B728&lt;62,0,'Combined Retirement'!$I$14)</f>
        <v>2192</v>
      </c>
      <c r="I728" s="25">
        <f>IF(C728&lt;62,0,'Combined Retirement'!$I$13)</f>
        <v>2420</v>
      </c>
      <c r="J728" s="25">
        <f t="shared" si="523"/>
        <v>7863.2184191855868</v>
      </c>
      <c r="K728" s="25">
        <f t="shared" si="524"/>
        <v>20282.026119384056</v>
      </c>
      <c r="L728" s="25"/>
      <c r="N728" s="25">
        <f>'Combined Retirement'!$C$18/12</f>
        <v>39153.069999999992</v>
      </c>
      <c r="O728" s="25">
        <f t="shared" si="525"/>
        <v>11007.82546143035</v>
      </c>
      <c r="P728" s="25">
        <f t="shared" si="526"/>
        <v>28145.244538569641</v>
      </c>
      <c r="Q728" s="25">
        <f t="array" aca="1" ref="Q728" ca="1">INDEX('Isaac 401k'!L:L,MATCH('Retirement Calculator'!A728,'Isaac 401k'!N:N,0),0)</f>
        <v>-540473.15819267998</v>
      </c>
      <c r="R728" s="25">
        <f t="array" aca="1" ref="R728" ca="1">INDEX('Lorri 401b'!L:L,MATCH('Retirement Calculator'!A728,'Lorri 401b'!N:N,0),0)</f>
        <v>-3490321.1931855958</v>
      </c>
      <c r="S728" s="25">
        <f t="shared" ca="1" si="527"/>
        <v>-4030794.351378276</v>
      </c>
    </row>
    <row r="729" spans="1:19" ht="15.75" customHeight="1" x14ac:dyDescent="0.3">
      <c r="A729" s="37">
        <v>73141</v>
      </c>
      <c r="B729" s="409">
        <f t="shared" ref="B729:C729" si="735">($A729-B$9)/365.25</f>
        <v>118.3709787816564</v>
      </c>
      <c r="C729" s="409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3525.4531757812501</v>
      </c>
      <c r="H729" s="25">
        <f>IF(B729&lt;62,0,'Combined Retirement'!$I$14)</f>
        <v>2192</v>
      </c>
      <c r="I729" s="25">
        <f>IF(C729&lt;62,0,'Combined Retirement'!$I$13)</f>
        <v>2420</v>
      </c>
      <c r="J729" s="25">
        <f t="shared" si="523"/>
        <v>7863.2184191855868</v>
      </c>
      <c r="K729" s="25">
        <f t="shared" si="524"/>
        <v>20282.026119384056</v>
      </c>
      <c r="L729" s="25"/>
      <c r="N729" s="25">
        <f>'Combined Retirement'!$C$18/12</f>
        <v>39153.069999999992</v>
      </c>
      <c r="O729" s="25">
        <f t="shared" si="525"/>
        <v>11007.82546143035</v>
      </c>
      <c r="P729" s="25">
        <f t="shared" si="526"/>
        <v>28145.244538569641</v>
      </c>
      <c r="Q729" s="25">
        <f t="array" aca="1" ref="Q729" ca="1">INDEX('Isaac 401k'!L:L,MATCH('Retirement Calculator'!A729,'Isaac 401k'!N:N,0),0)</f>
        <v>-550621.11151441501</v>
      </c>
      <c r="R729" s="25">
        <f t="array" aca="1" ref="R729" ca="1">INDEX('Lorri 401b'!L:L,MATCH('Retirement Calculator'!A729,'Lorri 401b'!N:N,0),0)</f>
        <v>-3525230.7327187504</v>
      </c>
      <c r="S729" s="25">
        <f t="shared" ca="1" si="527"/>
        <v>-4075851.8442331655</v>
      </c>
    </row>
    <row r="730" spans="1:19" ht="15.75" customHeight="1" x14ac:dyDescent="0.3">
      <c r="A730" s="37">
        <v>73171</v>
      </c>
      <c r="B730" s="409">
        <f t="shared" ref="B730:C730" si="736">($A730-B$9)/365.25</f>
        <v>118.45311430527036</v>
      </c>
      <c r="C730" s="409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3525.4531757812501</v>
      </c>
      <c r="H730" s="25">
        <f>IF(B730&lt;62,0,'Combined Retirement'!$I$14)</f>
        <v>2192</v>
      </c>
      <c r="I730" s="25">
        <f>IF(C730&lt;62,0,'Combined Retirement'!$I$13)</f>
        <v>2420</v>
      </c>
      <c r="J730" s="25">
        <f t="shared" si="523"/>
        <v>7863.2184191855868</v>
      </c>
      <c r="K730" s="25">
        <f t="shared" si="524"/>
        <v>20282.026119384056</v>
      </c>
      <c r="L730" s="25"/>
      <c r="N730" s="25">
        <f>'Combined Retirement'!$C$18/12</f>
        <v>39153.069999999992</v>
      </c>
      <c r="O730" s="25">
        <f t="shared" si="525"/>
        <v>11007.82546143035</v>
      </c>
      <c r="P730" s="25">
        <f t="shared" si="526"/>
        <v>28145.244538569641</v>
      </c>
      <c r="Q730" s="25">
        <f t="array" aca="1" ref="Q730" ca="1">INDEX('Isaac 401k'!L:L,MATCH('Retirement Calculator'!A730,'Isaac 401k'!N:N,0),0)</f>
        <v>-560811.34797499061</v>
      </c>
      <c r="R730" s="25">
        <f t="array" aca="1" ref="R730" ca="1">INDEX('Lorri 401b'!L:L,MATCH('Retirement Calculator'!A730,'Lorri 401b'!N:N,0),0)</f>
        <v>-3560285.7286666264</v>
      </c>
      <c r="S730" s="25">
        <f t="shared" ca="1" si="527"/>
        <v>-4121097.0766416169</v>
      </c>
    </row>
    <row r="731" spans="1:19" ht="15.75" customHeight="1" x14ac:dyDescent="0.3">
      <c r="A731" s="37">
        <v>73202</v>
      </c>
      <c r="B731" s="409">
        <f t="shared" ref="B731:C731" si="737">($A731-B$9)/365.25</f>
        <v>118.53798767967146</v>
      </c>
      <c r="C731" s="409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3525.4531757812501</v>
      </c>
      <c r="H731" s="25">
        <f>IF(B731&lt;62,0,'Combined Retirement'!$I$14)</f>
        <v>2192</v>
      </c>
      <c r="I731" s="25">
        <f>IF(C731&lt;62,0,'Combined Retirement'!$I$13)</f>
        <v>2420</v>
      </c>
      <c r="J731" s="25">
        <f t="shared" si="523"/>
        <v>7863.2184191855868</v>
      </c>
      <c r="K731" s="25">
        <f t="shared" si="524"/>
        <v>20282.026119384056</v>
      </c>
      <c r="L731" s="25"/>
      <c r="N731" s="25">
        <f>'Combined Retirement'!$C$18/12</f>
        <v>39153.069999999992</v>
      </c>
      <c r="O731" s="25">
        <f t="shared" si="525"/>
        <v>11007.82546143035</v>
      </c>
      <c r="P731" s="25">
        <f t="shared" si="526"/>
        <v>28145.244538569641</v>
      </c>
      <c r="Q731" s="25">
        <f t="array" aca="1" ref="Q731" ca="1">INDEX('Isaac 401k'!L:L,MATCH('Retirement Calculator'!A731,'Isaac 401k'!N:N,0),0)</f>
        <v>-571044.04375415191</v>
      </c>
      <c r="R731" s="25">
        <f t="array" aca="1" ref="R731" ca="1">INDEX('Lorri 401b'!L:L,MATCH('Retirement Calculator'!A731,'Lorri 401b'!N:N,0),0)</f>
        <v>-3595486.7870976189</v>
      </c>
      <c r="S731" s="25">
        <f t="shared" ca="1" si="527"/>
        <v>-4166530.8308517709</v>
      </c>
    </row>
    <row r="732" spans="1:19" ht="15.75" customHeight="1" x14ac:dyDescent="0.3">
      <c r="A732" s="37">
        <v>73232</v>
      </c>
      <c r="B732" s="409">
        <f t="shared" ref="B732:C732" si="738">($A732-B$9)/365.25</f>
        <v>118.62012320328542</v>
      </c>
      <c r="C732" s="409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3525.4531757812501</v>
      </c>
      <c r="H732" s="25">
        <f>IF(B732&lt;62,0,'Combined Retirement'!$I$14)</f>
        <v>2192</v>
      </c>
      <c r="I732" s="25">
        <f>IF(C732&lt;62,0,'Combined Retirement'!$I$13)</f>
        <v>2420</v>
      </c>
      <c r="J732" s="25">
        <f t="shared" si="523"/>
        <v>7863.2184191855868</v>
      </c>
      <c r="K732" s="25">
        <f t="shared" si="524"/>
        <v>20282.026119384056</v>
      </c>
      <c r="L732" s="25"/>
      <c r="N732" s="25">
        <f>'Combined Retirement'!$C$18/12</f>
        <v>39153.069999999992</v>
      </c>
      <c r="O732" s="25">
        <f t="shared" si="525"/>
        <v>11007.82546143035</v>
      </c>
      <c r="P732" s="25">
        <f t="shared" si="526"/>
        <v>28145.244538569641</v>
      </c>
      <c r="Q732" s="25">
        <f t="array" aca="1" ref="Q732" ca="1">INDEX('Isaac 401k'!L:L,MATCH('Retirement Calculator'!A732,'Isaac 401k'!N:N,0),0)</f>
        <v>-581319.37576572644</v>
      </c>
      <c r="R732" s="25">
        <f t="array" aca="1" ref="R732" ca="1">INDEX('Lorri 401b'!L:L,MATCH('Retirement Calculator'!A732,'Lorri 401b'!N:N,0),0)</f>
        <v>-3630834.516605407</v>
      </c>
      <c r="S732" s="25">
        <f t="shared" ca="1" si="527"/>
        <v>-4212153.892371133</v>
      </c>
    </row>
    <row r="733" spans="1:19" ht="15.75" customHeight="1" x14ac:dyDescent="0.3">
      <c r="A733" s="37">
        <v>73263</v>
      </c>
      <c r="B733" s="409">
        <f t="shared" ref="B733:C733" si="739">($A733-B$9)/365.25</f>
        <v>118.70499657768652</v>
      </c>
      <c r="C733" s="409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3525.4531757812501</v>
      </c>
      <c r="H733" s="25">
        <f>IF(B733&lt;62,0,'Combined Retirement'!$I$14)</f>
        <v>2192</v>
      </c>
      <c r="I733" s="25">
        <f>IF(C733&lt;62,0,'Combined Retirement'!$I$13)</f>
        <v>2420</v>
      </c>
      <c r="J733" s="25">
        <f t="shared" si="523"/>
        <v>7863.2184191855868</v>
      </c>
      <c r="K733" s="25">
        <f t="shared" si="524"/>
        <v>20282.026119384056</v>
      </c>
      <c r="L733" s="25"/>
      <c r="N733" s="25">
        <f>'Combined Retirement'!$C$18/12</f>
        <v>39153.069999999992</v>
      </c>
      <c r="O733" s="25">
        <f t="shared" si="525"/>
        <v>11007.82546143035</v>
      </c>
      <c r="P733" s="25">
        <f t="shared" si="526"/>
        <v>28145.244538569641</v>
      </c>
      <c r="Q733" s="25">
        <f t="array" aca="1" ref="Q733" ca="1">INDEX('Isaac 401k'!L:L,MATCH('Retirement Calculator'!A733,'Isaac 401k'!N:N,0),0)</f>
        <v>-591637.52166068251</v>
      </c>
      <c r="R733" s="25">
        <f t="array" aca="1" ref="R733" ca="1">INDEX('Lorri 401b'!L:L,MATCH('Retirement Calculator'!A733,'Lorri 401b'!N:N,0),0)</f>
        <v>-3666329.5283194776</v>
      </c>
      <c r="S733" s="25">
        <f t="shared" ca="1" si="527"/>
        <v>-4257967.0499801598</v>
      </c>
    </row>
    <row r="734" spans="1:19" ht="15.75" customHeight="1" x14ac:dyDescent="0.3">
      <c r="A734" s="37">
        <v>73294</v>
      </c>
      <c r="B734" s="409">
        <f t="shared" ref="B734:C734" si="740">($A734-B$9)/365.25</f>
        <v>118.78986995208761</v>
      </c>
      <c r="C734" s="409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3525.4531757812501</v>
      </c>
      <c r="H734" s="25">
        <f>IF(B734&lt;62,0,'Combined Retirement'!$I$14)</f>
        <v>2192</v>
      </c>
      <c r="I734" s="25">
        <f>IF(C734&lt;62,0,'Combined Retirement'!$I$13)</f>
        <v>2420</v>
      </c>
      <c r="J734" s="25">
        <f t="shared" si="523"/>
        <v>7863.2184191855868</v>
      </c>
      <c r="K734" s="25">
        <f t="shared" si="524"/>
        <v>20282.026119384056</v>
      </c>
      <c r="L734" s="25"/>
      <c r="N734" s="25">
        <f>'Combined Retirement'!$C$18/12</f>
        <v>39153.069999999992</v>
      </c>
      <c r="O734" s="25">
        <f t="shared" si="525"/>
        <v>11007.82546143035</v>
      </c>
      <c r="P734" s="25">
        <f t="shared" si="526"/>
        <v>28145.244538569641</v>
      </c>
      <c r="Q734" s="25">
        <f t="array" aca="1" ref="Q734" ca="1">INDEX('Isaac 401k'!L:L,MATCH('Retirement Calculator'!A734,'Isaac 401k'!N:N,0),0)</f>
        <v>-601998.65983020095</v>
      </c>
      <c r="R734" s="25">
        <f t="array" aca="1" ref="R734" ca="1">INDEX('Lorri 401b'!L:L,MATCH('Retirement Calculator'!A734,'Lorri 401b'!N:N,0),0)</f>
        <v>-3701972.4359156899</v>
      </c>
      <c r="S734" s="25">
        <f t="shared" ca="1" si="527"/>
        <v>-4303971.0957458913</v>
      </c>
    </row>
    <row r="735" spans="1:19" ht="15.75" customHeight="1" x14ac:dyDescent="0.3">
      <c r="A735" s="37">
        <v>73324</v>
      </c>
      <c r="B735" s="409">
        <f t="shared" ref="B735:C735" si="741">($A735-B$9)/365.25</f>
        <v>118.87200547570157</v>
      </c>
      <c r="C735" s="409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3525.4531757812501</v>
      </c>
      <c r="H735" s="25">
        <f>IF(B735&lt;62,0,'Combined Retirement'!$I$14)</f>
        <v>2192</v>
      </c>
      <c r="I735" s="25">
        <f>IF(C735&lt;62,0,'Combined Retirement'!$I$13)</f>
        <v>2420</v>
      </c>
      <c r="J735" s="25">
        <f t="shared" si="523"/>
        <v>7863.2184191855868</v>
      </c>
      <c r="K735" s="25">
        <f t="shared" si="524"/>
        <v>20282.026119384056</v>
      </c>
      <c r="L735" s="25"/>
      <c r="N735" s="25">
        <f>'Combined Retirement'!$C$18/12</f>
        <v>39153.069999999992</v>
      </c>
      <c r="O735" s="25">
        <f t="shared" si="525"/>
        <v>11007.82546143035</v>
      </c>
      <c r="P735" s="25">
        <f t="shared" si="526"/>
        <v>28145.244538569641</v>
      </c>
      <c r="Q735" s="25">
        <f t="array" aca="1" ref="Q735" ca="1">INDEX('Isaac 401k'!L:L,MATCH('Retirement Calculator'!A735,'Isaac 401k'!N:N,0),0)</f>
        <v>-612402.96940875903</v>
      </c>
      <c r="R735" s="25">
        <f t="array" aca="1" ref="R735" ca="1">INDEX('Lorri 401b'!L:L,MATCH('Retirement Calculator'!A735,'Lorri 401b'!N:N,0),0)</f>
        <v>-3737763.8556268867</v>
      </c>
      <c r="S735" s="25">
        <f t="shared" ca="1" si="527"/>
        <v>-4350166.8250356456</v>
      </c>
    </row>
    <row r="736" spans="1:19" ht="15.75" customHeight="1" x14ac:dyDescent="0.3">
      <c r="A736" s="37">
        <v>73355</v>
      </c>
      <c r="B736" s="409">
        <f t="shared" ref="B736:C736" si="742">($A736-B$9)/365.25</f>
        <v>118.95687885010267</v>
      </c>
      <c r="C736" s="409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3525.4531757812501</v>
      </c>
      <c r="H736" s="25">
        <f>IF(B736&lt;62,0,'Combined Retirement'!$I$14)</f>
        <v>2192</v>
      </c>
      <c r="I736" s="25">
        <f>IF(C736&lt;62,0,'Combined Retirement'!$I$13)</f>
        <v>2420</v>
      </c>
      <c r="J736" s="25">
        <f t="shared" si="523"/>
        <v>7863.2184191855868</v>
      </c>
      <c r="K736" s="25">
        <f t="shared" si="524"/>
        <v>20282.026119384056</v>
      </c>
      <c r="L736" s="25"/>
      <c r="N736" s="25">
        <f>'Combined Retirement'!$C$18/12</f>
        <v>39153.069999999992</v>
      </c>
      <c r="O736" s="25">
        <f t="shared" si="525"/>
        <v>11007.82546143035</v>
      </c>
      <c r="P736" s="25">
        <f t="shared" si="526"/>
        <v>28145.244538569641</v>
      </c>
      <c r="Q736" s="25">
        <f t="array" aca="1" ref="Q736" ca="1">INDEX('Isaac 401k'!L:L,MATCH('Retirement Calculator'!A736,'Isaac 401k'!N:N,0),0)</f>
        <v>-622850.63027722773</v>
      </c>
      <c r="R736" s="25">
        <f t="array" aca="1" ref="R736" ca="1">INDEX('Lorri 401b'!L:L,MATCH('Retirement Calculator'!A736,'Lorri 401b'!N:N,0),0)</f>
        <v>-3773704.4062535469</v>
      </c>
      <c r="S736" s="25">
        <f t="shared" ca="1" si="527"/>
        <v>-4396555.036530775</v>
      </c>
    </row>
    <row r="737" spans="1:19" ht="15.75" customHeight="1" x14ac:dyDescent="0.3">
      <c r="A737" s="37">
        <v>73385</v>
      </c>
      <c r="B737" s="409">
        <f t="shared" ref="B737:C737" si="743">($A737-B$9)/365.25</f>
        <v>119.03901437371663</v>
      </c>
      <c r="C737" s="409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3525.4531757812501</v>
      </c>
      <c r="H737" s="25">
        <f>IF(B737&lt;62,0,'Combined Retirement'!$I$14)</f>
        <v>2192</v>
      </c>
      <c r="I737" s="25">
        <f>IF(C737&lt;62,0,'Combined Retirement'!$I$13)</f>
        <v>2420</v>
      </c>
      <c r="J737" s="25">
        <f t="shared" si="523"/>
        <v>7863.2184191855868</v>
      </c>
      <c r="K737" s="25">
        <f t="shared" si="524"/>
        <v>20282.026119384056</v>
      </c>
      <c r="L737" s="25"/>
      <c r="N737" s="25">
        <f>'Combined Retirement'!$C$18/12</f>
        <v>39153.069999999992</v>
      </c>
      <c r="O737" s="25">
        <f t="shared" si="525"/>
        <v>11007.82546143035</v>
      </c>
      <c r="P737" s="25">
        <f t="shared" si="526"/>
        <v>28145.244538569641</v>
      </c>
      <c r="Q737" s="25">
        <f t="array" aca="1" ref="Q737" ca="1">INDEX('Isaac 401k'!L:L,MATCH('Retirement Calculator'!A737,'Isaac 401k'!N:N,0),0)</f>
        <v>-633341.82306598173</v>
      </c>
      <c r="R737" s="25">
        <f t="array" aca="1" ref="R737" ca="1">INDEX('Lorri 401b'!L:L,MATCH('Retirement Calculator'!A737,'Lorri 401b'!N:N,0),0)</f>
        <v>-3809794.7091744849</v>
      </c>
      <c r="S737" s="25">
        <f t="shared" ca="1" si="527"/>
        <v>-4443136.5322404671</v>
      </c>
    </row>
    <row r="738" spans="1:19" ht="15.75" customHeight="1" x14ac:dyDescent="0.3">
      <c r="A738" s="37">
        <v>73416</v>
      </c>
      <c r="B738" s="409">
        <f t="shared" ref="B738:C738" si="744">($A738-B$9)/365.25</f>
        <v>119.12388774811772</v>
      </c>
      <c r="C738" s="409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3525.4531757812501</v>
      </c>
      <c r="H738" s="25">
        <f>IF(B738&lt;62,0,'Combined Retirement'!$I$14)</f>
        <v>2192</v>
      </c>
      <c r="I738" s="25">
        <f>IF(C738&lt;62,0,'Combined Retirement'!$I$13)</f>
        <v>2420</v>
      </c>
      <c r="J738" s="25">
        <f t="shared" si="523"/>
        <v>7863.2184191855868</v>
      </c>
      <c r="K738" s="25">
        <f t="shared" si="524"/>
        <v>20282.026119384056</v>
      </c>
      <c r="L738" s="25"/>
      <c r="N738" s="25">
        <f>'Combined Retirement'!$C$18/12</f>
        <v>39153.069999999992</v>
      </c>
      <c r="O738" s="25">
        <f t="shared" si="525"/>
        <v>11007.82546143035</v>
      </c>
      <c r="P738" s="25">
        <f t="shared" si="526"/>
        <v>28145.244538569641</v>
      </c>
      <c r="Q738" s="25">
        <f t="array" aca="1" ref="Q738" ca="1">INDEX('Isaac 401k'!L:L,MATCH('Retirement Calculator'!A738,'Isaac 401k'!N:N,0),0)</f>
        <v>-643876.72915802221</v>
      </c>
      <c r="R738" s="25">
        <f t="array" aca="1" ref="R738" ca="1">INDEX('Lorri 401b'!L:L,MATCH('Retirement Calculator'!A738,'Lorri 401b'!N:N,0),0)</f>
        <v>-3846035.3883575932</v>
      </c>
      <c r="S738" s="25">
        <f t="shared" ca="1" si="527"/>
        <v>-4489912.1175156152</v>
      </c>
    </row>
    <row r="739" spans="1:19" ht="15.75" customHeight="1" x14ac:dyDescent="0.3">
      <c r="A739" s="37">
        <v>73447</v>
      </c>
      <c r="B739" s="409">
        <f t="shared" ref="B739:C739" si="745">($A739-B$9)/365.25</f>
        <v>119.20876112251882</v>
      </c>
      <c r="C739" s="409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3525.4531757812501</v>
      </c>
      <c r="H739" s="25">
        <f>IF(B739&lt;62,0,'Combined Retirement'!$I$14)</f>
        <v>2192</v>
      </c>
      <c r="I739" s="25">
        <f>IF(C739&lt;62,0,'Combined Retirement'!$I$13)</f>
        <v>2420</v>
      </c>
      <c r="J739" s="25">
        <f t="shared" si="523"/>
        <v>7863.2184191855868</v>
      </c>
      <c r="K739" s="25">
        <f t="shared" si="524"/>
        <v>20282.026119384056</v>
      </c>
      <c r="L739" s="25"/>
      <c r="N739" s="25">
        <f>'Combined Retirement'!$C$18/12</f>
        <v>39153.069999999992</v>
      </c>
      <c r="O739" s="25">
        <f t="shared" si="525"/>
        <v>11007.82546143035</v>
      </c>
      <c r="P739" s="25">
        <f t="shared" si="526"/>
        <v>28145.244538569641</v>
      </c>
      <c r="Q739" s="25">
        <f t="array" aca="1" ref="Q739" ca="1">INDEX('Isaac 401k'!L:L,MATCH('Retirement Calculator'!A739,'Isaac 401k'!N:N,0),0)</f>
        <v>-654455.53069211286</v>
      </c>
      <c r="R739" s="25">
        <f t="array" aca="1" ref="R739" ca="1">INDEX('Lorri 401b'!L:L,MATCH('Retirement Calculator'!A739,'Lorri 401b'!N:N,0),0)</f>
        <v>-3882427.0703706313</v>
      </c>
      <c r="S739" s="25">
        <f t="shared" ca="1" si="527"/>
        <v>-4536882.6010627439</v>
      </c>
    </row>
    <row r="740" spans="1:19" ht="15.75" customHeight="1" x14ac:dyDescent="0.3">
      <c r="A740" s="37">
        <v>73475</v>
      </c>
      <c r="B740" s="409">
        <f t="shared" ref="B740:C740" si="746">($A740-B$9)/365.25</f>
        <v>119.28542094455852</v>
      </c>
      <c r="C740" s="409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3525.4531757812501</v>
      </c>
      <c r="H740" s="25">
        <f>IF(B740&lt;62,0,'Combined Retirement'!$I$14)</f>
        <v>2192</v>
      </c>
      <c r="I740" s="25">
        <f>IF(C740&lt;62,0,'Combined Retirement'!$I$13)</f>
        <v>2420</v>
      </c>
      <c r="J740" s="25">
        <f t="shared" si="523"/>
        <v>7863.2184191855868</v>
      </c>
      <c r="K740" s="25">
        <f t="shared" si="524"/>
        <v>20282.026119384056</v>
      </c>
      <c r="L740" s="25"/>
      <c r="N740" s="25">
        <f>'Combined Retirement'!$C$18/12</f>
        <v>39153.069999999992</v>
      </c>
      <c r="O740" s="25">
        <f t="shared" si="525"/>
        <v>11007.82546143035</v>
      </c>
      <c r="P740" s="25">
        <f t="shared" si="526"/>
        <v>28145.244538569641</v>
      </c>
      <c r="Q740" s="25">
        <f t="array" aca="1" ref="Q740" ca="1">INDEX('Isaac 401k'!L:L,MATCH('Retirement Calculator'!A740,'Isaac 401k'!N:N,0),0)</f>
        <v>-665078.41056592891</v>
      </c>
      <c r="R740" s="25">
        <f t="array" aca="1" ref="R740" ca="1">INDEX('Lorri 401b'!L:L,MATCH('Retirement Calculator'!A740,'Lorri 401b'!N:N,0),0)</f>
        <v>-3918970.3843920571</v>
      </c>
      <c r="S740" s="25">
        <f t="shared" ca="1" si="527"/>
        <v>-4584048.7949579861</v>
      </c>
    </row>
    <row r="741" spans="1:19" ht="15.75" customHeight="1" x14ac:dyDescent="0.3">
      <c r="A741" s="37">
        <v>73506</v>
      </c>
      <c r="B741" s="409">
        <f t="shared" ref="B741:C741" si="747">($A741-B$9)/365.25</f>
        <v>119.37029431895962</v>
      </c>
      <c r="C741" s="409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3525.4531757812501</v>
      </c>
      <c r="H741" s="25">
        <f>IF(B741&lt;62,0,'Combined Retirement'!$I$14)</f>
        <v>2192</v>
      </c>
      <c r="I741" s="25">
        <f>IF(C741&lt;62,0,'Combined Retirement'!$I$13)</f>
        <v>2420</v>
      </c>
      <c r="J741" s="25">
        <f t="shared" si="523"/>
        <v>7863.2184191855868</v>
      </c>
      <c r="K741" s="25">
        <f t="shared" si="524"/>
        <v>20282.026119384056</v>
      </c>
      <c r="L741" s="25"/>
      <c r="N741" s="25">
        <f>'Combined Retirement'!$C$18/12</f>
        <v>39153.069999999992</v>
      </c>
      <c r="O741" s="25">
        <f t="shared" si="525"/>
        <v>11007.82546143035</v>
      </c>
      <c r="P741" s="25">
        <f t="shared" si="526"/>
        <v>28145.244538569641</v>
      </c>
      <c r="Q741" s="25">
        <f t="array" aca="1" ref="Q741" ca="1">INDEX('Isaac 401k'!L:L,MATCH('Retirement Calculator'!A741,'Isaac 401k'!N:N,0),0)</f>
        <v>-675745.5524392192</v>
      </c>
      <c r="R741" s="25">
        <f t="array" aca="1" ref="R741" ca="1">INDEX('Lorri 401b'!L:L,MATCH('Retirement Calculator'!A741,'Lorri 401b'!N:N,0),0)</f>
        <v>-3955665.9622219056</v>
      </c>
      <c r="S741" s="25">
        <f t="shared" ca="1" si="527"/>
        <v>-4631411.5146611249</v>
      </c>
    </row>
    <row r="742" spans="1:19" ht="15.75" customHeight="1" x14ac:dyDescent="0.3">
      <c r="A742" s="37">
        <v>73536</v>
      </c>
      <c r="B742" s="409">
        <f t="shared" ref="B742:C742" si="748">($A742-B$9)/365.25</f>
        <v>119.45242984257358</v>
      </c>
      <c r="C742" s="409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3525.4531757812501</v>
      </c>
      <c r="H742" s="25">
        <f>IF(B742&lt;62,0,'Combined Retirement'!$I$14)</f>
        <v>2192</v>
      </c>
      <c r="I742" s="25">
        <f>IF(C742&lt;62,0,'Combined Retirement'!$I$13)</f>
        <v>2420</v>
      </c>
      <c r="J742" s="25">
        <f t="shared" si="523"/>
        <v>7863.2184191855868</v>
      </c>
      <c r="K742" s="25">
        <f t="shared" si="524"/>
        <v>20282.026119384056</v>
      </c>
      <c r="L742" s="25"/>
      <c r="N742" s="25">
        <f>'Combined Retirement'!$C$18/12</f>
        <v>39153.069999999992</v>
      </c>
      <c r="O742" s="25">
        <f t="shared" si="525"/>
        <v>11007.82546143035</v>
      </c>
      <c r="P742" s="25">
        <f t="shared" si="526"/>
        <v>28145.244538569641</v>
      </c>
      <c r="Q742" s="25">
        <f t="array" aca="1" ref="Q742" ca="1">INDEX('Isaac 401k'!L:L,MATCH('Retirement Calculator'!A742,'Isaac 401k'!N:N,0),0)</f>
        <v>-686457.14073698153</v>
      </c>
      <c r="R742" s="25">
        <f t="array" aca="1" ref="R742" ca="1">INDEX('Lorri 401b'!L:L,MATCH('Retirement Calculator'!A742,'Lorri 401b'!N:N,0),0)</f>
        <v>-3992514.4382927115</v>
      </c>
      <c r="S742" s="25">
        <f t="shared" ca="1" si="527"/>
        <v>-4678971.5790296933</v>
      </c>
    </row>
    <row r="743" spans="1:19" ht="15.75" customHeight="1" x14ac:dyDescent="0.3">
      <c r="A743" s="37">
        <v>73567</v>
      </c>
      <c r="B743" s="409">
        <f t="shared" ref="B743:C743" si="749">($A743-B$9)/365.25</f>
        <v>119.53730321697468</v>
      </c>
      <c r="C743" s="409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3525.4531757812501</v>
      </c>
      <c r="H743" s="25">
        <f>IF(B743&lt;62,0,'Combined Retirement'!$I$14)</f>
        <v>2192</v>
      </c>
      <c r="I743" s="25">
        <f>IF(C743&lt;62,0,'Combined Retirement'!$I$13)</f>
        <v>2420</v>
      </c>
      <c r="J743" s="25">
        <f t="shared" si="523"/>
        <v>7863.2184191855868</v>
      </c>
      <c r="K743" s="25">
        <f t="shared" si="524"/>
        <v>20282.026119384056</v>
      </c>
      <c r="L743" s="25"/>
      <c r="N743" s="25">
        <f>'Combined Retirement'!$C$18/12</f>
        <v>39153.069999999992</v>
      </c>
      <c r="O743" s="25">
        <f t="shared" si="525"/>
        <v>11007.82546143035</v>
      </c>
      <c r="P743" s="25">
        <f t="shared" si="526"/>
        <v>28145.244538569641</v>
      </c>
      <c r="Q743" s="25">
        <f t="array" aca="1" ref="Q743" ca="1">INDEX('Isaac 401k'!L:L,MATCH('Retirement Calculator'!A743,'Isaac 401k'!N:N,0),0)</f>
        <v>-697213.36065265117</v>
      </c>
      <c r="R743" s="25">
        <f t="array" aca="1" ref="R743" ca="1">INDEX('Lorri 401b'!L:L,MATCH('Retirement Calculator'!A743,'Lorri 401b'!N:N,0),0)</f>
        <v>-4029516.4496804792</v>
      </c>
      <c r="S743" s="25">
        <f t="shared" ca="1" si="527"/>
        <v>-4726729.8103331309</v>
      </c>
    </row>
    <row r="744" spans="1:19" ht="15.75" customHeight="1" x14ac:dyDescent="0.3">
      <c r="A744" s="37">
        <v>73597</v>
      </c>
      <c r="B744" s="409">
        <f t="shared" ref="B744:C744" si="750">($A744-B$9)/365.25</f>
        <v>119.61943874058863</v>
      </c>
      <c r="C744" s="409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3525.4531757812501</v>
      </c>
      <c r="H744" s="25">
        <f>IF(B744&lt;62,0,'Combined Retirement'!$I$14)</f>
        <v>2192</v>
      </c>
      <c r="I744" s="25">
        <f>IF(C744&lt;62,0,'Combined Retirement'!$I$13)</f>
        <v>2420</v>
      </c>
      <c r="J744" s="25">
        <f t="shared" si="523"/>
        <v>7863.2184191855868</v>
      </c>
      <c r="K744" s="25">
        <f t="shared" si="524"/>
        <v>20282.026119384056</v>
      </c>
      <c r="L744" s="25"/>
      <c r="N744" s="25">
        <f>'Combined Retirement'!$C$18/12</f>
        <v>39153.069999999992</v>
      </c>
      <c r="O744" s="25">
        <f t="shared" si="525"/>
        <v>11007.82546143035</v>
      </c>
      <c r="P744" s="25">
        <f t="shared" si="526"/>
        <v>28145.244538569641</v>
      </c>
      <c r="Q744" s="25">
        <f t="array" aca="1" ref="Q744" ca="1">INDEX('Isaac 401k'!L:L,MATCH('Retirement Calculator'!A744,'Isaac 401k'!N:N,0),0)</f>
        <v>-708014.39815130271</v>
      </c>
      <c r="R744" s="25">
        <f t="array" aca="1" ref="R744" ca="1">INDEX('Lorri 401b'!L:L,MATCH('Retirement Calculator'!A744,'Lorri 401b'!N:N,0),0)</f>
        <v>-4066672.6361156958</v>
      </c>
      <c r="S744" s="25">
        <f t="shared" ca="1" si="527"/>
        <v>-4774687.034266999</v>
      </c>
    </row>
    <row r="745" spans="1:19" ht="15.75" customHeight="1" x14ac:dyDescent="0.3">
      <c r="A745" s="37">
        <v>73628</v>
      </c>
      <c r="B745" s="409">
        <f t="shared" ref="B745:C745" si="751">($A745-B$9)/365.25</f>
        <v>119.70431211498973</v>
      </c>
      <c r="C745" s="409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3525.4531757812501</v>
      </c>
      <c r="H745" s="25">
        <f>IF(B745&lt;62,0,'Combined Retirement'!$I$14)</f>
        <v>2192</v>
      </c>
      <c r="I745" s="25">
        <f>IF(C745&lt;62,0,'Combined Retirement'!$I$13)</f>
        <v>2420</v>
      </c>
      <c r="J745" s="25">
        <f t="shared" si="523"/>
        <v>7863.2184191855868</v>
      </c>
      <c r="K745" s="25">
        <f t="shared" si="524"/>
        <v>20282.026119384056</v>
      </c>
      <c r="L745" s="25"/>
      <c r="N745" s="25">
        <f>'Combined Retirement'!$C$18/12</f>
        <v>39153.069999999992</v>
      </c>
      <c r="O745" s="25">
        <f t="shared" si="525"/>
        <v>11007.82546143035</v>
      </c>
      <c r="P745" s="25">
        <f t="shared" si="526"/>
        <v>28145.244538569641</v>
      </c>
      <c r="Q745" s="25">
        <f t="array" aca="1" ref="Q745" ca="1">INDEX('Isaac 401k'!L:L,MATCH('Retirement Calculator'!A745,'Isaac 401k'!N:N,0),0)</f>
        <v>-718860.4399728654</v>
      </c>
      <c r="R745" s="25">
        <f t="array" aca="1" ref="R745" ca="1">INDEX('Lorri 401b'!L:L,MATCH('Retirement Calculator'!A745,'Lorri 401b'!N:N,0),0)</f>
        <v>-4103983.6399943926</v>
      </c>
      <c r="S745" s="25">
        <f t="shared" ca="1" si="527"/>
        <v>-4822844.0799672585</v>
      </c>
    </row>
    <row r="746" spans="1:19" ht="15.75" customHeight="1" x14ac:dyDescent="0.3">
      <c r="A746" s="37">
        <v>73659</v>
      </c>
      <c r="B746" s="409">
        <f t="shared" ref="B746:C746" si="752">($A746-B$9)/365.25</f>
        <v>119.78918548939083</v>
      </c>
      <c r="C746" s="409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3525.4531757812501</v>
      </c>
      <c r="H746" s="25">
        <f>IF(B746&lt;62,0,'Combined Retirement'!$I$14)</f>
        <v>2192</v>
      </c>
      <c r="I746" s="25">
        <f>IF(C746&lt;62,0,'Combined Retirement'!$I$13)</f>
        <v>2420</v>
      </c>
      <c r="J746" s="25">
        <f t="shared" si="523"/>
        <v>7863.2184191855868</v>
      </c>
      <c r="K746" s="25">
        <f t="shared" si="524"/>
        <v>20282.026119384056</v>
      </c>
      <c r="L746" s="25"/>
      <c r="N746" s="25">
        <f>'Combined Retirement'!$C$18/12</f>
        <v>39153.069999999992</v>
      </c>
      <c r="O746" s="25">
        <f t="shared" si="525"/>
        <v>11007.82546143035</v>
      </c>
      <c r="P746" s="25">
        <f t="shared" si="526"/>
        <v>28145.244538569641</v>
      </c>
      <c r="Q746" s="25">
        <f t="array" aca="1" ref="Q746" ca="1">INDEX('Isaac 401k'!L:L,MATCH('Retirement Calculator'!A746,'Isaac 401k'!N:N,0),0)</f>
        <v>-729751.67363535124</v>
      </c>
      <c r="R746" s="25">
        <f t="array" aca="1" ref="R746" ca="1">INDEX('Lorri 401b'!L:L,MATCH('Retirement Calculator'!A746,'Lorri 401b'!N:N,0),0)</f>
        <v>-4141450.1063892506</v>
      </c>
      <c r="S746" s="25">
        <f t="shared" ca="1" si="527"/>
        <v>-4871201.7800246021</v>
      </c>
    </row>
    <row r="747" spans="1:19" ht="15.75" customHeight="1" x14ac:dyDescent="0.3">
      <c r="A747" s="37">
        <v>73689</v>
      </c>
      <c r="B747" s="409">
        <f t="shared" ref="B747:C747" si="753">($A747-B$9)/365.25</f>
        <v>119.87132101300479</v>
      </c>
      <c r="C747" s="409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3525.4531757812501</v>
      </c>
      <c r="H747" s="25">
        <f>IF(B747&lt;62,0,'Combined Retirement'!$I$14)</f>
        <v>2192</v>
      </c>
      <c r="I747" s="25">
        <f>IF(C747&lt;62,0,'Combined Retirement'!$I$13)</f>
        <v>2420</v>
      </c>
      <c r="J747" s="25">
        <f t="shared" si="523"/>
        <v>7863.2184191855868</v>
      </c>
      <c r="K747" s="25">
        <f t="shared" si="524"/>
        <v>20282.026119384056</v>
      </c>
      <c r="L747" s="25"/>
      <c r="N747" s="25">
        <f>'Combined Retirement'!$C$18/12</f>
        <v>39153.069999999992</v>
      </c>
      <c r="O747" s="25">
        <f t="shared" si="525"/>
        <v>11007.82546143035</v>
      </c>
      <c r="P747" s="25">
        <f t="shared" si="526"/>
        <v>28145.244538569641</v>
      </c>
      <c r="Q747" s="25">
        <f t="array" aca="1" ref="Q747" ca="1">INDEX('Isaac 401k'!L:L,MATCH('Retirement Calculator'!A747,'Isaac 401k'!N:N,0),0)</f>
        <v>-740688.28743809741</v>
      </c>
      <c r="R747" s="25">
        <f t="array" aca="1" ref="R747" ca="1">INDEX('Lorri 401b'!L:L,MATCH('Retirement Calculator'!A747,'Lorri 401b'!N:N,0),0)</f>
        <v>-4179072.6830607541</v>
      </c>
      <c r="S747" s="25">
        <f t="shared" ca="1" si="527"/>
        <v>-4919760.9704988515</v>
      </c>
    </row>
    <row r="748" spans="1:19" ht="15.75" customHeight="1" x14ac:dyDescent="0.3">
      <c r="A748" s="37">
        <v>73720</v>
      </c>
      <c r="B748" s="409">
        <f t="shared" ref="B748:C748" si="754">($A748-B$9)/365.25</f>
        <v>119.95619438740589</v>
      </c>
      <c r="C748" s="409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3525.4531757812501</v>
      </c>
      <c r="H748" s="25">
        <f>IF(B748&lt;62,0,'Combined Retirement'!$I$14)</f>
        <v>2192</v>
      </c>
      <c r="I748" s="25">
        <f>IF(C748&lt;62,0,'Combined Retirement'!$I$13)</f>
        <v>2420</v>
      </c>
      <c r="J748" s="25">
        <f t="shared" si="523"/>
        <v>7863.2184191855868</v>
      </c>
      <c r="K748" s="25">
        <f t="shared" si="524"/>
        <v>20282.026119384056</v>
      </c>
      <c r="L748" s="25"/>
      <c r="N748" s="25">
        <f>'Combined Retirement'!$C$18/12</f>
        <v>39153.069999999992</v>
      </c>
      <c r="O748" s="25">
        <f t="shared" si="525"/>
        <v>11007.82546143035</v>
      </c>
      <c r="P748" s="25">
        <f t="shared" si="526"/>
        <v>28145.244538569641</v>
      </c>
      <c r="Q748" s="25">
        <f t="array" aca="1" ref="Q748" ca="1">INDEX('Isaac 401k'!L:L,MATCH('Retirement Calculator'!A748,'Isaac 401k'!N:N,0),0)</f>
        <v>-751670.47046502167</v>
      </c>
      <c r="R748" s="25">
        <f t="array" aca="1" ref="R748" ca="1">INDEX('Lorri 401b'!L:L,MATCH('Retirement Calculator'!A748,'Lorri 401b'!N:N,0),0)</f>
        <v>-4216852.0204683887</v>
      </c>
      <c r="S748" s="25">
        <f t="shared" ca="1" si="527"/>
        <v>-4968522.4909334108</v>
      </c>
    </row>
    <row r="749" spans="1:19" ht="15.75" customHeight="1" x14ac:dyDescent="0.3">
      <c r="A749" s="37">
        <v>73750</v>
      </c>
      <c r="B749" s="409">
        <f t="shared" ref="B749:C749" si="755">($A749-B$9)/365.25</f>
        <v>120.03832991101984</v>
      </c>
      <c r="C749" s="409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3525.4531757812501</v>
      </c>
      <c r="H749" s="25">
        <f>IF(B749&lt;62,0,'Combined Retirement'!$I$14)</f>
        <v>2192</v>
      </c>
      <c r="I749" s="25">
        <f>IF(C749&lt;62,0,'Combined Retirement'!$I$13)</f>
        <v>2420</v>
      </c>
      <c r="J749" s="25">
        <f t="shared" si="523"/>
        <v>7863.2184191855868</v>
      </c>
      <c r="K749" s="25">
        <f t="shared" si="524"/>
        <v>20282.026119384056</v>
      </c>
      <c r="L749" s="25"/>
      <c r="N749" s="25">
        <f>'Combined Retirement'!$C$18/12</f>
        <v>39153.069999999992</v>
      </c>
      <c r="O749" s="25">
        <f t="shared" si="525"/>
        <v>11007.82546143035</v>
      </c>
      <c r="P749" s="25">
        <f t="shared" si="526"/>
        <v>28145.244538569641</v>
      </c>
      <c r="Q749" s="25">
        <f t="array" aca="1" ref="Q749" ca="1">INDEX('Isaac 401k'!L:L,MATCH('Retirement Calculator'!A749,'Isaac 401k'!N:N,0),0)</f>
        <v>-762698.41258789145</v>
      </c>
      <c r="R749" s="25">
        <f t="array" aca="1" ref="R749" ca="1">INDEX('Lorri 401b'!L:L,MATCH('Retirement Calculator'!A749,'Lorri 401b'!N:N,0),0)</f>
        <v>-4254788.7717818888</v>
      </c>
      <c r="S749" s="25">
        <f t="shared" ca="1" si="527"/>
        <v>-5017487.1843697801</v>
      </c>
    </row>
    <row r="750" spans="1:19" ht="15.75" customHeight="1" x14ac:dyDescent="0.3">
      <c r="A750" s="37">
        <v>73781</v>
      </c>
      <c r="B750" s="409">
        <f t="shared" ref="B750:C750" si="756">($A750-B$9)/365.25</f>
        <v>120.12320328542094</v>
      </c>
      <c r="C750" s="409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3525.4531757812501</v>
      </c>
      <c r="H750" s="25">
        <f>IF(B750&lt;62,0,'Combined Retirement'!$I$14)</f>
        <v>2192</v>
      </c>
      <c r="I750" s="25">
        <f>IF(C750&lt;62,0,'Combined Retirement'!$I$13)</f>
        <v>2420</v>
      </c>
      <c r="J750" s="25">
        <f t="shared" si="523"/>
        <v>7863.2184191855868</v>
      </c>
      <c r="K750" s="25">
        <f t="shared" si="524"/>
        <v>20282.026119384056</v>
      </c>
      <c r="L750" s="25"/>
      <c r="N750" s="25">
        <f>'Combined Retirement'!$C$18/12</f>
        <v>39153.069999999992</v>
      </c>
      <c r="O750" s="25">
        <f t="shared" si="525"/>
        <v>11007.82546143035</v>
      </c>
      <c r="P750" s="25">
        <f t="shared" si="526"/>
        <v>28145.244538569641</v>
      </c>
      <c r="Q750" s="25">
        <f t="array" aca="1" ref="Q750" ca="1">INDEX('Isaac 401k'!L:L,MATCH('Retirement Calculator'!A750,'Isaac 401k'!N:N,0),0)</f>
        <v>-773772.30446960649</v>
      </c>
      <c r="R750" s="25">
        <f t="array" aca="1" ref="R750" ca="1">INDEX('Lorri 401b'!L:L,MATCH('Retirement Calculator'!A750,'Lorri 401b'!N:N,0),0)</f>
        <v>-4292883.5928925285</v>
      </c>
      <c r="S750" s="25">
        <f t="shared" ca="1" si="527"/>
        <v>-5066655.8973621354</v>
      </c>
    </row>
    <row r="751" spans="1:19" ht="15.75" customHeight="1" x14ac:dyDescent="0.3">
      <c r="A751" s="37">
        <v>73812</v>
      </c>
      <c r="B751" s="409">
        <f t="shared" ref="B751:C751" si="757">($A751-B$9)/365.25</f>
        <v>120.20807665982204</v>
      </c>
      <c r="C751" s="409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3525.4531757812501</v>
      </c>
      <c r="H751" s="25">
        <f>IF(B751&lt;62,0,'Combined Retirement'!$I$14)</f>
        <v>2192</v>
      </c>
      <c r="I751" s="25">
        <f>IF(C751&lt;62,0,'Combined Retirement'!$I$13)</f>
        <v>2420</v>
      </c>
      <c r="J751" s="25">
        <f t="shared" si="523"/>
        <v>7863.2184191855868</v>
      </c>
      <c r="K751" s="25">
        <f t="shared" si="524"/>
        <v>20282.026119384056</v>
      </c>
      <c r="L751" s="25"/>
      <c r="N751" s="25">
        <f>'Combined Retirement'!$C$18/12</f>
        <v>39153.069999999992</v>
      </c>
      <c r="O751" s="25">
        <f t="shared" si="525"/>
        <v>11007.82546143035</v>
      </c>
      <c r="P751" s="25">
        <f t="shared" si="526"/>
        <v>28145.244538569641</v>
      </c>
      <c r="Q751" s="25">
        <f t="array" aca="1" ref="Q751" ca="1">INDEX('Isaac 401k'!L:L,MATCH('Retirement Calculator'!A751,'Isaac 401k'!N:N,0),0)</f>
        <v>-784892.33756749541</v>
      </c>
      <c r="R751" s="25">
        <f t="array" aca="1" ref="R751" ca="1">INDEX('Lorri 401b'!L:L,MATCH('Retirement Calculator'!A751,'Lorri 401b'!N:N,0),0)</f>
        <v>-4331137.1424244624</v>
      </c>
      <c r="S751" s="25">
        <f t="shared" ca="1" si="527"/>
        <v>-5116029.4799919575</v>
      </c>
    </row>
    <row r="752" spans="1:19" ht="15.75" customHeight="1" x14ac:dyDescent="0.3">
      <c r="A752" s="37">
        <v>73840</v>
      </c>
      <c r="B752" s="409">
        <f t="shared" ref="B752:C752" si="758">($A752-B$9)/365.25</f>
        <v>120.28473648186174</v>
      </c>
      <c r="C752" s="409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3525.4531757812501</v>
      </c>
      <c r="H752" s="25">
        <f>IF(B752&lt;62,0,'Combined Retirement'!$I$14)</f>
        <v>2192</v>
      </c>
      <c r="I752" s="25">
        <f>IF(C752&lt;62,0,'Combined Retirement'!$I$13)</f>
        <v>2420</v>
      </c>
      <c r="J752" s="25">
        <f t="shared" si="523"/>
        <v>7863.2184191855868</v>
      </c>
      <c r="K752" s="25">
        <f t="shared" si="524"/>
        <v>20282.026119384056</v>
      </c>
      <c r="L752" s="25"/>
      <c r="N752" s="25">
        <f>'Combined Retirement'!$C$18/12</f>
        <v>39153.069999999992</v>
      </c>
      <c r="O752" s="25">
        <f t="shared" si="525"/>
        <v>11007.82546143035</v>
      </c>
      <c r="P752" s="25">
        <f t="shared" si="526"/>
        <v>28145.244538569641</v>
      </c>
      <c r="Q752" s="25">
        <f t="array" aca="1" ref="Q752" ca="1">INDEX('Isaac 401k'!L:L,MATCH('Retirement Calculator'!A752,'Isaac 401k'!N:N,0),0)</f>
        <v>-796058.70413662551</v>
      </c>
      <c r="R752" s="25">
        <f t="array" aca="1" ref="R752" ca="1">INDEX('Lorri 401b'!L:L,MATCH('Retirement Calculator'!A752,'Lorri 401b'!N:N,0),0)</f>
        <v>-4369550.0817461126</v>
      </c>
      <c r="S752" s="25">
        <f t="shared" ca="1" si="527"/>
        <v>-5165608.7858827384</v>
      </c>
    </row>
    <row r="753" spans="1:19" ht="15.75" customHeight="1" x14ac:dyDescent="0.3">
      <c r="A753" s="37">
        <v>73871</v>
      </c>
      <c r="B753" s="409">
        <f t="shared" ref="B753:C753" si="759">($A753-B$9)/365.25</f>
        <v>120.36960985626284</v>
      </c>
      <c r="C753" s="409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3525.4531757812501</v>
      </c>
      <c r="H753" s="25">
        <f>IF(B753&lt;62,0,'Combined Retirement'!$I$14)</f>
        <v>2192</v>
      </c>
      <c r="I753" s="25">
        <f>IF(C753&lt;62,0,'Combined Retirement'!$I$13)</f>
        <v>2420</v>
      </c>
      <c r="J753" s="25">
        <f t="shared" si="523"/>
        <v>7863.2184191855868</v>
      </c>
      <c r="K753" s="25">
        <f t="shared" si="524"/>
        <v>20282.026119384056</v>
      </c>
      <c r="L753" s="25"/>
      <c r="N753" s="25">
        <f>'Combined Retirement'!$C$18/12</f>
        <v>39153.069999999992</v>
      </c>
      <c r="O753" s="25">
        <f t="shared" si="525"/>
        <v>11007.82546143035</v>
      </c>
      <c r="P753" s="25">
        <f t="shared" si="526"/>
        <v>28145.244538569641</v>
      </c>
      <c r="Q753" s="25">
        <f t="array" aca="1" ref="Q753" ca="1">INDEX('Isaac 401k'!L:L,MATCH('Retirement Calculator'!A753,'Isaac 401k'!N:N,0),0)</f>
        <v>-807271.59723312699</v>
      </c>
      <c r="R753" s="25">
        <f t="array" aca="1" ref="R753" ca="1">INDEX('Lorri 401b'!L:L,MATCH('Retirement Calculator'!A753,'Lorri 401b'!N:N,0),0)</f>
        <v>-4408123.0749816028</v>
      </c>
      <c r="S753" s="25">
        <f t="shared" ca="1" si="527"/>
        <v>-5215394.6722147297</v>
      </c>
    </row>
    <row r="754" spans="1:19" ht="15.75" customHeight="1" x14ac:dyDescent="0.3">
      <c r="A754" s="37">
        <v>73901</v>
      </c>
      <c r="B754" s="409">
        <f t="shared" ref="B754:C754" si="760">($A754-B$9)/365.25</f>
        <v>120.4517453798768</v>
      </c>
      <c r="C754" s="409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3525.4531757812501</v>
      </c>
      <c r="H754" s="25">
        <f>IF(B754&lt;62,0,'Combined Retirement'!$I$14)</f>
        <v>2192</v>
      </c>
      <c r="I754" s="25">
        <f>IF(C754&lt;62,0,'Combined Retirement'!$I$13)</f>
        <v>2420</v>
      </c>
      <c r="J754" s="25">
        <f t="shared" si="523"/>
        <v>7863.2184191855868</v>
      </c>
      <c r="K754" s="25">
        <f t="shared" si="524"/>
        <v>20282.026119384056</v>
      </c>
      <c r="L754" s="25"/>
      <c r="N754" s="25">
        <f>'Combined Retirement'!$C$18/12</f>
        <v>39153.069999999992</v>
      </c>
      <c r="O754" s="25">
        <f t="shared" si="525"/>
        <v>11007.82546143035</v>
      </c>
      <c r="P754" s="25">
        <f t="shared" si="526"/>
        <v>28145.244538569641</v>
      </c>
      <c r="Q754" s="25">
        <f t="array" aca="1" ref="Q754" ca="1">INDEX('Isaac 401k'!L:L,MATCH('Retirement Calculator'!A754,'Isaac 401k'!N:N,0),0)</f>
        <v>-818531.21071753057</v>
      </c>
      <c r="R754" s="25">
        <f t="array" aca="1" ref="R754" ca="1">INDEX('Lorri 401b'!L:L,MATCH('Retirement Calculator'!A754,'Lorri 401b'!N:N,0),0)</f>
        <v>-4446856.7890222408</v>
      </c>
      <c r="S754" s="25">
        <f t="shared" ca="1" si="527"/>
        <v>-5265387.9997397717</v>
      </c>
    </row>
    <row r="755" spans="1:19" ht="15.75" customHeight="1" x14ac:dyDescent="0.3">
      <c r="A755" s="37">
        <v>73932</v>
      </c>
      <c r="B755" s="409">
        <f t="shared" ref="B755:C755" si="761">($A755-B$9)/365.25</f>
        <v>120.5366187542779</v>
      </c>
      <c r="C755" s="409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3525.4531757812501</v>
      </c>
      <c r="H755" s="25">
        <f>IF(B755&lt;62,0,'Combined Retirement'!$I$14)</f>
        <v>2192</v>
      </c>
      <c r="I755" s="25">
        <f>IF(C755&lt;62,0,'Combined Retirement'!$I$13)</f>
        <v>2420</v>
      </c>
      <c r="J755" s="25">
        <f t="shared" si="523"/>
        <v>7863.2184191855868</v>
      </c>
      <c r="K755" s="25">
        <f t="shared" si="524"/>
        <v>20282.026119384056</v>
      </c>
      <c r="L755" s="25"/>
      <c r="N755" s="25">
        <f>'Combined Retirement'!$C$18/12</f>
        <v>39153.069999999992</v>
      </c>
      <c r="O755" s="25">
        <f t="shared" si="525"/>
        <v>11007.82546143035</v>
      </c>
      <c r="P755" s="25">
        <f t="shared" si="526"/>
        <v>28145.244538569641</v>
      </c>
      <c r="Q755" s="25">
        <f t="array" aca="1" ref="Q755" ca="1">INDEX('Isaac 401k'!L:L,MATCH('Retirement Calculator'!A755,'Isaac 401k'!N:N,0),0)</f>
        <v>-829837.73925811914</v>
      </c>
      <c r="R755" s="25">
        <f t="array" aca="1" ref="R755" ca="1">INDEX('Lorri 401b'!L:L,MATCH('Retirement Calculator'!A755,'Lorri 401b'!N:N,0),0)</f>
        <v>-4485751.8935380485</v>
      </c>
      <c r="S755" s="25">
        <f t="shared" ca="1" si="527"/>
        <v>-5315589.6327961674</v>
      </c>
    </row>
    <row r="756" spans="1:19" ht="15.75" customHeight="1" x14ac:dyDescent="0.3">
      <c r="A756" s="37">
        <v>73962</v>
      </c>
      <c r="B756" s="409">
        <f t="shared" ref="B756:C756" si="762">($A756-B$9)/365.25</f>
        <v>120.61875427789185</v>
      </c>
      <c r="C756" s="409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3525.4531757812501</v>
      </c>
      <c r="H756" s="25">
        <f>IF(B756&lt;62,0,'Combined Retirement'!$I$14)</f>
        <v>2192</v>
      </c>
      <c r="I756" s="25">
        <f>IF(C756&lt;62,0,'Combined Retirement'!$I$13)</f>
        <v>2420</v>
      </c>
      <c r="J756" s="25">
        <f t="shared" si="523"/>
        <v>7863.2184191855868</v>
      </c>
      <c r="K756" s="25">
        <f t="shared" si="524"/>
        <v>20282.026119384056</v>
      </c>
      <c r="L756" s="25"/>
      <c r="N756" s="25">
        <f>'Combined Retirement'!$C$18/12</f>
        <v>39153.069999999992</v>
      </c>
      <c r="O756" s="25">
        <f t="shared" si="525"/>
        <v>11007.82546143035</v>
      </c>
      <c r="P756" s="25">
        <f t="shared" si="526"/>
        <v>28145.244538569641</v>
      </c>
      <c r="Q756" s="25">
        <f t="array" aca="1" ref="Q756" ca="1">INDEX('Isaac 401k'!L:L,MATCH('Retirement Calculator'!A756,'Isaac 401k'!N:N,0),0)</f>
        <v>-841191.37833429349</v>
      </c>
      <c r="R756" s="25">
        <f t="array" aca="1" ref="R756" ca="1">INDEX('Lorri 401b'!L:L,MATCH('Retirement Calculator'!A756,'Lorri 401b'!N:N,0),0)</f>
        <v>-4524809.0609893389</v>
      </c>
      <c r="S756" s="25">
        <f t="shared" ca="1" si="527"/>
        <v>-5366000.439323632</v>
      </c>
    </row>
    <row r="757" spans="1:19" ht="15.75" customHeight="1" x14ac:dyDescent="0.3">
      <c r="A757" s="37">
        <v>73993</v>
      </c>
      <c r="B757" s="409">
        <f t="shared" ref="B757:C757" si="763">($A757-B$9)/365.25</f>
        <v>120.70362765229295</v>
      </c>
      <c r="C757" s="409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3525.4531757812501</v>
      </c>
      <c r="H757" s="25">
        <f>IF(B757&lt;62,0,'Combined Retirement'!$I$14)</f>
        <v>2192</v>
      </c>
      <c r="I757" s="25">
        <f>IF(C757&lt;62,0,'Combined Retirement'!$I$13)</f>
        <v>2420</v>
      </c>
      <c r="J757" s="25">
        <f t="shared" si="523"/>
        <v>7863.2184191855868</v>
      </c>
      <c r="K757" s="25">
        <f t="shared" si="524"/>
        <v>20282.026119384056</v>
      </c>
      <c r="L757" s="25"/>
      <c r="N757" s="25">
        <f>'Combined Retirement'!$C$18/12</f>
        <v>39153.069999999992</v>
      </c>
      <c r="O757" s="25">
        <f t="shared" si="525"/>
        <v>11007.82546143035</v>
      </c>
      <c r="P757" s="25">
        <f t="shared" si="526"/>
        <v>28145.244538569641</v>
      </c>
      <c r="Q757" s="25">
        <f t="array" aca="1" ref="Q757" ca="1">INDEX('Isaac 401k'!L:L,MATCH('Retirement Calculator'!A757,'Isaac 401k'!N:N,0),0)</f>
        <v>-852592.32423995191</v>
      </c>
      <c r="R757" s="25">
        <f t="array" aca="1" ref="R757" ca="1">INDEX('Lorri 401b'!L:L,MATCH('Retirement Calculator'!A757,'Lorri 401b'!N:N,0),0)</f>
        <v>-4564028.9666383425</v>
      </c>
      <c r="S757" s="25">
        <f t="shared" ca="1" si="527"/>
        <v>-5416621.290878294</v>
      </c>
    </row>
    <row r="758" spans="1:19" ht="15.75" customHeight="1" x14ac:dyDescent="0.3">
      <c r="A758" s="37">
        <v>74024</v>
      </c>
      <c r="B758" s="409">
        <f t="shared" ref="B758:C758" si="764">($A758-B$9)/365.25</f>
        <v>120.78850102669405</v>
      </c>
      <c r="C758" s="409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3525.4531757812501</v>
      </c>
      <c r="H758" s="25">
        <f>IF(B758&lt;62,0,'Combined Retirement'!$I$14)</f>
        <v>2192</v>
      </c>
      <c r="I758" s="25">
        <f>IF(C758&lt;62,0,'Combined Retirement'!$I$13)</f>
        <v>2420</v>
      </c>
      <c r="J758" s="25">
        <f t="shared" si="523"/>
        <v>7863.2184191855868</v>
      </c>
      <c r="K758" s="25">
        <f t="shared" si="524"/>
        <v>20282.026119384056</v>
      </c>
      <c r="L758" s="25"/>
      <c r="N758" s="25">
        <f>'Combined Retirement'!$C$18/12</f>
        <v>39153.069999999992</v>
      </c>
      <c r="O758" s="25">
        <f t="shared" si="525"/>
        <v>11007.82546143035</v>
      </c>
      <c r="P758" s="25">
        <f t="shared" si="526"/>
        <v>28145.244538569641</v>
      </c>
      <c r="Q758" s="25">
        <f t="array" aca="1" ref="Q758" ca="1">INDEX('Isaac 401k'!L:L,MATCH('Retirement Calculator'!A758,'Isaac 401k'!N:N,0),0)</f>
        <v>-864040.77408688387</v>
      </c>
      <c r="R758" s="25">
        <f t="array" aca="1" ref="R758" ca="1">INDEX('Lorri 401b'!L:L,MATCH('Retirement Calculator'!A758,'Lorri 401b'!N:N,0),0)</f>
        <v>-4603412.2885608841</v>
      </c>
      <c r="S758" s="25">
        <f t="shared" ca="1" si="527"/>
        <v>-5467453.0626477683</v>
      </c>
    </row>
    <row r="759" spans="1:19" ht="15.75" customHeight="1" x14ac:dyDescent="0.3">
      <c r="A759" s="37">
        <v>74054</v>
      </c>
      <c r="B759" s="409">
        <f t="shared" ref="B759:C759" si="765">($A759-B$9)/365.25</f>
        <v>120.87063655030801</v>
      </c>
      <c r="C759" s="409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3525.4531757812501</v>
      </c>
      <c r="H759" s="25">
        <f>IF(B759&lt;62,0,'Combined Retirement'!$I$14)</f>
        <v>2192</v>
      </c>
      <c r="I759" s="25">
        <f>IF(C759&lt;62,0,'Combined Retirement'!$I$13)</f>
        <v>2420</v>
      </c>
      <c r="J759" s="25">
        <f t="shared" si="523"/>
        <v>7863.2184191855868</v>
      </c>
      <c r="K759" s="25">
        <f t="shared" si="524"/>
        <v>20282.026119384056</v>
      </c>
      <c r="L759" s="25"/>
      <c r="N759" s="25">
        <f>'Combined Retirement'!$C$18/12</f>
        <v>39153.069999999992</v>
      </c>
      <c r="O759" s="25">
        <f t="shared" si="525"/>
        <v>11007.82546143035</v>
      </c>
      <c r="P759" s="25">
        <f t="shared" si="526"/>
        <v>28145.244538569641</v>
      </c>
      <c r="Q759" s="25">
        <f t="array" aca="1" ref="Q759" ca="1">INDEX('Isaac 401k'!L:L,MATCH('Retirement Calculator'!A759,'Isaac 401k'!N:N,0),0)</f>
        <v>-875536.92580817814</v>
      </c>
      <c r="R759" s="25">
        <f t="array" aca="1" ref="R759" ca="1">INDEX('Lorri 401b'!L:L,MATCH('Retirement Calculator'!A759,'Lorri 401b'!N:N,0),0)</f>
        <v>-4642959.7076581027</v>
      </c>
      <c r="S759" s="25">
        <f t="shared" ca="1" si="527"/>
        <v>-5518496.633466281</v>
      </c>
    </row>
    <row r="760" spans="1:19" ht="15.75" customHeight="1" x14ac:dyDescent="0.3">
      <c r="A760" s="37">
        <v>74085</v>
      </c>
      <c r="B760" s="409">
        <f t="shared" ref="B760:C760" si="766">($A760-B$9)/365.25</f>
        <v>120.95550992470911</v>
      </c>
      <c r="C760" s="409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3525.4531757812501</v>
      </c>
      <c r="H760" s="25">
        <f>IF(B760&lt;62,0,'Combined Retirement'!$I$14)</f>
        <v>2192</v>
      </c>
      <c r="I760" s="25">
        <f>IF(C760&lt;62,0,'Combined Retirement'!$I$13)</f>
        <v>2420</v>
      </c>
      <c r="J760" s="25">
        <f t="shared" si="523"/>
        <v>7863.2184191855868</v>
      </c>
      <c r="K760" s="25">
        <f t="shared" si="524"/>
        <v>20282.026119384056</v>
      </c>
      <c r="L760" s="25"/>
      <c r="N760" s="25">
        <f>'Combined Retirement'!$C$18/12</f>
        <v>39153.069999999992</v>
      </c>
      <c r="O760" s="25">
        <f t="shared" si="525"/>
        <v>11007.82546143035</v>
      </c>
      <c r="P760" s="25">
        <f t="shared" si="526"/>
        <v>28145.244538569641</v>
      </c>
      <c r="Q760" s="25">
        <f t="array" aca="1" ref="Q760" ca="1">INDEX('Isaac 401k'!L:L,MATCH('Retirement Calculator'!A760,'Isaac 401k'!N:N,0),0)</f>
        <v>-887080.97816164442</v>
      </c>
      <c r="R760" s="25">
        <f t="array" aca="1" ref="R760" ca="1">INDEX('Lorri 401b'!L:L,MATCH('Retirement Calculator'!A760,'Lorri 401b'!N:N,0),0)</f>
        <v>-4682671.9076682264</v>
      </c>
      <c r="S760" s="25">
        <f t="shared" ca="1" si="527"/>
        <v>-5569752.8858298706</v>
      </c>
    </row>
    <row r="761" spans="1:19" ht="15.75" customHeight="1" x14ac:dyDescent="0.3">
      <c r="A761" s="37">
        <v>74115</v>
      </c>
      <c r="B761" s="409">
        <f t="shared" ref="B761:C761" si="767">($A761-B$9)/365.25</f>
        <v>121.03764544832306</v>
      </c>
      <c r="C761" s="409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3525.4531757812501</v>
      </c>
      <c r="H761" s="25">
        <f>IF(B761&lt;62,0,'Combined Retirement'!$I$14)</f>
        <v>2192</v>
      </c>
      <c r="I761" s="25">
        <f>IF(C761&lt;62,0,'Combined Retirement'!$I$13)</f>
        <v>2420</v>
      </c>
      <c r="J761" s="25">
        <f t="shared" si="523"/>
        <v>7863.2184191855868</v>
      </c>
      <c r="K761" s="25">
        <f t="shared" si="524"/>
        <v>20282.026119384056</v>
      </c>
      <c r="L761" s="25"/>
      <c r="N761" s="25">
        <f>'Combined Retirement'!$C$18/12</f>
        <v>39153.069999999992</v>
      </c>
      <c r="O761" s="25">
        <f t="shared" si="525"/>
        <v>11007.82546143035</v>
      </c>
      <c r="P761" s="25">
        <f t="shared" si="526"/>
        <v>28145.244538569641</v>
      </c>
      <c r="Q761" s="25">
        <f t="array" aca="1" ref="Q761" ca="1">INDEX('Isaac 401k'!L:L,MATCH('Retirement Calculator'!A761,'Isaac 401k'!N:N,0),0)</f>
        <v>-898673.13073325017</v>
      </c>
      <c r="R761" s="25">
        <f t="array" aca="1" ref="R761" ca="1">INDEX('Lorri 401b'!L:L,MATCH('Retirement Calculator'!A761,'Lorri 401b'!N:N,0),0)</f>
        <v>-4722549.5751783922</v>
      </c>
      <c r="S761" s="25">
        <f t="shared" ca="1" si="527"/>
        <v>-5621222.7059116419</v>
      </c>
    </row>
    <row r="762" spans="1:19" ht="15.75" customHeight="1" x14ac:dyDescent="0.3">
      <c r="A762" s="37">
        <v>74146</v>
      </c>
      <c r="B762" s="409">
        <f t="shared" ref="B762:C762" si="768">($A762-B$9)/365.25</f>
        <v>121.12251882272416</v>
      </c>
      <c r="C762" s="409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3525.4531757812501</v>
      </c>
      <c r="H762" s="25">
        <f>IF(B762&lt;62,0,'Combined Retirement'!$I$14)</f>
        <v>2192</v>
      </c>
      <c r="I762" s="25">
        <f>IF(C762&lt;62,0,'Combined Retirement'!$I$13)</f>
        <v>2420</v>
      </c>
      <c r="J762" s="25">
        <f t="shared" si="523"/>
        <v>7863.2184191855868</v>
      </c>
      <c r="K762" s="25">
        <f t="shared" si="524"/>
        <v>20282.026119384056</v>
      </c>
      <c r="L762" s="25"/>
      <c r="N762" s="25">
        <f>'Combined Retirement'!$C$18/12</f>
        <v>39153.069999999992</v>
      </c>
      <c r="O762" s="25">
        <f t="shared" si="525"/>
        <v>11007.82546143035</v>
      </c>
      <c r="P762" s="25">
        <f t="shared" si="526"/>
        <v>28145.244538569641</v>
      </c>
      <c r="Q762" s="25">
        <f t="array" aca="1" ref="Q762" ca="1">INDEX('Isaac 401k'!L:L,MATCH('Retirement Calculator'!A762,'Isaac 401k'!N:N,0),0)</f>
        <v>-910313.58394057094</v>
      </c>
      <c r="R762" s="25">
        <f t="array" aca="1" ref="R762" ca="1">INDEX('Lorri 401b'!L:L,MATCH('Retirement Calculator'!A762,'Lorri 401b'!N:N,0),0)</f>
        <v>-4762593.3996365173</v>
      </c>
      <c r="S762" s="25">
        <f t="shared" ca="1" si="527"/>
        <v>-5672906.9835770885</v>
      </c>
    </row>
    <row r="763" spans="1:19" ht="15.75" customHeight="1" x14ac:dyDescent="0.3">
      <c r="A763" s="37">
        <v>74177</v>
      </c>
      <c r="B763" s="409">
        <f t="shared" ref="B763:C763" si="769">($A763-B$9)/365.25</f>
        <v>121.20739219712526</v>
      </c>
      <c r="C763" s="409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3525.4531757812501</v>
      </c>
      <c r="H763" s="25">
        <f>IF(B763&lt;62,0,'Combined Retirement'!$I$14)</f>
        <v>2192</v>
      </c>
      <c r="I763" s="25">
        <f>IF(C763&lt;62,0,'Combined Retirement'!$I$13)</f>
        <v>2420</v>
      </c>
      <c r="J763" s="25">
        <f t="shared" si="523"/>
        <v>7863.2184191855868</v>
      </c>
      <c r="K763" s="25">
        <f t="shared" si="524"/>
        <v>20282.026119384056</v>
      </c>
      <c r="L763" s="25"/>
      <c r="N763" s="25">
        <f>'Combined Retirement'!$C$18/12</f>
        <v>39153.069999999992</v>
      </c>
      <c r="O763" s="25">
        <f t="shared" si="525"/>
        <v>11007.82546143035</v>
      </c>
      <c r="P763" s="25">
        <f t="shared" si="526"/>
        <v>28145.244538569641</v>
      </c>
      <c r="Q763" s="25">
        <f t="array" aca="1" ref="Q763" ca="1">INDEX('Isaac 401k'!L:L,MATCH('Retirement Calculator'!A763,'Isaac 401k'!N:N,0),0)</f>
        <v>-922002.53903625556</v>
      </c>
      <c r="R763" s="25">
        <f t="array" aca="1" ref="R763" ca="1">INDEX('Lorri 401b'!L:L,MATCH('Retirement Calculator'!A763,'Lorri 401b'!N:N,0),0)</f>
        <v>-4802804.0733632175</v>
      </c>
      <c r="S763" s="25">
        <f t="shared" ca="1" si="527"/>
        <v>-5724806.6123994729</v>
      </c>
    </row>
    <row r="764" spans="1:19" ht="15.75" customHeight="1" x14ac:dyDescent="0.3">
      <c r="A764" s="37">
        <v>74205</v>
      </c>
      <c r="B764" s="409">
        <f t="shared" ref="B764:C764" si="770">($A764-B$9)/365.25</f>
        <v>121.28405201916496</v>
      </c>
      <c r="C764" s="409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3525.4531757812501</v>
      </c>
      <c r="H764" s="25">
        <f>IF(B764&lt;62,0,'Combined Retirement'!$I$14)</f>
        <v>2192</v>
      </c>
      <c r="I764" s="25">
        <f>IF(C764&lt;62,0,'Combined Retirement'!$I$13)</f>
        <v>2420</v>
      </c>
      <c r="J764" s="25">
        <f t="shared" si="523"/>
        <v>7863.2184191855868</v>
      </c>
      <c r="K764" s="25">
        <f t="shared" si="524"/>
        <v>20282.026119384056</v>
      </c>
      <c r="L764" s="25"/>
      <c r="N764" s="25">
        <f>'Combined Retirement'!$C$18/12</f>
        <v>39153.069999999992</v>
      </c>
      <c r="O764" s="25">
        <f t="shared" si="525"/>
        <v>11007.82546143035</v>
      </c>
      <c r="P764" s="25">
        <f t="shared" si="526"/>
        <v>28145.244538569641</v>
      </c>
      <c r="Q764" s="25">
        <f t="array" aca="1" ref="Q764" ca="1">INDEX('Isaac 401k'!L:L,MATCH('Retirement Calculator'!A764,'Isaac 401k'!N:N,0),0)</f>
        <v>-933740.19811150548</v>
      </c>
      <c r="R764" s="25">
        <f t="array" aca="1" ref="R764" ca="1">INDEX('Lorri 401b'!L:L,MATCH('Retirement Calculator'!A764,'Lorri 401b'!N:N,0),0)</f>
        <v>-4843182.2915637791</v>
      </c>
      <c r="S764" s="25">
        <f t="shared" ca="1" si="527"/>
        <v>-5776922.4896752844</v>
      </c>
    </row>
    <row r="765" spans="1:19" ht="15.75" customHeight="1" x14ac:dyDescent="0.3">
      <c r="A765" s="37">
        <v>74236</v>
      </c>
      <c r="B765" s="409">
        <f t="shared" ref="B765:C765" si="771">($A765-B$9)/365.25</f>
        <v>121.36892539356604</v>
      </c>
      <c r="C765" s="409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3525.4531757812501</v>
      </c>
      <c r="H765" s="25">
        <f>IF(B765&lt;62,0,'Combined Retirement'!$I$14)</f>
        <v>2192</v>
      </c>
      <c r="I765" s="25">
        <f>IF(C765&lt;62,0,'Combined Retirement'!$I$13)</f>
        <v>2420</v>
      </c>
      <c r="J765" s="25">
        <f t="shared" si="523"/>
        <v>7863.2184191855868</v>
      </c>
      <c r="K765" s="25">
        <f t="shared" si="524"/>
        <v>20282.026119384056</v>
      </c>
      <c r="L765" s="25"/>
      <c r="N765" s="25">
        <f>'Combined Retirement'!$C$18/12</f>
        <v>39153.069999999992</v>
      </c>
      <c r="O765" s="25">
        <f t="shared" si="525"/>
        <v>11007.82546143035</v>
      </c>
      <c r="P765" s="25">
        <f t="shared" si="526"/>
        <v>28145.244538569641</v>
      </c>
      <c r="Q765" s="25">
        <f t="array" aca="1" ref="Q765" ca="1">INDEX('Isaac 401k'!L:L,MATCH('Retirement Calculator'!A765,'Isaac 401k'!N:N,0),0)</f>
        <v>-945526.76409956894</v>
      </c>
      <c r="R765" s="25">
        <f t="array" aca="1" ref="R765" ca="1">INDEX('Lorri 401b'!L:L,MATCH('Retirement Calculator'!A765,'Lorri 401b'!N:N,0),0)</f>
        <v>-4883728.7523401761</v>
      </c>
      <c r="S765" s="25">
        <f t="shared" ca="1" si="527"/>
        <v>-5829255.5164397452</v>
      </c>
    </row>
    <row r="766" spans="1:19" ht="15.75" customHeight="1" x14ac:dyDescent="0.3">
      <c r="A766" s="37">
        <v>74266</v>
      </c>
      <c r="B766" s="409">
        <f t="shared" ref="B766:C766" si="772">($A766-B$9)/365.25</f>
        <v>121.45106091718002</v>
      </c>
      <c r="C766" s="409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3525.4531757812501</v>
      </c>
      <c r="H766" s="25">
        <f>IF(B766&lt;62,0,'Combined Retirement'!$I$14)</f>
        <v>2192</v>
      </c>
      <c r="I766" s="25">
        <f>IF(C766&lt;62,0,'Combined Retirement'!$I$13)</f>
        <v>2420</v>
      </c>
      <c r="J766" s="25">
        <f t="shared" si="523"/>
        <v>7863.2184191855868</v>
      </c>
      <c r="K766" s="25">
        <f t="shared" si="524"/>
        <v>20282.026119384056</v>
      </c>
      <c r="L766" s="25"/>
      <c r="N766" s="25">
        <f>'Combined Retirement'!$C$18/12</f>
        <v>39153.069999999992</v>
      </c>
      <c r="O766" s="25">
        <f t="shared" si="525"/>
        <v>11007.82546143035</v>
      </c>
      <c r="P766" s="25">
        <f t="shared" si="526"/>
        <v>28145.244538569641</v>
      </c>
      <c r="Q766" s="25">
        <f t="array" aca="1" ref="Q766" ca="1">INDEX('Isaac 401k'!L:L,MATCH('Retirement Calculator'!A766,'Isaac 401k'!N:N,0),0)</f>
        <v>-957362.44077924942</v>
      </c>
      <c r="R766" s="25">
        <f t="array" aca="1" ref="R766" ca="1">INDEX('Lorri 401b'!L:L,MATCH('Retirement Calculator'!A766,'Lorri 401b'!N:N,0),0)</f>
        <v>-4924444.1567031415</v>
      </c>
      <c r="S766" s="25">
        <f t="shared" ca="1" si="527"/>
        <v>-5881806.5974823907</v>
      </c>
    </row>
    <row r="767" spans="1:19" ht="15.75" customHeight="1" x14ac:dyDescent="0.3">
      <c r="A767" s="37">
        <v>74297</v>
      </c>
      <c r="B767" s="409">
        <f t="shared" ref="B767:C767" si="773">($A767-B$9)/365.25</f>
        <v>121.53593429158111</v>
      </c>
      <c r="C767" s="409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3525.4531757812501</v>
      </c>
      <c r="H767" s="25">
        <f>IF(B767&lt;62,0,'Combined Retirement'!$I$14)</f>
        <v>2192</v>
      </c>
      <c r="I767" s="25">
        <f>IF(C767&lt;62,0,'Combined Retirement'!$I$13)</f>
        <v>2420</v>
      </c>
      <c r="J767" s="25">
        <f t="shared" si="523"/>
        <v>7863.2184191855868</v>
      </c>
      <c r="K767" s="25">
        <f t="shared" si="524"/>
        <v>20282.026119384056</v>
      </c>
      <c r="L767" s="25"/>
      <c r="N767" s="25">
        <f>'Combined Retirement'!$C$18/12</f>
        <v>39153.069999999992</v>
      </c>
      <c r="O767" s="25">
        <f t="shared" si="525"/>
        <v>11007.82546143035</v>
      </c>
      <c r="P767" s="25">
        <f t="shared" si="526"/>
        <v>28145.244538569641</v>
      </c>
      <c r="Q767" s="25">
        <f t="array" aca="1" ref="Q767" ca="1">INDEX('Isaac 401k'!L:L,MATCH('Retirement Calculator'!A767,'Isaac 401k'!N:N,0),0)</f>
        <v>-969247.43277842854</v>
      </c>
      <c r="R767" s="25">
        <f t="array" aca="1" ref="R767" ca="1">INDEX('Lorri 401b'!L:L,MATCH('Retirement Calculator'!A767,'Lorri 401b'!N:N,0),0)</f>
        <v>-4965329.2085842863</v>
      </c>
      <c r="S767" s="25">
        <f t="shared" ca="1" si="527"/>
        <v>-5934576.6413627146</v>
      </c>
    </row>
    <row r="768" spans="1:19" ht="15.75" customHeight="1" x14ac:dyDescent="0.3">
      <c r="A768" s="37">
        <v>74327</v>
      </c>
      <c r="B768" s="409">
        <f t="shared" ref="B768:C768" si="774">($A768-B$9)/365.25</f>
        <v>121.61806981519507</v>
      </c>
      <c r="C768" s="409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3525.4531757812501</v>
      </c>
      <c r="H768" s="25">
        <f>IF(B768&lt;62,0,'Combined Retirement'!$I$14)</f>
        <v>2192</v>
      </c>
      <c r="I768" s="25">
        <f>IF(C768&lt;62,0,'Combined Retirement'!$I$13)</f>
        <v>2420</v>
      </c>
      <c r="J768" s="25">
        <f t="shared" si="523"/>
        <v>7863.2184191855868</v>
      </c>
      <c r="K768" s="25">
        <f t="shared" si="524"/>
        <v>20282.026119384056</v>
      </c>
      <c r="L768" s="25"/>
      <c r="N768" s="25">
        <f>'Combined Retirement'!$C$18/12</f>
        <v>39153.069999999992</v>
      </c>
      <c r="O768" s="25">
        <f t="shared" si="525"/>
        <v>11007.82546143035</v>
      </c>
      <c r="P768" s="25">
        <f t="shared" si="526"/>
        <v>28145.244538569641</v>
      </c>
      <c r="Q768" s="25">
        <f t="array" aca="1" ref="Q768" ca="1">INDEX('Isaac 401k'!L:L,MATCH('Retirement Calculator'!A768,'Isaac 401k'!N:N,0),0)</f>
        <v>-981181.94557760423</v>
      </c>
      <c r="R768" s="25">
        <f t="array" aca="1" ref="R768" ca="1">INDEX('Lorri 401b'!L:L,MATCH('Retirement Calculator'!A768,'Lorri 401b'!N:N,0),0)</f>
        <v>-5006384.6148482691</v>
      </c>
      <c r="S768" s="25">
        <f t="shared" ca="1" si="527"/>
        <v>-5987566.5604258738</v>
      </c>
    </row>
    <row r="769" spans="1:19" ht="15.75" customHeight="1" x14ac:dyDescent="0.3">
      <c r="A769" s="37">
        <v>74358</v>
      </c>
      <c r="B769" s="409">
        <f t="shared" ref="B769:C769" si="775">($A769-B$9)/365.25</f>
        <v>121.70294318959617</v>
      </c>
      <c r="C769" s="409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3525.4531757812501</v>
      </c>
      <c r="H769" s="25">
        <f>IF(B769&lt;62,0,'Combined Retirement'!$I$14)</f>
        <v>2192</v>
      </c>
      <c r="I769" s="25">
        <f>IF(C769&lt;62,0,'Combined Retirement'!$I$13)</f>
        <v>2420</v>
      </c>
      <c r="J769" s="25">
        <f t="shared" si="523"/>
        <v>7863.2184191855868</v>
      </c>
      <c r="K769" s="25">
        <f t="shared" si="524"/>
        <v>20282.026119384056</v>
      </c>
      <c r="L769" s="25"/>
      <c r="N769" s="25">
        <f>'Combined Retirement'!$C$18/12</f>
        <v>39153.069999999992</v>
      </c>
      <c r="O769" s="25">
        <f t="shared" si="525"/>
        <v>11007.82546143035</v>
      </c>
      <c r="P769" s="25">
        <f t="shared" si="526"/>
        <v>28145.244538569641</v>
      </c>
      <c r="Q769" s="25">
        <f t="array" aca="1" ref="Q769" ca="1">INDEX('Isaac 401k'!L:L,MATCH('Retirement Calculator'!A769,'Isaac 401k'!N:N,0),0)</f>
        <v>-993166.18551344308</v>
      </c>
      <c r="R769" s="25">
        <f t="array" aca="1" ref="R769" ca="1">INDEX('Lorri 401b'!L:L,MATCH('Retirement Calculator'!A769,'Lorri 401b'!N:N,0),0)</f>
        <v>-5047611.0853050184</v>
      </c>
      <c r="S769" s="25">
        <f t="shared" ca="1" si="527"/>
        <v>-6040777.2708184617</v>
      </c>
    </row>
    <row r="770" spans="1:19" ht="15.75" customHeight="1" x14ac:dyDescent="0.3">
      <c r="A770" s="37">
        <v>74389</v>
      </c>
      <c r="B770" s="409">
        <f t="shared" ref="B770:C770" si="776">($A770-B$9)/365.25</f>
        <v>121.78781656399727</v>
      </c>
      <c r="C770" s="409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3525.4531757812501</v>
      </c>
      <c r="H770" s="25">
        <f>IF(B770&lt;62,0,'Combined Retirement'!$I$14)</f>
        <v>2192</v>
      </c>
      <c r="I770" s="25">
        <f>IF(C770&lt;62,0,'Combined Retirement'!$I$13)</f>
        <v>2420</v>
      </c>
      <c r="J770" s="25">
        <f t="shared" si="523"/>
        <v>7863.2184191855868</v>
      </c>
      <c r="K770" s="25">
        <f t="shared" si="524"/>
        <v>20282.026119384056</v>
      </c>
      <c r="L770" s="25"/>
      <c r="N770" s="25">
        <f>'Combined Retirement'!$C$18/12</f>
        <v>39153.069999999992</v>
      </c>
      <c r="O770" s="25">
        <f t="shared" si="525"/>
        <v>11007.82546143035</v>
      </c>
      <c r="P770" s="25">
        <f t="shared" si="526"/>
        <v>28145.244538569641</v>
      </c>
      <c r="Q770" s="25">
        <f t="array" aca="1" ref="Q770" ca="1">INDEX('Isaac 401k'!L:L,MATCH('Retirement Calculator'!A770,'Isaac 401k'!N:N,0),0)</f>
        <v>-1005200.3597823479</v>
      </c>
      <c r="R770" s="25">
        <f t="array" aca="1" ref="R770" ca="1">INDEX('Lorri 401b'!L:L,MATCH('Retirement Calculator'!A770,'Lorri 401b'!N:N,0),0)</f>
        <v>-5089009.3327220036</v>
      </c>
      <c r="S770" s="25">
        <f t="shared" ca="1" si="527"/>
        <v>-6094209.692504352</v>
      </c>
    </row>
    <row r="771" spans="1:19" ht="15.75" customHeight="1" x14ac:dyDescent="0.3">
      <c r="A771" s="37">
        <v>74419</v>
      </c>
      <c r="B771" s="409">
        <f t="shared" ref="B771:C771" si="777">($A771-B$9)/365.25</f>
        <v>121.86995208761122</v>
      </c>
      <c r="C771" s="409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3525.4531757812501</v>
      </c>
      <c r="H771" s="25">
        <f>IF(B771&lt;62,0,'Combined Retirement'!$I$14)</f>
        <v>2192</v>
      </c>
      <c r="I771" s="25">
        <f>IF(C771&lt;62,0,'Combined Retirement'!$I$13)</f>
        <v>2420</v>
      </c>
      <c r="J771" s="25">
        <f t="shared" si="523"/>
        <v>7863.2184191855868</v>
      </c>
      <c r="K771" s="25">
        <f t="shared" si="524"/>
        <v>20282.026119384056</v>
      </c>
      <c r="L771" s="25"/>
      <c r="N771" s="25">
        <f>'Combined Retirement'!$C$18/12</f>
        <v>39153.069999999992</v>
      </c>
      <c r="O771" s="25">
        <f t="shared" si="525"/>
        <v>11007.82546143035</v>
      </c>
      <c r="P771" s="25">
        <f t="shared" si="526"/>
        <v>28145.244538569641</v>
      </c>
      <c r="Q771" s="25">
        <f t="array" aca="1" ref="Q771" ca="1">INDEX('Isaac 401k'!L:L,MATCH('Retirement Calculator'!A771,'Isaac 401k'!N:N,0),0)</f>
        <v>-1017284.6764440399</v>
      </c>
      <c r="R771" s="25">
        <f t="array" aca="1" ref="R771" ca="1">INDEX('Lorri 401b'!L:L,MATCH('Retirement Calculator'!A771,'Lorri 401b'!N:N,0),0)</f>
        <v>-5130580.0728365602</v>
      </c>
      <c r="S771" s="25">
        <f t="shared" ca="1" si="527"/>
        <v>-6147864.7492805999</v>
      </c>
    </row>
    <row r="772" spans="1:19" ht="15.75" customHeight="1" x14ac:dyDescent="0.3">
      <c r="A772" s="37">
        <v>74450</v>
      </c>
      <c r="B772" s="409">
        <f t="shared" ref="B772:C772" si="778">($A772-B$9)/365.25</f>
        <v>121.95482546201232</v>
      </c>
      <c r="C772" s="409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3525.4531757812501</v>
      </c>
      <c r="H772" s="25">
        <f>IF(B772&lt;62,0,'Combined Retirement'!$I$14)</f>
        <v>2192</v>
      </c>
      <c r="I772" s="25">
        <f>IF(C772&lt;62,0,'Combined Retirement'!$I$13)</f>
        <v>2420</v>
      </c>
      <c r="J772" s="25">
        <f t="shared" si="523"/>
        <v>7863.2184191855868</v>
      </c>
      <c r="K772" s="25">
        <f t="shared" si="524"/>
        <v>20282.026119384056</v>
      </c>
      <c r="L772" s="25"/>
      <c r="N772" s="25">
        <f>'Combined Retirement'!$C$18/12</f>
        <v>39153.069999999992</v>
      </c>
      <c r="O772" s="25">
        <f t="shared" si="525"/>
        <v>11007.82546143035</v>
      </c>
      <c r="P772" s="25">
        <f t="shared" si="526"/>
        <v>28145.244538569641</v>
      </c>
      <c r="Q772" s="25">
        <f t="array" aca="1" ref="Q772" ca="1">INDEX('Isaac 401k'!L:L,MATCH('Retirement Calculator'!A772,'Isaac 401k'!N:N,0),0)</f>
        <v>-1029419.3444251557</v>
      </c>
      <c r="R772" s="25">
        <f t="array" aca="1" ref="R772" ca="1">INDEX('Lorri 401b'!L:L,MATCH('Retirement Calculator'!A772,'Lorri 401b'!N:N,0),0)</f>
        <v>-5172324.024368261</v>
      </c>
      <c r="S772" s="25">
        <f t="shared" ca="1" si="527"/>
        <v>-6201743.3687934168</v>
      </c>
    </row>
    <row r="773" spans="1:19" ht="15.75" customHeight="1" x14ac:dyDescent="0.3">
      <c r="A773" s="37">
        <v>74480</v>
      </c>
      <c r="B773" s="409">
        <f t="shared" ref="B773:C773" si="779">($A773-B$9)/365.25</f>
        <v>122.03696098562628</v>
      </c>
      <c r="C773" s="409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3525.4531757812501</v>
      </c>
      <c r="H773" s="25">
        <f>IF(B773&lt;62,0,'Combined Retirement'!$I$14)</f>
        <v>2192</v>
      </c>
      <c r="I773" s="25">
        <f>IF(C773&lt;62,0,'Combined Retirement'!$I$13)</f>
        <v>2420</v>
      </c>
      <c r="J773" s="25">
        <f t="shared" si="523"/>
        <v>7863.2184191855868</v>
      </c>
      <c r="K773" s="25">
        <f t="shared" si="524"/>
        <v>20282.026119384056</v>
      </c>
      <c r="L773" s="25"/>
      <c r="N773" s="25">
        <f>'Combined Retirement'!$C$18/12</f>
        <v>39153.069999999992</v>
      </c>
      <c r="O773" s="25">
        <f t="shared" si="525"/>
        <v>11007.82546143035</v>
      </c>
      <c r="P773" s="25">
        <f t="shared" si="526"/>
        <v>28145.244538569641</v>
      </c>
      <c r="Q773" s="25">
        <f t="array" aca="1" ref="Q773" ca="1">INDEX('Isaac 401k'!L:L,MATCH('Retirement Calculator'!A773,'Isaac 401k'!N:N,0),0)</f>
        <v>-1041604.5735228594</v>
      </c>
      <c r="R773" s="25">
        <f t="array" aca="1" ref="R773" ca="1">INDEX('Lorri 401b'!L:L,MATCH('Retirement Calculator'!A773,'Lorri 401b'!N:N,0),0)</f>
        <v>-5214241.9090313436</v>
      </c>
      <c r="S773" s="25">
        <f t="shared" ca="1" si="527"/>
        <v>-6255846.4825542029</v>
      </c>
    </row>
    <row r="774" spans="1:19" ht="15.75" customHeight="1" x14ac:dyDescent="0.3">
      <c r="A774" s="37">
        <v>74511</v>
      </c>
      <c r="B774" s="409">
        <f t="shared" ref="B774:C774" si="780">($A774-B$9)/365.25</f>
        <v>122.12183436002738</v>
      </c>
      <c r="C774" s="409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3525.4531757812501</v>
      </c>
      <c r="H774" s="25">
        <f>IF(B774&lt;62,0,'Combined Retirement'!$I$14)</f>
        <v>2192</v>
      </c>
      <c r="I774" s="25">
        <f>IF(C774&lt;62,0,'Combined Retirement'!$I$13)</f>
        <v>2420</v>
      </c>
      <c r="J774" s="25">
        <f t="shared" si="523"/>
        <v>7863.2184191855868</v>
      </c>
      <c r="K774" s="25">
        <f t="shared" si="524"/>
        <v>20282.026119384056</v>
      </c>
      <c r="L774" s="25"/>
      <c r="N774" s="25">
        <f>'Combined Retirement'!$C$18/12</f>
        <v>39153.069999999992</v>
      </c>
      <c r="O774" s="25">
        <f t="shared" si="525"/>
        <v>11007.82546143035</v>
      </c>
      <c r="P774" s="25">
        <f t="shared" si="526"/>
        <v>28145.244538569641</v>
      </c>
      <c r="Q774" s="25">
        <f t="array" aca="1" ref="Q774" ca="1">INDEX('Isaac 401k'!L:L,MATCH('Retirement Calculator'!A774,'Isaac 401k'!N:N,0),0)</f>
        <v>-1053840.57440847</v>
      </c>
      <c r="R774" s="25">
        <f t="array" aca="1" ref="R774" ca="1">INDEX('Lorri 401b'!L:L,MATCH('Retirement Calculator'!A774,'Lorri 401b'!N:N,0),0)</f>
        <v>-5256334.4515471887</v>
      </c>
      <c r="S774" s="25">
        <f t="shared" ca="1" si="527"/>
        <v>-6310175.0259556584</v>
      </c>
    </row>
    <row r="775" spans="1:19" ht="15.75" customHeight="1" x14ac:dyDescent="0.3">
      <c r="A775" s="37">
        <v>74542</v>
      </c>
      <c r="B775" s="409">
        <f t="shared" ref="B775:C775" si="781">($A775-B$9)/365.25</f>
        <v>122.20670773442848</v>
      </c>
      <c r="C775" s="409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3525.4531757812501</v>
      </c>
      <c r="H775" s="25">
        <f>IF(B775&lt;62,0,'Combined Retirement'!$I$14)</f>
        <v>2192</v>
      </c>
      <c r="I775" s="25">
        <f>IF(C775&lt;62,0,'Combined Retirement'!$I$13)</f>
        <v>2420</v>
      </c>
      <c r="J775" s="25">
        <f t="shared" si="523"/>
        <v>7863.2184191855868</v>
      </c>
      <c r="K775" s="25">
        <f t="shared" si="524"/>
        <v>20282.026119384056</v>
      </c>
      <c r="L775" s="25"/>
      <c r="N775" s="25">
        <f>'Combined Retirement'!$C$18/12</f>
        <v>39153.069999999992</v>
      </c>
      <c r="O775" s="25">
        <f t="shared" si="525"/>
        <v>11007.82546143035</v>
      </c>
      <c r="P775" s="25">
        <f t="shared" si="526"/>
        <v>28145.244538569641</v>
      </c>
      <c r="Q775" s="25">
        <f t="array" aca="1" ref="Q775" ca="1">INDEX('Isaac 401k'!L:L,MATCH('Retirement Calculator'!A775,'Isaac 401k'!N:N,0),0)</f>
        <v>-1066127.5586311042</v>
      </c>
      <c r="R775" s="25">
        <f t="array" aca="1" ref="R775" ca="1">INDEX('Lorri 401b'!L:L,MATCH('Retirement Calculator'!A775,'Lorri 401b'!N:N,0),0)</f>
        <v>-5298602.3796568504</v>
      </c>
      <c r="S775" s="25">
        <f t="shared" ca="1" si="527"/>
        <v>-6364729.9382879548</v>
      </c>
    </row>
    <row r="776" spans="1:19" ht="15.75" customHeight="1" x14ac:dyDescent="0.3">
      <c r="A776" s="37">
        <v>74571</v>
      </c>
      <c r="B776" s="409">
        <f t="shared" ref="B776:C776" si="782">($A776-B$9)/365.25</f>
        <v>122.28610540725531</v>
      </c>
      <c r="C776" s="409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3525.4531757812501</v>
      </c>
      <c r="H776" s="25">
        <f>IF(B776&lt;62,0,'Combined Retirement'!$I$14)</f>
        <v>2192</v>
      </c>
      <c r="I776" s="25">
        <f>IF(C776&lt;62,0,'Combined Retirement'!$I$13)</f>
        <v>2420</v>
      </c>
      <c r="J776" s="25">
        <f t="shared" ref="J776:J1030" si="783">IF(C776&lt;59.5,P776,P776*$J$7)</f>
        <v>7863.2184191855868</v>
      </c>
      <c r="K776" s="25">
        <f t="shared" ref="K776:K1030" si="784">IF(C776&lt;59.5,0,IF(C776&lt;$B$7,0,P776*$K$7))</f>
        <v>20282.026119384056</v>
      </c>
      <c r="L776" s="25"/>
      <c r="N776" s="25">
        <f>'Combined Retirement'!$C$18/12</f>
        <v>39153.069999999992</v>
      </c>
      <c r="O776" s="25">
        <f t="shared" ref="O776:O1030" si="785">SUM(E776:I776)</f>
        <v>11007.82546143035</v>
      </c>
      <c r="P776" s="25">
        <f t="shared" ref="P776:P1030" si="786">N776-O776</f>
        <v>28145.244538569641</v>
      </c>
      <c r="Q776" s="25">
        <f t="array" aca="1" ref="Q776" ca="1">INDEX('Isaac 401k'!L:L,MATCH('Retirement Calculator'!A776,'Isaac 401k'!N:N,0),0)</f>
        <v>-1078465.7386213327</v>
      </c>
      <c r="R776" s="25">
        <f t="array" aca="1" ref="R776" ca="1">INDEX('Lorri 401b'!L:L,MATCH('Retirement Calculator'!A776,'Lorri 401b'!N:N,0),0)</f>
        <v>-5341046.4241336351</v>
      </c>
      <c r="S776" s="25">
        <f t="shared" ref="S776:S1030" ca="1" si="787">SUM(Q776:R776)</f>
        <v>-6419512.1627549678</v>
      </c>
    </row>
    <row r="777" spans="1:19" ht="15.75" customHeight="1" x14ac:dyDescent="0.3">
      <c r="A777" s="37">
        <v>74602</v>
      </c>
      <c r="B777" s="409">
        <f t="shared" ref="B777:C777" si="788">($A777-B$9)/365.25</f>
        <v>122.3709787816564</v>
      </c>
      <c r="C777" s="409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3525.4531757812501</v>
      </c>
      <c r="H777" s="25">
        <f>IF(B777&lt;62,0,'Combined Retirement'!$I$14)</f>
        <v>2192</v>
      </c>
      <c r="I777" s="25">
        <f>IF(C777&lt;62,0,'Combined Retirement'!$I$13)</f>
        <v>2420</v>
      </c>
      <c r="J777" s="25">
        <f t="shared" si="783"/>
        <v>7863.2184191855868</v>
      </c>
      <c r="K777" s="25">
        <f t="shared" si="784"/>
        <v>20282.026119384056</v>
      </c>
      <c r="L777" s="25"/>
      <c r="N777" s="25">
        <f>'Combined Retirement'!$C$18/12</f>
        <v>39153.069999999992</v>
      </c>
      <c r="O777" s="25">
        <f t="shared" si="785"/>
        <v>11007.82546143035</v>
      </c>
      <c r="P777" s="25">
        <f t="shared" si="786"/>
        <v>28145.244538569641</v>
      </c>
      <c r="Q777" s="25">
        <f t="array" aca="1" ref="Q777" ca="1">INDEX('Isaac 401k'!L:L,MATCH('Retirement Calculator'!A777,'Isaac 401k'!N:N,0),0)</f>
        <v>-1090855.3276948538</v>
      </c>
      <c r="R777" s="25">
        <f t="array" aca="1" ref="R777" ca="1">INDEX('Lorri 401b'!L:L,MATCH('Retirement Calculator'!A777,'Lorri 401b'!N:N,0),0)</f>
        <v>-5383667.3187957397</v>
      </c>
      <c r="S777" s="25">
        <f t="shared" ca="1" si="787"/>
        <v>-6474522.6464905934</v>
      </c>
    </row>
    <row r="778" spans="1:19" ht="15.75" customHeight="1" x14ac:dyDescent="0.3">
      <c r="A778" s="37">
        <v>74632</v>
      </c>
      <c r="B778" s="409">
        <f t="shared" ref="B778:C778" si="789">($A778-B$9)/365.25</f>
        <v>122.45311430527036</v>
      </c>
      <c r="C778" s="409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3525.4531757812501</v>
      </c>
      <c r="H778" s="25">
        <f>IF(B778&lt;62,0,'Combined Retirement'!$I$14)</f>
        <v>2192</v>
      </c>
      <c r="I778" s="25">
        <f>IF(C778&lt;62,0,'Combined Retirement'!$I$13)</f>
        <v>2420</v>
      </c>
      <c r="J778" s="25">
        <f t="shared" si="783"/>
        <v>7863.2184191855868</v>
      </c>
      <c r="K778" s="25">
        <f t="shared" si="784"/>
        <v>20282.026119384056</v>
      </c>
      <c r="L778" s="25"/>
      <c r="N778" s="25">
        <f>'Combined Retirement'!$C$18/12</f>
        <v>39153.069999999992</v>
      </c>
      <c r="O778" s="25">
        <f t="shared" si="785"/>
        <v>11007.82546143035</v>
      </c>
      <c r="P778" s="25">
        <f t="shared" si="786"/>
        <v>28145.244538569641</v>
      </c>
      <c r="Q778" s="25">
        <f t="array" aca="1" ref="Q778" ca="1">INDEX('Isaac 401k'!L:L,MATCH('Retirement Calculator'!A778,'Isaac 401k'!N:N,0),0)</f>
        <v>-1103296.5400561811</v>
      </c>
      <c r="R778" s="25">
        <f t="array" aca="1" ref="R778" ca="1">INDEX('Lorri 401b'!L:L,MATCH('Retirement Calculator'!A778,'Lorri 401b'!N:N,0),0)</f>
        <v>-5426465.8005189365</v>
      </c>
      <c r="S778" s="25">
        <f t="shared" ca="1" si="787"/>
        <v>-6529762.3405751176</v>
      </c>
    </row>
    <row r="779" spans="1:19" ht="15.75" customHeight="1" x14ac:dyDescent="0.3">
      <c r="A779" s="37">
        <v>74663</v>
      </c>
      <c r="B779" s="409">
        <f t="shared" ref="B779:C779" si="790">($A779-B$9)/365.25</f>
        <v>122.53798767967146</v>
      </c>
      <c r="C779" s="409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3525.4531757812501</v>
      </c>
      <c r="H779" s="25">
        <f>IF(B779&lt;62,0,'Combined Retirement'!$I$14)</f>
        <v>2192</v>
      </c>
      <c r="I779" s="25">
        <f>IF(C779&lt;62,0,'Combined Retirement'!$I$13)</f>
        <v>2420</v>
      </c>
      <c r="J779" s="25">
        <f t="shared" si="783"/>
        <v>7863.2184191855868</v>
      </c>
      <c r="K779" s="25">
        <f t="shared" si="784"/>
        <v>20282.026119384056</v>
      </c>
      <c r="L779" s="25"/>
      <c r="N779" s="25">
        <f>'Combined Retirement'!$C$18/12</f>
        <v>39153.069999999992</v>
      </c>
      <c r="O779" s="25">
        <f t="shared" si="785"/>
        <v>11007.82546143035</v>
      </c>
      <c r="P779" s="25">
        <f t="shared" si="786"/>
        <v>28145.244538569641</v>
      </c>
      <c r="Q779" s="25">
        <f t="array" aca="1" ref="Q779" ca="1">INDEX('Isaac 401k'!L:L,MATCH('Retirement Calculator'!A779,'Isaac 401k'!N:N,0),0)</f>
        <v>-1115789.5908023475</v>
      </c>
      <c r="R779" s="25">
        <f t="array" aca="1" ref="R779" ca="1">INDEX('Lorri 401b'!L:L,MATCH('Retirement Calculator'!A779,'Lorri 401b'!N:N,0),0)</f>
        <v>-5469442.6092493134</v>
      </c>
      <c r="S779" s="25">
        <f t="shared" ca="1" si="787"/>
        <v>-6585232.2000516606</v>
      </c>
    </row>
    <row r="780" spans="1:19" ht="15.75" customHeight="1" x14ac:dyDescent="0.3">
      <c r="A780" s="37">
        <v>74693</v>
      </c>
      <c r="B780" s="409">
        <f t="shared" ref="B780:C780" si="791">($A780-B$9)/365.25</f>
        <v>122.62012320328542</v>
      </c>
      <c r="C780" s="409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3525.4531757812501</v>
      </c>
      <c r="H780" s="25">
        <f>IF(B780&lt;62,0,'Combined Retirement'!$I$14)</f>
        <v>2192</v>
      </c>
      <c r="I780" s="25">
        <f>IF(C780&lt;62,0,'Combined Retirement'!$I$13)</f>
        <v>2420</v>
      </c>
      <c r="J780" s="25">
        <f t="shared" si="783"/>
        <v>7863.2184191855868</v>
      </c>
      <c r="K780" s="25">
        <f t="shared" si="784"/>
        <v>20282.026119384056</v>
      </c>
      <c r="L780" s="25"/>
      <c r="N780" s="25">
        <f>'Combined Retirement'!$C$18/12</f>
        <v>39153.069999999992</v>
      </c>
      <c r="O780" s="25">
        <f t="shared" si="785"/>
        <v>11007.82546143035</v>
      </c>
      <c r="P780" s="25">
        <f t="shared" si="786"/>
        <v>28145.244538569641</v>
      </c>
      <c r="Q780" s="25">
        <f t="array" aca="1" ref="Q780" ca="1">INDEX('Isaac 401k'!L:L,MATCH('Retirement Calculator'!A780,'Isaac 401k'!N:N,0),0)</f>
        <v>-1128334.695926623</v>
      </c>
      <c r="R780" s="25">
        <f t="array" aca="1" ref="R780" ca="1">INDEX('Lorri 401b'!L:L,MATCH('Retirement Calculator'!A780,'Lorri 401b'!N:N,0),0)</f>
        <v>-5512598.4880160671</v>
      </c>
      <c r="S780" s="25">
        <f t="shared" ca="1" si="787"/>
        <v>-6640933.1839426905</v>
      </c>
    </row>
    <row r="781" spans="1:19" ht="15.75" customHeight="1" x14ac:dyDescent="0.3">
      <c r="A781" s="37">
        <v>74724</v>
      </c>
      <c r="B781" s="409">
        <f t="shared" ref="B781:C781" si="792">($A781-B$9)/365.25</f>
        <v>122.70499657768652</v>
      </c>
      <c r="C781" s="409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3525.4531757812501</v>
      </c>
      <c r="H781" s="25">
        <f>IF(B781&lt;62,0,'Combined Retirement'!$I$14)</f>
        <v>2192</v>
      </c>
      <c r="I781" s="25">
        <f>IF(C781&lt;62,0,'Combined Retirement'!$I$13)</f>
        <v>2420</v>
      </c>
      <c r="J781" s="25">
        <f t="shared" si="783"/>
        <v>7863.2184191855868</v>
      </c>
      <c r="K781" s="25">
        <f t="shared" si="784"/>
        <v>20282.026119384056</v>
      </c>
      <c r="L781" s="25"/>
      <c r="N781" s="25">
        <f>'Combined Retirement'!$C$18/12</f>
        <v>39153.069999999992</v>
      </c>
      <c r="O781" s="25">
        <f t="shared" si="785"/>
        <v>11007.82546143035</v>
      </c>
      <c r="P781" s="25">
        <f t="shared" si="786"/>
        <v>28145.244538569641</v>
      </c>
      <c r="Q781" s="25">
        <f t="array" aca="1" ref="Q781" ca="1">INDEX('Isaac 401k'!L:L,MATCH('Retirement Calculator'!A781,'Isaac 401k'!N:N,0),0)</f>
        <v>-1140932.0723222494</v>
      </c>
      <c r="R781" s="25">
        <f t="array" aca="1" ref="R781" ca="1">INDEX('Lorri 401b'!L:L,MATCH('Retirement Calculator'!A781,'Lorri 401b'!N:N,0),0)</f>
        <v>-5555934.182944349</v>
      </c>
      <c r="S781" s="25">
        <f t="shared" ca="1" si="787"/>
        <v>-6696866.2552665984</v>
      </c>
    </row>
    <row r="782" spans="1:19" ht="15.75" customHeight="1" x14ac:dyDescent="0.3">
      <c r="A782" s="37">
        <v>74755</v>
      </c>
      <c r="B782" s="409">
        <f t="shared" ref="B782:C782" si="793">($A782-B$9)/365.25</f>
        <v>122.78986995208761</v>
      </c>
      <c r="C782" s="409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3525.4531757812501</v>
      </c>
      <c r="H782" s="25">
        <f>IF(B782&lt;62,0,'Combined Retirement'!$I$14)</f>
        <v>2192</v>
      </c>
      <c r="I782" s="25">
        <f>IF(C782&lt;62,0,'Combined Retirement'!$I$13)</f>
        <v>2420</v>
      </c>
      <c r="J782" s="25">
        <f t="shared" si="783"/>
        <v>7863.2184191855868</v>
      </c>
      <c r="K782" s="25">
        <f t="shared" si="784"/>
        <v>20282.026119384056</v>
      </c>
      <c r="L782" s="25"/>
      <c r="N782" s="25">
        <f>'Combined Retirement'!$C$18/12</f>
        <v>39153.069999999992</v>
      </c>
      <c r="O782" s="25">
        <f t="shared" si="785"/>
        <v>11007.82546143035</v>
      </c>
      <c r="P782" s="25">
        <f t="shared" si="786"/>
        <v>28145.244538569641</v>
      </c>
      <c r="Q782" s="25">
        <f t="array" aca="1" ref="Q782" ca="1">INDEX('Isaac 401k'!L:L,MATCH('Retirement Calculator'!A782,'Isaac 401k'!N:N,0),0)</f>
        <v>-1153581.937786191</v>
      </c>
      <c r="R782" s="25">
        <f t="array" aca="1" ref="R782" ca="1">INDEX('Lorri 401b'!L:L,MATCH('Retirement Calculator'!A782,'Lorri 401b'!N:N,0),0)</f>
        <v>-5599450.443268165</v>
      </c>
      <c r="S782" s="25">
        <f t="shared" ca="1" si="787"/>
        <v>-6753032.3810543558</v>
      </c>
    </row>
    <row r="783" spans="1:19" ht="15.75" customHeight="1" x14ac:dyDescent="0.3">
      <c r="A783" s="37">
        <v>74785</v>
      </c>
      <c r="B783" s="409">
        <f t="shared" ref="B783:C783" si="794">($A783-B$9)/365.25</f>
        <v>122.87200547570157</v>
      </c>
      <c r="C783" s="409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3525.4531757812501</v>
      </c>
      <c r="H783" s="25">
        <f>IF(B783&lt;62,0,'Combined Retirement'!$I$14)</f>
        <v>2192</v>
      </c>
      <c r="I783" s="25">
        <f>IF(C783&lt;62,0,'Combined Retirement'!$I$13)</f>
        <v>2420</v>
      </c>
      <c r="J783" s="25">
        <f t="shared" si="783"/>
        <v>7863.2184191855868</v>
      </c>
      <c r="K783" s="25">
        <f t="shared" si="784"/>
        <v>20282.026119384056</v>
      </c>
      <c r="L783" s="25"/>
      <c r="N783" s="25">
        <f>'Combined Retirement'!$C$18/12</f>
        <v>39153.069999999992</v>
      </c>
      <c r="O783" s="25">
        <f t="shared" si="785"/>
        <v>11007.82546143035</v>
      </c>
      <c r="P783" s="25">
        <f t="shared" si="786"/>
        <v>28145.244538569641</v>
      </c>
      <c r="Q783" s="25">
        <f t="array" aca="1" ref="Q783" ca="1">INDEX('Isaac 401k'!L:L,MATCH('Retirement Calculator'!A783,'Isaac 401k'!N:N,0),0)</f>
        <v>-1166284.5110228991</v>
      </c>
      <c r="R783" s="25">
        <f t="array" aca="1" ref="R783" ca="1">INDEX('Lorri 401b'!L:L,MATCH('Retirement Calculator'!A783,'Lorri 401b'!N:N,0),0)</f>
        <v>-5643148.0213433309</v>
      </c>
      <c r="S783" s="25">
        <f t="shared" ca="1" si="787"/>
        <v>-6809432.5323662302</v>
      </c>
    </row>
    <row r="784" spans="1:19" ht="15.75" customHeight="1" x14ac:dyDescent="0.3">
      <c r="A784" s="37">
        <v>74816</v>
      </c>
      <c r="B784" s="409">
        <f t="shared" ref="B784:C784" si="795">($A784-B$9)/365.25</f>
        <v>122.95687885010267</v>
      </c>
      <c r="C784" s="409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3525.4531757812501</v>
      </c>
      <c r="H784" s="25">
        <f>IF(B784&lt;62,0,'Combined Retirement'!$I$14)</f>
        <v>2192</v>
      </c>
      <c r="I784" s="25">
        <f>IF(C784&lt;62,0,'Combined Retirement'!$I$13)</f>
        <v>2420</v>
      </c>
      <c r="J784" s="25">
        <f t="shared" si="783"/>
        <v>7863.2184191855868</v>
      </c>
      <c r="K784" s="25">
        <f t="shared" si="784"/>
        <v>20282.026119384056</v>
      </c>
      <c r="L784" s="25"/>
      <c r="N784" s="25">
        <f>'Combined Retirement'!$C$18/12</f>
        <v>39153.069999999992</v>
      </c>
      <c r="O784" s="25">
        <f t="shared" si="785"/>
        <v>11007.82546143035</v>
      </c>
      <c r="P784" s="25">
        <f t="shared" si="786"/>
        <v>28145.244538569641</v>
      </c>
      <c r="Q784" s="25">
        <f t="array" aca="1" ref="Q784" ca="1">INDEX('Isaac 401k'!L:L,MATCH('Retirement Calculator'!A784,'Isaac 401k'!N:N,0),0)</f>
        <v>-1179040.0116480934</v>
      </c>
      <c r="R784" s="25">
        <f t="array" aca="1" ref="R784" ca="1">INDEX('Lorri 401b'!L:L,MATCH('Retirement Calculator'!A784,'Lorri 401b'!N:N,0),0)</f>
        <v>-5687027.6726604765</v>
      </c>
      <c r="S784" s="25">
        <f t="shared" ca="1" si="787"/>
        <v>-6866067.6843085699</v>
      </c>
    </row>
    <row r="785" spans="1:19" ht="15.75" customHeight="1" x14ac:dyDescent="0.3">
      <c r="A785" s="37">
        <v>74846</v>
      </c>
      <c r="B785" s="409">
        <f t="shared" ref="B785:C785" si="796">($A785-B$9)/365.25</f>
        <v>123.03901437371663</v>
      </c>
      <c r="C785" s="409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3525.4531757812501</v>
      </c>
      <c r="H785" s="25">
        <f>IF(B785&lt;62,0,'Combined Retirement'!$I$14)</f>
        <v>2192</v>
      </c>
      <c r="I785" s="25">
        <f>IF(C785&lt;62,0,'Combined Retirement'!$I$13)</f>
        <v>2420</v>
      </c>
      <c r="J785" s="25">
        <f t="shared" si="783"/>
        <v>7863.2184191855868</v>
      </c>
      <c r="K785" s="25">
        <f t="shared" si="784"/>
        <v>20282.026119384056</v>
      </c>
      <c r="L785" s="25"/>
      <c r="N785" s="25">
        <f>'Combined Retirement'!$C$18/12</f>
        <v>39153.069999999992</v>
      </c>
      <c r="O785" s="25">
        <f t="shared" si="785"/>
        <v>11007.82546143035</v>
      </c>
      <c r="P785" s="25">
        <f t="shared" si="786"/>
        <v>28145.244538569641</v>
      </c>
      <c r="Q785" s="25">
        <f t="array" aca="1" ref="Q785" ca="1">INDEX('Isaac 401k'!L:L,MATCH('Retirement Calculator'!A785,'Isaac 401k'!N:N,0),0)</f>
        <v>-1191848.6601925592</v>
      </c>
      <c r="R785" s="25">
        <f t="array" aca="1" ref="R785" ca="1">INDEX('Lorri 401b'!L:L,MATCH('Retirement Calculator'!A785,'Lorri 401b'!N:N,0),0)</f>
        <v>-5731090.1558581097</v>
      </c>
      <c r="S785" s="25">
        <f t="shared" ca="1" si="787"/>
        <v>-6922938.8160506692</v>
      </c>
    </row>
    <row r="786" spans="1:19" ht="15.75" customHeight="1" x14ac:dyDescent="0.3">
      <c r="A786" s="37">
        <v>74877</v>
      </c>
      <c r="B786" s="409">
        <f t="shared" ref="B786:C786" si="797">($A786-B$9)/365.25</f>
        <v>123.12388774811772</v>
      </c>
      <c r="C786" s="409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3525.4531757812501</v>
      </c>
      <c r="H786" s="25">
        <f>IF(B786&lt;62,0,'Combined Retirement'!$I$14)</f>
        <v>2192</v>
      </c>
      <c r="I786" s="25">
        <f>IF(C786&lt;62,0,'Combined Retirement'!$I$13)</f>
        <v>2420</v>
      </c>
      <c r="J786" s="25">
        <f t="shared" si="783"/>
        <v>7863.2184191855868</v>
      </c>
      <c r="K786" s="25">
        <f t="shared" si="784"/>
        <v>20282.026119384056</v>
      </c>
      <c r="L786" s="25"/>
      <c r="N786" s="25">
        <f>'Combined Retirement'!$C$18/12</f>
        <v>39153.069999999992</v>
      </c>
      <c r="O786" s="25">
        <f t="shared" si="785"/>
        <v>11007.82546143035</v>
      </c>
      <c r="P786" s="25">
        <f t="shared" si="786"/>
        <v>28145.244538569641</v>
      </c>
      <c r="Q786" s="25">
        <f t="array" aca="1" ref="Q786" ca="1">INDEX('Isaac 401k'!L:L,MATCH('Retirement Calculator'!A786,'Isaac 401k'!N:N,0),0)</f>
        <v>-1204710.6781059604</v>
      </c>
      <c r="R786" s="25">
        <f t="array" aca="1" ref="R786" ca="1">INDEX('Lorri 401b'!L:L,MATCH('Retirement Calculator'!A786,'Lorri 401b'!N:N,0),0)</f>
        <v>-5775336.2327357335</v>
      </c>
      <c r="S786" s="25">
        <f t="shared" ca="1" si="787"/>
        <v>-6980046.9108416941</v>
      </c>
    </row>
    <row r="787" spans="1:19" ht="15.75" customHeight="1" x14ac:dyDescent="0.3">
      <c r="A787" s="37">
        <v>74908</v>
      </c>
      <c r="B787" s="409">
        <f t="shared" ref="B787:C787" si="798">($A787-B$9)/365.25</f>
        <v>123.20876112251882</v>
      </c>
      <c r="C787" s="409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3525.4531757812501</v>
      </c>
      <c r="H787" s="25">
        <f>IF(B787&lt;62,0,'Combined Retirement'!$I$14)</f>
        <v>2192</v>
      </c>
      <c r="I787" s="25">
        <f>IF(C787&lt;62,0,'Combined Retirement'!$I$13)</f>
        <v>2420</v>
      </c>
      <c r="J787" s="25">
        <f t="shared" si="783"/>
        <v>7863.2184191855868</v>
      </c>
      <c r="K787" s="25">
        <f t="shared" si="784"/>
        <v>20282.026119384056</v>
      </c>
      <c r="L787" s="25"/>
      <c r="N787" s="25">
        <f>'Combined Retirement'!$C$18/12</f>
        <v>39153.069999999992</v>
      </c>
      <c r="O787" s="25">
        <f t="shared" si="785"/>
        <v>11007.82546143035</v>
      </c>
      <c r="P787" s="25">
        <f t="shared" si="786"/>
        <v>28145.244538569641</v>
      </c>
      <c r="Q787" s="25">
        <f t="array" aca="1" ref="Q787" ca="1">INDEX('Isaac 401k'!L:L,MATCH('Retirement Calculator'!A787,'Isaac 401k'!N:N,0),0)</f>
        <v>-1217626.2877606675</v>
      </c>
      <c r="R787" s="25">
        <f t="array" aca="1" ref="R787" ca="1">INDEX('Lorri 401b'!L:L,MATCH('Retirement Calculator'!A787,'Lorri 401b'!N:N,0),0)</f>
        <v>-5819766.6682670135</v>
      </c>
      <c r="S787" s="25">
        <f t="shared" ca="1" si="787"/>
        <v>-7037392.956027681</v>
      </c>
    </row>
    <row r="788" spans="1:19" ht="15.75" customHeight="1" x14ac:dyDescent="0.3">
      <c r="A788" s="37">
        <v>74936</v>
      </c>
      <c r="B788" s="409">
        <f t="shared" ref="B788:C788" si="799">($A788-B$9)/365.25</f>
        <v>123.28542094455852</v>
      </c>
      <c r="C788" s="409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3525.4531757812501</v>
      </c>
      <c r="H788" s="25">
        <f>IF(B788&lt;62,0,'Combined Retirement'!$I$14)</f>
        <v>2192</v>
      </c>
      <c r="I788" s="25">
        <f>IF(C788&lt;62,0,'Combined Retirement'!$I$13)</f>
        <v>2420</v>
      </c>
      <c r="J788" s="25">
        <f t="shared" si="783"/>
        <v>7863.2184191855868</v>
      </c>
      <c r="K788" s="25">
        <f t="shared" si="784"/>
        <v>20282.026119384056</v>
      </c>
      <c r="L788" s="25"/>
      <c r="N788" s="25">
        <f>'Combined Retirement'!$C$18/12</f>
        <v>39153.069999999992</v>
      </c>
      <c r="O788" s="25">
        <f t="shared" si="785"/>
        <v>11007.82546143035</v>
      </c>
      <c r="P788" s="25">
        <f t="shared" si="786"/>
        <v>28145.244538569641</v>
      </c>
      <c r="Q788" s="25">
        <f t="array" aca="1" ref="Q788" ca="1">INDEX('Isaac 401k'!L:L,MATCH('Retirement Calculator'!A788,'Isaac 401k'!N:N,0),0)</f>
        <v>-1230595.7124556026</v>
      </c>
      <c r="R788" s="25">
        <f t="array" aca="1" ref="R788" ca="1">INDEX('Lorri 401b'!L:L,MATCH('Retirement Calculator'!A788,'Lorri 401b'!N:N,0),0)</f>
        <v>-5864382.2306130072</v>
      </c>
      <c r="S788" s="25">
        <f t="shared" ca="1" si="787"/>
        <v>-7094977.9430686096</v>
      </c>
    </row>
    <row r="789" spans="1:19" ht="15.75" customHeight="1" x14ac:dyDescent="0.3">
      <c r="A789" s="37">
        <v>74967</v>
      </c>
      <c r="B789" s="409">
        <f t="shared" ref="B789:C789" si="800">($A789-B$9)/365.25</f>
        <v>123.37029431895962</v>
      </c>
      <c r="C789" s="409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3525.4531757812501</v>
      </c>
      <c r="H789" s="25">
        <f>IF(B789&lt;62,0,'Combined Retirement'!$I$14)</f>
        <v>2192</v>
      </c>
      <c r="I789" s="25">
        <f>IF(C789&lt;62,0,'Combined Retirement'!$I$13)</f>
        <v>2420</v>
      </c>
      <c r="J789" s="25">
        <f t="shared" si="783"/>
        <v>7863.2184191855868</v>
      </c>
      <c r="K789" s="25">
        <f t="shared" si="784"/>
        <v>20282.026119384056</v>
      </c>
      <c r="L789" s="25"/>
      <c r="N789" s="25">
        <f>'Combined Retirement'!$C$18/12</f>
        <v>39153.069999999992</v>
      </c>
      <c r="O789" s="25">
        <f t="shared" si="785"/>
        <v>11007.82546143035</v>
      </c>
      <c r="P789" s="25">
        <f t="shared" si="786"/>
        <v>28145.244538569641</v>
      </c>
      <c r="Q789" s="25">
        <f t="array" aca="1" ref="Q789" ca="1">INDEX('Isaac 401k'!L:L,MATCH('Retirement Calculator'!A789,'Isaac 401k'!N:N,0),0)</f>
        <v>-1243619.1764200998</v>
      </c>
      <c r="R789" s="25">
        <f t="array" aca="1" ref="R789" ca="1">INDEX('Lorri 401b'!L:L,MATCH('Retirement Calculator'!A789,'Lorri 401b'!N:N,0),0)</f>
        <v>-5909183.6911354428</v>
      </c>
      <c r="S789" s="25">
        <f t="shared" ca="1" si="787"/>
        <v>-7152802.8675555428</v>
      </c>
    </row>
    <row r="790" spans="1:19" ht="15.75" customHeight="1" x14ac:dyDescent="0.3">
      <c r="A790" s="37">
        <v>74997</v>
      </c>
      <c r="B790" s="409">
        <f t="shared" ref="B790:C790" si="801">($A790-B$9)/365.25</f>
        <v>123.45242984257358</v>
      </c>
      <c r="C790" s="409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3525.4531757812501</v>
      </c>
      <c r="H790" s="25">
        <f>IF(B790&lt;62,0,'Combined Retirement'!$I$14)</f>
        <v>2192</v>
      </c>
      <c r="I790" s="25">
        <f>IF(C790&lt;62,0,'Combined Retirement'!$I$13)</f>
        <v>2420</v>
      </c>
      <c r="J790" s="25">
        <f t="shared" si="783"/>
        <v>7863.2184191855868</v>
      </c>
      <c r="K790" s="25">
        <f t="shared" si="784"/>
        <v>20282.026119384056</v>
      </c>
      <c r="L790" s="25"/>
      <c r="N790" s="25">
        <f>'Combined Retirement'!$C$18/12</f>
        <v>39153.069999999992</v>
      </c>
      <c r="O790" s="25">
        <f t="shared" si="785"/>
        <v>11007.82546143035</v>
      </c>
      <c r="P790" s="25">
        <f t="shared" si="786"/>
        <v>28145.244538569641</v>
      </c>
      <c r="Q790" s="25">
        <f t="array" aca="1" ref="Q790" ca="1">INDEX('Isaac 401k'!L:L,MATCH('Retirement Calculator'!A790,'Isaac 401k'!N:N,0),0)</f>
        <v>-1256696.9048177823</v>
      </c>
      <c r="R790" s="25">
        <f t="array" aca="1" ref="R790" ca="1">INDEX('Lorri 401b'!L:L,MATCH('Retirement Calculator'!A790,'Lorri 401b'!N:N,0),0)</f>
        <v>-5954171.8244100548</v>
      </c>
      <c r="S790" s="25">
        <f t="shared" ca="1" si="787"/>
        <v>-7210868.7292278372</v>
      </c>
    </row>
    <row r="791" spans="1:19" ht="15.75" customHeight="1" x14ac:dyDescent="0.3">
      <c r="A791" s="37">
        <v>75028</v>
      </c>
      <c r="B791" s="409">
        <f t="shared" ref="B791:C791" si="802">($A791-B$9)/365.25</f>
        <v>123.53730321697468</v>
      </c>
      <c r="C791" s="409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3525.4531757812501</v>
      </c>
      <c r="H791" s="25">
        <f>IF(B791&lt;62,0,'Combined Retirement'!$I$14)</f>
        <v>2192</v>
      </c>
      <c r="I791" s="25">
        <f>IF(C791&lt;62,0,'Combined Retirement'!$I$13)</f>
        <v>2420</v>
      </c>
      <c r="J791" s="25">
        <f t="shared" si="783"/>
        <v>7863.2184191855868</v>
      </c>
      <c r="K791" s="25">
        <f t="shared" si="784"/>
        <v>20282.026119384056</v>
      </c>
      <c r="L791" s="25"/>
      <c r="N791" s="25">
        <f>'Combined Retirement'!$C$18/12</f>
        <v>39153.069999999992</v>
      </c>
      <c r="O791" s="25">
        <f t="shared" si="785"/>
        <v>11007.82546143035</v>
      </c>
      <c r="P791" s="25">
        <f t="shared" si="786"/>
        <v>28145.244538569641</v>
      </c>
      <c r="Q791" s="25">
        <f t="array" aca="1" ref="Q791" ca="1">INDEX('Isaac 401k'!L:L,MATCH('Retirement Calculator'!A791,'Isaac 401k'!N:N,0),0)</f>
        <v>-1269829.1237504552</v>
      </c>
      <c r="R791" s="25">
        <f t="array" aca="1" ref="R791" ca="1">INDEX('Lorri 401b'!L:L,MATCH('Retirement Calculator'!A791,'Lorri 401b'!N:N,0),0)</f>
        <v>-5999347.4082399784</v>
      </c>
      <c r="S791" s="25">
        <f t="shared" ca="1" si="787"/>
        <v>-7269176.5319904331</v>
      </c>
    </row>
    <row r="792" spans="1:19" ht="15.75" customHeight="1" x14ac:dyDescent="0.3">
      <c r="A792" s="37">
        <v>75058</v>
      </c>
      <c r="B792" s="409">
        <f t="shared" ref="B792:C792" si="803">($A792-B$9)/365.25</f>
        <v>123.61943874058863</v>
      </c>
      <c r="C792" s="409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3525.4531757812501</v>
      </c>
      <c r="H792" s="25">
        <f>IF(B792&lt;62,0,'Combined Retirement'!$I$14)</f>
        <v>2192</v>
      </c>
      <c r="I792" s="25">
        <f>IF(C792&lt;62,0,'Combined Retirement'!$I$13)</f>
        <v>2420</v>
      </c>
      <c r="J792" s="25">
        <f t="shared" si="783"/>
        <v>7863.2184191855868</v>
      </c>
      <c r="K792" s="25">
        <f t="shared" si="784"/>
        <v>20282.026119384056</v>
      </c>
      <c r="L792" s="25"/>
      <c r="N792" s="25">
        <f>'Combined Retirement'!$C$18/12</f>
        <v>39153.069999999992</v>
      </c>
      <c r="O792" s="25">
        <f t="shared" si="785"/>
        <v>11007.82546143035</v>
      </c>
      <c r="P792" s="25">
        <f t="shared" si="786"/>
        <v>28145.244538569641</v>
      </c>
      <c r="Q792" s="25">
        <f t="array" aca="1" ref="Q792" ca="1">INDEX('Isaac 401k'!L:L,MATCH('Retirement Calculator'!A792,'Isaac 401k'!N:N,0),0)</f>
        <v>-1283016.0602620144</v>
      </c>
      <c r="R792" s="25">
        <f t="array" aca="1" ref="R792" ca="1">INDEX('Lorri 401b'!L:L,MATCH('Retirement Calculator'!A792,'Lorri 401b'!N:N,0),0)</f>
        <v>-6044711.2236691928</v>
      </c>
      <c r="S792" s="25">
        <f t="shared" ca="1" si="787"/>
        <v>-7327727.2839312069</v>
      </c>
    </row>
    <row r="793" spans="1:19" ht="15.75" customHeight="1" x14ac:dyDescent="0.3">
      <c r="A793" s="37">
        <v>75089</v>
      </c>
      <c r="B793" s="409">
        <f t="shared" ref="B793:C793" si="804">($A793-B$9)/365.25</f>
        <v>123.70431211498973</v>
      </c>
      <c r="C793" s="409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3525.4531757812501</v>
      </c>
      <c r="H793" s="25">
        <f>IF(B793&lt;62,0,'Combined Retirement'!$I$14)</f>
        <v>2192</v>
      </c>
      <c r="I793" s="25">
        <f>IF(C793&lt;62,0,'Combined Retirement'!$I$13)</f>
        <v>2420</v>
      </c>
      <c r="J793" s="25">
        <f t="shared" si="783"/>
        <v>7863.2184191855868</v>
      </c>
      <c r="K793" s="25">
        <f t="shared" si="784"/>
        <v>20282.026119384056</v>
      </c>
      <c r="L793" s="25"/>
      <c r="N793" s="25">
        <f>'Combined Retirement'!$C$18/12</f>
        <v>39153.069999999992</v>
      </c>
      <c r="O793" s="25">
        <f t="shared" si="785"/>
        <v>11007.82546143035</v>
      </c>
      <c r="P793" s="25">
        <f t="shared" si="786"/>
        <v>28145.244538569641</v>
      </c>
      <c r="Q793" s="25">
        <f t="array" aca="1" ref="Q793" ca="1">INDEX('Isaac 401k'!L:L,MATCH('Retirement Calculator'!A793,'Isaac 401k'!N:N,0),0)</f>
        <v>-1296257.9423423717</v>
      </c>
      <c r="R793" s="25">
        <f t="array" aca="1" ref="R793" ca="1">INDEX('Lorri 401b'!L:L,MATCH('Retirement Calculator'!A793,'Lorri 401b'!N:N,0),0)</f>
        <v>-6090264.0549960295</v>
      </c>
      <c r="S793" s="25">
        <f t="shared" ca="1" si="787"/>
        <v>-7386521.9973384012</v>
      </c>
    </row>
    <row r="794" spans="1:19" ht="15.75" customHeight="1" x14ac:dyDescent="0.3">
      <c r="A794" s="37">
        <v>75120</v>
      </c>
      <c r="B794" s="409">
        <f t="shared" ref="B794:C794" si="805">($A794-B$9)/365.25</f>
        <v>123.78918548939083</v>
      </c>
      <c r="C794" s="409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3525.4531757812501</v>
      </c>
      <c r="H794" s="25">
        <f>IF(B794&lt;62,0,'Combined Retirement'!$I$14)</f>
        <v>2192</v>
      </c>
      <c r="I794" s="25">
        <f>IF(C794&lt;62,0,'Combined Retirement'!$I$13)</f>
        <v>2420</v>
      </c>
      <c r="J794" s="25">
        <f t="shared" si="783"/>
        <v>7863.2184191855868</v>
      </c>
      <c r="K794" s="25">
        <f t="shared" si="784"/>
        <v>20282.026119384056</v>
      </c>
      <c r="L794" s="25"/>
      <c r="N794" s="25">
        <f>'Combined Retirement'!$C$18/12</f>
        <v>39153.069999999992</v>
      </c>
      <c r="O794" s="25">
        <f t="shared" si="785"/>
        <v>11007.82546143035</v>
      </c>
      <c r="P794" s="25">
        <f t="shared" si="786"/>
        <v>28145.244538569641</v>
      </c>
      <c r="Q794" s="25">
        <f t="array" aca="1" ref="Q794" ca="1">INDEX('Isaac 401k'!L:L,MATCH('Retirement Calculator'!A794,'Isaac 401k'!N:N,0),0)</f>
        <v>-1309554.9989313972</v>
      </c>
      <c r="R794" s="25">
        <f t="array" aca="1" ref="R794" ca="1">INDEX('Lorri 401b'!L:L,MATCH('Retirement Calculator'!A794,'Lorri 401b'!N:N,0),0)</f>
        <v>-6136006.6897867275</v>
      </c>
      <c r="S794" s="25">
        <f t="shared" ca="1" si="787"/>
        <v>-7445561.6887181252</v>
      </c>
    </row>
    <row r="795" spans="1:19" ht="15.75" customHeight="1" x14ac:dyDescent="0.3">
      <c r="A795" s="37">
        <v>75150</v>
      </c>
      <c r="B795" s="409">
        <f t="shared" ref="B795:C795" si="806">($A795-B$9)/365.25</f>
        <v>123.87132101300479</v>
      </c>
      <c r="C795" s="409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3525.4531757812501</v>
      </c>
      <c r="H795" s="25">
        <f>IF(B795&lt;62,0,'Combined Retirement'!$I$14)</f>
        <v>2192</v>
      </c>
      <c r="I795" s="25">
        <f>IF(C795&lt;62,0,'Combined Retirement'!$I$13)</f>
        <v>2420</v>
      </c>
      <c r="J795" s="25">
        <f t="shared" si="783"/>
        <v>7863.2184191855868</v>
      </c>
      <c r="K795" s="25">
        <f t="shared" si="784"/>
        <v>20282.026119384056</v>
      </c>
      <c r="L795" s="25"/>
      <c r="N795" s="25">
        <f>'Combined Retirement'!$C$18/12</f>
        <v>39153.069999999992</v>
      </c>
      <c r="O795" s="25">
        <f t="shared" si="785"/>
        <v>11007.82546143035</v>
      </c>
      <c r="P795" s="25">
        <f t="shared" si="786"/>
        <v>28145.244538569641</v>
      </c>
      <c r="Q795" s="25">
        <f t="array" aca="1" ref="Q795" ca="1">INDEX('Isaac 401k'!L:L,MATCH('Retirement Calculator'!A795,'Isaac 401k'!N:N,0),0)</f>
        <v>-1322907.4599228769</v>
      </c>
      <c r="R795" s="25">
        <f t="array" aca="1" ref="R795" ca="1">INDEX('Lorri 401b'!L:L,MATCH('Retirement Calculator'!A795,'Lorri 401b'!N:N,0),0)</f>
        <v>-6181939.9188890541</v>
      </c>
      <c r="S795" s="25">
        <f t="shared" ca="1" si="787"/>
        <v>-7504847.3788119312</v>
      </c>
    </row>
    <row r="796" spans="1:19" ht="15.75" customHeight="1" x14ac:dyDescent="0.3">
      <c r="A796" s="37">
        <v>75181</v>
      </c>
      <c r="B796" s="409">
        <f t="shared" ref="B796:C796" si="807">($A796-B$9)/365.25</f>
        <v>123.95619438740589</v>
      </c>
      <c r="C796" s="409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3525.4531757812501</v>
      </c>
      <c r="H796" s="25">
        <f>IF(B796&lt;62,0,'Combined Retirement'!$I$14)</f>
        <v>2192</v>
      </c>
      <c r="I796" s="25">
        <f>IF(C796&lt;62,0,'Combined Retirement'!$I$13)</f>
        <v>2420</v>
      </c>
      <c r="J796" s="25">
        <f t="shared" si="783"/>
        <v>7863.2184191855868</v>
      </c>
      <c r="K796" s="25">
        <f t="shared" si="784"/>
        <v>20282.026119384056</v>
      </c>
      <c r="L796" s="25"/>
      <c r="N796" s="25">
        <f>'Combined Retirement'!$C$18/12</f>
        <v>39153.069999999992</v>
      </c>
      <c r="O796" s="25">
        <f t="shared" si="785"/>
        <v>11007.82546143035</v>
      </c>
      <c r="P796" s="25">
        <f t="shared" si="786"/>
        <v>28145.244538569641</v>
      </c>
      <c r="Q796" s="25">
        <f t="array" aca="1" ref="Q796" ca="1">INDEX('Isaac 401k'!L:L,MATCH('Retirement Calculator'!A796,'Isaac 401k'!N:N,0),0)</f>
        <v>-1336315.5561684878</v>
      </c>
      <c r="R796" s="25">
        <f t="array" aca="1" ref="R796" ca="1">INDEX('Lorri 401b'!L:L,MATCH('Retirement Calculator'!A796,'Lorri 401b'!N:N,0),0)</f>
        <v>-6228064.5364459734</v>
      </c>
      <c r="S796" s="25">
        <f t="shared" ca="1" si="787"/>
        <v>-7564380.0926144607</v>
      </c>
    </row>
    <row r="797" spans="1:19" ht="15.75" customHeight="1" x14ac:dyDescent="0.3">
      <c r="A797" s="37">
        <v>75211</v>
      </c>
      <c r="B797" s="409">
        <f t="shared" ref="B797:C797" si="808">($A797-B$9)/365.25</f>
        <v>124.03832991101984</v>
      </c>
      <c r="C797" s="409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3525.4531757812501</v>
      </c>
      <c r="H797" s="25">
        <f>IF(B797&lt;62,0,'Combined Retirement'!$I$14)</f>
        <v>2192</v>
      </c>
      <c r="I797" s="25">
        <f>IF(C797&lt;62,0,'Combined Retirement'!$I$13)</f>
        <v>2420</v>
      </c>
      <c r="J797" s="25">
        <f t="shared" si="783"/>
        <v>7863.2184191855868</v>
      </c>
      <c r="K797" s="25">
        <f t="shared" si="784"/>
        <v>20282.026119384056</v>
      </c>
      <c r="L797" s="25"/>
      <c r="N797" s="25">
        <f>'Combined Retirement'!$C$18/12</f>
        <v>39153.069999999992</v>
      </c>
      <c r="O797" s="25">
        <f t="shared" si="785"/>
        <v>11007.82546143035</v>
      </c>
      <c r="P797" s="25">
        <f t="shared" si="786"/>
        <v>28145.244538569641</v>
      </c>
      <c r="Q797" s="25">
        <f t="array" aca="1" ref="Q797" ca="1">INDEX('Isaac 401k'!L:L,MATCH('Retirement Calculator'!A797,'Isaac 401k'!N:N,0),0)</f>
        <v>-1349779.5194817886</v>
      </c>
      <c r="R797" s="25">
        <f t="array" aca="1" ref="R797" ca="1">INDEX('Lorri 401b'!L:L,MATCH('Retirement Calculator'!A797,'Lorri 401b'!N:N,0),0)</f>
        <v>-6274381.3399093794</v>
      </c>
      <c r="S797" s="25">
        <f t="shared" ca="1" si="787"/>
        <v>-7624160.8593911678</v>
      </c>
    </row>
    <row r="798" spans="1:19" ht="15.75" customHeight="1" x14ac:dyDescent="0.3">
      <c r="A798" s="37">
        <v>75242</v>
      </c>
      <c r="B798" s="409">
        <f t="shared" ref="B798:C798" si="809">($A798-B$9)/365.25</f>
        <v>124.12320328542094</v>
      </c>
      <c r="C798" s="409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3525.4531757812501</v>
      </c>
      <c r="H798" s="25">
        <f>IF(B798&lt;62,0,'Combined Retirement'!$I$14)</f>
        <v>2192</v>
      </c>
      <c r="I798" s="25">
        <f>IF(C798&lt;62,0,'Combined Retirement'!$I$13)</f>
        <v>2420</v>
      </c>
      <c r="J798" s="25">
        <f t="shared" si="783"/>
        <v>7863.2184191855868</v>
      </c>
      <c r="K798" s="25">
        <f t="shared" si="784"/>
        <v>20282.026119384056</v>
      </c>
      <c r="L798" s="25"/>
      <c r="N798" s="25">
        <f>'Combined Retirement'!$C$18/12</f>
        <v>39153.069999999992</v>
      </c>
      <c r="O798" s="25">
        <f t="shared" si="785"/>
        <v>11007.82546143035</v>
      </c>
      <c r="P798" s="25">
        <f t="shared" si="786"/>
        <v>28145.244538569641</v>
      </c>
      <c r="Q798" s="25">
        <f t="array" aca="1" ref="Q798" ca="1">INDEX('Isaac 401k'!L:L,MATCH('Retirement Calculator'!A798,'Isaac 401k'!N:N,0),0)</f>
        <v>-1363299.5826422283</v>
      </c>
      <c r="R798" s="25">
        <f t="array" aca="1" ref="R798" ca="1">INDEX('Lorri 401b'!L:L,MATCH('Retirement Calculator'!A798,'Lorri 401b'!N:N,0),0)</f>
        <v>-6320891.1300538834</v>
      </c>
      <c r="S798" s="25">
        <f t="shared" ca="1" si="787"/>
        <v>-7684190.7126961118</v>
      </c>
    </row>
    <row r="799" spans="1:19" ht="15.75" customHeight="1" x14ac:dyDescent="0.3">
      <c r="A799" s="37">
        <v>75273</v>
      </c>
      <c r="B799" s="409">
        <f t="shared" ref="B799:C799" si="810">($A799-B$9)/365.25</f>
        <v>124.20807665982204</v>
      </c>
      <c r="C799" s="409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3525.4531757812501</v>
      </c>
      <c r="H799" s="25">
        <f>IF(B799&lt;62,0,'Combined Retirement'!$I$14)</f>
        <v>2192</v>
      </c>
      <c r="I799" s="25">
        <f>IF(C799&lt;62,0,'Combined Retirement'!$I$13)</f>
        <v>2420</v>
      </c>
      <c r="J799" s="25">
        <f t="shared" si="783"/>
        <v>7863.2184191855868</v>
      </c>
      <c r="K799" s="25">
        <f t="shared" si="784"/>
        <v>20282.026119384056</v>
      </c>
      <c r="L799" s="25"/>
      <c r="N799" s="25">
        <f>'Combined Retirement'!$C$18/12</f>
        <v>39153.069999999992</v>
      </c>
      <c r="O799" s="25">
        <f t="shared" si="785"/>
        <v>11007.82546143035</v>
      </c>
      <c r="P799" s="25">
        <f t="shared" si="786"/>
        <v>28145.244538569641</v>
      </c>
      <c r="Q799" s="25">
        <f t="array" aca="1" ref="Q799" ca="1">INDEX('Isaac 401k'!L:L,MATCH('Retirement Calculator'!A799,'Isaac 401k'!N:N,0),0)</f>
        <v>-1376875.9793991698</v>
      </c>
      <c r="R799" s="25">
        <f t="array" aca="1" ref="R799" ca="1">INDEX('Lorri 401b'!L:L,MATCH('Retirement Calculator'!A799,'Lorri 401b'!N:N,0),0)</f>
        <v>-6367594.7109906562</v>
      </c>
      <c r="S799" s="25">
        <f t="shared" ca="1" si="787"/>
        <v>-7744470.690389826</v>
      </c>
    </row>
    <row r="800" spans="1:19" ht="15.75" customHeight="1" x14ac:dyDescent="0.3">
      <c r="A800" s="37">
        <v>75301</v>
      </c>
      <c r="B800" s="409">
        <f t="shared" ref="B800:C800" si="811">($A800-B$9)/365.25</f>
        <v>124.28473648186174</v>
      </c>
      <c r="C800" s="409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3525.4531757812501</v>
      </c>
      <c r="H800" s="25">
        <f>IF(B800&lt;62,0,'Combined Retirement'!$I$14)</f>
        <v>2192</v>
      </c>
      <c r="I800" s="25">
        <f>IF(C800&lt;62,0,'Combined Retirement'!$I$13)</f>
        <v>2420</v>
      </c>
      <c r="J800" s="25">
        <f t="shared" si="783"/>
        <v>7863.2184191855868</v>
      </c>
      <c r="K800" s="25">
        <f t="shared" si="784"/>
        <v>20282.026119384056</v>
      </c>
      <c r="L800" s="25"/>
      <c r="N800" s="25">
        <f>'Combined Retirement'!$C$18/12</f>
        <v>39153.069999999992</v>
      </c>
      <c r="O800" s="25">
        <f t="shared" si="785"/>
        <v>11007.82546143035</v>
      </c>
      <c r="P800" s="25">
        <f t="shared" si="786"/>
        <v>28145.244538569641</v>
      </c>
      <c r="Q800" s="25">
        <f t="array" aca="1" ref="Q800" ca="1">INDEX('Isaac 401k'!L:L,MATCH('Retirement Calculator'!A800,'Isaac 401k'!N:N,0),0)</f>
        <v>-1390508.9444759318</v>
      </c>
      <c r="R800" s="25">
        <f t="array" aca="1" ref="R800" ca="1">INDEX('Lorri 401b'!L:L,MATCH('Retirement Calculator'!A800,'Lorri 401b'!N:N,0),0)</f>
        <v>-6414492.8901813319</v>
      </c>
      <c r="S800" s="25">
        <f t="shared" ca="1" si="787"/>
        <v>-7805001.8346572639</v>
      </c>
    </row>
    <row r="801" spans="1:19" ht="15.75" customHeight="1" x14ac:dyDescent="0.3">
      <c r="A801" s="37">
        <v>75332</v>
      </c>
      <c r="B801" s="409">
        <f t="shared" ref="B801:C801" si="812">($A801-B$9)/365.25</f>
        <v>124.36960985626284</v>
      </c>
      <c r="C801" s="409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3525.4531757812501</v>
      </c>
      <c r="H801" s="25">
        <f>IF(B801&lt;62,0,'Combined Retirement'!$I$14)</f>
        <v>2192</v>
      </c>
      <c r="I801" s="25">
        <f>IF(C801&lt;62,0,'Combined Retirement'!$I$13)</f>
        <v>2420</v>
      </c>
      <c r="J801" s="25">
        <f t="shared" si="783"/>
        <v>7863.2184191855868</v>
      </c>
      <c r="K801" s="25">
        <f t="shared" si="784"/>
        <v>20282.026119384056</v>
      </c>
      <c r="L801" s="25"/>
      <c r="N801" s="25">
        <f>'Combined Retirement'!$C$18/12</f>
        <v>39153.069999999992</v>
      </c>
      <c r="O801" s="25">
        <f t="shared" si="785"/>
        <v>11007.82546143035</v>
      </c>
      <c r="P801" s="25">
        <f t="shared" si="786"/>
        <v>28145.244538569641</v>
      </c>
      <c r="Q801" s="25">
        <f t="array" aca="1" ref="Q801" ca="1">INDEX('Isaac 401k'!L:L,MATCH('Retirement Calculator'!A801,'Isaac 401k'!N:N,0),0)</f>
        <v>-1404198.713573847</v>
      </c>
      <c r="R801" s="25">
        <f t="array" aca="1" ref="R801" ca="1">INDEX('Lorri 401b'!L:L,MATCH('Retirement Calculator'!A801,'Lorri 401b'!N:N,0),0)</f>
        <v>-6461586.4784519691</v>
      </c>
      <c r="S801" s="25">
        <f t="shared" ca="1" si="787"/>
        <v>-7865785.1920258161</v>
      </c>
    </row>
    <row r="802" spans="1:19" ht="15.75" customHeight="1" x14ac:dyDescent="0.3">
      <c r="A802" s="37">
        <v>75362</v>
      </c>
      <c r="B802" s="409">
        <f t="shared" ref="B802:C802" si="813">($A802-B$9)/365.25</f>
        <v>124.4517453798768</v>
      </c>
      <c r="C802" s="409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3525.4531757812501</v>
      </c>
      <c r="H802" s="25">
        <f>IF(B802&lt;62,0,'Combined Retirement'!$I$14)</f>
        <v>2192</v>
      </c>
      <c r="I802" s="25">
        <f>IF(C802&lt;62,0,'Combined Retirement'!$I$13)</f>
        <v>2420</v>
      </c>
      <c r="J802" s="25">
        <f t="shared" si="783"/>
        <v>7863.2184191855868</v>
      </c>
      <c r="K802" s="25">
        <f t="shared" si="784"/>
        <v>20282.026119384056</v>
      </c>
      <c r="L802" s="25"/>
      <c r="N802" s="25">
        <f>'Combined Retirement'!$C$18/12</f>
        <v>39153.069999999992</v>
      </c>
      <c r="O802" s="25">
        <f t="shared" si="785"/>
        <v>11007.82546143035</v>
      </c>
      <c r="P802" s="25">
        <f t="shared" si="786"/>
        <v>28145.244538569641</v>
      </c>
      <c r="Q802" s="25">
        <f t="array" aca="1" ref="Q802" ca="1">INDEX('Isaac 401k'!L:L,MATCH('Retirement Calculator'!A802,'Isaac 401k'!N:N,0),0)</f>
        <v>-1417945.5233763368</v>
      </c>
      <c r="R802" s="25">
        <f t="array" aca="1" ref="R802" ca="1">INDEX('Lorri 401b'!L:L,MATCH('Retirement Calculator'!A802,'Lorri 401b'!N:N,0),0)</f>
        <v>-6508876.2900070669</v>
      </c>
      <c r="S802" s="25">
        <f t="shared" ca="1" si="787"/>
        <v>-7926821.8133834042</v>
      </c>
    </row>
    <row r="803" spans="1:19" ht="15.75" customHeight="1" x14ac:dyDescent="0.3">
      <c r="A803" s="37">
        <v>75393</v>
      </c>
      <c r="B803" s="409">
        <f t="shared" ref="B803:C803" si="814">($A803-B$9)/365.25</f>
        <v>124.5366187542779</v>
      </c>
      <c r="C803" s="409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3525.4531757812501</v>
      </c>
      <c r="H803" s="25">
        <f>IF(B803&lt;62,0,'Combined Retirement'!$I$14)</f>
        <v>2192</v>
      </c>
      <c r="I803" s="25">
        <f>IF(C803&lt;62,0,'Combined Retirement'!$I$13)</f>
        <v>2420</v>
      </c>
      <c r="J803" s="25">
        <f t="shared" si="783"/>
        <v>7863.2184191855868</v>
      </c>
      <c r="K803" s="25">
        <f t="shared" si="784"/>
        <v>20282.026119384056</v>
      </c>
      <c r="L803" s="25"/>
      <c r="N803" s="25">
        <f>'Combined Retirement'!$C$18/12</f>
        <v>39153.069999999992</v>
      </c>
      <c r="O803" s="25">
        <f t="shared" si="785"/>
        <v>11007.82546143035</v>
      </c>
      <c r="P803" s="25">
        <f t="shared" si="786"/>
        <v>28145.244538569641</v>
      </c>
      <c r="Q803" s="25">
        <f t="array" aca="1" ref="Q803" ca="1">INDEX('Isaac 401k'!L:L,MATCH('Retirement Calculator'!A803,'Isaac 401k'!N:N,0),0)</f>
        <v>-1431749.6115530038</v>
      </c>
      <c r="R803" s="25">
        <f t="array" aca="1" ref="R803" ca="1">INDEX('Lorri 401b'!L:L,MATCH('Retirement Calculator'!A803,'Lorri 401b'!N:N,0),0)</f>
        <v>-6556363.1424436448</v>
      </c>
      <c r="S803" s="25">
        <f t="shared" ca="1" si="787"/>
        <v>-7988112.7539966488</v>
      </c>
    </row>
    <row r="804" spans="1:19" ht="15.75" customHeight="1" x14ac:dyDescent="0.3">
      <c r="A804" s="37">
        <v>75423</v>
      </c>
      <c r="B804" s="409">
        <f t="shared" ref="B804:C804" si="815">($A804-B$9)/365.25</f>
        <v>124.61875427789185</v>
      </c>
      <c r="C804" s="409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3525.4531757812501</v>
      </c>
      <c r="H804" s="25">
        <f>IF(B804&lt;62,0,'Combined Retirement'!$I$14)</f>
        <v>2192</v>
      </c>
      <c r="I804" s="25">
        <f>IF(C804&lt;62,0,'Combined Retirement'!$I$13)</f>
        <v>2420</v>
      </c>
      <c r="J804" s="25">
        <f t="shared" si="783"/>
        <v>7863.2184191855868</v>
      </c>
      <c r="K804" s="25">
        <f t="shared" si="784"/>
        <v>20282.026119384056</v>
      </c>
      <c r="L804" s="25"/>
      <c r="N804" s="25">
        <f>'Combined Retirement'!$C$18/12</f>
        <v>39153.069999999992</v>
      </c>
      <c r="O804" s="25">
        <f t="shared" si="785"/>
        <v>11007.82546143035</v>
      </c>
      <c r="P804" s="25">
        <f t="shared" si="786"/>
        <v>28145.244538569641</v>
      </c>
      <c r="Q804" s="25">
        <f t="array" aca="1" ref="Q804" ca="1">INDEX('Isaac 401k'!L:L,MATCH('Retirement Calculator'!A804,'Isaac 401k'!N:N,0),0)</f>
        <v>-1445611.2167637402</v>
      </c>
      <c r="R804" s="25">
        <f t="array" aca="1" ref="R804" ca="1">INDEX('Lorri 401b'!L:L,MATCH('Retirement Calculator'!A804,'Lorri 401b'!N:N,0),0)</f>
        <v>-6604047.8567653745</v>
      </c>
      <c r="S804" s="25">
        <f t="shared" ca="1" si="787"/>
        <v>-8049659.0735291149</v>
      </c>
    </row>
    <row r="805" spans="1:19" ht="15.75" customHeight="1" x14ac:dyDescent="0.3">
      <c r="A805" s="37">
        <v>75454</v>
      </c>
      <c r="B805" s="409">
        <f t="shared" ref="B805:C805" si="816">($A805-B$9)/365.25</f>
        <v>124.70362765229295</v>
      </c>
      <c r="C805" s="409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3525.4531757812501</v>
      </c>
      <c r="H805" s="25">
        <f>IF(B805&lt;62,0,'Combined Retirement'!$I$14)</f>
        <v>2192</v>
      </c>
      <c r="I805" s="25">
        <f>IF(C805&lt;62,0,'Combined Retirement'!$I$13)</f>
        <v>2420</v>
      </c>
      <c r="J805" s="25">
        <f t="shared" si="783"/>
        <v>7863.2184191855868</v>
      </c>
      <c r="K805" s="25">
        <f t="shared" si="784"/>
        <v>20282.026119384056</v>
      </c>
      <c r="L805" s="25"/>
      <c r="N805" s="25">
        <f>'Combined Retirement'!$C$18/12</f>
        <v>39153.069999999992</v>
      </c>
      <c r="O805" s="25">
        <f t="shared" si="785"/>
        <v>11007.82546143035</v>
      </c>
      <c r="P805" s="25">
        <f t="shared" si="786"/>
        <v>28145.244538569641</v>
      </c>
      <c r="Q805" s="25">
        <f t="array" aca="1" ref="Q805" ca="1">INDEX('Isaac 401k'!L:L,MATCH('Retirement Calculator'!A805,'Isaac 401k'!N:N,0),0)</f>
        <v>-1459530.5786628546</v>
      </c>
      <c r="R805" s="25">
        <f t="array" aca="1" ref="R805" ca="1">INDEX('Lorri 401b'!L:L,MATCH('Retirement Calculator'!A805,'Lorri 401b'!N:N,0),0)</f>
        <v>-6651931.2573967781</v>
      </c>
      <c r="S805" s="25">
        <f t="shared" ca="1" si="787"/>
        <v>-8111461.8360596327</v>
      </c>
    </row>
    <row r="806" spans="1:19" ht="15.75" customHeight="1" x14ac:dyDescent="0.3">
      <c r="A806" s="37">
        <v>75485</v>
      </c>
      <c r="B806" s="409">
        <f t="shared" ref="B806:C806" si="817">($A806-B$9)/365.25</f>
        <v>124.78850102669405</v>
      </c>
      <c r="C806" s="409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3525.4531757812501</v>
      </c>
      <c r="H806" s="25">
        <f>IF(B806&lt;62,0,'Combined Retirement'!$I$14)</f>
        <v>2192</v>
      </c>
      <c r="I806" s="25">
        <f>IF(C806&lt;62,0,'Combined Retirement'!$I$13)</f>
        <v>2420</v>
      </c>
      <c r="J806" s="25">
        <f t="shared" si="783"/>
        <v>7863.2184191855868</v>
      </c>
      <c r="K806" s="25">
        <f t="shared" si="784"/>
        <v>20282.026119384056</v>
      </c>
      <c r="L806" s="25"/>
      <c r="N806" s="25">
        <f>'Combined Retirement'!$C$18/12</f>
        <v>39153.069999999992</v>
      </c>
      <c r="O806" s="25">
        <f t="shared" si="785"/>
        <v>11007.82546143035</v>
      </c>
      <c r="P806" s="25">
        <f t="shared" si="786"/>
        <v>28145.244538569641</v>
      </c>
      <c r="Q806" s="25">
        <f t="array" aca="1" ref="Q806" ca="1">INDEX('Isaac 401k'!L:L,MATCH('Retirement Calculator'!A806,'Isaac 401k'!N:N,0),0)</f>
        <v>-1473507.9379032154</v>
      </c>
      <c r="R806" s="25">
        <f t="array" aca="1" ref="R806" ca="1">INDEX('Lorri 401b'!L:L,MATCH('Retirement Calculator'!A806,'Lorri 401b'!N:N,0),0)</f>
        <v>-6700014.1721974798</v>
      </c>
      <c r="S806" s="25">
        <f t="shared" ca="1" si="787"/>
        <v>-8173522.1101006949</v>
      </c>
    </row>
    <row r="807" spans="1:19" ht="15.75" customHeight="1" x14ac:dyDescent="0.3">
      <c r="A807" s="37">
        <v>75515</v>
      </c>
      <c r="B807" s="409">
        <f t="shared" ref="B807:C807" si="818">($A807-B$9)/365.25</f>
        <v>124.87063655030801</v>
      </c>
      <c r="C807" s="409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3525.4531757812501</v>
      </c>
      <c r="H807" s="25">
        <f>IF(B807&lt;62,0,'Combined Retirement'!$I$14)</f>
        <v>2192</v>
      </c>
      <c r="I807" s="25">
        <f>IF(C807&lt;62,0,'Combined Retirement'!$I$13)</f>
        <v>2420</v>
      </c>
      <c r="J807" s="25">
        <f t="shared" si="783"/>
        <v>7863.2184191855868</v>
      </c>
      <c r="K807" s="25">
        <f t="shared" si="784"/>
        <v>20282.026119384056</v>
      </c>
      <c r="L807" s="25"/>
      <c r="N807" s="25">
        <f>'Combined Retirement'!$C$18/12</f>
        <v>39153.069999999992</v>
      </c>
      <c r="O807" s="25">
        <f t="shared" si="785"/>
        <v>11007.82546143035</v>
      </c>
      <c r="P807" s="25">
        <f t="shared" si="786"/>
        <v>28145.244538569641</v>
      </c>
      <c r="Q807" s="25">
        <f t="array" aca="1" ref="Q807" ca="1">INDEX('Isaac 401k'!L:L,MATCH('Retirement Calculator'!A807,'Isaac 401k'!N:N,0),0)</f>
        <v>-1487543.5361404109</v>
      </c>
      <c r="R807" s="25">
        <f t="array" aca="1" ref="R807" ca="1">INDEX('Lorri 401b'!L:L,MATCH('Retirement Calculator'!A807,'Lorri 401b'!N:N,0),0)</f>
        <v>-6748297.4324765177</v>
      </c>
      <c r="S807" s="25">
        <f t="shared" ca="1" si="787"/>
        <v>-8235840.9686169289</v>
      </c>
    </row>
    <row r="808" spans="1:19" ht="15.75" customHeight="1" x14ac:dyDescent="0.3">
      <c r="A808" s="37">
        <v>75546</v>
      </c>
      <c r="B808" s="409">
        <f t="shared" ref="B808:C808" si="819">($A808-B$9)/365.25</f>
        <v>124.95550992470911</v>
      </c>
      <c r="C808" s="409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3525.4531757812501</v>
      </c>
      <c r="H808" s="25">
        <f>IF(B808&lt;62,0,'Combined Retirement'!$I$14)</f>
        <v>2192</v>
      </c>
      <c r="I808" s="25">
        <f>IF(C808&lt;62,0,'Combined Retirement'!$I$13)</f>
        <v>2420</v>
      </c>
      <c r="J808" s="25">
        <f t="shared" si="783"/>
        <v>7863.2184191855868</v>
      </c>
      <c r="K808" s="25">
        <f t="shared" si="784"/>
        <v>20282.026119384056</v>
      </c>
      <c r="L808" s="25"/>
      <c r="N808" s="25">
        <f>'Combined Retirement'!$C$18/12</f>
        <v>39153.069999999992</v>
      </c>
      <c r="O808" s="25">
        <f t="shared" si="785"/>
        <v>11007.82546143035</v>
      </c>
      <c r="P808" s="25">
        <f t="shared" si="786"/>
        <v>28145.244538569641</v>
      </c>
      <c r="Q808" s="25">
        <f t="array" aca="1" ref="Q808" ca="1">INDEX('Isaac 401k'!L:L,MATCH('Retirement Calculator'!A808,'Isaac 401k'!N:N,0),0)</f>
        <v>-1501637.6160369283</v>
      </c>
      <c r="R808" s="25">
        <f t="array" aca="1" ref="R808" ca="1">INDEX('Lorri 401b'!L:L,MATCH('Retirement Calculator'!A808,'Lorri 401b'!N:N,0),0)</f>
        <v>-6796781.8730067182</v>
      </c>
      <c r="S808" s="25">
        <f t="shared" ca="1" si="787"/>
        <v>-8298419.4890436465</v>
      </c>
    </row>
    <row r="809" spans="1:19" ht="15.75" customHeight="1" x14ac:dyDescent="0.3">
      <c r="A809" s="37">
        <v>75576</v>
      </c>
      <c r="B809" s="409">
        <f t="shared" ref="B809:C809" si="820">($A809-B$9)/365.25</f>
        <v>125.03764544832306</v>
      </c>
      <c r="C809" s="409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3525.4531757812501</v>
      </c>
      <c r="H809" s="25">
        <f>IF(B809&lt;62,0,'Combined Retirement'!$I$14)</f>
        <v>2192</v>
      </c>
      <c r="I809" s="25">
        <f>IF(C809&lt;62,0,'Combined Retirement'!$I$13)</f>
        <v>2420</v>
      </c>
      <c r="J809" s="25">
        <f t="shared" si="783"/>
        <v>7863.2184191855868</v>
      </c>
      <c r="K809" s="25">
        <f t="shared" si="784"/>
        <v>20282.026119384056</v>
      </c>
      <c r="L809" s="25"/>
      <c r="N809" s="25">
        <f>'Combined Retirement'!$C$18/12</f>
        <v>39153.069999999992</v>
      </c>
      <c r="O809" s="25">
        <f t="shared" si="785"/>
        <v>11007.82546143035</v>
      </c>
      <c r="P809" s="25">
        <f t="shared" si="786"/>
        <v>28145.244538569641</v>
      </c>
      <c r="Q809" s="25">
        <f t="array" aca="1" ref="Q809" ca="1">INDEX('Isaac 401k'!L:L,MATCH('Retirement Calculator'!A809,'Isaac 401k'!N:N,0),0)</f>
        <v>-1515790.4212663476</v>
      </c>
      <c r="R809" s="25">
        <f t="array" aca="1" ref="R809" ca="1">INDEX('Lorri 401b'!L:L,MATCH('Retirement Calculator'!A809,'Lorri 401b'!N:N,0),0)</f>
        <v>-6845468.3320391281</v>
      </c>
      <c r="S809" s="25">
        <f t="shared" ca="1" si="787"/>
        <v>-8361258.7533054762</v>
      </c>
    </row>
    <row r="810" spans="1:19" ht="15.75" customHeight="1" x14ac:dyDescent="0.3">
      <c r="A810" s="37">
        <v>75607</v>
      </c>
      <c r="B810" s="409">
        <f t="shared" ref="B810:C810" si="821">($A810-B$9)/365.25</f>
        <v>125.12251882272416</v>
      </c>
      <c r="C810" s="409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3525.4531757812501</v>
      </c>
      <c r="H810" s="25">
        <f>IF(B810&lt;62,0,'Combined Retirement'!$I$14)</f>
        <v>2192</v>
      </c>
      <c r="I810" s="25">
        <f>IF(C810&lt;62,0,'Combined Retirement'!$I$13)</f>
        <v>2420</v>
      </c>
      <c r="J810" s="25">
        <f t="shared" si="783"/>
        <v>7863.2184191855868</v>
      </c>
      <c r="K810" s="25">
        <f t="shared" si="784"/>
        <v>20282.026119384056</v>
      </c>
      <c r="L810" s="25"/>
      <c r="N810" s="25">
        <f>'Combined Retirement'!$C$18/12</f>
        <v>39153.069999999992</v>
      </c>
      <c r="O810" s="25">
        <f t="shared" si="785"/>
        <v>11007.82546143035</v>
      </c>
      <c r="P810" s="25">
        <f t="shared" si="786"/>
        <v>28145.244538569641</v>
      </c>
      <c r="Q810" s="25">
        <f t="array" aca="1" ref="Q810" ca="1">INDEX('Isaac 401k'!L:L,MATCH('Retirement Calculator'!A810,'Isaac 401k'!N:N,0),0)</f>
        <v>-1530002.1965175562</v>
      </c>
      <c r="R810" s="25">
        <f t="array" aca="1" ref="R810" ca="1">INDEX('Lorri 401b'!L:L,MATCH('Retirement Calculator'!A810,'Lorri 401b'!N:N,0),0)</f>
        <v>-6894357.6513175061</v>
      </c>
      <c r="S810" s="25">
        <f t="shared" ca="1" si="787"/>
        <v>-8424359.8478350621</v>
      </c>
    </row>
    <row r="811" spans="1:19" ht="15.75" customHeight="1" x14ac:dyDescent="0.3">
      <c r="A811" s="37">
        <v>75638</v>
      </c>
      <c r="B811" s="409">
        <f t="shared" ref="B811:C811" si="822">($A811-B$9)/365.25</f>
        <v>125.20739219712526</v>
      </c>
      <c r="C811" s="409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3525.4531757812501</v>
      </c>
      <c r="H811" s="25">
        <f>IF(B811&lt;62,0,'Combined Retirement'!$I$14)</f>
        <v>2192</v>
      </c>
      <c r="I811" s="25">
        <f>IF(C811&lt;62,0,'Combined Retirement'!$I$13)</f>
        <v>2420</v>
      </c>
      <c r="J811" s="25">
        <f t="shared" si="783"/>
        <v>7863.2184191855868</v>
      </c>
      <c r="K811" s="25">
        <f t="shared" si="784"/>
        <v>20282.026119384056</v>
      </c>
      <c r="L811" s="25"/>
      <c r="N811" s="25">
        <f>'Combined Retirement'!$C$18/12</f>
        <v>39153.069999999992</v>
      </c>
      <c r="O811" s="25">
        <f t="shared" si="785"/>
        <v>11007.82546143035</v>
      </c>
      <c r="P811" s="25">
        <f t="shared" si="786"/>
        <v>28145.244538569641</v>
      </c>
      <c r="Q811" s="25">
        <f t="array" aca="1" ref="Q811" ca="1">INDEX('Isaac 401k'!L:L,MATCH('Retirement Calculator'!A811,'Isaac 401k'!N:N,0),0)</f>
        <v>-1544273.1874989783</v>
      </c>
      <c r="R811" s="25">
        <f t="array" aca="1" ref="R811" ca="1">INDEX('Lorri 401b'!L:L,MATCH('Retirement Calculator'!A811,'Lorri 401b'!N:N,0),0)</f>
        <v>-6943450.6760928771</v>
      </c>
      <c r="S811" s="25">
        <f t="shared" ca="1" si="787"/>
        <v>-8487723.8635918554</v>
      </c>
    </row>
    <row r="812" spans="1:19" ht="15.75" customHeight="1" x14ac:dyDescent="0.3">
      <c r="A812" s="37">
        <v>75666</v>
      </c>
      <c r="B812" s="409">
        <f t="shared" ref="B812:C812" si="823">($A812-B$9)/365.25</f>
        <v>125.28405201916496</v>
      </c>
      <c r="C812" s="409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3525.4531757812501</v>
      </c>
      <c r="H812" s="25">
        <f>IF(B812&lt;62,0,'Combined Retirement'!$I$14)</f>
        <v>2192</v>
      </c>
      <c r="I812" s="25">
        <f>IF(C812&lt;62,0,'Combined Retirement'!$I$13)</f>
        <v>2420</v>
      </c>
      <c r="J812" s="25">
        <f t="shared" si="783"/>
        <v>7863.2184191855868</v>
      </c>
      <c r="K812" s="25">
        <f t="shared" si="784"/>
        <v>20282.026119384056</v>
      </c>
      <c r="L812" s="25"/>
      <c r="N812" s="25">
        <f>'Combined Retirement'!$C$18/12</f>
        <v>39153.069999999992</v>
      </c>
      <c r="O812" s="25">
        <f t="shared" si="785"/>
        <v>11007.82546143035</v>
      </c>
      <c r="P812" s="25">
        <f t="shared" si="786"/>
        <v>28145.244538569641</v>
      </c>
      <c r="Q812" s="25">
        <f t="array" aca="1" ref="Q812" ca="1">INDEX('Isaac 401k'!L:L,MATCH('Retirement Calculator'!A812,'Isaac 401k'!N:N,0),0)</f>
        <v>-1558603.6409428229</v>
      </c>
      <c r="R812" s="25">
        <f t="array" aca="1" ref="R812" ca="1">INDEX('Lorri 401b'!L:L,MATCH('Retirement Calculator'!A812,'Lorri 401b'!N:N,0),0)</f>
        <v>-6992748.2551381458</v>
      </c>
      <c r="S812" s="25">
        <f t="shared" ca="1" si="787"/>
        <v>-8551351.8960809689</v>
      </c>
    </row>
    <row r="813" spans="1:19" ht="15.75" customHeight="1" x14ac:dyDescent="0.3">
      <c r="A813" s="37">
        <v>75697</v>
      </c>
      <c r="B813" s="409">
        <f t="shared" ref="B813:C813" si="824">($A813-B$9)/365.25</f>
        <v>125.36892539356604</v>
      </c>
      <c r="C813" s="409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3525.4531757812501</v>
      </c>
      <c r="H813" s="25">
        <f>IF(B813&lt;62,0,'Combined Retirement'!$I$14)</f>
        <v>2192</v>
      </c>
      <c r="I813" s="25">
        <f>IF(C813&lt;62,0,'Combined Retirement'!$I$13)</f>
        <v>2420</v>
      </c>
      <c r="J813" s="25">
        <f t="shared" si="783"/>
        <v>7863.2184191855868</v>
      </c>
      <c r="K813" s="25">
        <f t="shared" si="784"/>
        <v>20282.026119384056</v>
      </c>
      <c r="L813" s="25"/>
      <c r="N813" s="25">
        <f>'Combined Retirement'!$C$18/12</f>
        <v>39153.069999999992</v>
      </c>
      <c r="O813" s="25">
        <f t="shared" si="785"/>
        <v>11007.82546143035</v>
      </c>
      <c r="P813" s="25">
        <f t="shared" si="786"/>
        <v>28145.244538569641</v>
      </c>
      <c r="Q813" s="25">
        <f t="array" aca="1" ref="Q813" ca="1">INDEX('Isaac 401k'!L:L,MATCH('Retirement Calculator'!A813,'Isaac 401k'!N:N,0),0)</f>
        <v>-1572993.8046093502</v>
      </c>
      <c r="R813" s="25">
        <f t="array" aca="1" ref="R813" ca="1">INDEX('Lorri 401b'!L:L,MATCH('Retirement Calculator'!A813,'Lorri 401b'!N:N,0),0)</f>
        <v>-7042251.2407627692</v>
      </c>
      <c r="S813" s="25">
        <f t="shared" ca="1" si="787"/>
        <v>-8615245.0453721192</v>
      </c>
    </row>
    <row r="814" spans="1:19" ht="15.75" customHeight="1" x14ac:dyDescent="0.3">
      <c r="A814" s="37">
        <v>75727</v>
      </c>
      <c r="B814" s="409">
        <f t="shared" ref="B814:C814" si="825">($A814-B$9)/365.25</f>
        <v>125.45106091718002</v>
      </c>
      <c r="C814" s="409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3525.4531757812501</v>
      </c>
      <c r="H814" s="25">
        <f>IF(B814&lt;62,0,'Combined Retirement'!$I$14)</f>
        <v>2192</v>
      </c>
      <c r="I814" s="25">
        <f>IF(C814&lt;62,0,'Combined Retirement'!$I$13)</f>
        <v>2420</v>
      </c>
      <c r="J814" s="25">
        <f t="shared" si="783"/>
        <v>7863.2184191855868</v>
      </c>
      <c r="K814" s="25">
        <f t="shared" si="784"/>
        <v>20282.026119384056</v>
      </c>
      <c r="L814" s="25"/>
      <c r="N814" s="25">
        <f>'Combined Retirement'!$C$18/12</f>
        <v>39153.069999999992</v>
      </c>
      <c r="O814" s="25">
        <f t="shared" si="785"/>
        <v>11007.82546143035</v>
      </c>
      <c r="P814" s="25">
        <f t="shared" si="786"/>
        <v>28145.244538569641</v>
      </c>
      <c r="Q814" s="25">
        <f t="array" aca="1" ref="Q814" ca="1">INDEX('Isaac 401k'!L:L,MATCH('Retirement Calculator'!A814,'Isaac 401k'!N:N,0),0)</f>
        <v>-1587443.9272911546</v>
      </c>
      <c r="R814" s="25">
        <f t="array" aca="1" ref="R814" ca="1">INDEX('Lorri 401b'!L:L,MATCH('Retirement Calculator'!A814,'Lorri 401b'!N:N,0),0)</f>
        <v>-7091960.4888274958</v>
      </c>
      <c r="S814" s="25">
        <f t="shared" ca="1" si="787"/>
        <v>-8679404.4161186498</v>
      </c>
    </row>
    <row r="815" spans="1:19" ht="15.75" customHeight="1" x14ac:dyDescent="0.3">
      <c r="A815" s="37">
        <v>75758</v>
      </c>
      <c r="B815" s="409">
        <f t="shared" ref="B815:C815" si="826">($A815-B$9)/365.25</f>
        <v>125.53593429158111</v>
      </c>
      <c r="C815" s="409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3525.4531757812501</v>
      </c>
      <c r="H815" s="25">
        <f>IF(B815&lt;62,0,'Combined Retirement'!$I$14)</f>
        <v>2192</v>
      </c>
      <c r="I815" s="25">
        <f>IF(C815&lt;62,0,'Combined Retirement'!$I$13)</f>
        <v>2420</v>
      </c>
      <c r="J815" s="25">
        <f t="shared" si="783"/>
        <v>7863.2184191855868</v>
      </c>
      <c r="K815" s="25">
        <f t="shared" si="784"/>
        <v>20282.026119384056</v>
      </c>
      <c r="L815" s="25"/>
      <c r="N815" s="25">
        <f>'Combined Retirement'!$C$18/12</f>
        <v>39153.069999999992</v>
      </c>
      <c r="O815" s="25">
        <f t="shared" si="785"/>
        <v>11007.82546143035</v>
      </c>
      <c r="P815" s="25">
        <f t="shared" si="786"/>
        <v>28145.244538569641</v>
      </c>
      <c r="Q815" s="25">
        <f t="array" aca="1" ref="Q815" ca="1">INDEX('Isaac 401k'!L:L,MATCH('Retirement Calculator'!A815,'Isaac 401k'!N:N,0),0)</f>
        <v>-1601954.2588174667</v>
      </c>
      <c r="R815" s="25">
        <f t="array" aca="1" ref="R815" ca="1">INDEX('Lorri 401b'!L:L,MATCH('Retirement Calculator'!A815,'Lorri 401b'!N:N,0),0)</f>
        <v>-7141876.8587591583</v>
      </c>
      <c r="S815" s="25">
        <f t="shared" ca="1" si="787"/>
        <v>-8743831.1175766252</v>
      </c>
    </row>
    <row r="816" spans="1:19" ht="15.75" customHeight="1" x14ac:dyDescent="0.3">
      <c r="A816" s="37">
        <v>75788</v>
      </c>
      <c r="B816" s="409">
        <f t="shared" ref="B816:C816" si="827">($A816-B$9)/365.25</f>
        <v>125.61806981519507</v>
      </c>
      <c r="C816" s="409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3525.4531757812501</v>
      </c>
      <c r="H816" s="25">
        <f>IF(B816&lt;62,0,'Combined Retirement'!$I$14)</f>
        <v>2192</v>
      </c>
      <c r="I816" s="25">
        <f>IF(C816&lt;62,0,'Combined Retirement'!$I$13)</f>
        <v>2420</v>
      </c>
      <c r="J816" s="25">
        <f t="shared" si="783"/>
        <v>7863.2184191855868</v>
      </c>
      <c r="K816" s="25">
        <f t="shared" si="784"/>
        <v>20282.026119384056</v>
      </c>
      <c r="L816" s="25"/>
      <c r="N816" s="25">
        <f>'Combined Retirement'!$C$18/12</f>
        <v>39153.069999999992</v>
      </c>
      <c r="O816" s="25">
        <f t="shared" si="785"/>
        <v>11007.82546143035</v>
      </c>
      <c r="P816" s="25">
        <f t="shared" si="786"/>
        <v>28145.244538569641</v>
      </c>
      <c r="Q816" s="25">
        <f t="array" aca="1" ref="Q816" ca="1">INDEX('Isaac 401k'!L:L,MATCH('Retirement Calculator'!A816,'Isaac 401k'!N:N,0),0)</f>
        <v>-1616525.0500584717</v>
      </c>
      <c r="R816" s="25">
        <f t="array" aca="1" ref="R816" ca="1">INDEX('Lorri 401b'!L:L,MATCH('Retirement Calculator'!A816,'Lorri 401b'!N:N,0),0)</f>
        <v>-7192001.2135655358</v>
      </c>
      <c r="S816" s="25">
        <f t="shared" ca="1" si="787"/>
        <v>-8808526.2636240069</v>
      </c>
    </row>
    <row r="817" spans="1:19" ht="15.75" customHeight="1" x14ac:dyDescent="0.3">
      <c r="A817" s="37">
        <v>75819</v>
      </c>
      <c r="B817" s="409">
        <f t="shared" ref="B817:C817" si="828">($A817-B$9)/365.25</f>
        <v>125.70294318959617</v>
      </c>
      <c r="C817" s="409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3525.4531757812501</v>
      </c>
      <c r="H817" s="25">
        <f>IF(B817&lt;62,0,'Combined Retirement'!$I$14)</f>
        <v>2192</v>
      </c>
      <c r="I817" s="25">
        <f>IF(C817&lt;62,0,'Combined Retirement'!$I$13)</f>
        <v>2420</v>
      </c>
      <c r="J817" s="25">
        <f t="shared" si="783"/>
        <v>7863.2184191855868</v>
      </c>
      <c r="K817" s="25">
        <f t="shared" si="784"/>
        <v>20282.026119384056</v>
      </c>
      <c r="L817" s="25"/>
      <c r="N817" s="25">
        <f>'Combined Retirement'!$C$18/12</f>
        <v>39153.069999999992</v>
      </c>
      <c r="O817" s="25">
        <f t="shared" si="785"/>
        <v>11007.82546143035</v>
      </c>
      <c r="P817" s="25">
        <f t="shared" si="786"/>
        <v>28145.244538569641</v>
      </c>
      <c r="Q817" s="25">
        <f t="array" aca="1" ref="Q817" ca="1">INDEX('Isaac 401k'!L:L,MATCH('Retirement Calculator'!A817,'Isaac 401k'!N:N,0),0)</f>
        <v>-1631156.5529296475</v>
      </c>
      <c r="R817" s="25">
        <f t="array" aca="1" ref="R817" ca="1">INDEX('Lorri 401b'!L:L,MATCH('Retirement Calculator'!A817,'Lorri 401b'!N:N,0),0)</f>
        <v>-7242334.419850274</v>
      </c>
      <c r="S817" s="25">
        <f t="shared" ca="1" si="787"/>
        <v>-8873490.9727799222</v>
      </c>
    </row>
    <row r="818" spans="1:19" ht="15.75" customHeight="1" x14ac:dyDescent="0.3">
      <c r="A818" s="37">
        <v>75850</v>
      </c>
      <c r="B818" s="409">
        <f t="shared" ref="B818:C818" si="829">($A818-B$9)/365.25</f>
        <v>125.78781656399727</v>
      </c>
      <c r="C818" s="409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3525.4531757812501</v>
      </c>
      <c r="H818" s="25">
        <f>IF(B818&lt;62,0,'Combined Retirement'!$I$14)</f>
        <v>2192</v>
      </c>
      <c r="I818" s="25">
        <f>IF(C818&lt;62,0,'Combined Retirement'!$I$13)</f>
        <v>2420</v>
      </c>
      <c r="J818" s="25">
        <f t="shared" si="783"/>
        <v>7863.2184191855868</v>
      </c>
      <c r="K818" s="25">
        <f t="shared" si="784"/>
        <v>20282.026119384056</v>
      </c>
      <c r="L818" s="25"/>
      <c r="N818" s="25">
        <f>'Combined Retirement'!$C$18/12</f>
        <v>39153.069999999992</v>
      </c>
      <c r="O818" s="25">
        <f t="shared" si="785"/>
        <v>11007.82546143035</v>
      </c>
      <c r="P818" s="25">
        <f t="shared" si="786"/>
        <v>28145.244538569641</v>
      </c>
      <c r="Q818" s="25">
        <f t="array" aca="1" ref="Q818" ca="1">INDEX('Isaac 401k'!L:L,MATCH('Retirement Calculator'!A818,'Isaac 401k'!N:N,0),0)</f>
        <v>-1645849.0203961199</v>
      </c>
      <c r="R818" s="25">
        <f t="array" aca="1" ref="R818" ca="1">INDEX('Lorri 401b'!L:L,MATCH('Retirement Calculator'!A818,'Lorri 401b'!N:N,0),0)</f>
        <v>-7292877.3478278648</v>
      </c>
      <c r="S818" s="25">
        <f t="shared" ca="1" si="787"/>
        <v>-8938726.3682239838</v>
      </c>
    </row>
    <row r="819" spans="1:19" ht="15.75" customHeight="1" x14ac:dyDescent="0.3">
      <c r="A819" s="37">
        <v>75880</v>
      </c>
      <c r="B819" s="409">
        <f t="shared" ref="B819:C819" si="830">($A819-B$9)/365.25</f>
        <v>125.86995208761122</v>
      </c>
      <c r="C819" s="409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3525.4531757812501</v>
      </c>
      <c r="H819" s="25">
        <f>IF(B819&lt;62,0,'Combined Retirement'!$I$14)</f>
        <v>2192</v>
      </c>
      <c r="I819" s="25">
        <f>IF(C819&lt;62,0,'Combined Retirement'!$I$13)</f>
        <v>2420</v>
      </c>
      <c r="J819" s="25">
        <f t="shared" si="783"/>
        <v>7863.2184191855868</v>
      </c>
      <c r="K819" s="25">
        <f t="shared" si="784"/>
        <v>20282.026119384056</v>
      </c>
      <c r="L819" s="25"/>
      <c r="N819" s="25">
        <f>'Combined Retirement'!$C$18/12</f>
        <v>39153.069999999992</v>
      </c>
      <c r="O819" s="25">
        <f t="shared" si="785"/>
        <v>11007.82546143035</v>
      </c>
      <c r="P819" s="25">
        <f t="shared" si="786"/>
        <v>28145.244538569641</v>
      </c>
      <c r="Q819" s="25">
        <f t="array" aca="1" ref="Q819" ca="1">INDEX('Isaac 401k'!L:L,MATCH('Retirement Calculator'!A819,'Isaac 401k'!N:N,0),0)</f>
        <v>-1660602.706477036</v>
      </c>
      <c r="R819" s="25">
        <f t="array" aca="1" ref="R819" ca="1">INDEX('Lorri 401b'!L:L,MATCH('Retirement Calculator'!A819,'Lorri 401b'!N:N,0),0)</f>
        <v>-7343630.8713386953</v>
      </c>
      <c r="S819" s="25">
        <f t="shared" ca="1" si="787"/>
        <v>-9004233.577815732</v>
      </c>
    </row>
    <row r="820" spans="1:19" ht="15.75" customHeight="1" x14ac:dyDescent="0.3">
      <c r="A820" s="37">
        <v>75911</v>
      </c>
      <c r="B820" s="409">
        <f t="shared" ref="B820:C820" si="831">($A820-B$9)/365.25</f>
        <v>125.95482546201232</v>
      </c>
      <c r="C820" s="409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3525.4531757812501</v>
      </c>
      <c r="H820" s="25">
        <f>IF(B820&lt;62,0,'Combined Retirement'!$I$14)</f>
        <v>2192</v>
      </c>
      <c r="I820" s="25">
        <f>IF(C820&lt;62,0,'Combined Retirement'!$I$13)</f>
        <v>2420</v>
      </c>
      <c r="J820" s="25">
        <f t="shared" si="783"/>
        <v>7863.2184191855868</v>
      </c>
      <c r="K820" s="25">
        <f t="shared" si="784"/>
        <v>20282.026119384056</v>
      </c>
      <c r="L820" s="25"/>
      <c r="N820" s="25">
        <f>'Combined Retirement'!$C$18/12</f>
        <v>39153.069999999992</v>
      </c>
      <c r="O820" s="25">
        <f t="shared" si="785"/>
        <v>11007.82546143035</v>
      </c>
      <c r="P820" s="25">
        <f t="shared" si="786"/>
        <v>28145.244538569641</v>
      </c>
      <c r="Q820" s="25">
        <f t="array" aca="1" ref="Q820" ca="1">INDEX('Isaac 401k'!L:L,MATCH('Retirement Calculator'!A820,'Isaac 401k'!N:N,0),0)</f>
        <v>-1675417.866249956</v>
      </c>
      <c r="R820" s="25">
        <f t="array" aca="1" ref="R820" ca="1">INDEX('Lorri 401b'!L:L,MATCH('Retirement Calculator'!A820,'Lorri 401b'!N:N,0),0)</f>
        <v>-7394595.8678641543</v>
      </c>
      <c r="S820" s="25">
        <f t="shared" ca="1" si="787"/>
        <v>-9070013.7341141105</v>
      </c>
    </row>
    <row r="821" spans="1:19" ht="15.75" customHeight="1" x14ac:dyDescent="0.3">
      <c r="A821" s="37">
        <v>75941</v>
      </c>
      <c r="B821" s="409">
        <f t="shared" ref="B821:C821" si="832">($A821-B$9)/365.25</f>
        <v>126.03696098562628</v>
      </c>
      <c r="C821" s="409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3525.4531757812501</v>
      </c>
      <c r="H821" s="25">
        <f>IF(B821&lt;62,0,'Combined Retirement'!$I$14)</f>
        <v>2192</v>
      </c>
      <c r="I821" s="25">
        <f>IF(C821&lt;62,0,'Combined Retirement'!$I$13)</f>
        <v>2420</v>
      </c>
      <c r="J821" s="25">
        <f t="shared" si="783"/>
        <v>7863.2184191855868</v>
      </c>
      <c r="K821" s="25">
        <f t="shared" si="784"/>
        <v>20282.026119384056</v>
      </c>
      <c r="L821" s="25"/>
      <c r="N821" s="25">
        <f>'Combined Retirement'!$C$18/12</f>
        <v>39153.069999999992</v>
      </c>
      <c r="O821" s="25">
        <f t="shared" si="785"/>
        <v>11007.82546143035</v>
      </c>
      <c r="P821" s="25">
        <f t="shared" si="786"/>
        <v>28145.244538569641</v>
      </c>
      <c r="Q821" s="25">
        <f t="array" aca="1" ref="Q821" ca="1">INDEX('Isaac 401k'!L:L,MATCH('Retirement Calculator'!A821,'Isaac 401k'!N:N,0),0)</f>
        <v>-1690294.755855263</v>
      </c>
      <c r="R821" s="25">
        <f t="array" aca="1" ref="R821" ca="1">INDEX('Lorri 401b'!L:L,MATCH('Retirement Calculator'!A821,'Lorri 401b'!N:N,0),0)</f>
        <v>-7445773.2185418028</v>
      </c>
      <c r="S821" s="25">
        <f t="shared" ca="1" si="787"/>
        <v>-9136067.9743970651</v>
      </c>
    </row>
    <row r="822" spans="1:19" ht="15.75" customHeight="1" x14ac:dyDescent="0.3">
      <c r="A822" s="37">
        <v>75972</v>
      </c>
      <c r="B822" s="409">
        <f t="shared" ref="B822:C822" si="833">($A822-B$9)/365.25</f>
        <v>126.12183436002738</v>
      </c>
      <c r="C822" s="409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3525.4531757812501</v>
      </c>
      <c r="H822" s="25">
        <f>IF(B822&lt;62,0,'Combined Retirement'!$I$14)</f>
        <v>2192</v>
      </c>
      <c r="I822" s="25">
        <f>IF(C822&lt;62,0,'Combined Retirement'!$I$13)</f>
        <v>2420</v>
      </c>
      <c r="J822" s="25">
        <f t="shared" si="783"/>
        <v>7863.2184191855868</v>
      </c>
      <c r="K822" s="25">
        <f t="shared" si="784"/>
        <v>20282.026119384056</v>
      </c>
      <c r="L822" s="25"/>
      <c r="N822" s="25">
        <f>'Combined Retirement'!$C$18/12</f>
        <v>39153.069999999992</v>
      </c>
      <c r="O822" s="25">
        <f t="shared" si="785"/>
        <v>11007.82546143035</v>
      </c>
      <c r="P822" s="25">
        <f t="shared" si="786"/>
        <v>28145.244538569641</v>
      </c>
      <c r="Q822" s="25">
        <f t="array" aca="1" ref="Q822" ca="1">INDEX('Isaac 401k'!L:L,MATCH('Retirement Calculator'!A822,'Isaac 401k'!N:N,0),0)</f>
        <v>-1705233.6325005922</v>
      </c>
      <c r="R822" s="25">
        <f t="array" aca="1" ref="R822" ca="1">INDEX('Lorri 401b'!L:L,MATCH('Retirement Calculator'!A822,'Lorri 401b'!N:N,0),0)</f>
        <v>-7497163.8081806088</v>
      </c>
      <c r="S822" s="25">
        <f t="shared" ca="1" si="787"/>
        <v>-9202397.4406812005</v>
      </c>
    </row>
    <row r="823" spans="1:19" ht="15.75" customHeight="1" x14ac:dyDescent="0.3">
      <c r="A823" s="37">
        <v>76003</v>
      </c>
      <c r="B823" s="409">
        <f t="shared" ref="B823:C823" si="834">($A823-B$9)/365.25</f>
        <v>126.20670773442848</v>
      </c>
      <c r="C823" s="409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3525.4531757812501</v>
      </c>
      <c r="H823" s="25">
        <f>IF(B823&lt;62,0,'Combined Retirement'!$I$14)</f>
        <v>2192</v>
      </c>
      <c r="I823" s="25">
        <f>IF(C823&lt;62,0,'Combined Retirement'!$I$13)</f>
        <v>2420</v>
      </c>
      <c r="J823" s="25">
        <f t="shared" si="783"/>
        <v>7863.2184191855868</v>
      </c>
      <c r="K823" s="25">
        <f t="shared" si="784"/>
        <v>20282.026119384056</v>
      </c>
      <c r="L823" s="25"/>
      <c r="N823" s="25">
        <f>'Combined Retirement'!$C$18/12</f>
        <v>39153.069999999992</v>
      </c>
      <c r="O823" s="25">
        <f t="shared" si="785"/>
        <v>11007.82546143035</v>
      </c>
      <c r="P823" s="25">
        <f t="shared" si="786"/>
        <v>28145.244538569641</v>
      </c>
      <c r="Q823" s="25">
        <f t="array" aca="1" ref="Q823" ca="1">INDEX('Isaac 401k'!L:L,MATCH('Retirement Calculator'!A823,'Isaac 401k'!N:N,0),0)</f>
        <v>-1720234.7544652768</v>
      </c>
      <c r="R823" s="25">
        <f t="array" aca="1" ref="R823" ca="1">INDEX('Lorri 401b'!L:L,MATCH('Retirement Calculator'!A823,'Lorri 401b'!N:N,0),0)</f>
        <v>-7548768.5252762428</v>
      </c>
      <c r="S823" s="25">
        <f t="shared" ca="1" si="787"/>
        <v>-9269003.2797415201</v>
      </c>
    </row>
    <row r="824" spans="1:19" ht="15.75" customHeight="1" x14ac:dyDescent="0.3">
      <c r="A824" s="37">
        <v>76032</v>
      </c>
      <c r="B824" s="409">
        <f t="shared" ref="B824:C824" si="835">($A824-B$9)/365.25</f>
        <v>126.28610540725531</v>
      </c>
      <c r="C824" s="409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3525.4531757812501</v>
      </c>
      <c r="H824" s="25">
        <f>IF(B824&lt;62,0,'Combined Retirement'!$I$14)</f>
        <v>2192</v>
      </c>
      <c r="I824" s="25">
        <f>IF(C824&lt;62,0,'Combined Retirement'!$I$13)</f>
        <v>2420</v>
      </c>
      <c r="J824" s="25">
        <f t="shared" si="783"/>
        <v>7863.2184191855868</v>
      </c>
      <c r="K824" s="25">
        <f t="shared" si="784"/>
        <v>20282.026119384056</v>
      </c>
      <c r="L824" s="25"/>
      <c r="N824" s="25">
        <f>'Combined Retirement'!$C$18/12</f>
        <v>39153.069999999992</v>
      </c>
      <c r="O824" s="25">
        <f t="shared" si="785"/>
        <v>11007.82546143035</v>
      </c>
      <c r="P824" s="25">
        <f t="shared" si="786"/>
        <v>28145.244538569641</v>
      </c>
      <c r="Q824" s="25">
        <f t="array" aca="1" ref="Q824" ca="1">INDEX('Isaac 401k'!L:L,MATCH('Retirement Calculator'!A824,'Isaac 401k'!N:N,0),0)</f>
        <v>-1735298.3811048144</v>
      </c>
      <c r="R824" s="25">
        <f t="array" aca="1" ref="R824" ca="1">INDEX('Lorri 401b'!L:L,MATCH('Retirement Calculator'!A824,'Lorri 401b'!N:N,0),0)</f>
        <v>-7600588.2620264422</v>
      </c>
      <c r="S824" s="25">
        <f t="shared" ca="1" si="787"/>
        <v>-9335886.6431312561</v>
      </c>
    </row>
    <row r="825" spans="1:19" ht="15.75" customHeight="1" x14ac:dyDescent="0.3">
      <c r="A825" s="37">
        <v>76063</v>
      </c>
      <c r="B825" s="409">
        <f t="shared" ref="B825:C825" si="836">($A825-B$9)/365.25</f>
        <v>126.3709787816564</v>
      </c>
      <c r="C825" s="409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3525.4531757812501</v>
      </c>
      <c r="H825" s="25">
        <f>IF(B825&lt;62,0,'Combined Retirement'!$I$14)</f>
        <v>2192</v>
      </c>
      <c r="I825" s="25">
        <f>IF(C825&lt;62,0,'Combined Retirement'!$I$13)</f>
        <v>2420</v>
      </c>
      <c r="J825" s="25">
        <f t="shared" si="783"/>
        <v>7863.2184191855868</v>
      </c>
      <c r="K825" s="25">
        <f t="shared" si="784"/>
        <v>20282.026119384056</v>
      </c>
      <c r="L825" s="25"/>
      <c r="N825" s="25">
        <f>'Combined Retirement'!$C$18/12</f>
        <v>39153.069999999992</v>
      </c>
      <c r="O825" s="25">
        <f t="shared" si="785"/>
        <v>11007.82546143035</v>
      </c>
      <c r="P825" s="25">
        <f t="shared" si="786"/>
        <v>28145.244538569641</v>
      </c>
      <c r="Q825" s="25">
        <f t="array" aca="1" ref="Q825" ca="1">INDEX('Isaac 401k'!L:L,MATCH('Retirement Calculator'!A825,'Isaac 401k'!N:N,0),0)</f>
        <v>-1750424.77285535</v>
      </c>
      <c r="R825" s="25">
        <f t="array" aca="1" ref="R825" ca="1">INDEX('Lorri 401b'!L:L,MATCH('Retirement Calculator'!A825,'Lorri 401b'!N:N,0),0)</f>
        <v>-7652623.9143464342</v>
      </c>
      <c r="S825" s="25">
        <f t="shared" ca="1" si="787"/>
        <v>-9403048.6872017849</v>
      </c>
    </row>
    <row r="826" spans="1:19" ht="15.75" customHeight="1" x14ac:dyDescent="0.3">
      <c r="A826" s="37">
        <v>76093</v>
      </c>
      <c r="B826" s="409">
        <f t="shared" ref="B826:C826" si="837">($A826-B$9)/365.25</f>
        <v>126.45311430527036</v>
      </c>
      <c r="C826" s="409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3525.4531757812501</v>
      </c>
      <c r="H826" s="25">
        <f>IF(B826&lt;62,0,'Combined Retirement'!$I$14)</f>
        <v>2192</v>
      </c>
      <c r="I826" s="25">
        <f>IF(C826&lt;62,0,'Combined Retirement'!$I$13)</f>
        <v>2420</v>
      </c>
      <c r="J826" s="25">
        <f t="shared" si="783"/>
        <v>7863.2184191855868</v>
      </c>
      <c r="K826" s="25">
        <f t="shared" si="784"/>
        <v>20282.026119384056</v>
      </c>
      <c r="L826" s="25"/>
      <c r="N826" s="25">
        <f>'Combined Retirement'!$C$18/12</f>
        <v>39153.069999999992</v>
      </c>
      <c r="O826" s="25">
        <f t="shared" si="785"/>
        <v>11007.82546143035</v>
      </c>
      <c r="P826" s="25">
        <f t="shared" si="786"/>
        <v>28145.244538569641</v>
      </c>
      <c r="Q826" s="25">
        <f t="array" aca="1" ref="Q826" ca="1">INDEX('Isaac 401k'!L:L,MATCH('Retirement Calculator'!A826,'Isaac 401k'!N:N,0),0)</f>
        <v>-1765614.1912381796</v>
      </c>
      <c r="R826" s="25">
        <f t="array" aca="1" ref="R826" ca="1">INDEX('Lorri 401b'!L:L,MATCH('Retirement Calculator'!A826,'Lorri 401b'!N:N,0),0)</f>
        <v>-7704876.3818844259</v>
      </c>
      <c r="S826" s="25">
        <f t="shared" ca="1" si="787"/>
        <v>-9470490.5731226057</v>
      </c>
    </row>
    <row r="827" spans="1:19" ht="15.75" customHeight="1" x14ac:dyDescent="0.3">
      <c r="A827" s="37">
        <v>76124</v>
      </c>
      <c r="B827" s="409">
        <f t="shared" ref="B827:C827" si="838">($A827-B$9)/365.25</f>
        <v>126.53798767967146</v>
      </c>
      <c r="C827" s="409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3525.4531757812501</v>
      </c>
      <c r="H827" s="25">
        <f>IF(B827&lt;62,0,'Combined Retirement'!$I$14)</f>
        <v>2192</v>
      </c>
      <c r="I827" s="25">
        <f>IF(C827&lt;62,0,'Combined Retirement'!$I$13)</f>
        <v>2420</v>
      </c>
      <c r="J827" s="25">
        <f t="shared" si="783"/>
        <v>7863.2184191855868</v>
      </c>
      <c r="K827" s="25">
        <f t="shared" si="784"/>
        <v>20282.026119384056</v>
      </c>
      <c r="L827" s="25"/>
      <c r="N827" s="25">
        <f>'Combined Retirement'!$C$18/12</f>
        <v>39153.069999999992</v>
      </c>
      <c r="O827" s="25">
        <f t="shared" si="785"/>
        <v>11007.82546143035</v>
      </c>
      <c r="P827" s="25">
        <f t="shared" si="786"/>
        <v>28145.244538569641</v>
      </c>
      <c r="Q827" s="25">
        <f t="array" aca="1" ref="Q827" ca="1">INDEX('Isaac 401k'!L:L,MATCH('Retirement Calculator'!A827,'Isaac 401k'!N:N,0),0)</f>
        <v>-1780866.8988642709</v>
      </c>
      <c r="R827" s="25">
        <f t="array" aca="1" ref="R827" ca="1">INDEX('Lorri 401b'!L:L,MATCH('Retirement Calculator'!A827,'Lorri 401b'!N:N,0),0)</f>
        <v>-7757346.5680371588</v>
      </c>
      <c r="S827" s="25">
        <f t="shared" ca="1" si="787"/>
        <v>-9538213.466901429</v>
      </c>
    </row>
    <row r="828" spans="1:19" ht="15.75" customHeight="1" x14ac:dyDescent="0.3">
      <c r="A828" s="37">
        <v>76154</v>
      </c>
      <c r="B828" s="409">
        <f t="shared" ref="B828:C828" si="839">($A828-B$9)/365.25</f>
        <v>126.62012320328542</v>
      </c>
      <c r="C828" s="409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3525.4531757812501</v>
      </c>
      <c r="H828" s="25">
        <f>IF(B828&lt;62,0,'Combined Retirement'!$I$14)</f>
        <v>2192</v>
      </c>
      <c r="I828" s="25">
        <f>IF(C828&lt;62,0,'Combined Retirement'!$I$13)</f>
        <v>2420</v>
      </c>
      <c r="J828" s="25">
        <f t="shared" si="783"/>
        <v>7863.2184191855868</v>
      </c>
      <c r="K828" s="25">
        <f t="shared" si="784"/>
        <v>20282.026119384056</v>
      </c>
      <c r="L828" s="25"/>
      <c r="N828" s="25">
        <f>'Combined Retirement'!$C$18/12</f>
        <v>39153.069999999992</v>
      </c>
      <c r="O828" s="25">
        <f t="shared" si="785"/>
        <v>11007.82546143035</v>
      </c>
      <c r="P828" s="25">
        <f t="shared" si="786"/>
        <v>28145.244538569641</v>
      </c>
      <c r="Q828" s="25">
        <f t="array" aca="1" ref="Q828" ca="1">INDEX('Isaac 401k'!L:L,MATCH('Retirement Calculator'!A828,'Isaac 401k'!N:N,0),0)</f>
        <v>-1796183.1594388043</v>
      </c>
      <c r="R828" s="25">
        <f t="array" aca="1" ref="R828" ca="1">INDEX('Lorri 401b'!L:L,MATCH('Retirement Calculator'!A828,'Lorri 401b'!N:N,0),0)</f>
        <v>-7810035.3799655288</v>
      </c>
      <c r="S828" s="25">
        <f t="shared" ca="1" si="787"/>
        <v>-9606218.5394043326</v>
      </c>
    </row>
    <row r="829" spans="1:19" ht="15.75" customHeight="1" x14ac:dyDescent="0.3">
      <c r="A829" s="37">
        <v>76185</v>
      </c>
      <c r="B829" s="409">
        <f t="shared" ref="B829:C829" si="840">($A829-B$9)/365.25</f>
        <v>126.70499657768652</v>
      </c>
      <c r="C829" s="409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3525.4531757812501</v>
      </c>
      <c r="H829" s="25">
        <f>IF(B829&lt;62,0,'Combined Retirement'!$I$14)</f>
        <v>2192</v>
      </c>
      <c r="I829" s="25">
        <f>IF(C829&lt;62,0,'Combined Retirement'!$I$13)</f>
        <v>2420</v>
      </c>
      <c r="J829" s="25">
        <f t="shared" si="783"/>
        <v>7863.2184191855868</v>
      </c>
      <c r="K829" s="25">
        <f t="shared" si="784"/>
        <v>20282.026119384056</v>
      </c>
      <c r="L829" s="25"/>
      <c r="N829" s="25">
        <f>'Combined Retirement'!$C$18/12</f>
        <v>39153.069999999992</v>
      </c>
      <c r="O829" s="25">
        <f t="shared" si="785"/>
        <v>11007.82546143035</v>
      </c>
      <c r="P829" s="25">
        <f t="shared" si="786"/>
        <v>28145.244538569641</v>
      </c>
      <c r="Q829" s="25">
        <f t="array" aca="1" ref="Q829" ca="1">INDEX('Isaac 401k'!L:L,MATCH('Retirement Calculator'!A829,'Isaac 401k'!N:N,0),0)</f>
        <v>-1811563.2377657315</v>
      </c>
      <c r="R829" s="25">
        <f t="array" aca="1" ref="R829" ca="1">INDEX('Lorri 401b'!L:L,MATCH('Retirement Calculator'!A829,'Lorri 401b'!N:N,0),0)</f>
        <v>-7862943.7286102669</v>
      </c>
      <c r="S829" s="25">
        <f t="shared" ca="1" si="787"/>
        <v>-9674506.9663759992</v>
      </c>
    </row>
    <row r="830" spans="1:19" ht="15.75" customHeight="1" x14ac:dyDescent="0.3">
      <c r="A830" s="37">
        <v>76216</v>
      </c>
      <c r="B830" s="409">
        <f t="shared" ref="B830:C830" si="841">($A830-B$9)/365.25</f>
        <v>126.78986995208761</v>
      </c>
      <c r="C830" s="409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3525.4531757812501</v>
      </c>
      <c r="H830" s="25">
        <f>IF(B830&lt;62,0,'Combined Retirement'!$I$14)</f>
        <v>2192</v>
      </c>
      <c r="I830" s="25">
        <f>IF(C830&lt;62,0,'Combined Retirement'!$I$13)</f>
        <v>2420</v>
      </c>
      <c r="J830" s="25">
        <f t="shared" si="783"/>
        <v>7863.2184191855868</v>
      </c>
      <c r="K830" s="25">
        <f t="shared" si="784"/>
        <v>20282.026119384056</v>
      </c>
      <c r="L830" s="25"/>
      <c r="N830" s="25">
        <f>'Combined Retirement'!$C$18/12</f>
        <v>39153.069999999992</v>
      </c>
      <c r="O830" s="25">
        <f t="shared" si="785"/>
        <v>11007.82546143035</v>
      </c>
      <c r="P830" s="25">
        <f t="shared" si="786"/>
        <v>28145.244538569641</v>
      </c>
      <c r="Q830" s="25">
        <f t="array" aca="1" ref="Q830" ca="1">INDEX('Isaac 401k'!L:L,MATCH('Retirement Calculator'!A830,'Isaac 401k'!N:N,0),0)</f>
        <v>-1827007.3997523542</v>
      </c>
      <c r="R830" s="25">
        <f t="array" aca="1" ref="R830" ca="1">INDEX('Lorri 401b'!L:L,MATCH('Retirement Calculator'!A830,'Lorri 401b'!N:N,0),0)</f>
        <v>-7916072.5287076915</v>
      </c>
      <c r="S830" s="25">
        <f t="shared" ca="1" si="787"/>
        <v>-9743079.9284600466</v>
      </c>
    </row>
    <row r="831" spans="1:19" ht="15.75" customHeight="1" x14ac:dyDescent="0.3">
      <c r="A831" s="37">
        <v>76246</v>
      </c>
      <c r="B831" s="409">
        <f t="shared" ref="B831:C831" si="842">($A831-B$9)/365.25</f>
        <v>126.87200547570157</v>
      </c>
      <c r="C831" s="409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3525.4531757812501</v>
      </c>
      <c r="H831" s="25">
        <f>IF(B831&lt;62,0,'Combined Retirement'!$I$14)</f>
        <v>2192</v>
      </c>
      <c r="I831" s="25">
        <f>IF(C831&lt;62,0,'Combined Retirement'!$I$13)</f>
        <v>2420</v>
      </c>
      <c r="J831" s="25">
        <f t="shared" si="783"/>
        <v>7863.2184191855868</v>
      </c>
      <c r="K831" s="25">
        <f t="shared" si="784"/>
        <v>20282.026119384056</v>
      </c>
      <c r="L831" s="25"/>
      <c r="N831" s="25">
        <f>'Combined Retirement'!$C$18/12</f>
        <v>39153.069999999992</v>
      </c>
      <c r="O831" s="25">
        <f t="shared" si="785"/>
        <v>11007.82546143035</v>
      </c>
      <c r="P831" s="25">
        <f t="shared" si="786"/>
        <v>28145.244538569641</v>
      </c>
      <c r="Q831" s="25">
        <f t="array" aca="1" ref="Q831" ca="1">INDEX('Isaac 401k'!L:L,MATCH('Retirement Calculator'!A831,'Isaac 401k'!N:N,0),0)</f>
        <v>-1842515.9124139212</v>
      </c>
      <c r="R831" s="25">
        <f t="array" aca="1" ref="R831" ca="1">INDEX('Lorri 401b'!L:L,MATCH('Retirement Calculator'!A831,'Lorri 401b'!N:N,0),0)</f>
        <v>-7969422.6988055212</v>
      </c>
      <c r="S831" s="25">
        <f t="shared" ca="1" si="787"/>
        <v>-9811938.6112194434</v>
      </c>
    </row>
    <row r="832" spans="1:19" ht="15.75" customHeight="1" x14ac:dyDescent="0.3">
      <c r="A832" s="37">
        <v>76277</v>
      </c>
      <c r="B832" s="409">
        <f t="shared" ref="B832:C832" si="843">($A832-B$9)/365.25</f>
        <v>126.95687885010267</v>
      </c>
      <c r="C832" s="409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3525.4531757812501</v>
      </c>
      <c r="H832" s="25">
        <f>IF(B832&lt;62,0,'Combined Retirement'!$I$14)</f>
        <v>2192</v>
      </c>
      <c r="I832" s="25">
        <f>IF(C832&lt;62,0,'Combined Retirement'!$I$13)</f>
        <v>2420</v>
      </c>
      <c r="J832" s="25">
        <f t="shared" si="783"/>
        <v>7863.2184191855868</v>
      </c>
      <c r="K832" s="25">
        <f t="shared" si="784"/>
        <v>20282.026119384056</v>
      </c>
      <c r="L832" s="25"/>
      <c r="N832" s="25">
        <f>'Combined Retirement'!$C$18/12</f>
        <v>39153.069999999992</v>
      </c>
      <c r="O832" s="25">
        <f t="shared" si="785"/>
        <v>11007.82546143035</v>
      </c>
      <c r="P832" s="25">
        <f t="shared" si="786"/>
        <v>28145.244538569641</v>
      </c>
      <c r="Q832" s="25">
        <f t="array" aca="1" ref="Q832" ca="1">INDEX('Isaac 401k'!L:L,MATCH('Retirement Calculator'!A832,'Isaac 401k'!N:N,0),0)</f>
        <v>-1858089.0438782447</v>
      </c>
      <c r="R832" s="25">
        <f t="array" aca="1" ref="R832" ca="1">INDEX('Lorri 401b'!L:L,MATCH('Retirement Calculator'!A832,'Lorri 401b'!N:N,0),0)</f>
        <v>-8022995.1612787591</v>
      </c>
      <c r="S832" s="25">
        <f t="shared" ca="1" si="787"/>
        <v>-9881084.2051570043</v>
      </c>
    </row>
    <row r="833" spans="1:19" ht="15.75" customHeight="1" x14ac:dyDescent="0.3">
      <c r="A833" s="37">
        <v>76307</v>
      </c>
      <c r="B833" s="409">
        <f t="shared" ref="B833:C833" si="844">($A833-B$9)/365.25</f>
        <v>127.03901437371663</v>
      </c>
      <c r="C833" s="409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3525.4531757812501</v>
      </c>
      <c r="H833" s="25">
        <f>IF(B833&lt;62,0,'Combined Retirement'!$I$14)</f>
        <v>2192</v>
      </c>
      <c r="I833" s="25">
        <f>IF(C833&lt;62,0,'Combined Retirement'!$I$13)</f>
        <v>2420</v>
      </c>
      <c r="J833" s="25">
        <f t="shared" si="783"/>
        <v>7863.2184191855868</v>
      </c>
      <c r="K833" s="25">
        <f t="shared" si="784"/>
        <v>20282.026119384056</v>
      </c>
      <c r="L833" s="25"/>
      <c r="N833" s="25">
        <f>'Combined Retirement'!$C$18/12</f>
        <v>39153.069999999992</v>
      </c>
      <c r="O833" s="25">
        <f t="shared" si="785"/>
        <v>11007.82546143035</v>
      </c>
      <c r="P833" s="25">
        <f t="shared" si="786"/>
        <v>28145.244538569641</v>
      </c>
      <c r="Q833" s="25">
        <f t="array" aca="1" ref="Q833" ca="1">INDEX('Isaac 401k'!L:L,MATCH('Retirement Calculator'!A833,'Isaac 401k'!N:N,0),0)</f>
        <v>-1873727.0633903362</v>
      </c>
      <c r="R833" s="25">
        <f t="array" aca="1" ref="R833" ca="1">INDEX('Lorri 401b'!L:L,MATCH('Retirement Calculator'!A833,'Lorri 401b'!N:N,0),0)</f>
        <v>-8076790.8423456354</v>
      </c>
      <c r="S833" s="25">
        <f t="shared" ca="1" si="787"/>
        <v>-9950517.9057359714</v>
      </c>
    </row>
    <row r="834" spans="1:19" ht="15.75" customHeight="1" x14ac:dyDescent="0.3">
      <c r="A834" s="37">
        <v>76338</v>
      </c>
      <c r="B834" s="409">
        <f t="shared" ref="B834:C834" si="845">($A834-B$9)/365.25</f>
        <v>127.12388774811772</v>
      </c>
      <c r="C834" s="409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3525.4531757812501</v>
      </c>
      <c r="H834" s="25">
        <f>IF(B834&lt;62,0,'Combined Retirement'!$I$14)</f>
        <v>2192</v>
      </c>
      <c r="I834" s="25">
        <f>IF(C834&lt;62,0,'Combined Retirement'!$I$13)</f>
        <v>2420</v>
      </c>
      <c r="J834" s="25">
        <f t="shared" si="783"/>
        <v>7863.2184191855868</v>
      </c>
      <c r="K834" s="25">
        <f t="shared" si="784"/>
        <v>20282.026119384056</v>
      </c>
      <c r="L834" s="25"/>
      <c r="N834" s="25">
        <f>'Combined Retirement'!$C$18/12</f>
        <v>39153.069999999992</v>
      </c>
      <c r="O834" s="25">
        <f t="shared" si="785"/>
        <v>11007.82546143035</v>
      </c>
      <c r="P834" s="25">
        <f t="shared" si="786"/>
        <v>28145.244538569641</v>
      </c>
      <c r="Q834" s="25">
        <f t="array" aca="1" ref="Q834" ca="1">INDEX('Isaac 401k'!L:L,MATCH('Retirement Calculator'!A834,'Isaac 401k'!N:N,0),0)</f>
        <v>-1889430.2413170615</v>
      </c>
      <c r="R834" s="25">
        <f t="array" aca="1" ref="R834" ca="1">INDEX('Lorri 401b'!L:L,MATCH('Retirement Calculator'!A834,'Lorri 401b'!N:N,0),0)</f>
        <v>-8130810.6720836237</v>
      </c>
      <c r="S834" s="25">
        <f t="shared" ca="1" si="787"/>
        <v>-10020240.913400685</v>
      </c>
    </row>
    <row r="835" spans="1:19" ht="15.75" customHeight="1" x14ac:dyDescent="0.3">
      <c r="A835" s="37">
        <v>76369</v>
      </c>
      <c r="B835" s="409">
        <f t="shared" ref="B835:C835" si="846">($A835-B$9)/365.25</f>
        <v>127.20876112251882</v>
      </c>
      <c r="C835" s="409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3525.4531757812501</v>
      </c>
      <c r="H835" s="25">
        <f>IF(B835&lt;62,0,'Combined Retirement'!$I$14)</f>
        <v>2192</v>
      </c>
      <c r="I835" s="25">
        <f>IF(C835&lt;62,0,'Combined Retirement'!$I$13)</f>
        <v>2420</v>
      </c>
      <c r="J835" s="25">
        <f t="shared" si="783"/>
        <v>7863.2184191855868</v>
      </c>
      <c r="K835" s="25">
        <f t="shared" si="784"/>
        <v>20282.026119384056</v>
      </c>
      <c r="L835" s="25"/>
      <c r="N835" s="25">
        <f>'Combined Retirement'!$C$18/12</f>
        <v>39153.069999999992</v>
      </c>
      <c r="O835" s="25">
        <f t="shared" si="785"/>
        <v>11007.82546143035</v>
      </c>
      <c r="P835" s="25">
        <f t="shared" si="786"/>
        <v>28145.244538569641</v>
      </c>
      <c r="Q835" s="25">
        <f t="array" aca="1" ref="Q835" ca="1">INDEX('Isaac 401k'!L:L,MATCH('Retirement Calculator'!A835,'Isaac 401k'!N:N,0),0)</f>
        <v>-1905198.8491518148</v>
      </c>
      <c r="R835" s="25">
        <f t="array" aca="1" ref="R835" ca="1">INDEX('Lorri 401b'!L:L,MATCH('Retirement Calculator'!A835,'Lorri 401b'!N:N,0),0)</f>
        <v>-8185055.5844455203</v>
      </c>
      <c r="S835" s="25">
        <f t="shared" ca="1" si="787"/>
        <v>-10090254.433597336</v>
      </c>
    </row>
    <row r="836" spans="1:19" ht="15.75" customHeight="1" x14ac:dyDescent="0.3">
      <c r="A836" s="37">
        <v>76397</v>
      </c>
      <c r="B836" s="409">
        <f t="shared" ref="B836:C836" si="847">($A836-B$9)/365.25</f>
        <v>127.28542094455852</v>
      </c>
      <c r="C836" s="409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3525.4531757812501</v>
      </c>
      <c r="H836" s="25">
        <f>IF(B836&lt;62,0,'Combined Retirement'!$I$14)</f>
        <v>2192</v>
      </c>
      <c r="I836" s="25">
        <f>IF(C836&lt;62,0,'Combined Retirement'!$I$13)</f>
        <v>2420</v>
      </c>
      <c r="J836" s="25">
        <f t="shared" si="783"/>
        <v>7863.2184191855868</v>
      </c>
      <c r="K836" s="25">
        <f t="shared" si="784"/>
        <v>20282.026119384056</v>
      </c>
      <c r="L836" s="25"/>
      <c r="N836" s="25">
        <f>'Combined Retirement'!$C$18/12</f>
        <v>39153.069999999992</v>
      </c>
      <c r="O836" s="25">
        <f t="shared" si="785"/>
        <v>11007.82546143035</v>
      </c>
      <c r="P836" s="25">
        <f t="shared" si="786"/>
        <v>28145.244538569641</v>
      </c>
      <c r="Q836" s="25">
        <f t="array" aca="1" ref="Q836" ca="1">INDEX('Isaac 401k'!L:L,MATCH('Retirement Calculator'!A836,'Isaac 401k'!N:N,0),0)</f>
        <v>-1921033.159519213</v>
      </c>
      <c r="R836" s="25">
        <f t="array" aca="1" ref="R836" ca="1">INDEX('Lorri 401b'!L:L,MATCH('Retirement Calculator'!A836,'Lorri 401b'!N:N,0),0)</f>
        <v>-8239526.5172755914</v>
      </c>
      <c r="S836" s="25">
        <f t="shared" ca="1" si="787"/>
        <v>-10160559.676794805</v>
      </c>
    </row>
    <row r="837" spans="1:19" ht="15.75" customHeight="1" x14ac:dyDescent="0.3">
      <c r="A837" s="37">
        <v>76428</v>
      </c>
      <c r="B837" s="409">
        <f t="shared" ref="B837:C837" si="848">($A837-B$9)/365.25</f>
        <v>127.37029431895962</v>
      </c>
      <c r="C837" s="409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3525.4531757812501</v>
      </c>
      <c r="H837" s="25">
        <f>IF(B837&lt;62,0,'Combined Retirement'!$I$14)</f>
        <v>2192</v>
      </c>
      <c r="I837" s="25">
        <f>IF(C837&lt;62,0,'Combined Retirement'!$I$13)</f>
        <v>2420</v>
      </c>
      <c r="J837" s="25">
        <f t="shared" si="783"/>
        <v>7863.2184191855868</v>
      </c>
      <c r="K837" s="25">
        <f t="shared" si="784"/>
        <v>20282.026119384056</v>
      </c>
      <c r="L837" s="25"/>
      <c r="N837" s="25">
        <f>'Combined Retirement'!$C$18/12</f>
        <v>39153.069999999992</v>
      </c>
      <c r="O837" s="25">
        <f t="shared" si="785"/>
        <v>11007.82546143035</v>
      </c>
      <c r="P837" s="25">
        <f t="shared" si="786"/>
        <v>28145.244538569641</v>
      </c>
      <c r="Q837" s="25">
        <f t="array" aca="1" ref="Q837" ca="1">INDEX('Isaac 401k'!L:L,MATCH('Retirement Calculator'!A837,'Isaac 401k'!N:N,0),0)</f>
        <v>-1936933.4461798086</v>
      </c>
      <c r="R837" s="25">
        <f t="array" aca="1" ref="R837" ca="1">INDEX('Lorri 401b'!L:L,MATCH('Retirement Calculator'!A837,'Lorri 401b'!N:N,0),0)</f>
        <v>-8294224.4123257874</v>
      </c>
      <c r="S837" s="25">
        <f t="shared" ca="1" si="787"/>
        <v>-10231157.858505595</v>
      </c>
    </row>
    <row r="838" spans="1:19" ht="15.75" customHeight="1" x14ac:dyDescent="0.3">
      <c r="A838" s="37">
        <v>76458</v>
      </c>
      <c r="B838" s="409">
        <f t="shared" ref="B838:C838" si="849">($A838-B$9)/365.25</f>
        <v>127.45242984257358</v>
      </c>
      <c r="C838" s="409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3525.4531757812501</v>
      </c>
      <c r="H838" s="25">
        <f>IF(B838&lt;62,0,'Combined Retirement'!$I$14)</f>
        <v>2192</v>
      </c>
      <c r="I838" s="25">
        <f>IF(C838&lt;62,0,'Combined Retirement'!$I$13)</f>
        <v>2420</v>
      </c>
      <c r="J838" s="25">
        <f t="shared" si="783"/>
        <v>7863.2184191855868</v>
      </c>
      <c r="K838" s="25">
        <f t="shared" si="784"/>
        <v>20282.026119384056</v>
      </c>
      <c r="L838" s="25"/>
      <c r="N838" s="25">
        <f>'Combined Retirement'!$C$18/12</f>
        <v>39153.069999999992</v>
      </c>
      <c r="O838" s="25">
        <f t="shared" si="785"/>
        <v>11007.82546143035</v>
      </c>
      <c r="P838" s="25">
        <f t="shared" si="786"/>
        <v>28145.244538569641</v>
      </c>
      <c r="Q838" s="25">
        <f t="array" aca="1" ref="Q838" ca="1">INDEX('Isaac 401k'!L:L,MATCH('Retirement Calculator'!A838,'Isaac 401k'!N:N,0),0)</f>
        <v>-1952899.9840348233</v>
      </c>
      <c r="R838" s="25">
        <f t="array" aca="1" ref="R838" ca="1">INDEX('Lorri 401b'!L:L,MATCH('Retirement Calculator'!A838,'Lorri 401b'!N:N,0),0)</f>
        <v>-8349150.2152720261</v>
      </c>
      <c r="S838" s="25">
        <f t="shared" ca="1" si="787"/>
        <v>-10302050.199306849</v>
      </c>
    </row>
    <row r="839" spans="1:19" ht="15.75" customHeight="1" x14ac:dyDescent="0.3">
      <c r="A839" s="37">
        <v>76489</v>
      </c>
      <c r="B839" s="409">
        <f t="shared" ref="B839:C839" si="850">($A839-B$9)/365.25</f>
        <v>127.53730321697468</v>
      </c>
      <c r="C839" s="409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3525.4531757812501</v>
      </c>
      <c r="H839" s="25">
        <f>IF(B839&lt;62,0,'Combined Retirement'!$I$14)</f>
        <v>2192</v>
      </c>
      <c r="I839" s="25">
        <f>IF(C839&lt;62,0,'Combined Retirement'!$I$13)</f>
        <v>2420</v>
      </c>
      <c r="J839" s="25">
        <f t="shared" si="783"/>
        <v>7863.2184191855868</v>
      </c>
      <c r="K839" s="25">
        <f t="shared" si="784"/>
        <v>20282.026119384056</v>
      </c>
      <c r="L839" s="25"/>
      <c r="N839" s="25">
        <f>'Combined Retirement'!$C$18/12</f>
        <v>39153.069999999992</v>
      </c>
      <c r="O839" s="25">
        <f t="shared" si="785"/>
        <v>11007.82546143035</v>
      </c>
      <c r="P839" s="25">
        <f t="shared" si="786"/>
        <v>28145.244538569641</v>
      </c>
      <c r="Q839" s="25">
        <f t="array" aca="1" ref="Q839" ca="1">INDEX('Isaac 401k'!L:L,MATCH('Retirement Calculator'!A839,'Isaac 401k'!N:N,0),0)</f>
        <v>-1968933.0491309005</v>
      </c>
      <c r="R839" s="25">
        <f t="array" aca="1" ref="R839" ca="1">INDEX('Lorri 401b'!L:L,MATCH('Retirement Calculator'!A839,'Lorri 401b'!N:N,0),0)</f>
        <v>-8404304.8757305406</v>
      </c>
      <c r="S839" s="25">
        <f t="shared" ca="1" si="787"/>
        <v>-10373237.92486144</v>
      </c>
    </row>
    <row r="840" spans="1:19" ht="15.75" customHeight="1" x14ac:dyDescent="0.3">
      <c r="A840" s="37">
        <v>76519</v>
      </c>
      <c r="B840" s="409">
        <f t="shared" ref="B840:C840" si="851">($A840-B$9)/365.25</f>
        <v>127.61943874058863</v>
      </c>
      <c r="C840" s="409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3525.4531757812501</v>
      </c>
      <c r="H840" s="25">
        <f>IF(B840&lt;62,0,'Combined Retirement'!$I$14)</f>
        <v>2192</v>
      </c>
      <c r="I840" s="25">
        <f>IF(C840&lt;62,0,'Combined Retirement'!$I$13)</f>
        <v>2420</v>
      </c>
      <c r="J840" s="25">
        <f t="shared" si="783"/>
        <v>7863.2184191855868</v>
      </c>
      <c r="K840" s="25">
        <f t="shared" si="784"/>
        <v>20282.026119384056</v>
      </c>
      <c r="L840" s="25"/>
      <c r="N840" s="25">
        <f>'Combined Retirement'!$C$18/12</f>
        <v>39153.069999999992</v>
      </c>
      <c r="O840" s="25">
        <f t="shared" si="785"/>
        <v>11007.82546143035</v>
      </c>
      <c r="P840" s="25">
        <f t="shared" si="786"/>
        <v>28145.244538569641</v>
      </c>
      <c r="Q840" s="25">
        <f t="array" aca="1" ref="Q840" ca="1">INDEX('Isaac 401k'!L:L,MATCH('Retirement Calculator'!A840,'Isaac 401k'!N:N,0),0)</f>
        <v>-1985032.9186648782</v>
      </c>
      <c r="R840" s="25">
        <f t="array" aca="1" ref="R840" ca="1">INDEX('Lorri 401b'!L:L,MATCH('Retirement Calculator'!A840,'Lorri 401b'!N:N,0),0)</f>
        <v>-8459689.3472742997</v>
      </c>
      <c r="S840" s="25">
        <f t="shared" ca="1" si="787"/>
        <v>-10444722.265939178</v>
      </c>
    </row>
    <row r="841" spans="1:19" ht="15.75" customHeight="1" x14ac:dyDescent="0.3">
      <c r="A841" s="37">
        <v>76550</v>
      </c>
      <c r="B841" s="409">
        <f t="shared" ref="B841:C841" si="852">($A841-B$9)/365.25</f>
        <v>127.70431211498973</v>
      </c>
      <c r="C841" s="409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3525.4531757812501</v>
      </c>
      <c r="H841" s="25">
        <f>IF(B841&lt;62,0,'Combined Retirement'!$I$14)</f>
        <v>2192</v>
      </c>
      <c r="I841" s="25">
        <f>IF(C841&lt;62,0,'Combined Retirement'!$I$13)</f>
        <v>2420</v>
      </c>
      <c r="J841" s="25">
        <f t="shared" si="783"/>
        <v>7863.2184191855868</v>
      </c>
      <c r="K841" s="25">
        <f t="shared" si="784"/>
        <v>20282.026119384056</v>
      </c>
      <c r="L841" s="25"/>
      <c r="N841" s="25">
        <f>'Combined Retirement'!$C$18/12</f>
        <v>39153.069999999992</v>
      </c>
      <c r="O841" s="25">
        <f t="shared" si="785"/>
        <v>11007.82546143035</v>
      </c>
      <c r="P841" s="25">
        <f t="shared" si="786"/>
        <v>28145.244538569641</v>
      </c>
      <c r="Q841" s="25">
        <f t="array" aca="1" ref="Q841" ca="1">INDEX('Isaac 401k'!L:L,MATCH('Retirement Calculator'!A841,'Isaac 401k'!N:N,0),0)</f>
        <v>-2001199.8709885809</v>
      </c>
      <c r="R841" s="25">
        <f t="array" aca="1" ref="R841" ca="1">INDEX('Lorri 401b'!L:L,MATCH('Retirement Calculator'!A841,'Lorri 401b'!N:N,0),0)</f>
        <v>-8515304.587449491</v>
      </c>
      <c r="S841" s="25">
        <f t="shared" ca="1" si="787"/>
        <v>-10516504.458438072</v>
      </c>
    </row>
    <row r="842" spans="1:19" ht="15.75" customHeight="1" x14ac:dyDescent="0.3">
      <c r="A842" s="37">
        <v>76581</v>
      </c>
      <c r="B842" s="409">
        <f t="shared" ref="B842:C842" si="853">($A842-B$9)/365.25</f>
        <v>127.78918548939083</v>
      </c>
      <c r="C842" s="409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3525.4531757812501</v>
      </c>
      <c r="H842" s="25">
        <f>IF(B842&lt;62,0,'Combined Retirement'!$I$14)</f>
        <v>2192</v>
      </c>
      <c r="I842" s="25">
        <f>IF(C842&lt;62,0,'Combined Retirement'!$I$13)</f>
        <v>2420</v>
      </c>
      <c r="J842" s="25">
        <f t="shared" si="783"/>
        <v>7863.2184191855868</v>
      </c>
      <c r="K842" s="25">
        <f t="shared" si="784"/>
        <v>20282.026119384056</v>
      </c>
      <c r="L842" s="25"/>
      <c r="N842" s="25">
        <f>'Combined Retirement'!$C$18/12</f>
        <v>39153.069999999992</v>
      </c>
      <c r="O842" s="25">
        <f t="shared" si="785"/>
        <v>11007.82546143035</v>
      </c>
      <c r="P842" s="25">
        <f t="shared" si="786"/>
        <v>28145.244538569641</v>
      </c>
      <c r="Q842" s="25">
        <f t="array" aca="1" ref="Q842" ca="1">INDEX('Isaac 401k'!L:L,MATCH('Retirement Calculator'!A842,'Isaac 401k'!N:N,0),0)</f>
        <v>-2017434.1856136322</v>
      </c>
      <c r="R842" s="25">
        <f t="array" aca="1" ref="R842" ca="1">INDEX('Lorri 401b'!L:L,MATCH('Retirement Calculator'!A842,'Lorri 401b'!N:N,0),0)</f>
        <v>-8571151.5577920787</v>
      </c>
      <c r="S842" s="25">
        <f t="shared" ca="1" si="787"/>
        <v>-10588585.743405711</v>
      </c>
    </row>
    <row r="843" spans="1:19" ht="15.75" customHeight="1" x14ac:dyDescent="0.3">
      <c r="A843" s="37">
        <v>76611</v>
      </c>
      <c r="B843" s="409">
        <f t="shared" ref="B843:C843" si="854">($A843-B$9)/365.25</f>
        <v>127.87132101300479</v>
      </c>
      <c r="C843" s="409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3525.4531757812501</v>
      </c>
      <c r="H843" s="25">
        <f>IF(B843&lt;62,0,'Combined Retirement'!$I$14)</f>
        <v>2192</v>
      </c>
      <c r="I843" s="25">
        <f>IF(C843&lt;62,0,'Combined Retirement'!$I$13)</f>
        <v>2420</v>
      </c>
      <c r="J843" s="25">
        <f t="shared" si="783"/>
        <v>7863.2184191855868</v>
      </c>
      <c r="K843" s="25">
        <f t="shared" si="784"/>
        <v>20282.026119384056</v>
      </c>
      <c r="L843" s="25"/>
      <c r="N843" s="25">
        <f>'Combined Retirement'!$C$18/12</f>
        <v>39153.069999999992</v>
      </c>
      <c r="O843" s="25">
        <f t="shared" si="785"/>
        <v>11007.82546143035</v>
      </c>
      <c r="P843" s="25">
        <f t="shared" si="786"/>
        <v>28145.244538569641</v>
      </c>
      <c r="Q843" s="25">
        <f t="array" aca="1" ref="Q843" ca="1">INDEX('Isaac 401k'!L:L,MATCH('Retirement Calculator'!A843,'Isaac 401k'!N:N,0),0)</f>
        <v>-2033736.143216288</v>
      </c>
      <c r="R843" s="25">
        <f t="array" aca="1" ref="R843" ca="1">INDEX('Lorri 401b'!L:L,MATCH('Retirement Calculator'!A843,'Lorri 401b'!N:N,0),0)</f>
        <v>-8627231.2238444276</v>
      </c>
      <c r="S843" s="25">
        <f t="shared" ca="1" si="787"/>
        <v>-10660967.367060715</v>
      </c>
    </row>
    <row r="844" spans="1:19" ht="15.75" customHeight="1" x14ac:dyDescent="0.3">
      <c r="A844" s="37">
        <v>76642</v>
      </c>
      <c r="B844" s="409">
        <f t="shared" ref="B844:C844" si="855">($A844-B$9)/365.25</f>
        <v>127.95619438740589</v>
      </c>
      <c r="C844" s="409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3525.4531757812501</v>
      </c>
      <c r="H844" s="25">
        <f>IF(B844&lt;62,0,'Combined Retirement'!$I$14)</f>
        <v>2192</v>
      </c>
      <c r="I844" s="25">
        <f>IF(C844&lt;62,0,'Combined Retirement'!$I$13)</f>
        <v>2420</v>
      </c>
      <c r="J844" s="25">
        <f t="shared" si="783"/>
        <v>7863.2184191855868</v>
      </c>
      <c r="K844" s="25">
        <f t="shared" si="784"/>
        <v>20282.026119384056</v>
      </c>
      <c r="L844" s="25"/>
      <c r="N844" s="25">
        <f>'Combined Retirement'!$C$18/12</f>
        <v>39153.069999999992</v>
      </c>
      <c r="O844" s="25">
        <f t="shared" si="785"/>
        <v>11007.82546143035</v>
      </c>
      <c r="P844" s="25">
        <f t="shared" si="786"/>
        <v>28145.244538569641</v>
      </c>
      <c r="Q844" s="25">
        <f t="array" aca="1" ref="Q844" ca="1">INDEX('Isaac 401k'!L:L,MATCH('Retirement Calculator'!A844,'Isaac 401k'!N:N,0),0)</f>
        <v>-2050106.0256422879</v>
      </c>
      <c r="R844" s="25">
        <f t="array" aca="1" ref="R844" ca="1">INDEX('Lorri 401b'!L:L,MATCH('Retirement Calculator'!A844,'Lorri 401b'!N:N,0),0)</f>
        <v>-8683544.5551719945</v>
      </c>
      <c r="S844" s="25">
        <f t="shared" ca="1" si="787"/>
        <v>-10733650.580814283</v>
      </c>
    </row>
    <row r="845" spans="1:19" ht="15.75" customHeight="1" x14ac:dyDescent="0.3">
      <c r="A845" s="37">
        <v>76672</v>
      </c>
      <c r="B845" s="409">
        <f t="shared" ref="B845:C845" si="856">($A845-B$9)/365.25</f>
        <v>128.03832991101984</v>
      </c>
      <c r="C845" s="409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3525.4531757812501</v>
      </c>
      <c r="H845" s="25">
        <f>IF(B845&lt;62,0,'Combined Retirement'!$I$14)</f>
        <v>2192</v>
      </c>
      <c r="I845" s="25">
        <f>IF(C845&lt;62,0,'Combined Retirement'!$I$13)</f>
        <v>2420</v>
      </c>
      <c r="J845" s="25">
        <f t="shared" si="783"/>
        <v>7863.2184191855868</v>
      </c>
      <c r="K845" s="25">
        <f t="shared" si="784"/>
        <v>20282.026119384056</v>
      </c>
      <c r="L845" s="25"/>
      <c r="N845" s="25">
        <f>'Combined Retirement'!$C$18/12</f>
        <v>39153.069999999992</v>
      </c>
      <c r="O845" s="25">
        <f t="shared" si="785"/>
        <v>11007.82546143035</v>
      </c>
      <c r="P845" s="25">
        <f t="shared" si="786"/>
        <v>28145.244538569641</v>
      </c>
      <c r="Q845" s="25">
        <f t="array" aca="1" ref="Q845" ca="1">INDEX('Isaac 401k'!L:L,MATCH('Retirement Calculator'!A845,'Isaac 401k'!N:N,0),0)</f>
        <v>-2066544.1159117296</v>
      </c>
      <c r="R845" s="25">
        <f t="array" aca="1" ref="R845" ca="1">INDEX('Lorri 401b'!L:L,MATCH('Retirement Calculator'!A845,'Lorri 401b'!N:N,0),0)</f>
        <v>-8740092.5253800936</v>
      </c>
      <c r="S845" s="25">
        <f t="shared" ca="1" si="787"/>
        <v>-10806636.641291823</v>
      </c>
    </row>
    <row r="846" spans="1:19" ht="15.75" customHeight="1" x14ac:dyDescent="0.3">
      <c r="A846" s="37">
        <v>76703</v>
      </c>
      <c r="B846" s="409">
        <f t="shared" ref="B846:C846" si="857">($A846-B$9)/365.25</f>
        <v>128.12320328542094</v>
      </c>
      <c r="C846" s="409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3525.4531757812501</v>
      </c>
      <c r="H846" s="25">
        <f>IF(B846&lt;62,0,'Combined Retirement'!$I$14)</f>
        <v>2192</v>
      </c>
      <c r="I846" s="25">
        <f>IF(C846&lt;62,0,'Combined Retirement'!$I$13)</f>
        <v>2420</v>
      </c>
      <c r="J846" s="25">
        <f t="shared" si="783"/>
        <v>7863.2184191855868</v>
      </c>
      <c r="K846" s="25">
        <f t="shared" si="784"/>
        <v>20282.026119384056</v>
      </c>
      <c r="L846" s="25"/>
      <c r="N846" s="25">
        <f>'Combined Retirement'!$C$18/12</f>
        <v>39153.069999999992</v>
      </c>
      <c r="O846" s="25">
        <f t="shared" si="785"/>
        <v>11007.82546143035</v>
      </c>
      <c r="P846" s="25">
        <f t="shared" si="786"/>
        <v>28145.244538569641</v>
      </c>
      <c r="Q846" s="25">
        <f t="array" aca="1" ref="Q846" ca="1">INDEX('Isaac 401k'!L:L,MATCH('Retirement Calculator'!A846,'Isaac 401k'!N:N,0),0)</f>
        <v>-2083050.6982239608</v>
      </c>
      <c r="R846" s="25">
        <f t="array" aca="1" ref="R846" ca="1">INDEX('Lorri 401b'!L:L,MATCH('Retirement Calculator'!A846,'Lorri 401b'!N:N,0),0)</f>
        <v>-8796876.1121307258</v>
      </c>
      <c r="S846" s="25">
        <f t="shared" ca="1" si="787"/>
        <v>-10879926.810354687</v>
      </c>
    </row>
    <row r="847" spans="1:19" ht="15.75" customHeight="1" x14ac:dyDescent="0.3">
      <c r="A847" s="37">
        <v>76734</v>
      </c>
      <c r="B847" s="409">
        <f t="shared" ref="B847:C847" si="858">($A847-B$9)/365.25</f>
        <v>128.20807665982204</v>
      </c>
      <c r="C847" s="409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3525.4531757812501</v>
      </c>
      <c r="H847" s="25">
        <f>IF(B847&lt;62,0,'Combined Retirement'!$I$14)</f>
        <v>2192</v>
      </c>
      <c r="I847" s="25">
        <f>IF(C847&lt;62,0,'Combined Retirement'!$I$13)</f>
        <v>2420</v>
      </c>
      <c r="J847" s="25">
        <f t="shared" si="783"/>
        <v>7863.2184191855868</v>
      </c>
      <c r="K847" s="25">
        <f t="shared" si="784"/>
        <v>20282.026119384056</v>
      </c>
      <c r="L847" s="25"/>
      <c r="N847" s="25">
        <f>'Combined Retirement'!$C$18/12</f>
        <v>39153.069999999992</v>
      </c>
      <c r="O847" s="25">
        <f t="shared" si="785"/>
        <v>11007.82546143035</v>
      </c>
      <c r="P847" s="25">
        <f t="shared" si="786"/>
        <v>28145.244538569641</v>
      </c>
      <c r="Q847" s="25">
        <f t="array" aca="1" ref="Q847" ca="1">INDEX('Isaac 401k'!L:L,MATCH('Retirement Calculator'!A847,'Isaac 401k'!N:N,0),0)</f>
        <v>-2099626.057962493</v>
      </c>
      <c r="R847" s="25">
        <f t="array" aca="1" ref="R847" ca="1">INDEX('Lorri 401b'!L:L,MATCH('Retirement Calculator'!A847,'Lorri 401b'!N:N,0),0)</f>
        <v>-8853896.2971594855</v>
      </c>
      <c r="S847" s="25">
        <f t="shared" ca="1" si="787"/>
        <v>-10953522.355121978</v>
      </c>
    </row>
    <row r="848" spans="1:19" ht="15.75" customHeight="1" x14ac:dyDescent="0.3">
      <c r="A848" s="37">
        <v>76762</v>
      </c>
      <c r="B848" s="409">
        <f t="shared" ref="B848:C848" si="859">($A848-B$9)/365.25</f>
        <v>128.28473648186173</v>
      </c>
      <c r="C848" s="409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3525.4531757812501</v>
      </c>
      <c r="H848" s="25">
        <f>IF(B848&lt;62,0,'Combined Retirement'!$I$14)</f>
        <v>2192</v>
      </c>
      <c r="I848" s="25">
        <f>IF(C848&lt;62,0,'Combined Retirement'!$I$13)</f>
        <v>2420</v>
      </c>
      <c r="J848" s="25">
        <f t="shared" si="783"/>
        <v>7863.2184191855868</v>
      </c>
      <c r="K848" s="25">
        <f t="shared" si="784"/>
        <v>20282.026119384056</v>
      </c>
      <c r="L848" s="25"/>
      <c r="N848" s="25">
        <f>'Combined Retirement'!$C$18/12</f>
        <v>39153.069999999992</v>
      </c>
      <c r="O848" s="25">
        <f t="shared" si="785"/>
        <v>11007.82546143035</v>
      </c>
      <c r="P848" s="25">
        <f t="shared" si="786"/>
        <v>28145.244538569641</v>
      </c>
      <c r="Q848" s="25">
        <f t="array" aca="1" ref="Q848" ca="1">INDEX('Isaac 401k'!L:L,MATCH('Retirement Calculator'!A848,'Isaac 401k'!N:N,0),0)</f>
        <v>-2116270.4816999356</v>
      </c>
      <c r="R848" s="25">
        <f t="array" aca="1" ref="R848" ca="1">INDEX('Lorri 401b'!L:L,MATCH('Retirement Calculator'!A848,'Lorri 401b'!N:N,0),0)</f>
        <v>-8911154.0662925318</v>
      </c>
      <c r="S848" s="25">
        <f t="shared" ca="1" si="787"/>
        <v>-11027424.547992468</v>
      </c>
    </row>
    <row r="849" spans="1:19" ht="15.75" customHeight="1" x14ac:dyDescent="0.3">
      <c r="A849" s="37">
        <v>76793</v>
      </c>
      <c r="B849" s="409">
        <f t="shared" ref="B849:C849" si="860">($A849-B$9)/365.25</f>
        <v>128.36960985626283</v>
      </c>
      <c r="C849" s="409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3525.4531757812501</v>
      </c>
      <c r="H849" s="25">
        <f>IF(B849&lt;62,0,'Combined Retirement'!$I$14)</f>
        <v>2192</v>
      </c>
      <c r="I849" s="25">
        <f>IF(C849&lt;62,0,'Combined Retirement'!$I$13)</f>
        <v>2420</v>
      </c>
      <c r="J849" s="25">
        <f t="shared" si="783"/>
        <v>7863.2184191855868</v>
      </c>
      <c r="K849" s="25">
        <f t="shared" si="784"/>
        <v>20282.026119384056</v>
      </c>
      <c r="L849" s="25"/>
      <c r="N849" s="25">
        <f>'Combined Retirement'!$C$18/12</f>
        <v>39153.069999999992</v>
      </c>
      <c r="O849" s="25">
        <f t="shared" si="785"/>
        <v>11007.82546143035</v>
      </c>
      <c r="P849" s="25">
        <f t="shared" si="786"/>
        <v>28145.244538569641</v>
      </c>
      <c r="Q849" s="25">
        <f t="array" aca="1" ref="Q849" ca="1">INDEX('Isaac 401k'!L:L,MATCH('Retirement Calculator'!A849,'Isaac 401k'!N:N,0),0)</f>
        <v>-2132984.2572029508</v>
      </c>
      <c r="R849" s="25">
        <f t="array" aca="1" ref="R849" ca="1">INDEX('Lorri 401b'!L:L,MATCH('Retirement Calculator'!A849,'Lorri 401b'!N:N,0),0)</f>
        <v>-8968650.4094636329</v>
      </c>
      <c r="S849" s="25">
        <f t="shared" ca="1" si="787"/>
        <v>-11101634.666666584</v>
      </c>
    </row>
    <row r="850" spans="1:19" ht="15.75" customHeight="1" x14ac:dyDescent="0.3">
      <c r="A850" s="37">
        <v>76823</v>
      </c>
      <c r="B850" s="409">
        <f t="shared" ref="B850:C850" si="861">($A850-B$9)/365.25</f>
        <v>128.4517453798768</v>
      </c>
      <c r="C850" s="409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3525.4531757812501</v>
      </c>
      <c r="H850" s="25">
        <f>IF(B850&lt;62,0,'Combined Retirement'!$I$14)</f>
        <v>2192</v>
      </c>
      <c r="I850" s="25">
        <f>IF(C850&lt;62,0,'Combined Retirement'!$I$13)</f>
        <v>2420</v>
      </c>
      <c r="J850" s="25">
        <f t="shared" si="783"/>
        <v>7863.2184191855868</v>
      </c>
      <c r="K850" s="25">
        <f t="shared" si="784"/>
        <v>20282.026119384056</v>
      </c>
      <c r="L850" s="25"/>
      <c r="N850" s="25">
        <f>'Combined Retirement'!$C$18/12</f>
        <v>39153.069999999992</v>
      </c>
      <c r="O850" s="25">
        <f t="shared" si="785"/>
        <v>11007.82546143035</v>
      </c>
      <c r="P850" s="25">
        <f t="shared" si="786"/>
        <v>28145.244538569641</v>
      </c>
      <c r="Q850" s="25">
        <f t="array" aca="1" ref="Q850" ca="1">INDEX('Isaac 401k'!L:L,MATCH('Retirement Calculator'!A850,'Isaac 401k'!N:N,0),0)</f>
        <v>-2149767.6734372284</v>
      </c>
      <c r="R850" s="25">
        <f t="array" aca="1" ref="R850" ca="1">INDEX('Lorri 401b'!L:L,MATCH('Retirement Calculator'!A850,'Lorri 401b'!N:N,0),0)</f>
        <v>-9026386.3207312804</v>
      </c>
      <c r="S850" s="25">
        <f t="shared" ca="1" si="787"/>
        <v>-11176153.994168509</v>
      </c>
    </row>
    <row r="851" spans="1:19" ht="15.75" customHeight="1" x14ac:dyDescent="0.3">
      <c r="A851" s="37">
        <v>76854</v>
      </c>
      <c r="B851" s="409">
        <f t="shared" ref="B851:C851" si="862">($A851-B$9)/365.25</f>
        <v>128.5366187542779</v>
      </c>
      <c r="C851" s="409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3525.4531757812501</v>
      </c>
      <c r="H851" s="25">
        <f>IF(B851&lt;62,0,'Combined Retirement'!$I$14)</f>
        <v>2192</v>
      </c>
      <c r="I851" s="25">
        <f>IF(C851&lt;62,0,'Combined Retirement'!$I$13)</f>
        <v>2420</v>
      </c>
      <c r="J851" s="25">
        <f t="shared" si="783"/>
        <v>7863.2184191855868</v>
      </c>
      <c r="K851" s="25">
        <f t="shared" si="784"/>
        <v>20282.026119384056</v>
      </c>
      <c r="L851" s="25"/>
      <c r="N851" s="25">
        <f>'Combined Retirement'!$C$18/12</f>
        <v>39153.069999999992</v>
      </c>
      <c r="O851" s="25">
        <f t="shared" si="785"/>
        <v>11007.82546143035</v>
      </c>
      <c r="P851" s="25">
        <f t="shared" si="786"/>
        <v>28145.244538569641</v>
      </c>
      <c r="Q851" s="25">
        <f t="array" aca="1" ref="Q851" ca="1">INDEX('Isaac 401k'!L:L,MATCH('Retirement Calculator'!A851,'Isaac 401k'!N:N,0),0)</f>
        <v>-2166621.0205724821</v>
      </c>
      <c r="R851" s="25">
        <f t="array" aca="1" ref="R851" ca="1">INDEX('Lorri 401b'!L:L,MATCH('Retirement Calculator'!A851,'Lorri 401b'!N:N,0),0)</f>
        <v>-9084362.798295876</v>
      </c>
      <c r="S851" s="25">
        <f t="shared" ca="1" si="787"/>
        <v>-11250983.818868358</v>
      </c>
    </row>
    <row r="852" spans="1:19" ht="15.75" customHeight="1" x14ac:dyDescent="0.3">
      <c r="A852" s="37">
        <v>76884</v>
      </c>
      <c r="B852" s="409">
        <f t="shared" ref="B852:C852" si="863">($A852-B$9)/365.25</f>
        <v>128.61875427789187</v>
      </c>
      <c r="C852" s="409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3525.4531757812501</v>
      </c>
      <c r="H852" s="25">
        <f>IF(B852&lt;62,0,'Combined Retirement'!$I$14)</f>
        <v>2192</v>
      </c>
      <c r="I852" s="25">
        <f>IF(C852&lt;62,0,'Combined Retirement'!$I$13)</f>
        <v>2420</v>
      </c>
      <c r="J852" s="25">
        <f t="shared" si="783"/>
        <v>7863.2184191855868</v>
      </c>
      <c r="K852" s="25">
        <f t="shared" si="784"/>
        <v>20282.026119384056</v>
      </c>
      <c r="L852" s="25"/>
      <c r="N852" s="25">
        <f>'Combined Retirement'!$C$18/12</f>
        <v>39153.069999999992</v>
      </c>
      <c r="O852" s="25">
        <f t="shared" si="785"/>
        <v>11007.82546143035</v>
      </c>
      <c r="P852" s="25">
        <f t="shared" si="786"/>
        <v>28145.244538569641</v>
      </c>
      <c r="Q852" s="25">
        <f t="array" aca="1" ref="Q852" ca="1">INDEX('Isaac 401k'!L:L,MATCH('Retirement Calculator'!A852,'Isaac 401k'!N:N,0),0)</f>
        <v>-2183544.5899874661</v>
      </c>
      <c r="R852" s="25">
        <f t="array" aca="1" ref="R852" ca="1">INDEX('Lorri 401b'!L:L,MATCH('Retirement Calculator'!A852,'Lorri 401b'!N:N,0),0)</f>
        <v>-9142580.8445169907</v>
      </c>
      <c r="S852" s="25">
        <f t="shared" ca="1" si="787"/>
        <v>-11326125.434504457</v>
      </c>
    </row>
    <row r="853" spans="1:19" ht="15.75" customHeight="1" x14ac:dyDescent="0.3">
      <c r="A853" s="37">
        <v>76915</v>
      </c>
      <c r="B853" s="409">
        <f t="shared" ref="B853:C853" si="864">($A853-B$9)/365.25</f>
        <v>128.70362765229294</v>
      </c>
      <c r="C853" s="409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3525.4531757812501</v>
      </c>
      <c r="H853" s="25">
        <f>IF(B853&lt;62,0,'Combined Retirement'!$I$14)</f>
        <v>2192</v>
      </c>
      <c r="I853" s="25">
        <f>IF(C853&lt;62,0,'Combined Retirement'!$I$13)</f>
        <v>2420</v>
      </c>
      <c r="J853" s="25">
        <f t="shared" si="783"/>
        <v>7863.2184191855868</v>
      </c>
      <c r="K853" s="25">
        <f t="shared" si="784"/>
        <v>20282.026119384056</v>
      </c>
      <c r="L853" s="25"/>
      <c r="N853" s="25">
        <f>'Combined Retirement'!$C$18/12</f>
        <v>39153.069999999992</v>
      </c>
      <c r="O853" s="25">
        <f t="shared" si="785"/>
        <v>11007.82546143035</v>
      </c>
      <c r="P853" s="25">
        <f t="shared" si="786"/>
        <v>28145.244538569641</v>
      </c>
      <c r="Q853" s="25">
        <f t="array" aca="1" ref="Q853" ca="1">INDEX('Isaac 401k'!L:L,MATCH('Retirement Calculator'!A853,'Isaac 401k'!N:N,0),0)</f>
        <v>-2200538.6742750127</v>
      </c>
      <c r="R853" s="25">
        <f t="array" aca="1" ref="R853" ca="1">INDEX('Lorri 401b'!L:L,MATCH('Retirement Calculator'!A853,'Lorri 401b'!N:N,0),0)</f>
        <v>-9201041.4659306947</v>
      </c>
      <c r="S853" s="25">
        <f t="shared" ca="1" si="787"/>
        <v>-11401580.140205707</v>
      </c>
    </row>
    <row r="854" spans="1:19" ht="15.75" customHeight="1" x14ac:dyDescent="0.3">
      <c r="A854" s="37">
        <v>76946</v>
      </c>
      <c r="B854" s="409">
        <f t="shared" ref="B854:C854" si="865">($A854-B$9)/365.25</f>
        <v>128.78850102669404</v>
      </c>
      <c r="C854" s="409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3525.4531757812501</v>
      </c>
      <c r="H854" s="25">
        <f>IF(B854&lt;62,0,'Combined Retirement'!$I$14)</f>
        <v>2192</v>
      </c>
      <c r="I854" s="25">
        <f>IF(C854&lt;62,0,'Combined Retirement'!$I$13)</f>
        <v>2420</v>
      </c>
      <c r="J854" s="25">
        <f t="shared" si="783"/>
        <v>7863.2184191855868</v>
      </c>
      <c r="K854" s="25">
        <f t="shared" si="784"/>
        <v>20282.026119384056</v>
      </c>
      <c r="L854" s="25"/>
      <c r="N854" s="25">
        <f>'Combined Retirement'!$C$18/12</f>
        <v>39153.069999999992</v>
      </c>
      <c r="O854" s="25">
        <f t="shared" si="785"/>
        <v>11007.82546143035</v>
      </c>
      <c r="P854" s="25">
        <f t="shared" si="786"/>
        <v>28145.244538569641</v>
      </c>
      <c r="Q854" s="25">
        <f t="array" aca="1" ref="Q854" ca="1">INDEX('Isaac 401k'!L:L,MATCH('Retirement Calculator'!A854,'Isaac 401k'!N:N,0),0)</f>
        <v>-2217603.5672470904</v>
      </c>
      <c r="R854" s="25">
        <f t="array" aca="1" ref="R854" ca="1">INDEX('Lorri 401b'!L:L,MATCH('Retirement Calculator'!A854,'Lorri 401b'!N:N,0),0)</f>
        <v>-9259745.6732669547</v>
      </c>
      <c r="S854" s="25">
        <f t="shared" ca="1" si="787"/>
        <v>-11477349.240514046</v>
      </c>
    </row>
    <row r="855" spans="1:19" ht="15.75" customHeight="1" x14ac:dyDescent="0.3">
      <c r="A855" s="37">
        <v>76976</v>
      </c>
      <c r="B855" s="409">
        <f t="shared" ref="B855:C855" si="866">($A855-B$9)/365.25</f>
        <v>128.87063655030801</v>
      </c>
      <c r="C855" s="409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3525.4531757812501</v>
      </c>
      <c r="H855" s="25">
        <f>IF(B855&lt;62,0,'Combined Retirement'!$I$14)</f>
        <v>2192</v>
      </c>
      <c r="I855" s="25">
        <f>IF(C855&lt;62,0,'Combined Retirement'!$I$13)</f>
        <v>2420</v>
      </c>
      <c r="J855" s="25">
        <f t="shared" si="783"/>
        <v>7863.2184191855868</v>
      </c>
      <c r="K855" s="25">
        <f t="shared" si="784"/>
        <v>20282.026119384056</v>
      </c>
      <c r="L855" s="25"/>
      <c r="N855" s="25">
        <f>'Combined Retirement'!$C$18/12</f>
        <v>39153.069999999992</v>
      </c>
      <c r="O855" s="25">
        <f t="shared" si="785"/>
        <v>11007.82546143035</v>
      </c>
      <c r="P855" s="25">
        <f t="shared" si="786"/>
        <v>28145.244538569641</v>
      </c>
      <c r="Q855" s="25">
        <f t="array" aca="1" ref="Q855" ca="1">INDEX('Isaac 401k'!L:L,MATCH('Retirement Calculator'!A855,'Isaac 401k'!N:N,0),0)</f>
        <v>-2234739.5639398852</v>
      </c>
      <c r="R855" s="25">
        <f t="array" aca="1" ref="R855" ca="1">INDEX('Lorri 401b'!L:L,MATCH('Retirement Calculator'!A855,'Lorri 401b'!N:N,0),0)</f>
        <v>-9318694.4814671166</v>
      </c>
      <c r="S855" s="25">
        <f t="shared" ca="1" si="787"/>
        <v>-11553434.045407001</v>
      </c>
    </row>
    <row r="856" spans="1:19" ht="15.75" customHeight="1" x14ac:dyDescent="0.3">
      <c r="A856" s="37">
        <v>77007</v>
      </c>
      <c r="B856" s="409">
        <f t="shared" ref="B856:C856" si="867">($A856-B$9)/365.25</f>
        <v>128.95550992470911</v>
      </c>
      <c r="C856" s="409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3525.4531757812501</v>
      </c>
      <c r="H856" s="25">
        <f>IF(B856&lt;62,0,'Combined Retirement'!$I$14)</f>
        <v>2192</v>
      </c>
      <c r="I856" s="25">
        <f>IF(C856&lt;62,0,'Combined Retirement'!$I$13)</f>
        <v>2420</v>
      </c>
      <c r="J856" s="25">
        <f t="shared" si="783"/>
        <v>7863.2184191855868</v>
      </c>
      <c r="K856" s="25">
        <f t="shared" si="784"/>
        <v>20282.026119384056</v>
      </c>
      <c r="L856" s="25"/>
      <c r="N856" s="25">
        <f>'Combined Retirement'!$C$18/12</f>
        <v>39153.069999999992</v>
      </c>
      <c r="O856" s="25">
        <f t="shared" si="785"/>
        <v>11007.82546143035</v>
      </c>
      <c r="P856" s="25">
        <f t="shared" si="786"/>
        <v>28145.244538569641</v>
      </c>
      <c r="Q856" s="25">
        <f t="array" aca="1" ref="Q856" ca="1">INDEX('Isaac 401k'!L:L,MATCH('Retirement Calculator'!A856,'Isaac 401k'!N:N,0),0)</f>
        <v>-2251946.9606189001</v>
      </c>
      <c r="R856" s="25">
        <f t="array" aca="1" ref="R856" ca="1">INDEX('Lorri 401b'!L:L,MATCH('Retirement Calculator'!A856,'Lorri 401b'!N:N,0),0)</f>
        <v>-9377888.9097014461</v>
      </c>
      <c r="S856" s="25">
        <f t="shared" ca="1" si="787"/>
        <v>-11629835.870320346</v>
      </c>
    </row>
    <row r="857" spans="1:19" ht="15.75" customHeight="1" x14ac:dyDescent="0.3">
      <c r="A857" s="37">
        <v>77037</v>
      </c>
      <c r="B857" s="409">
        <f t="shared" ref="B857:C857" si="868">($A857-B$9)/365.25</f>
        <v>129.03764544832308</v>
      </c>
      <c r="C857" s="409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3525.4531757812501</v>
      </c>
      <c r="H857" s="25">
        <f>IF(B857&lt;62,0,'Combined Retirement'!$I$14)</f>
        <v>2192</v>
      </c>
      <c r="I857" s="25">
        <f>IF(C857&lt;62,0,'Combined Retirement'!$I$13)</f>
        <v>2420</v>
      </c>
      <c r="J857" s="25">
        <f t="shared" si="783"/>
        <v>7863.2184191855868</v>
      </c>
      <c r="K857" s="25">
        <f t="shared" si="784"/>
        <v>20282.026119384056</v>
      </c>
      <c r="L857" s="25"/>
      <c r="N857" s="25">
        <f>'Combined Retirement'!$C$18/12</f>
        <v>39153.069999999992</v>
      </c>
      <c r="O857" s="25">
        <f t="shared" si="785"/>
        <v>11007.82546143035</v>
      </c>
      <c r="P857" s="25">
        <f t="shared" si="786"/>
        <v>28145.244538569641</v>
      </c>
      <c r="Q857" s="25">
        <f t="array" aca="1" ref="Q857" ca="1">INDEX('Isaac 401k'!L:L,MATCH('Retirement Calculator'!A857,'Isaac 401k'!N:N,0),0)</f>
        <v>-2269226.0547840777</v>
      </c>
      <c r="R857" s="25">
        <f t="array" aca="1" ref="R857" ca="1">INDEX('Lorri 401b'!L:L,MATCH('Retirement Calculator'!A857,'Lorri 401b'!N:N,0),0)</f>
        <v>-9437329.9813867509</v>
      </c>
      <c r="S857" s="25">
        <f t="shared" ca="1" si="787"/>
        <v>-11706556.036170829</v>
      </c>
    </row>
    <row r="858" spans="1:19" ht="15.75" customHeight="1" x14ac:dyDescent="0.3">
      <c r="A858" s="37">
        <v>77068</v>
      </c>
      <c r="B858" s="409">
        <f t="shared" ref="B858:C858" si="869">($A858-B$9)/365.25</f>
        <v>129.12251882272417</v>
      </c>
      <c r="C858" s="409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3525.4531757812501</v>
      </c>
      <c r="H858" s="25">
        <f>IF(B858&lt;62,0,'Combined Retirement'!$I$14)</f>
        <v>2192</v>
      </c>
      <c r="I858" s="25">
        <f>IF(C858&lt;62,0,'Combined Retirement'!$I$13)</f>
        <v>2420</v>
      </c>
      <c r="J858" s="25">
        <f t="shared" si="783"/>
        <v>7863.2184191855868</v>
      </c>
      <c r="K858" s="25">
        <f t="shared" si="784"/>
        <v>20282.026119384056</v>
      </c>
      <c r="L858" s="25"/>
      <c r="N858" s="25">
        <f>'Combined Retirement'!$C$18/12</f>
        <v>39153.069999999992</v>
      </c>
      <c r="O858" s="25">
        <f t="shared" si="785"/>
        <v>11007.82546143035</v>
      </c>
      <c r="P858" s="25">
        <f t="shared" si="786"/>
        <v>28145.244538569641</v>
      </c>
      <c r="Q858" s="25">
        <f t="array" aca="1" ref="Q858" ca="1">INDEX('Isaac 401k'!L:L,MATCH('Retirement Calculator'!A858,'Isaac 401k'!N:N,0),0)</f>
        <v>-2286577.1451749434</v>
      </c>
      <c r="R858" s="25">
        <f t="array" aca="1" ref="R858" ca="1">INDEX('Lorri 401b'!L:L,MATCH('Retirement Calculator'!A858,'Lorri 401b'!N:N,0),0)</f>
        <v>-9497018.7242040783</v>
      </c>
      <c r="S858" s="25">
        <f t="shared" ca="1" si="787"/>
        <v>-11783595.869379021</v>
      </c>
    </row>
    <row r="859" spans="1:19" ht="15.75" customHeight="1" x14ac:dyDescent="0.3">
      <c r="A859" s="37">
        <v>77099</v>
      </c>
      <c r="B859" s="409">
        <f t="shared" ref="B859:C859" si="870">($A859-B$9)/365.25</f>
        <v>129.20739219712524</v>
      </c>
      <c r="C859" s="409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3525.4531757812501</v>
      </c>
      <c r="H859" s="25">
        <f>IF(B859&lt;62,0,'Combined Retirement'!$I$14)</f>
        <v>2192</v>
      </c>
      <c r="I859" s="25">
        <f>IF(C859&lt;62,0,'Combined Retirement'!$I$13)</f>
        <v>2420</v>
      </c>
      <c r="J859" s="25">
        <f t="shared" si="783"/>
        <v>7863.2184191855868</v>
      </c>
      <c r="K859" s="25">
        <f t="shared" si="784"/>
        <v>20282.026119384056</v>
      </c>
      <c r="L859" s="25"/>
      <c r="N859" s="25">
        <f>'Combined Retirement'!$C$18/12</f>
        <v>39153.069999999992</v>
      </c>
      <c r="O859" s="25">
        <f t="shared" si="785"/>
        <v>11007.82546143035</v>
      </c>
      <c r="P859" s="25">
        <f t="shared" si="786"/>
        <v>28145.244538569641</v>
      </c>
      <c r="Q859" s="25">
        <f t="array" aca="1" ref="Q859" ca="1">INDEX('Isaac 401k'!L:L,MATCH('Retirement Calculator'!A859,'Isaac 401k'!N:N,0),0)</f>
        <v>-2304000.5317757712</v>
      </c>
      <c r="R859" s="25">
        <f t="array" aca="1" ref="R859" ca="1">INDEX('Lorri 401b'!L:L,MATCH('Retirement Calculator'!A859,'Lorri 401b'!N:N,0),0)</f>
        <v>-9556956.1701164786</v>
      </c>
      <c r="S859" s="25">
        <f t="shared" ca="1" si="787"/>
        <v>-11860956.701892249</v>
      </c>
    </row>
    <row r="860" spans="1:19" ht="15.75" customHeight="1" x14ac:dyDescent="0.3">
      <c r="A860" s="37">
        <v>77127</v>
      </c>
      <c r="B860" s="409">
        <f t="shared" ref="B860:C860" si="871">($A860-B$9)/365.25</f>
        <v>129.28405201916496</v>
      </c>
      <c r="C860" s="409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3525.4531757812501</v>
      </c>
      <c r="H860" s="25">
        <f>IF(B860&lt;62,0,'Combined Retirement'!$I$14)</f>
        <v>2192</v>
      </c>
      <c r="I860" s="25">
        <f>IF(C860&lt;62,0,'Combined Retirement'!$I$13)</f>
        <v>2420</v>
      </c>
      <c r="J860" s="25">
        <f t="shared" si="783"/>
        <v>7863.2184191855868</v>
      </c>
      <c r="K860" s="25">
        <f t="shared" si="784"/>
        <v>20282.026119384056</v>
      </c>
      <c r="L860" s="25"/>
      <c r="N860" s="25">
        <f>'Combined Retirement'!$C$18/12</f>
        <v>39153.069999999992</v>
      </c>
      <c r="O860" s="25">
        <f t="shared" si="785"/>
        <v>11007.82546143035</v>
      </c>
      <c r="P860" s="25">
        <f t="shared" si="786"/>
        <v>28145.244538569641</v>
      </c>
      <c r="Q860" s="25">
        <f t="array" aca="1" ref="Q860" ca="1">INDEX('Isaac 401k'!L:L,MATCH('Retirement Calculator'!A860,'Isaac 401k'!N:N,0),0)</f>
        <v>-2321496.5158207687</v>
      </c>
      <c r="R860" s="25">
        <f t="array" aca="1" ref="R860" ca="1">INDEX('Lorri 401b'!L:L,MATCH('Retirement Calculator'!A860,'Lorri 401b'!N:N,0),0)</f>
        <v>-9617143.3553868458</v>
      </c>
      <c r="S860" s="25">
        <f t="shared" ca="1" si="787"/>
        <v>-11938639.871207613</v>
      </c>
    </row>
    <row r="861" spans="1:19" ht="15.75" customHeight="1" x14ac:dyDescent="0.3">
      <c r="A861" s="37">
        <v>77158</v>
      </c>
      <c r="B861" s="409">
        <f t="shared" ref="B861:C861" si="872">($A861-B$9)/365.25</f>
        <v>129.36892539356606</v>
      </c>
      <c r="C861" s="409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3525.4531757812501</v>
      </c>
      <c r="H861" s="25">
        <f>IF(B861&lt;62,0,'Combined Retirement'!$I$14)</f>
        <v>2192</v>
      </c>
      <c r="I861" s="25">
        <f>IF(C861&lt;62,0,'Combined Retirement'!$I$13)</f>
        <v>2420</v>
      </c>
      <c r="J861" s="25">
        <f t="shared" si="783"/>
        <v>7863.2184191855868</v>
      </c>
      <c r="K861" s="25">
        <f t="shared" si="784"/>
        <v>20282.026119384056</v>
      </c>
      <c r="L861" s="25"/>
      <c r="N861" s="25">
        <f>'Combined Retirement'!$C$18/12</f>
        <v>39153.069999999992</v>
      </c>
      <c r="O861" s="25">
        <f t="shared" si="785"/>
        <v>11007.82546143035</v>
      </c>
      <c r="P861" s="25">
        <f t="shared" si="786"/>
        <v>28145.244538569641</v>
      </c>
      <c r="Q861" s="25">
        <f t="array" aca="1" ref="Q861" ca="1">INDEX('Isaac 401k'!L:L,MATCH('Retirement Calculator'!A861,'Isaac 401k'!N:N,0),0)</f>
        <v>-2339065.3997992873</v>
      </c>
      <c r="R861" s="25">
        <f t="array" aca="1" ref="R861" ca="1">INDEX('Lorri 401b'!L:L,MATCH('Retirement Calculator'!A861,'Lorri 401b'!N:N,0),0)</f>
        <v>-9677581.32059584</v>
      </c>
      <c r="S861" s="25">
        <f t="shared" ca="1" si="787"/>
        <v>-12016646.720395127</v>
      </c>
    </row>
    <row r="862" spans="1:19" ht="15.75" customHeight="1" x14ac:dyDescent="0.3">
      <c r="A862" s="37">
        <v>77188</v>
      </c>
      <c r="B862" s="409">
        <f t="shared" ref="B862:C862" si="873">($A862-B$9)/365.25</f>
        <v>129.45106091718</v>
      </c>
      <c r="C862" s="409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3525.4531757812501</v>
      </c>
      <c r="H862" s="25">
        <f>IF(B862&lt;62,0,'Combined Retirement'!$I$14)</f>
        <v>2192</v>
      </c>
      <c r="I862" s="25">
        <f>IF(C862&lt;62,0,'Combined Retirement'!$I$13)</f>
        <v>2420</v>
      </c>
      <c r="J862" s="25">
        <f t="shared" si="783"/>
        <v>7863.2184191855868</v>
      </c>
      <c r="K862" s="25">
        <f t="shared" si="784"/>
        <v>20282.026119384056</v>
      </c>
      <c r="L862" s="25"/>
      <c r="N862" s="25">
        <f>'Combined Retirement'!$C$18/12</f>
        <v>39153.069999999992</v>
      </c>
      <c r="O862" s="25">
        <f t="shared" si="785"/>
        <v>11007.82546143035</v>
      </c>
      <c r="P862" s="25">
        <f t="shared" si="786"/>
        <v>28145.244538569641</v>
      </c>
      <c r="Q862" s="25">
        <f t="array" aca="1" ref="Q862" ca="1">INDEX('Isaac 401k'!L:L,MATCH('Retirement Calculator'!A862,'Isaac 401k'!N:N,0),0)</f>
        <v>-2356707.4874610496</v>
      </c>
      <c r="R862" s="25">
        <f t="array" aca="1" ref="R862" ca="1">INDEX('Lorri 401b'!L:L,MATCH('Retirement Calculator'!A862,'Lorri 401b'!N:N,0),0)</f>
        <v>-9738271.1106598713</v>
      </c>
      <c r="S862" s="25">
        <f t="shared" ca="1" si="787"/>
        <v>-12094978.59812092</v>
      </c>
    </row>
    <row r="863" spans="1:19" ht="15.75" customHeight="1" x14ac:dyDescent="0.3">
      <c r="A863" s="37">
        <v>77219</v>
      </c>
      <c r="B863" s="409">
        <f t="shared" ref="B863:C863" si="874">($A863-B$9)/365.25</f>
        <v>129.5359342915811</v>
      </c>
      <c r="C863" s="409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3525.4531757812501</v>
      </c>
      <c r="H863" s="25">
        <f>IF(B863&lt;62,0,'Combined Retirement'!$I$14)</f>
        <v>2192</v>
      </c>
      <c r="I863" s="25">
        <f>IF(C863&lt;62,0,'Combined Retirement'!$I$13)</f>
        <v>2420</v>
      </c>
      <c r="J863" s="25">
        <f t="shared" si="783"/>
        <v>7863.2184191855868</v>
      </c>
      <c r="K863" s="25">
        <f t="shared" si="784"/>
        <v>20282.026119384056</v>
      </c>
      <c r="L863" s="25"/>
      <c r="N863" s="25">
        <f>'Combined Retirement'!$C$18/12</f>
        <v>39153.069999999992</v>
      </c>
      <c r="O863" s="25">
        <f t="shared" si="785"/>
        <v>11007.82546143035</v>
      </c>
      <c r="P863" s="25">
        <f t="shared" si="786"/>
        <v>28145.244538569641</v>
      </c>
      <c r="Q863" s="25">
        <f t="array" aca="1" ref="Q863" ca="1">INDEX('Isaac 401k'!L:L,MATCH('Retirement Calculator'!A863,'Isaac 401k'!N:N,0),0)</f>
        <v>-2374423.0838214024</v>
      </c>
      <c r="R863" s="25">
        <f t="array" aca="1" ref="R863" ca="1">INDEX('Lorri 401b'!L:L,MATCH('Retirement Calculator'!A863,'Lorri 401b'!N:N,0),0)</f>
        <v>-9799213.774849169</v>
      </c>
      <c r="S863" s="25">
        <f t="shared" ca="1" si="787"/>
        <v>-12173636.858670572</v>
      </c>
    </row>
    <row r="864" spans="1:19" ht="15.75" customHeight="1" x14ac:dyDescent="0.3">
      <c r="A864" s="37">
        <v>77249</v>
      </c>
      <c r="B864" s="409">
        <f t="shared" ref="B864:C864" si="875">($A864-B$9)/365.25</f>
        <v>129.61806981519507</v>
      </c>
      <c r="C864" s="409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3525.4531757812501</v>
      </c>
      <c r="H864" s="25">
        <f>IF(B864&lt;62,0,'Combined Retirement'!$I$14)</f>
        <v>2192</v>
      </c>
      <c r="I864" s="25">
        <f>IF(C864&lt;62,0,'Combined Retirement'!$I$13)</f>
        <v>2420</v>
      </c>
      <c r="J864" s="25">
        <f t="shared" si="783"/>
        <v>7863.2184191855868</v>
      </c>
      <c r="K864" s="25">
        <f t="shared" si="784"/>
        <v>20282.026119384056</v>
      </c>
      <c r="L864" s="25"/>
      <c r="N864" s="25">
        <f>'Combined Retirement'!$C$18/12</f>
        <v>39153.069999999992</v>
      </c>
      <c r="O864" s="25">
        <f t="shared" si="785"/>
        <v>11007.82546143035</v>
      </c>
      <c r="P864" s="25">
        <f t="shared" si="786"/>
        <v>28145.244538569641</v>
      </c>
      <c r="Q864" s="25">
        <f t="array" aca="1" ref="Q864" ca="1">INDEX('Isaac 401k'!L:L,MATCH('Retirement Calculator'!A864,'Isaac 401k'!N:N,0),0)</f>
        <v>-2392212.4951665904</v>
      </c>
      <c r="R864" s="25">
        <f t="array" aca="1" ref="R864" ca="1">INDEX('Lorri 401b'!L:L,MATCH('Retirement Calculator'!A864,'Lorri 401b'!N:N,0),0)</f>
        <v>-9860410.3668059222</v>
      </c>
      <c r="S864" s="25">
        <f t="shared" ca="1" si="787"/>
        <v>-12252622.861972513</v>
      </c>
    </row>
    <row r="865" spans="1:19" ht="15.75" customHeight="1" x14ac:dyDescent="0.3">
      <c r="A865" s="37">
        <v>77280</v>
      </c>
      <c r="B865" s="409">
        <f t="shared" ref="B865:C865" si="876">($A865-B$9)/365.25</f>
        <v>129.70294318959617</v>
      </c>
      <c r="C865" s="409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3525.4531757812501</v>
      </c>
      <c r="H865" s="25">
        <f>IF(B865&lt;62,0,'Combined Retirement'!$I$14)</f>
        <v>2192</v>
      </c>
      <c r="I865" s="25">
        <f>IF(C865&lt;62,0,'Combined Retirement'!$I$13)</f>
        <v>2420</v>
      </c>
      <c r="J865" s="25">
        <f t="shared" si="783"/>
        <v>7863.2184191855868</v>
      </c>
      <c r="K865" s="25">
        <f t="shared" si="784"/>
        <v>20282.026119384056</v>
      </c>
      <c r="L865" s="25"/>
      <c r="N865" s="25">
        <f>'Combined Retirement'!$C$18/12</f>
        <v>39153.069999999992</v>
      </c>
      <c r="O865" s="25">
        <f t="shared" si="785"/>
        <v>11007.82546143035</v>
      </c>
      <c r="P865" s="25">
        <f t="shared" si="786"/>
        <v>28145.244538569641</v>
      </c>
      <c r="Q865" s="25">
        <f t="array" aca="1" ref="Q865" ca="1">INDEX('Isaac 401k'!L:L,MATCH('Retirement Calculator'!A865,'Isaac 401k'!N:N,0),0)</f>
        <v>-2410076.0290590497</v>
      </c>
      <c r="R865" s="25">
        <f t="array" aca="1" ref="R865" ca="1">INDEX('Lorri 401b'!L:L,MATCH('Retirement Calculator'!A865,'Lorri 401b'!N:N,0),0)</f>
        <v>-9921861.9445624966</v>
      </c>
      <c r="S865" s="25">
        <f t="shared" ca="1" si="787"/>
        <v>-12331937.973621547</v>
      </c>
    </row>
    <row r="866" spans="1:19" ht="15.75" customHeight="1" x14ac:dyDescent="0.3">
      <c r="A866" s="37">
        <v>77311</v>
      </c>
      <c r="B866" s="409">
        <f t="shared" ref="B866:C866" si="877">($A866-B$9)/365.25</f>
        <v>129.78781656399727</v>
      </c>
      <c r="C866" s="409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3525.4531757812501</v>
      </c>
      <c r="H866" s="25">
        <f>IF(B866&lt;62,0,'Combined Retirement'!$I$14)</f>
        <v>2192</v>
      </c>
      <c r="I866" s="25">
        <f>IF(C866&lt;62,0,'Combined Retirement'!$I$13)</f>
        <v>2420</v>
      </c>
      <c r="J866" s="25">
        <f t="shared" si="783"/>
        <v>7863.2184191855868</v>
      </c>
      <c r="K866" s="25">
        <f t="shared" si="784"/>
        <v>20282.026119384056</v>
      </c>
      <c r="L866" s="25"/>
      <c r="N866" s="25">
        <f>'Combined Retirement'!$C$18/12</f>
        <v>39153.069999999992</v>
      </c>
      <c r="O866" s="25">
        <f t="shared" si="785"/>
        <v>11007.82546143035</v>
      </c>
      <c r="P866" s="25">
        <f t="shared" si="786"/>
        <v>28145.244538569641</v>
      </c>
      <c r="Q866" s="25">
        <f t="array" aca="1" ref="Q866" ca="1">INDEX('Isaac 401k'!L:L,MATCH('Retirement Calculator'!A866,'Isaac 401k'!N:N,0),0)</f>
        <v>-2428013.9943427276</v>
      </c>
      <c r="R866" s="25">
        <f t="array" aca="1" ref="R866" ca="1">INDEX('Lorri 401b'!L:L,MATCH('Retirement Calculator'!A866,'Lorri 401b'!N:N,0),0)</f>
        <v>-9983569.5705597233</v>
      </c>
      <c r="S866" s="25">
        <f t="shared" ca="1" si="787"/>
        <v>-12411583.564902451</v>
      </c>
    </row>
    <row r="867" spans="1:19" ht="15.75" customHeight="1" x14ac:dyDescent="0.3">
      <c r="A867" s="37">
        <v>77341</v>
      </c>
      <c r="B867" s="409">
        <f t="shared" ref="B867:C867" si="878">($A867-B$9)/365.25</f>
        <v>129.86995208761124</v>
      </c>
      <c r="C867" s="409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3525.4531757812501</v>
      </c>
      <c r="H867" s="25">
        <f>IF(B867&lt;62,0,'Combined Retirement'!$I$14)</f>
        <v>2192</v>
      </c>
      <c r="I867" s="25">
        <f>IF(C867&lt;62,0,'Combined Retirement'!$I$13)</f>
        <v>2420</v>
      </c>
      <c r="J867" s="25">
        <f t="shared" si="783"/>
        <v>7863.2184191855868</v>
      </c>
      <c r="K867" s="25">
        <f t="shared" si="784"/>
        <v>20282.026119384056</v>
      </c>
      <c r="L867" s="25"/>
      <c r="N867" s="25">
        <f>'Combined Retirement'!$C$18/12</f>
        <v>39153.069999999992</v>
      </c>
      <c r="O867" s="25">
        <f t="shared" si="785"/>
        <v>11007.82546143035</v>
      </c>
      <c r="P867" s="25">
        <f t="shared" si="786"/>
        <v>28145.244538569641</v>
      </c>
      <c r="Q867" s="25">
        <f t="array" aca="1" ref="Q867" ca="1">INDEX('Isaac 401k'!L:L,MATCH('Retirement Calculator'!A867,'Isaac 401k'!N:N,0),0)</f>
        <v>-2446026.701148421</v>
      </c>
      <c r="R867" s="25">
        <f t="array" aca="1" ref="R867" ca="1">INDEX('Lorri 401b'!L:L,MATCH('Retirement Calculator'!A867,'Lorri 401b'!N:N,0),0)</f>
        <v>-10045534.31166527</v>
      </c>
      <c r="S867" s="25">
        <f t="shared" ca="1" si="787"/>
        <v>-12491561.012813691</v>
      </c>
    </row>
    <row r="868" spans="1:19" ht="15.75" customHeight="1" x14ac:dyDescent="0.3">
      <c r="A868" s="37">
        <v>77372</v>
      </c>
      <c r="B868" s="409">
        <f t="shared" ref="B868:C868" si="879">($A868-B$9)/365.25</f>
        <v>129.95482546201231</v>
      </c>
      <c r="C868" s="409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3525.4531757812501</v>
      </c>
      <c r="H868" s="25">
        <f>IF(B868&lt;62,0,'Combined Retirement'!$I$14)</f>
        <v>2192</v>
      </c>
      <c r="I868" s="25">
        <f>IF(C868&lt;62,0,'Combined Retirement'!$I$13)</f>
        <v>2420</v>
      </c>
      <c r="J868" s="25">
        <f t="shared" si="783"/>
        <v>7863.2184191855868</v>
      </c>
      <c r="K868" s="25">
        <f t="shared" si="784"/>
        <v>20282.026119384056</v>
      </c>
      <c r="L868" s="25"/>
      <c r="N868" s="25">
        <f>'Combined Retirement'!$C$18/12</f>
        <v>39153.069999999992</v>
      </c>
      <c r="O868" s="25">
        <f t="shared" si="785"/>
        <v>11007.82546143035</v>
      </c>
      <c r="P868" s="25">
        <f t="shared" si="786"/>
        <v>28145.244538569641</v>
      </c>
      <c r="Q868" s="25">
        <f t="array" aca="1" ref="Q868" ca="1">INDEX('Isaac 401k'!L:L,MATCH('Retirement Calculator'!A868,'Isaac 401k'!N:N,0),0)</f>
        <v>-2464114.4608991379</v>
      </c>
      <c r="R868" s="25">
        <f t="array" aca="1" ref="R868" ca="1">INDEX('Lorri 401b'!L:L,MATCH('Retirement Calculator'!A868,'Lorri 401b'!N:N,0),0)</f>
        <v>-10107757.239192091</v>
      </c>
      <c r="S868" s="25">
        <f t="shared" ca="1" si="787"/>
        <v>-12571871.700091228</v>
      </c>
    </row>
    <row r="869" spans="1:19" ht="15.75" customHeight="1" x14ac:dyDescent="0.3">
      <c r="A869" s="37">
        <v>77402</v>
      </c>
      <c r="B869" s="409">
        <f t="shared" ref="B869:C869" si="880">($A869-B$9)/365.25</f>
        <v>130.03696098562628</v>
      </c>
      <c r="C869" s="409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3525.4531757812501</v>
      </c>
      <c r="H869" s="25">
        <f>IF(B869&lt;62,0,'Combined Retirement'!$I$14)</f>
        <v>2192</v>
      </c>
      <c r="I869" s="25">
        <f>IF(C869&lt;62,0,'Combined Retirement'!$I$13)</f>
        <v>2420</v>
      </c>
      <c r="J869" s="25">
        <f t="shared" si="783"/>
        <v>7863.2184191855868</v>
      </c>
      <c r="K869" s="25">
        <f t="shared" si="784"/>
        <v>20282.026119384056</v>
      </c>
      <c r="L869" s="25"/>
      <c r="N869" s="25">
        <f>'Combined Retirement'!$C$18/12</f>
        <v>39153.069999999992</v>
      </c>
      <c r="O869" s="25">
        <f t="shared" si="785"/>
        <v>11007.82546143035</v>
      </c>
      <c r="P869" s="25">
        <f t="shared" si="786"/>
        <v>28145.244538569641</v>
      </c>
      <c r="Q869" s="25">
        <f t="array" aca="1" ref="Q869" ca="1">INDEX('Isaac 401k'!L:L,MATCH('Retirement Calculator'!A869,'Isaac 401k'!N:N,0),0)</f>
        <v>-2482277.5863154829</v>
      </c>
      <c r="R869" s="25">
        <f t="array" aca="1" ref="R869" ca="1">INDEX('Lorri 401b'!L:L,MATCH('Retirement Calculator'!A869,'Lorri 401b'!N:N,0),0)</f>
        <v>-10170239.42891694</v>
      </c>
      <c r="S869" s="25">
        <f t="shared" ca="1" si="787"/>
        <v>-12652517.015232423</v>
      </c>
    </row>
    <row r="870" spans="1:19" ht="15.75" customHeight="1" x14ac:dyDescent="0.3">
      <c r="A870" s="37">
        <v>77433</v>
      </c>
      <c r="B870" s="409">
        <f t="shared" ref="B870:C870" si="881">($A870-B$9)/365.25</f>
        <v>130.12183436002738</v>
      </c>
      <c r="C870" s="409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3525.4531757812501</v>
      </c>
      <c r="H870" s="25">
        <f>IF(B870&lt;62,0,'Combined Retirement'!$I$14)</f>
        <v>2192</v>
      </c>
      <c r="I870" s="25">
        <f>IF(C870&lt;62,0,'Combined Retirement'!$I$13)</f>
        <v>2420</v>
      </c>
      <c r="J870" s="25">
        <f t="shared" si="783"/>
        <v>7863.2184191855868</v>
      </c>
      <c r="K870" s="25">
        <f t="shared" si="784"/>
        <v>20282.026119384056</v>
      </c>
      <c r="L870" s="25"/>
      <c r="N870" s="25">
        <f>'Combined Retirement'!$C$18/12</f>
        <v>39153.069999999992</v>
      </c>
      <c r="O870" s="25">
        <f t="shared" si="785"/>
        <v>11007.82546143035</v>
      </c>
      <c r="P870" s="25">
        <f t="shared" si="786"/>
        <v>28145.244538569641</v>
      </c>
      <c r="Q870" s="25">
        <f t="array" aca="1" ref="Q870" ca="1">INDEX('Isaac 401k'!L:L,MATCH('Retirement Calculator'!A870,'Isaac 401k'!N:N,0),0)</f>
        <v>-2500516.3914210629</v>
      </c>
      <c r="R870" s="25">
        <f t="array" aca="1" ref="R870" ca="1">INDEX('Lorri 401b'!L:L,MATCH('Retirement Calculator'!A870,'Lorri 401b'!N:N,0),0)</f>
        <v>-10232981.961098976</v>
      </c>
      <c r="S870" s="25">
        <f t="shared" ca="1" si="787"/>
        <v>-12733498.352520039</v>
      </c>
    </row>
    <row r="871" spans="1:19" ht="15.75" customHeight="1" x14ac:dyDescent="0.3">
      <c r="A871" s="37">
        <v>77464</v>
      </c>
      <c r="B871" s="409">
        <f t="shared" ref="B871:C871" si="882">($A871-B$9)/365.25</f>
        <v>130.20670773442848</v>
      </c>
      <c r="C871" s="409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3525.4531757812501</v>
      </c>
      <c r="H871" s="25">
        <f>IF(B871&lt;62,0,'Combined Retirement'!$I$14)</f>
        <v>2192</v>
      </c>
      <c r="I871" s="25">
        <f>IF(C871&lt;62,0,'Combined Retirement'!$I$13)</f>
        <v>2420</v>
      </c>
      <c r="J871" s="25">
        <f t="shared" si="783"/>
        <v>7863.2184191855868</v>
      </c>
      <c r="K871" s="25">
        <f t="shared" si="784"/>
        <v>20282.026119384056</v>
      </c>
      <c r="L871" s="25"/>
      <c r="N871" s="25">
        <f>'Combined Retirement'!$C$18/12</f>
        <v>39153.069999999992</v>
      </c>
      <c r="O871" s="25">
        <f t="shared" si="785"/>
        <v>11007.82546143035</v>
      </c>
      <c r="P871" s="25">
        <f t="shared" si="786"/>
        <v>28145.244538569641</v>
      </c>
      <c r="Q871" s="25">
        <f t="array" aca="1" ref="Q871" ca="1">INDEX('Isaac 401k'!L:L,MATCH('Retirement Calculator'!A871,'Isaac 401k'!N:N,0),0)</f>
        <v>-2518831.1915479158</v>
      </c>
      <c r="R871" s="25">
        <f t="array" aca="1" ref="R871" ca="1">INDEX('Lorri 401b'!L:L,MATCH('Retirement Calculator'!A871,'Lorri 401b'!N:N,0),0)</f>
        <v>-10295985.920498438</v>
      </c>
      <c r="S871" s="25">
        <f t="shared" ca="1" si="787"/>
        <v>-12814817.112046354</v>
      </c>
    </row>
    <row r="872" spans="1:19" ht="15.75" customHeight="1" x14ac:dyDescent="0.3">
      <c r="A872" s="37">
        <v>77493</v>
      </c>
      <c r="B872" s="409">
        <f t="shared" ref="B872:C872" si="883">($A872-B$9)/365.25</f>
        <v>130.28610540725529</v>
      </c>
      <c r="C872" s="409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3525.4531757812501</v>
      </c>
      <c r="H872" s="25">
        <f>IF(B872&lt;62,0,'Combined Retirement'!$I$14)</f>
        <v>2192</v>
      </c>
      <c r="I872" s="25">
        <f>IF(C872&lt;62,0,'Combined Retirement'!$I$13)</f>
        <v>2420</v>
      </c>
      <c r="J872" s="25">
        <f t="shared" si="783"/>
        <v>7863.2184191855868</v>
      </c>
      <c r="K872" s="25">
        <f t="shared" si="784"/>
        <v>20282.026119384056</v>
      </c>
      <c r="L872" s="25"/>
      <c r="N872" s="25">
        <f>'Combined Retirement'!$C$18/12</f>
        <v>39153.069999999992</v>
      </c>
      <c r="O872" s="25">
        <f t="shared" si="785"/>
        <v>11007.82546143035</v>
      </c>
      <c r="P872" s="25">
        <f t="shared" si="786"/>
        <v>28145.244538569641</v>
      </c>
      <c r="Q872" s="25">
        <f t="array" aca="1" ref="Q872" ca="1">INDEX('Isaac 401k'!L:L,MATCH('Retirement Calculator'!A872,'Isaac 401k'!N:N,0),0)</f>
        <v>-2537222.3033419643</v>
      </c>
      <c r="R872" s="25">
        <f t="array" aca="1" ref="R872" ca="1">INDEX('Lorri 401b'!L:L,MATCH('Retirement Calculator'!A872,'Lorri 401b'!N:N,0),0)</f>
        <v>-10359252.396395396</v>
      </c>
      <c r="S872" s="25">
        <f t="shared" ca="1" si="787"/>
        <v>-12896474.699737361</v>
      </c>
    </row>
    <row r="873" spans="1:19" ht="15.75" customHeight="1" x14ac:dyDescent="0.3">
      <c r="A873" s="37">
        <v>77524</v>
      </c>
      <c r="B873" s="409">
        <f t="shared" ref="B873:C873" si="884">($A873-B$9)/365.25</f>
        <v>130.37097878165639</v>
      </c>
      <c r="C873" s="409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3525.4531757812501</v>
      </c>
      <c r="H873" s="25">
        <f>IF(B873&lt;62,0,'Combined Retirement'!$I$14)</f>
        <v>2192</v>
      </c>
      <c r="I873" s="25">
        <f>IF(C873&lt;62,0,'Combined Retirement'!$I$13)</f>
        <v>2420</v>
      </c>
      <c r="J873" s="25">
        <f t="shared" si="783"/>
        <v>7863.2184191855868</v>
      </c>
      <c r="K873" s="25">
        <f t="shared" si="784"/>
        <v>20282.026119384056</v>
      </c>
      <c r="L873" s="25"/>
      <c r="N873" s="25">
        <f>'Combined Retirement'!$C$18/12</f>
        <v>39153.069999999992</v>
      </c>
      <c r="O873" s="25">
        <f t="shared" si="785"/>
        <v>11007.82546143035</v>
      </c>
      <c r="P873" s="25">
        <f t="shared" si="786"/>
        <v>28145.244538569641</v>
      </c>
      <c r="Q873" s="25">
        <f t="array" aca="1" ref="Q873" ca="1">INDEX('Isaac 401k'!L:L,MATCH('Retirement Calculator'!A873,'Isaac 401k'!N:N,0),0)</f>
        <v>-2555690.0447684876</v>
      </c>
      <c r="R873" s="25">
        <f t="array" aca="1" ref="R873" ca="1">INDEX('Lorri 401b'!L:L,MATCH('Retirement Calculator'!A873,'Lorri 401b'!N:N,0),0)</f>
        <v>-10422782.482608592</v>
      </c>
      <c r="S873" s="25">
        <f t="shared" ca="1" si="787"/>
        <v>-12978472.52737708</v>
      </c>
    </row>
    <row r="874" spans="1:19" ht="15.75" customHeight="1" x14ac:dyDescent="0.3">
      <c r="A874" s="37">
        <v>77554</v>
      </c>
      <c r="B874" s="409">
        <f t="shared" ref="B874:C874" si="885">($A874-B$9)/365.25</f>
        <v>130.45311430527036</v>
      </c>
      <c r="C874" s="409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3525.4531757812501</v>
      </c>
      <c r="H874" s="25">
        <f>IF(B874&lt;62,0,'Combined Retirement'!$I$14)</f>
        <v>2192</v>
      </c>
      <c r="I874" s="25">
        <f>IF(C874&lt;62,0,'Combined Retirement'!$I$13)</f>
        <v>2420</v>
      </c>
      <c r="J874" s="25">
        <f t="shared" si="783"/>
        <v>7863.2184191855868</v>
      </c>
      <c r="K874" s="25">
        <f t="shared" si="784"/>
        <v>20282.026119384056</v>
      </c>
      <c r="L874" s="25"/>
      <c r="N874" s="25">
        <f>'Combined Retirement'!$C$18/12</f>
        <v>39153.069999999992</v>
      </c>
      <c r="O874" s="25">
        <f t="shared" si="785"/>
        <v>11007.82546143035</v>
      </c>
      <c r="P874" s="25">
        <f t="shared" si="786"/>
        <v>28145.244538569641</v>
      </c>
      <c r="Q874" s="25">
        <f t="array" aca="1" ref="Q874" ca="1">INDEX('Isaac 401k'!L:L,MATCH('Retirement Calculator'!A874,'Isaac 401k'!N:N,0),0)</f>
        <v>-2574234.7351176217</v>
      </c>
      <c r="R874" s="25">
        <f t="array" aca="1" ref="R874" ca="1">INDEX('Lorri 401b'!L:L,MATCH('Retirement Calculator'!A874,'Lorri 401b'!N:N,0),0)</f>
        <v>-10486577.277514344</v>
      </c>
      <c r="S874" s="25">
        <f t="shared" ca="1" si="787"/>
        <v>-13060812.012631966</v>
      </c>
    </row>
    <row r="875" spans="1:19" ht="15.75" customHeight="1" x14ac:dyDescent="0.3">
      <c r="A875" s="37">
        <v>77585</v>
      </c>
      <c r="B875" s="409">
        <f t="shared" ref="B875:C875" si="886">($A875-B$9)/365.25</f>
        <v>130.53798767967146</v>
      </c>
      <c r="C875" s="409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3525.4531757812501</v>
      </c>
      <c r="H875" s="25">
        <f>IF(B875&lt;62,0,'Combined Retirement'!$I$14)</f>
        <v>2192</v>
      </c>
      <c r="I875" s="25">
        <f>IF(C875&lt;62,0,'Combined Retirement'!$I$13)</f>
        <v>2420</v>
      </c>
      <c r="J875" s="25">
        <f t="shared" si="783"/>
        <v>7863.2184191855868</v>
      </c>
      <c r="K875" s="25">
        <f t="shared" si="784"/>
        <v>20282.026119384056</v>
      </c>
      <c r="L875" s="25"/>
      <c r="N875" s="25">
        <f>'Combined Retirement'!$C$18/12</f>
        <v>39153.069999999992</v>
      </c>
      <c r="O875" s="25">
        <f t="shared" si="785"/>
        <v>11007.82546143035</v>
      </c>
      <c r="P875" s="25">
        <f t="shared" si="786"/>
        <v>28145.244538569641</v>
      </c>
      <c r="Q875" s="25">
        <f t="array" aca="1" ref="Q875" ca="1">INDEX('Isaac 401k'!L:L,MATCH('Retirement Calculator'!A875,'Isaac 401k'!N:N,0),0)</f>
        <v>-2592856.695009877</v>
      </c>
      <c r="R875" s="25">
        <f t="array" aca="1" ref="R875" ca="1">INDEX('Lorri 401b'!L:L,MATCH('Retirement Calculator'!A875,'Lorri 401b'!N:N,0),0)</f>
        <v>-10550637.884065537</v>
      </c>
      <c r="S875" s="25">
        <f t="shared" ca="1" si="787"/>
        <v>-13143494.579075415</v>
      </c>
    </row>
    <row r="876" spans="1:19" ht="15.75" customHeight="1" x14ac:dyDescent="0.3">
      <c r="A876" s="37">
        <v>77615</v>
      </c>
      <c r="B876" s="409">
        <f t="shared" ref="B876:C876" si="887">($A876-B$9)/365.25</f>
        <v>130.62012320328543</v>
      </c>
      <c r="C876" s="409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3525.4531757812501</v>
      </c>
      <c r="H876" s="25">
        <f>IF(B876&lt;62,0,'Combined Retirement'!$I$14)</f>
        <v>2192</v>
      </c>
      <c r="I876" s="25">
        <f>IF(C876&lt;62,0,'Combined Retirement'!$I$13)</f>
        <v>2420</v>
      </c>
      <c r="J876" s="25">
        <f t="shared" si="783"/>
        <v>7863.2184191855868</v>
      </c>
      <c r="K876" s="25">
        <f t="shared" si="784"/>
        <v>20282.026119384056</v>
      </c>
      <c r="L876" s="25"/>
      <c r="N876" s="25">
        <f>'Combined Retirement'!$C$18/12</f>
        <v>39153.069999999992</v>
      </c>
      <c r="O876" s="25">
        <f t="shared" si="785"/>
        <v>11007.82546143035</v>
      </c>
      <c r="P876" s="25">
        <f t="shared" si="786"/>
        <v>28145.244538569641</v>
      </c>
      <c r="Q876" s="25">
        <f t="array" aca="1" ref="Q876" ca="1">INDEX('Isaac 401k'!L:L,MATCH('Retirement Calculator'!A876,'Isaac 401k'!N:N,0),0)</f>
        <v>-2611556.2464016834</v>
      </c>
      <c r="R876" s="25">
        <f t="array" aca="1" ref="R876" ca="1">INDEX('Lorri 401b'!L:L,MATCH('Retirement Calculator'!A876,'Lorri 401b'!N:N,0),0)</f>
        <v>-10614965.409810692</v>
      </c>
      <c r="S876" s="25">
        <f t="shared" ca="1" si="787"/>
        <v>-13226521.656212375</v>
      </c>
    </row>
    <row r="877" spans="1:19" ht="15.75" customHeight="1" x14ac:dyDescent="0.3">
      <c r="A877" s="37">
        <v>77646</v>
      </c>
      <c r="B877" s="409">
        <f t="shared" ref="B877:C877" si="888">($A877-B$9)/365.25</f>
        <v>130.70499657768653</v>
      </c>
      <c r="C877" s="409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3525.4531757812501</v>
      </c>
      <c r="H877" s="25">
        <f>IF(B877&lt;62,0,'Combined Retirement'!$I$14)</f>
        <v>2192</v>
      </c>
      <c r="I877" s="25">
        <f>IF(C877&lt;62,0,'Combined Retirement'!$I$13)</f>
        <v>2420</v>
      </c>
      <c r="J877" s="25">
        <f t="shared" si="783"/>
        <v>7863.2184191855868</v>
      </c>
      <c r="K877" s="25">
        <f t="shared" si="784"/>
        <v>20282.026119384056</v>
      </c>
      <c r="L877" s="25"/>
      <c r="N877" s="25">
        <f>'Combined Retirement'!$C$18/12</f>
        <v>39153.069999999992</v>
      </c>
      <c r="O877" s="25">
        <f t="shared" si="785"/>
        <v>11007.82546143035</v>
      </c>
      <c r="P877" s="25">
        <f t="shared" si="786"/>
        <v>28145.244538569641</v>
      </c>
      <c r="Q877" s="25">
        <f t="array" aca="1" ref="Q877" ca="1">INDEX('Isaac 401k'!L:L,MATCH('Retirement Calculator'!A877,'Isaac 401k'!N:N,0),0)</f>
        <v>-2630333.7125909557</v>
      </c>
      <c r="R877" s="25">
        <f t="array" aca="1" ref="R877" ca="1">INDEX('Lorri 401b'!L:L,MATCH('Retirement Calculator'!A877,'Lorri 401b'!N:N,0),0)</f>
        <v>-10679560.966913119</v>
      </c>
      <c r="S877" s="25">
        <f t="shared" ca="1" si="787"/>
        <v>-13309894.679504074</v>
      </c>
    </row>
    <row r="878" spans="1:19" ht="15.75" customHeight="1" x14ac:dyDescent="0.3">
      <c r="A878" s="37">
        <v>77677</v>
      </c>
      <c r="B878" s="409">
        <f t="shared" ref="B878:C878" si="889">($A878-B$9)/365.25</f>
        <v>130.7898699520876</v>
      </c>
      <c r="C878" s="409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3525.4531757812501</v>
      </c>
      <c r="H878" s="25">
        <f>IF(B878&lt;62,0,'Combined Retirement'!$I$14)</f>
        <v>2192</v>
      </c>
      <c r="I878" s="25">
        <f>IF(C878&lt;62,0,'Combined Retirement'!$I$13)</f>
        <v>2420</v>
      </c>
      <c r="J878" s="25">
        <f t="shared" si="783"/>
        <v>7863.2184191855868</v>
      </c>
      <c r="K878" s="25">
        <f t="shared" si="784"/>
        <v>20282.026119384056</v>
      </c>
      <c r="L878" s="25"/>
      <c r="N878" s="25">
        <f>'Combined Retirement'!$C$18/12</f>
        <v>39153.069999999992</v>
      </c>
      <c r="O878" s="25">
        <f t="shared" si="785"/>
        <v>11007.82546143035</v>
      </c>
      <c r="P878" s="25">
        <f t="shared" si="786"/>
        <v>28145.244538569641</v>
      </c>
      <c r="Q878" s="25">
        <f t="array" aca="1" ref="Q878" ca="1">INDEX('Isaac 401k'!L:L,MATCH('Retirement Calculator'!A878,'Isaac 401k'!N:N,0),0)</f>
        <v>-2649189.4182226835</v>
      </c>
      <c r="R878" s="25">
        <f t="array" aca="1" ref="R878" ca="1">INDEX('Lorri 401b'!L:L,MATCH('Retirement Calculator'!A878,'Lorri 401b'!N:N,0),0)</f>
        <v>-10744425.67217014</v>
      </c>
      <c r="S878" s="25">
        <f t="shared" ca="1" si="787"/>
        <v>-13393615.090392824</v>
      </c>
    </row>
    <row r="879" spans="1:19" ht="15.75" customHeight="1" x14ac:dyDescent="0.3">
      <c r="A879" s="37">
        <v>77707</v>
      </c>
      <c r="B879" s="409">
        <f t="shared" ref="B879:C879" si="890">($A879-B$9)/365.25</f>
        <v>130.87200547570157</v>
      </c>
      <c r="C879" s="409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3525.4531757812501</v>
      </c>
      <c r="H879" s="25">
        <f>IF(B879&lt;62,0,'Combined Retirement'!$I$14)</f>
        <v>2192</v>
      </c>
      <c r="I879" s="25">
        <f>IF(C879&lt;62,0,'Combined Retirement'!$I$13)</f>
        <v>2420</v>
      </c>
      <c r="J879" s="25">
        <f t="shared" si="783"/>
        <v>7863.2184191855868</v>
      </c>
      <c r="K879" s="25">
        <f t="shared" si="784"/>
        <v>20282.026119384056</v>
      </c>
      <c r="L879" s="25"/>
      <c r="N879" s="25">
        <f>'Combined Retirement'!$C$18/12</f>
        <v>39153.069999999992</v>
      </c>
      <c r="O879" s="25">
        <f t="shared" si="785"/>
        <v>11007.82546143035</v>
      </c>
      <c r="P879" s="25">
        <f t="shared" si="786"/>
        <v>28145.244538569641</v>
      </c>
      <c r="Q879" s="25">
        <f t="array" aca="1" ref="Q879" ca="1">INDEX('Isaac 401k'!L:L,MATCH('Retirement Calculator'!A879,'Isaac 401k'!N:N,0),0)</f>
        <v>-2668123.6892945431</v>
      </c>
      <c r="R879" s="25">
        <f t="array" aca="1" ref="R879" ca="1">INDEX('Lorri 401b'!L:L,MATCH('Retirement Calculator'!A879,'Lorri 401b'!N:N,0),0)</f>
        <v>-10809560.647032397</v>
      </c>
      <c r="S879" s="25">
        <f t="shared" ca="1" si="787"/>
        <v>-13477684.33632694</v>
      </c>
    </row>
    <row r="880" spans="1:19" ht="15.75" customHeight="1" x14ac:dyDescent="0.3">
      <c r="A880" s="37">
        <v>77738</v>
      </c>
      <c r="B880" s="409">
        <f t="shared" ref="B880:C880" si="891">($A880-B$9)/365.25</f>
        <v>130.95687885010267</v>
      </c>
      <c r="C880" s="409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3525.4531757812501</v>
      </c>
      <c r="H880" s="25">
        <f>IF(B880&lt;62,0,'Combined Retirement'!$I$14)</f>
        <v>2192</v>
      </c>
      <c r="I880" s="25">
        <f>IF(C880&lt;62,0,'Combined Retirement'!$I$13)</f>
        <v>2420</v>
      </c>
      <c r="J880" s="25">
        <f t="shared" si="783"/>
        <v>7863.2184191855868</v>
      </c>
      <c r="K880" s="25">
        <f t="shared" si="784"/>
        <v>20282.026119384056</v>
      </c>
      <c r="L880" s="25"/>
      <c r="N880" s="25">
        <f>'Combined Retirement'!$C$18/12</f>
        <v>39153.069999999992</v>
      </c>
      <c r="O880" s="25">
        <f t="shared" si="785"/>
        <v>11007.82546143035</v>
      </c>
      <c r="P880" s="25">
        <f t="shared" si="786"/>
        <v>28145.244538569641</v>
      </c>
      <c r="Q880" s="25">
        <f t="array" aca="1" ref="Q880" ca="1">INDEX('Isaac 401k'!L:L,MATCH('Retirement Calculator'!A880,'Isaac 401k'!N:N,0),0)</f>
        <v>-2687136.8531625355</v>
      </c>
      <c r="R880" s="25">
        <f t="array" aca="1" ref="R880" ca="1">INDEX('Lorri 401b'!L:L,MATCH('Retirement Calculator'!A880,'Lorri 401b'!N:N,0),0)</f>
        <v>-10874967.017623248</v>
      </c>
      <c r="S880" s="25">
        <f t="shared" ca="1" si="787"/>
        <v>-13562103.870785784</v>
      </c>
    </row>
    <row r="881" spans="1:19" ht="15.75" customHeight="1" x14ac:dyDescent="0.3">
      <c r="A881" s="37">
        <v>77768</v>
      </c>
      <c r="B881" s="409">
        <f t="shared" ref="B881:C881" si="892">($A881-B$9)/365.25</f>
        <v>131.03901437371664</v>
      </c>
      <c r="C881" s="409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3525.4531757812501</v>
      </c>
      <c r="H881" s="25">
        <f>IF(B881&lt;62,0,'Combined Retirement'!$I$14)</f>
        <v>2192</v>
      </c>
      <c r="I881" s="25">
        <f>IF(C881&lt;62,0,'Combined Retirement'!$I$13)</f>
        <v>2420</v>
      </c>
      <c r="J881" s="25">
        <f t="shared" si="783"/>
        <v>7863.2184191855868</v>
      </c>
      <c r="K881" s="25">
        <f t="shared" si="784"/>
        <v>20282.026119384056</v>
      </c>
      <c r="L881" s="25"/>
      <c r="N881" s="25">
        <f>'Combined Retirement'!$C$18/12</f>
        <v>39153.069999999992</v>
      </c>
      <c r="O881" s="25">
        <f t="shared" si="785"/>
        <v>11007.82546143035</v>
      </c>
      <c r="P881" s="25">
        <f t="shared" si="786"/>
        <v>28145.244538569641</v>
      </c>
      <c r="Q881" s="25">
        <f t="array" aca="1" ref="Q881" ca="1">INDEX('Isaac 401k'!L:L,MATCH('Retirement Calculator'!A881,'Isaac 401k'!N:N,0),0)</f>
        <v>-2706229.2385466448</v>
      </c>
      <c r="R881" s="25">
        <f t="array" aca="1" ref="R881" ca="1">INDEX('Lorri 401b'!L:L,MATCH('Retirement Calculator'!A881,'Lorri 401b'!N:N,0),0)</f>
        <v>-10940645.914758226</v>
      </c>
      <c r="S881" s="25">
        <f t="shared" ca="1" si="787"/>
        <v>-13646875.153304871</v>
      </c>
    </row>
    <row r="882" spans="1:19" ht="15.75" customHeight="1" x14ac:dyDescent="0.3">
      <c r="A882" s="37">
        <v>77799</v>
      </c>
      <c r="B882" s="409">
        <f t="shared" ref="B882:C882" si="893">($A882-B$9)/365.25</f>
        <v>131.12388774811774</v>
      </c>
      <c r="C882" s="409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3525.4531757812501</v>
      </c>
      <c r="H882" s="25">
        <f>IF(B882&lt;62,0,'Combined Retirement'!$I$14)</f>
        <v>2192</v>
      </c>
      <c r="I882" s="25">
        <f>IF(C882&lt;62,0,'Combined Retirement'!$I$13)</f>
        <v>2420</v>
      </c>
      <c r="J882" s="25">
        <f t="shared" si="783"/>
        <v>7863.2184191855868</v>
      </c>
      <c r="K882" s="25">
        <f t="shared" si="784"/>
        <v>20282.026119384056</v>
      </c>
      <c r="L882" s="25"/>
      <c r="N882" s="25">
        <f>'Combined Retirement'!$C$18/12</f>
        <v>39153.069999999992</v>
      </c>
      <c r="O882" s="25">
        <f t="shared" si="785"/>
        <v>11007.82546143035</v>
      </c>
      <c r="P882" s="25">
        <f t="shared" si="786"/>
        <v>28145.244538569641</v>
      </c>
      <c r="Q882" s="25">
        <f t="array" aca="1" ref="Q882" ca="1">INDEX('Isaac 401k'!L:L,MATCH('Retirement Calculator'!A882,'Isaac 401k'!N:N,0),0)</f>
        <v>-2725401.1755365212</v>
      </c>
      <c r="R882" s="25">
        <f t="array" aca="1" ref="R882" ca="1">INDEX('Lorri 401b'!L:L,MATCH('Retirement Calculator'!A882,'Lorri 401b'!N:N,0),0)</f>
        <v>-11006598.473964602</v>
      </c>
      <c r="S882" s="25">
        <f t="shared" ca="1" si="787"/>
        <v>-13731999.649501123</v>
      </c>
    </row>
    <row r="883" spans="1:19" ht="15.75" customHeight="1" x14ac:dyDescent="0.3">
      <c r="A883" s="37">
        <v>77830</v>
      </c>
      <c r="B883" s="409">
        <f t="shared" ref="B883:C883" si="894">($A883-B$9)/365.25</f>
        <v>131.20876112251884</v>
      </c>
      <c r="C883" s="409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3525.4531757812501</v>
      </c>
      <c r="H883" s="25">
        <f>IF(B883&lt;62,0,'Combined Retirement'!$I$14)</f>
        <v>2192</v>
      </c>
      <c r="I883" s="25">
        <f>IF(C883&lt;62,0,'Combined Retirement'!$I$13)</f>
        <v>2420</v>
      </c>
      <c r="J883" s="25">
        <f t="shared" si="783"/>
        <v>7863.2184191855868</v>
      </c>
      <c r="K883" s="25">
        <f t="shared" si="784"/>
        <v>20282.026119384056</v>
      </c>
      <c r="L883" s="25"/>
      <c r="N883" s="25">
        <f>'Combined Retirement'!$C$18/12</f>
        <v>39153.069999999992</v>
      </c>
      <c r="O883" s="25">
        <f t="shared" si="785"/>
        <v>11007.82546143035</v>
      </c>
      <c r="P883" s="25">
        <f t="shared" si="786"/>
        <v>28145.244538569641</v>
      </c>
      <c r="Q883" s="25">
        <f t="array" aca="1" ref="Q883" ca="1">INDEX('Isaac 401k'!L:L,MATCH('Retirement Calculator'!A883,'Isaac 401k'!N:N,0),0)</f>
        <v>-2744652.9955971888</v>
      </c>
      <c r="R883" s="25">
        <f t="array" aca="1" ref="R883" ca="1">INDEX('Lorri 401b'!L:L,MATCH('Retirement Calculator'!A883,'Lorri 401b'!N:N,0),0)</f>
        <v>-11072825.835501004</v>
      </c>
      <c r="S883" s="25">
        <f t="shared" ca="1" si="787"/>
        <v>-13817478.831098193</v>
      </c>
    </row>
    <row r="884" spans="1:19" ht="15.75" customHeight="1" x14ac:dyDescent="0.3">
      <c r="A884" s="37">
        <v>77858</v>
      </c>
      <c r="B884" s="409">
        <f t="shared" ref="B884:C884" si="895">($A884-B$9)/365.25</f>
        <v>131.28542094455852</v>
      </c>
      <c r="C884" s="409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3525.4531757812501</v>
      </c>
      <c r="H884" s="25">
        <f>IF(B884&lt;62,0,'Combined Retirement'!$I$14)</f>
        <v>2192</v>
      </c>
      <c r="I884" s="25">
        <f>IF(C884&lt;62,0,'Combined Retirement'!$I$13)</f>
        <v>2420</v>
      </c>
      <c r="J884" s="25">
        <f t="shared" si="783"/>
        <v>7863.2184191855868</v>
      </c>
      <c r="K884" s="25">
        <f t="shared" si="784"/>
        <v>20282.026119384056</v>
      </c>
      <c r="L884" s="25"/>
      <c r="N884" s="25">
        <f>'Combined Retirement'!$C$18/12</f>
        <v>39153.069999999992</v>
      </c>
      <c r="O884" s="25">
        <f t="shared" si="785"/>
        <v>11007.82546143035</v>
      </c>
      <c r="P884" s="25">
        <f t="shared" si="786"/>
        <v>28145.244538569641</v>
      </c>
      <c r="Q884" s="25">
        <f t="array" aca="1" ref="Q884" ca="1">INDEX('Isaac 401k'!L:L,MATCH('Retirement Calculator'!A884,'Isaac 401k'!N:N,0),0)</f>
        <v>-2763985.0315747759</v>
      </c>
      <c r="R884" s="25">
        <f t="array" aca="1" ref="R884" ca="1">INDEX('Lorri 401b'!L:L,MATCH('Retirement Calculator'!A884,'Lorri 401b'!N:N,0),0)</f>
        <v>-11139329.14437714</v>
      </c>
      <c r="S884" s="25">
        <f t="shared" ca="1" si="787"/>
        <v>-13903314.175951917</v>
      </c>
    </row>
    <row r="885" spans="1:19" ht="15.75" customHeight="1" x14ac:dyDescent="0.3">
      <c r="A885" s="37">
        <v>77889</v>
      </c>
      <c r="B885" s="409">
        <f t="shared" ref="B885:C885" si="896">($A885-B$9)/365.25</f>
        <v>131.37029431895962</v>
      </c>
      <c r="C885" s="409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3525.4531757812501</v>
      </c>
      <c r="H885" s="25">
        <f>IF(B885&lt;62,0,'Combined Retirement'!$I$14)</f>
        <v>2192</v>
      </c>
      <c r="I885" s="25">
        <f>IF(C885&lt;62,0,'Combined Retirement'!$I$13)</f>
        <v>2420</v>
      </c>
      <c r="J885" s="25">
        <f t="shared" si="783"/>
        <v>7863.2184191855868</v>
      </c>
      <c r="K885" s="25">
        <f t="shared" si="784"/>
        <v>20282.026119384056</v>
      </c>
      <c r="L885" s="25"/>
      <c r="N885" s="25">
        <f>'Combined Retirement'!$C$18/12</f>
        <v>39153.069999999992</v>
      </c>
      <c r="O885" s="25">
        <f t="shared" si="785"/>
        <v>11007.82546143035</v>
      </c>
      <c r="P885" s="25">
        <f t="shared" si="786"/>
        <v>28145.244538569641</v>
      </c>
      <c r="Q885" s="25">
        <f t="array" aca="1" ref="Q885" ca="1">INDEX('Isaac 401k'!L:L,MATCH('Retirement Calculator'!A885,'Isaac 401k'!N:N,0),0)</f>
        <v>-2783397.6177022695</v>
      </c>
      <c r="R885" s="25">
        <f t="array" aca="1" ref="R885" ca="1">INDEX('Lorri 401b'!L:L,MATCH('Retirement Calculator'!A885,'Lorri 401b'!N:N,0),0)</f>
        <v>-11206109.550373593</v>
      </c>
      <c r="S885" s="25">
        <f t="shared" ca="1" si="787"/>
        <v>-13989507.168075863</v>
      </c>
    </row>
    <row r="886" spans="1:19" ht="15.75" customHeight="1" x14ac:dyDescent="0.3">
      <c r="A886" s="37">
        <v>77919</v>
      </c>
      <c r="B886" s="409">
        <f t="shared" ref="B886:C886" si="897">($A886-B$9)/365.25</f>
        <v>131.45242984257359</v>
      </c>
      <c r="C886" s="409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3525.4531757812501</v>
      </c>
      <c r="H886" s="25">
        <f>IF(B886&lt;62,0,'Combined Retirement'!$I$14)</f>
        <v>2192</v>
      </c>
      <c r="I886" s="25">
        <f>IF(C886&lt;62,0,'Combined Retirement'!$I$13)</f>
        <v>2420</v>
      </c>
      <c r="J886" s="25">
        <f t="shared" si="783"/>
        <v>7863.2184191855868</v>
      </c>
      <c r="K886" s="25">
        <f t="shared" si="784"/>
        <v>20282.026119384056</v>
      </c>
      <c r="L886" s="25"/>
      <c r="N886" s="25">
        <f>'Combined Retirement'!$C$18/12</f>
        <v>39153.069999999992</v>
      </c>
      <c r="O886" s="25">
        <f t="shared" si="785"/>
        <v>11007.82546143035</v>
      </c>
      <c r="P886" s="25">
        <f t="shared" si="786"/>
        <v>28145.244538569641</v>
      </c>
      <c r="Q886" s="25">
        <f t="array" aca="1" ref="Q886" ca="1">INDEX('Isaac 401k'!L:L,MATCH('Retirement Calculator'!A886,'Isaac 401k'!N:N,0),0)</f>
        <v>-2802891.0896052942</v>
      </c>
      <c r="R886" s="25">
        <f t="array" aca="1" ref="R886" ca="1">INDEX('Lorri 401b'!L:L,MATCH('Retirement Calculator'!A886,'Lorri 401b'!N:N,0),0)</f>
        <v>-11273168.208061699</v>
      </c>
      <c r="S886" s="25">
        <f t="shared" ca="1" si="787"/>
        <v>-14076059.297666993</v>
      </c>
    </row>
    <row r="887" spans="1:19" ht="15.75" customHeight="1" x14ac:dyDescent="0.3">
      <c r="A887" s="37">
        <v>77950</v>
      </c>
      <c r="B887" s="409">
        <f t="shared" ref="B887:C887" si="898">($A887-B$9)/365.25</f>
        <v>131.53730321697466</v>
      </c>
      <c r="C887" s="409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3525.4531757812501</v>
      </c>
      <c r="H887" s="25">
        <f>IF(B887&lt;62,0,'Combined Retirement'!$I$14)</f>
        <v>2192</v>
      </c>
      <c r="I887" s="25">
        <f>IF(C887&lt;62,0,'Combined Retirement'!$I$13)</f>
        <v>2420</v>
      </c>
      <c r="J887" s="25">
        <f t="shared" si="783"/>
        <v>7863.2184191855868</v>
      </c>
      <c r="K887" s="25">
        <f t="shared" si="784"/>
        <v>20282.026119384056</v>
      </c>
      <c r="L887" s="25"/>
      <c r="N887" s="25">
        <f>'Combined Retirement'!$C$18/12</f>
        <v>39153.069999999992</v>
      </c>
      <c r="O887" s="25">
        <f t="shared" si="785"/>
        <v>11007.82546143035</v>
      </c>
      <c r="P887" s="25">
        <f t="shared" si="786"/>
        <v>28145.244538569641</v>
      </c>
      <c r="Q887" s="25">
        <f t="array" aca="1" ref="Q887" ca="1">INDEX('Isaac 401k'!L:L,MATCH('Retirement Calculator'!A887,'Isaac 401k'!N:N,0),0)</f>
        <v>-2822465.7843079148</v>
      </c>
      <c r="R887" s="25">
        <f t="array" aca="1" ref="R887" ca="1">INDEX('Lorri 401b'!L:L,MATCH('Retirement Calculator'!A887,'Lorri 401b'!N:N,0),0)</f>
        <v>-11340506.276823506</v>
      </c>
      <c r="S887" s="25">
        <f t="shared" ca="1" si="787"/>
        <v>-14162972.061131421</v>
      </c>
    </row>
    <row r="888" spans="1:19" ht="15.75" customHeight="1" x14ac:dyDescent="0.3">
      <c r="A888" s="37">
        <v>77980</v>
      </c>
      <c r="B888" s="409">
        <f t="shared" ref="B888:C888" si="899">($A888-B$9)/365.25</f>
        <v>131.61943874058863</v>
      </c>
      <c r="C888" s="409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3525.4531757812501</v>
      </c>
      <c r="H888" s="25">
        <f>IF(B888&lt;62,0,'Combined Retirement'!$I$14)</f>
        <v>2192</v>
      </c>
      <c r="I888" s="25">
        <f>IF(C888&lt;62,0,'Combined Retirement'!$I$13)</f>
        <v>2420</v>
      </c>
      <c r="J888" s="25">
        <f t="shared" si="783"/>
        <v>7863.2184191855868</v>
      </c>
      <c r="K888" s="25">
        <f t="shared" si="784"/>
        <v>20282.026119384056</v>
      </c>
      <c r="L888" s="25"/>
      <c r="N888" s="25">
        <f>'Combined Retirement'!$C$18/12</f>
        <v>39153.069999999992</v>
      </c>
      <c r="O888" s="25">
        <f t="shared" si="785"/>
        <v>11007.82546143035</v>
      </c>
      <c r="P888" s="25">
        <f t="shared" si="786"/>
        <v>28145.244538569641</v>
      </c>
      <c r="Q888" s="25">
        <f t="array" aca="1" ref="Q888" ca="1">INDEX('Isaac 401k'!L:L,MATCH('Retirement Calculator'!A888,'Isaac 401k'!N:N,0),0)</f>
        <v>-2842122.0402384629</v>
      </c>
      <c r="R888" s="25">
        <f t="array" aca="1" ref="R888" ca="1">INDEX('Lorri 401b'!L:L,MATCH('Retirement Calculator'!A888,'Lorri 401b'!N:N,0),0)</f>
        <v>-11408124.92087182</v>
      </c>
      <c r="S888" s="25">
        <f t="shared" ca="1" si="787"/>
        <v>-14250246.961110283</v>
      </c>
    </row>
    <row r="889" spans="1:19" ht="15.75" customHeight="1" x14ac:dyDescent="0.3">
      <c r="A889" s="37">
        <v>78011</v>
      </c>
      <c r="B889" s="409">
        <f t="shared" ref="B889:C889" si="900">($A889-B$9)/365.25</f>
        <v>131.70431211498973</v>
      </c>
      <c r="C889" s="409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3525.4531757812501</v>
      </c>
      <c r="H889" s="25">
        <f>IF(B889&lt;62,0,'Combined Retirement'!$I$14)</f>
        <v>2192</v>
      </c>
      <c r="I889" s="25">
        <f>IF(C889&lt;62,0,'Combined Retirement'!$I$13)</f>
        <v>2420</v>
      </c>
      <c r="J889" s="25">
        <f t="shared" si="783"/>
        <v>7863.2184191855868</v>
      </c>
      <c r="K889" s="25">
        <f t="shared" si="784"/>
        <v>20282.026119384056</v>
      </c>
      <c r="L889" s="25"/>
      <c r="N889" s="25">
        <f>'Combined Retirement'!$C$18/12</f>
        <v>39153.069999999992</v>
      </c>
      <c r="O889" s="25">
        <f t="shared" si="785"/>
        <v>11007.82546143035</v>
      </c>
      <c r="P889" s="25">
        <f t="shared" si="786"/>
        <v>28145.244538569641</v>
      </c>
      <c r="Q889" s="25">
        <f t="array" aca="1" ref="Q889" ca="1">INDEX('Isaac 401k'!L:L,MATCH('Retirement Calculator'!A889,'Isaac 401k'!N:N,0),0)</f>
        <v>-2861860.1972353882</v>
      </c>
      <c r="R889" s="25">
        <f t="array" aca="1" ref="R889" ca="1">INDEX('Lorri 401b'!L:L,MATCH('Retirement Calculator'!A889,'Lorri 401b'!N:N,0),0)</f>
        <v>-11476025.309270335</v>
      </c>
      <c r="S889" s="25">
        <f t="shared" ca="1" si="787"/>
        <v>-14337885.506505724</v>
      </c>
    </row>
    <row r="890" spans="1:19" ht="15.75" customHeight="1" x14ac:dyDescent="0.3">
      <c r="A890" s="37">
        <v>78042</v>
      </c>
      <c r="B890" s="409">
        <f t="shared" ref="B890:C890" si="901">($A890-B$9)/365.25</f>
        <v>131.78918548939083</v>
      </c>
      <c r="C890" s="409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3525.4531757812501</v>
      </c>
      <c r="H890" s="25">
        <f>IF(B890&lt;62,0,'Combined Retirement'!$I$14)</f>
        <v>2192</v>
      </c>
      <c r="I890" s="25">
        <f>IF(C890&lt;62,0,'Combined Retirement'!$I$13)</f>
        <v>2420</v>
      </c>
      <c r="J890" s="25">
        <f t="shared" si="783"/>
        <v>7863.2184191855868</v>
      </c>
      <c r="K890" s="25">
        <f t="shared" si="784"/>
        <v>20282.026119384056</v>
      </c>
      <c r="L890" s="25"/>
      <c r="N890" s="25">
        <f>'Combined Retirement'!$C$18/12</f>
        <v>39153.069999999992</v>
      </c>
      <c r="O890" s="25">
        <f t="shared" si="785"/>
        <v>11007.82546143035</v>
      </c>
      <c r="P890" s="25">
        <f t="shared" si="786"/>
        <v>28145.244538569641</v>
      </c>
      <c r="Q890" s="25">
        <f t="array" aca="1" ref="Q890" ca="1">INDEX('Isaac 401k'!L:L,MATCH('Retirement Calculator'!A890,'Isaac 401k'!N:N,0),0)</f>
        <v>-2881680.5965531343</v>
      </c>
      <c r="R890" s="25">
        <f t="array" aca="1" ref="R890" ca="1">INDEX('Lorri 401b'!L:L,MATCH('Retirement Calculator'!A890,'Lorri 401b'!N:N,0),0)</f>
        <v>-11544208.615953844</v>
      </c>
      <c r="S890" s="25">
        <f t="shared" ca="1" si="787"/>
        <v>-14425889.212506978</v>
      </c>
    </row>
    <row r="891" spans="1:19" ht="15.75" customHeight="1" x14ac:dyDescent="0.3">
      <c r="A891" s="37">
        <v>78072</v>
      </c>
      <c r="B891" s="409">
        <f t="shared" ref="B891:C891" si="902">($A891-B$9)/365.25</f>
        <v>131.8713210130048</v>
      </c>
      <c r="C891" s="409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3525.4531757812501</v>
      </c>
      <c r="H891" s="25">
        <f>IF(B891&lt;62,0,'Combined Retirement'!$I$14)</f>
        <v>2192</v>
      </c>
      <c r="I891" s="25">
        <f>IF(C891&lt;62,0,'Combined Retirement'!$I$13)</f>
        <v>2420</v>
      </c>
      <c r="J891" s="25">
        <f t="shared" si="783"/>
        <v>7863.2184191855868</v>
      </c>
      <c r="K891" s="25">
        <f t="shared" si="784"/>
        <v>20282.026119384056</v>
      </c>
      <c r="L891" s="25"/>
      <c r="N891" s="25">
        <f>'Combined Retirement'!$C$18/12</f>
        <v>39153.069999999992</v>
      </c>
      <c r="O891" s="25">
        <f t="shared" si="785"/>
        <v>11007.82546143035</v>
      </c>
      <c r="P891" s="25">
        <f t="shared" si="786"/>
        <v>28145.244538569641</v>
      </c>
      <c r="Q891" s="25">
        <f t="array" aca="1" ref="Q891" ca="1">INDEX('Isaac 401k'!L:L,MATCH('Retirement Calculator'!A891,'Isaac 401k'!N:N,0),0)</f>
        <v>-2901583.5808680374</v>
      </c>
      <c r="R891" s="25">
        <f t="array" aca="1" ref="R891" ca="1">INDEX('Lorri 401b'!L:L,MATCH('Retirement Calculator'!A891,'Lorri 401b'!N:N,0),0)</f>
        <v>-11612676.019748535</v>
      </c>
      <c r="S891" s="25">
        <f t="shared" ca="1" si="787"/>
        <v>-14514259.600616572</v>
      </c>
    </row>
    <row r="892" spans="1:19" ht="15.75" customHeight="1" x14ac:dyDescent="0.3">
      <c r="A892" s="37">
        <v>78103</v>
      </c>
      <c r="B892" s="409">
        <f t="shared" ref="B892:C892" si="903">($A892-B$9)/365.25</f>
        <v>131.95619438740587</v>
      </c>
      <c r="C892" s="409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3525.4531757812501</v>
      </c>
      <c r="H892" s="25">
        <f>IF(B892&lt;62,0,'Combined Retirement'!$I$14)</f>
        <v>2192</v>
      </c>
      <c r="I892" s="25">
        <f>IF(C892&lt;62,0,'Combined Retirement'!$I$13)</f>
        <v>2420</v>
      </c>
      <c r="J892" s="25">
        <f t="shared" si="783"/>
        <v>7863.2184191855868</v>
      </c>
      <c r="K892" s="25">
        <f t="shared" si="784"/>
        <v>20282.026119384056</v>
      </c>
      <c r="L892" s="25"/>
      <c r="N892" s="25">
        <f>'Combined Retirement'!$C$18/12</f>
        <v>39153.069999999992</v>
      </c>
      <c r="O892" s="25">
        <f t="shared" si="785"/>
        <v>11007.82546143035</v>
      </c>
      <c r="P892" s="25">
        <f t="shared" si="786"/>
        <v>28145.244538569641</v>
      </c>
      <c r="Q892" s="25">
        <f t="array" aca="1" ref="Q892" ca="1">INDEX('Isaac 401k'!L:L,MATCH('Retirement Calculator'!A892,'Isaac 401k'!N:N,0),0)</f>
        <v>-2921569.4942842531</v>
      </c>
      <c r="R892" s="25">
        <f t="array" aca="1" ref="R892" ca="1">INDEX('Lorri 401b'!L:L,MATCH('Retirement Calculator'!A892,'Lorri 401b'!N:N,0),0)</f>
        <v>-11681428.70439237</v>
      </c>
      <c r="S892" s="25">
        <f t="shared" ca="1" si="787"/>
        <v>-14602998.198676623</v>
      </c>
    </row>
    <row r="893" spans="1:19" ht="15.75" customHeight="1" x14ac:dyDescent="0.3">
      <c r="A893" s="37">
        <v>78133</v>
      </c>
      <c r="B893" s="409">
        <f t="shared" ref="B893:C893" si="904">($A893-B$9)/365.25</f>
        <v>132.03832991101984</v>
      </c>
      <c r="C893" s="409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3525.4531757812501</v>
      </c>
      <c r="H893" s="25">
        <f>IF(B893&lt;62,0,'Combined Retirement'!$I$14)</f>
        <v>2192</v>
      </c>
      <c r="I893" s="25">
        <f>IF(C893&lt;62,0,'Combined Retirement'!$I$13)</f>
        <v>2420</v>
      </c>
      <c r="J893" s="25">
        <f t="shared" si="783"/>
        <v>7863.2184191855868</v>
      </c>
      <c r="K893" s="25">
        <f t="shared" si="784"/>
        <v>20282.026119384056</v>
      </c>
      <c r="L893" s="25"/>
      <c r="N893" s="25">
        <f>'Combined Retirement'!$C$18/12</f>
        <v>39153.069999999992</v>
      </c>
      <c r="O893" s="25">
        <f t="shared" si="785"/>
        <v>11007.82546143035</v>
      </c>
      <c r="P893" s="25">
        <f t="shared" si="786"/>
        <v>28145.244538569641</v>
      </c>
      <c r="Q893" s="25">
        <f t="array" aca="1" ref="Q893" ca="1">INDEX('Isaac 401k'!L:L,MATCH('Retirement Calculator'!A893,'Isaac 401k'!N:N,0),0)</f>
        <v>-2941638.6823397027</v>
      </c>
      <c r="R893" s="25">
        <f t="array" aca="1" ref="R893" ca="1">INDEX('Lorri 401b'!L:L,MATCH('Retirement Calculator'!A893,'Lorri 401b'!N:N,0),0)</f>
        <v>-11750467.858555553</v>
      </c>
      <c r="S893" s="25">
        <f t="shared" ca="1" si="787"/>
        <v>-14692106.540895257</v>
      </c>
    </row>
    <row r="894" spans="1:19" ht="15.75" customHeight="1" x14ac:dyDescent="0.3">
      <c r="A894" s="37">
        <v>78164</v>
      </c>
      <c r="B894" s="409">
        <f t="shared" ref="B894:C894" si="905">($A894-B$9)/365.25</f>
        <v>132.12320328542094</v>
      </c>
      <c r="C894" s="409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3525.4531757812501</v>
      </c>
      <c r="H894" s="25">
        <f>IF(B894&lt;62,0,'Combined Retirement'!$I$14)</f>
        <v>2192</v>
      </c>
      <c r="I894" s="25">
        <f>IF(C894&lt;62,0,'Combined Retirement'!$I$13)</f>
        <v>2420</v>
      </c>
      <c r="J894" s="25">
        <f t="shared" si="783"/>
        <v>7863.2184191855868</v>
      </c>
      <c r="K894" s="25">
        <f t="shared" si="784"/>
        <v>20282.026119384056</v>
      </c>
      <c r="L894" s="25"/>
      <c r="N894" s="25">
        <f>'Combined Retirement'!$C$18/12</f>
        <v>39153.069999999992</v>
      </c>
      <c r="O894" s="25">
        <f t="shared" si="785"/>
        <v>11007.82546143035</v>
      </c>
      <c r="P894" s="25">
        <f t="shared" si="786"/>
        <v>28145.244538569641</v>
      </c>
      <c r="Q894" s="25">
        <f t="array" aca="1" ref="Q894" ca="1">INDEX('Isaac 401k'!L:L,MATCH('Retirement Calculator'!A894,'Isaac 401k'!N:N,0),0)</f>
        <v>-2961791.49201205</v>
      </c>
      <c r="R894" s="25">
        <f t="array" aca="1" ref="R894" ca="1">INDEX('Lorri 401b'!L:L,MATCH('Retirement Calculator'!A894,'Lorri 401b'!N:N,0),0)</f>
        <v>-11819794.675861085</v>
      </c>
      <c r="S894" s="25">
        <f t="shared" ca="1" si="787"/>
        <v>-14781586.167873135</v>
      </c>
    </row>
    <row r="895" spans="1:19" ht="15.75" customHeight="1" x14ac:dyDescent="0.3">
      <c r="A895" s="37">
        <v>78195</v>
      </c>
      <c r="B895" s="409">
        <f t="shared" ref="B895:C895" si="906">($A895-B$9)/365.25</f>
        <v>132.20807665982204</v>
      </c>
      <c r="C895" s="409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3525.4531757812501</v>
      </c>
      <c r="H895" s="25">
        <f>IF(B895&lt;62,0,'Combined Retirement'!$I$14)</f>
        <v>2192</v>
      </c>
      <c r="I895" s="25">
        <f>IF(C895&lt;62,0,'Combined Retirement'!$I$13)</f>
        <v>2420</v>
      </c>
      <c r="J895" s="25">
        <f t="shared" si="783"/>
        <v>7863.2184191855868</v>
      </c>
      <c r="K895" s="25">
        <f t="shared" si="784"/>
        <v>20282.026119384056</v>
      </c>
      <c r="L895" s="25"/>
      <c r="N895" s="25">
        <f>'Combined Retirement'!$C$18/12</f>
        <v>39153.069999999992</v>
      </c>
      <c r="O895" s="25">
        <f t="shared" si="785"/>
        <v>11007.82546143035</v>
      </c>
      <c r="P895" s="25">
        <f t="shared" si="786"/>
        <v>28145.244538569641</v>
      </c>
      <c r="Q895" s="25">
        <f t="array" aca="1" ref="Q895" ca="1">INDEX('Isaac 401k'!L:L,MATCH('Retirement Calculator'!A895,'Isaac 401k'!N:N,0),0)</f>
        <v>-2982028.2717246991</v>
      </c>
      <c r="R895" s="25">
        <f t="array" aca="1" ref="R895" ca="1">INDEX('Lorri 401b'!L:L,MATCH('Retirement Calculator'!A895,'Lorri 401b'!N:N,0),0)</f>
        <v>-11889410.354905389</v>
      </c>
      <c r="S895" s="25">
        <f t="shared" ca="1" si="787"/>
        <v>-14871438.626630088</v>
      </c>
    </row>
    <row r="896" spans="1:19" ht="15.75" customHeight="1" x14ac:dyDescent="0.3">
      <c r="A896" s="37">
        <v>78223</v>
      </c>
      <c r="B896" s="409">
        <f t="shared" ref="B896:C896" si="907">($A896-B$9)/365.25</f>
        <v>132.28473648186173</v>
      </c>
      <c r="C896" s="409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3525.4531757812501</v>
      </c>
      <c r="H896" s="25">
        <f>IF(B896&lt;62,0,'Combined Retirement'!$I$14)</f>
        <v>2192</v>
      </c>
      <c r="I896" s="25">
        <f>IF(C896&lt;62,0,'Combined Retirement'!$I$13)</f>
        <v>2420</v>
      </c>
      <c r="J896" s="25">
        <f t="shared" si="783"/>
        <v>7863.2184191855868</v>
      </c>
      <c r="K896" s="25">
        <f t="shared" si="784"/>
        <v>20282.026119384056</v>
      </c>
      <c r="L896" s="25"/>
      <c r="N896" s="25">
        <f>'Combined Retirement'!$C$18/12</f>
        <v>39153.069999999992</v>
      </c>
      <c r="O896" s="25">
        <f t="shared" si="785"/>
        <v>11007.82546143035</v>
      </c>
      <c r="P896" s="25">
        <f t="shared" si="786"/>
        <v>28145.244538569641</v>
      </c>
      <c r="Q896" s="25">
        <f t="array" aca="1" ref="Q896" ca="1">INDEX('Isaac 401k'!L:L,MATCH('Retirement Calculator'!A896,'Isaac 401k'!N:N,0),0)</f>
        <v>-3002349.3713528174</v>
      </c>
      <c r="R896" s="25">
        <f t="array" aca="1" ref="R896" ca="1">INDEX('Lorri 401b'!L:L,MATCH('Retirement Calculator'!A896,'Lorri 401b'!N:N,0),0)</f>
        <v>-11959316.099279044</v>
      </c>
      <c r="S896" s="25">
        <f t="shared" ca="1" si="787"/>
        <v>-14961665.470631862</v>
      </c>
    </row>
    <row r="897" spans="1:19" ht="15.75" customHeight="1" x14ac:dyDescent="0.3">
      <c r="A897" s="37">
        <v>78254</v>
      </c>
      <c r="B897" s="409">
        <f t="shared" ref="B897:C897" si="908">($A897-B$9)/365.25</f>
        <v>132.36960985626283</v>
      </c>
      <c r="C897" s="409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3525.4531757812501</v>
      </c>
      <c r="H897" s="25">
        <f>IF(B897&lt;62,0,'Combined Retirement'!$I$14)</f>
        <v>2192</v>
      </c>
      <c r="I897" s="25">
        <f>IF(C897&lt;62,0,'Combined Retirement'!$I$13)</f>
        <v>2420</v>
      </c>
      <c r="J897" s="25">
        <f t="shared" si="783"/>
        <v>7863.2184191855868</v>
      </c>
      <c r="K897" s="25">
        <f t="shared" si="784"/>
        <v>20282.026119384056</v>
      </c>
      <c r="L897" s="25"/>
      <c r="N897" s="25">
        <f>'Combined Retirement'!$C$18/12</f>
        <v>39153.069999999992</v>
      </c>
      <c r="O897" s="25">
        <f t="shared" si="785"/>
        <v>11007.82546143035</v>
      </c>
      <c r="P897" s="25">
        <f t="shared" si="786"/>
        <v>28145.244538569641</v>
      </c>
      <c r="Q897" s="25">
        <f t="array" aca="1" ref="Q897" ca="1">INDEX('Isaac 401k'!L:L,MATCH('Retirement Calculator'!A897,'Isaac 401k'!N:N,0),0)</f>
        <v>-3022755.1422293861</v>
      </c>
      <c r="R897" s="25">
        <f t="array" aca="1" ref="R897" ca="1">INDEX('Lorri 401b'!L:L,MATCH('Retirement Calculator'!A897,'Lorri 401b'!N:N,0),0)</f>
        <v>-12029513.117587589</v>
      </c>
      <c r="S897" s="25">
        <f t="shared" ca="1" si="787"/>
        <v>-15052268.259816974</v>
      </c>
    </row>
    <row r="898" spans="1:19" ht="15.75" customHeight="1" x14ac:dyDescent="0.3">
      <c r="A898" s="37">
        <v>78284</v>
      </c>
      <c r="B898" s="409">
        <f t="shared" ref="B898:C898" si="909">($A898-B$9)/365.25</f>
        <v>132.4517453798768</v>
      </c>
      <c r="C898" s="409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3525.4531757812501</v>
      </c>
      <c r="H898" s="25">
        <f>IF(B898&lt;62,0,'Combined Retirement'!$I$14)</f>
        <v>2192</v>
      </c>
      <c r="I898" s="25">
        <f>IF(C898&lt;62,0,'Combined Retirement'!$I$13)</f>
        <v>2420</v>
      </c>
      <c r="J898" s="25">
        <f t="shared" si="783"/>
        <v>7863.2184191855868</v>
      </c>
      <c r="K898" s="25">
        <f t="shared" si="784"/>
        <v>20282.026119384056</v>
      </c>
      <c r="L898" s="25"/>
      <c r="N898" s="25">
        <f>'Combined Retirement'!$C$18/12</f>
        <v>39153.069999999992</v>
      </c>
      <c r="O898" s="25">
        <f t="shared" si="785"/>
        <v>11007.82546143035</v>
      </c>
      <c r="P898" s="25">
        <f t="shared" si="786"/>
        <v>28145.244538569641</v>
      </c>
      <c r="Q898" s="25">
        <f t="array" aca="1" ref="Q898" ca="1">INDEX('Isaac 401k'!L:L,MATCH('Retirement Calculator'!A898,'Isaac 401k'!N:N,0),0)</f>
        <v>-3043245.9371512737</v>
      </c>
      <c r="R898" s="25">
        <f t="array" aca="1" ref="R898" ca="1">INDEX('Lorri 401b'!L:L,MATCH('Retirement Calculator'!A898,'Lorri 401b'!N:N,0),0)</f>
        <v>-12100002.623472419</v>
      </c>
      <c r="S898" s="25">
        <f t="shared" ca="1" si="787"/>
        <v>-15143248.560623692</v>
      </c>
    </row>
    <row r="899" spans="1:19" ht="15.75" customHeight="1" x14ac:dyDescent="0.3">
      <c r="A899" s="37">
        <v>78315</v>
      </c>
      <c r="B899" s="409">
        <f t="shared" ref="B899:C899" si="910">($A899-B$9)/365.25</f>
        <v>132.5366187542779</v>
      </c>
      <c r="C899" s="409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3525.4531757812501</v>
      </c>
      <c r="H899" s="25">
        <f>IF(B899&lt;62,0,'Combined Retirement'!$I$14)</f>
        <v>2192</v>
      </c>
      <c r="I899" s="25">
        <f>IF(C899&lt;62,0,'Combined Retirement'!$I$13)</f>
        <v>2420</v>
      </c>
      <c r="J899" s="25">
        <f t="shared" si="783"/>
        <v>7863.2184191855868</v>
      </c>
      <c r="K899" s="25">
        <f t="shared" si="784"/>
        <v>20282.026119384056</v>
      </c>
      <c r="L899" s="25"/>
      <c r="N899" s="25">
        <f>'Combined Retirement'!$C$18/12</f>
        <v>39153.069999999992</v>
      </c>
      <c r="O899" s="25">
        <f t="shared" si="785"/>
        <v>11007.82546143035</v>
      </c>
      <c r="P899" s="25">
        <f t="shared" si="786"/>
        <v>28145.244538569641</v>
      </c>
      <c r="Q899" s="25">
        <f t="array" aca="1" ref="Q899" ca="1">INDEX('Isaac 401k'!L:L,MATCH('Retirement Calculator'!A899,'Isaac 401k'!N:N,0),0)</f>
        <v>-3063822.110385336</v>
      </c>
      <c r="R899" s="25">
        <f t="array" aca="1" ref="R899" ca="1">INDEX('Lorri 401b'!L:L,MATCH('Retirement Calculator'!A899,'Lorri 401b'!N:N,0),0)</f>
        <v>-12170785.835631769</v>
      </c>
      <c r="S899" s="25">
        <f t="shared" ca="1" si="787"/>
        <v>-15234607.946017105</v>
      </c>
    </row>
    <row r="900" spans="1:19" ht="15.75" customHeight="1" x14ac:dyDescent="0.3">
      <c r="A900" s="37">
        <v>78345</v>
      </c>
      <c r="B900" s="409">
        <f t="shared" ref="B900:C900" si="911">($A900-B$9)/365.25</f>
        <v>132.61875427789187</v>
      </c>
      <c r="C900" s="409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3525.4531757812501</v>
      </c>
      <c r="H900" s="25">
        <f>IF(B900&lt;62,0,'Combined Retirement'!$I$14)</f>
        <v>2192</v>
      </c>
      <c r="I900" s="25">
        <f>IF(C900&lt;62,0,'Combined Retirement'!$I$13)</f>
        <v>2420</v>
      </c>
      <c r="J900" s="25">
        <f t="shared" si="783"/>
        <v>7863.2184191855868</v>
      </c>
      <c r="K900" s="25">
        <f t="shared" si="784"/>
        <v>20282.026119384056</v>
      </c>
      <c r="L900" s="25"/>
      <c r="N900" s="25">
        <f>'Combined Retirement'!$C$18/12</f>
        <v>39153.069999999992</v>
      </c>
      <c r="O900" s="25">
        <f t="shared" si="785"/>
        <v>11007.82546143035</v>
      </c>
      <c r="P900" s="25">
        <f t="shared" si="786"/>
        <v>28145.244538569641</v>
      </c>
      <c r="Q900" s="25">
        <f t="array" aca="1" ref="Q900" ca="1">INDEX('Isaac 401k'!L:L,MATCH('Retirement Calculator'!A900,'Isaac 401k'!N:N,0),0)</f>
        <v>-3084484.0176745402</v>
      </c>
      <c r="R900" s="25">
        <f t="array" aca="1" ref="R900" ca="1">INDEX('Lorri 401b'!L:L,MATCH('Retirement Calculator'!A900,'Lorri 401b'!N:N,0),0)</f>
        <v>-12241863.977841783</v>
      </c>
      <c r="S900" s="25">
        <f t="shared" ca="1" si="787"/>
        <v>-15326347.995516323</v>
      </c>
    </row>
    <row r="901" spans="1:19" ht="15.75" customHeight="1" x14ac:dyDescent="0.3">
      <c r="A901" s="37">
        <v>78376</v>
      </c>
      <c r="B901" s="409">
        <f t="shared" ref="B901:C901" si="912">($A901-B$9)/365.25</f>
        <v>132.70362765229294</v>
      </c>
      <c r="C901" s="409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3525.4531757812501</v>
      </c>
      <c r="H901" s="25">
        <f>IF(B901&lt;62,0,'Combined Retirement'!$I$14)</f>
        <v>2192</v>
      </c>
      <c r="I901" s="25">
        <f>IF(C901&lt;62,0,'Combined Retirement'!$I$13)</f>
        <v>2420</v>
      </c>
      <c r="J901" s="25">
        <f t="shared" si="783"/>
        <v>7863.2184191855868</v>
      </c>
      <c r="K901" s="25">
        <f t="shared" si="784"/>
        <v>20282.026119384056</v>
      </c>
      <c r="L901" s="25"/>
      <c r="N901" s="25">
        <f>'Combined Retirement'!$C$18/12</f>
        <v>39153.069999999992</v>
      </c>
      <c r="O901" s="25">
        <f t="shared" si="785"/>
        <v>11007.82546143035</v>
      </c>
      <c r="P901" s="25">
        <f t="shared" si="786"/>
        <v>28145.244538569641</v>
      </c>
      <c r="Q901" s="25">
        <f t="array" aca="1" ref="Q901" ca="1">INDEX('Isaac 401k'!L:L,MATCH('Retirement Calculator'!A901,'Isaac 401k'!N:N,0),0)</f>
        <v>-3105232.0162441162</v>
      </c>
      <c r="R901" s="25">
        <f t="array" aca="1" ref="R901" ca="1">INDEX('Lorri 401b'!L:L,MATCH('Retirement Calculator'!A901,'Lorri 401b'!N:N,0),0)</f>
        <v>-12313238.278977674</v>
      </c>
      <c r="S901" s="25">
        <f t="shared" ca="1" si="787"/>
        <v>-15418470.295221791</v>
      </c>
    </row>
    <row r="902" spans="1:19" ht="15.75" customHeight="1" x14ac:dyDescent="0.3">
      <c r="A902" s="37">
        <v>78407</v>
      </c>
      <c r="B902" s="409">
        <f t="shared" ref="B902:C902" si="913">($A902-B$9)/365.25</f>
        <v>132.78850102669404</v>
      </c>
      <c r="C902" s="409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3525.4531757812501</v>
      </c>
      <c r="H902" s="25">
        <f>IF(B902&lt;62,0,'Combined Retirement'!$I$14)</f>
        <v>2192</v>
      </c>
      <c r="I902" s="25">
        <f>IF(C902&lt;62,0,'Combined Retirement'!$I$13)</f>
        <v>2420</v>
      </c>
      <c r="J902" s="25">
        <f t="shared" si="783"/>
        <v>7863.2184191855868</v>
      </c>
      <c r="K902" s="25">
        <f t="shared" si="784"/>
        <v>20282.026119384056</v>
      </c>
      <c r="L902" s="25"/>
      <c r="N902" s="25">
        <f>'Combined Retirement'!$C$18/12</f>
        <v>39153.069999999992</v>
      </c>
      <c r="O902" s="25">
        <f t="shared" si="785"/>
        <v>11007.82546143035</v>
      </c>
      <c r="P902" s="25">
        <f t="shared" si="786"/>
        <v>28145.244538569641</v>
      </c>
      <c r="Q902" s="25">
        <f t="array" aca="1" ref="Q902" ca="1">INDEX('Isaac 401k'!L:L,MATCH('Retirement Calculator'!A902,'Isaac 401k'!N:N,0),0)</f>
        <v>-3126066.464807732</v>
      </c>
      <c r="R902" s="25">
        <f t="array" aca="1" ref="R902" ca="1">INDEX('Lorri 401b'!L:L,MATCH('Retirement Calculator'!A902,'Lorri 401b'!N:N,0),0)</f>
        <v>-12384909.973034963</v>
      </c>
      <c r="S902" s="25">
        <f t="shared" ca="1" si="787"/>
        <v>-15510976.437842695</v>
      </c>
    </row>
    <row r="903" spans="1:19" ht="15.75" customHeight="1" x14ac:dyDescent="0.3">
      <c r="A903" s="37">
        <v>78437</v>
      </c>
      <c r="B903" s="409">
        <f t="shared" ref="B903:C903" si="914">($A903-B$9)/365.25</f>
        <v>132.87063655030801</v>
      </c>
      <c r="C903" s="409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3525.4531757812501</v>
      </c>
      <c r="H903" s="25">
        <f>IF(B903&lt;62,0,'Combined Retirement'!$I$14)</f>
        <v>2192</v>
      </c>
      <c r="I903" s="25">
        <f>IF(C903&lt;62,0,'Combined Retirement'!$I$13)</f>
        <v>2420</v>
      </c>
      <c r="J903" s="25">
        <f t="shared" si="783"/>
        <v>7863.2184191855868</v>
      </c>
      <c r="K903" s="25">
        <f t="shared" si="784"/>
        <v>20282.026119384056</v>
      </c>
      <c r="L903" s="25"/>
      <c r="N903" s="25">
        <f>'Combined Retirement'!$C$18/12</f>
        <v>39153.069999999992</v>
      </c>
      <c r="O903" s="25">
        <f t="shared" si="785"/>
        <v>11007.82546143035</v>
      </c>
      <c r="P903" s="25">
        <f t="shared" si="786"/>
        <v>28145.244538569641</v>
      </c>
      <c r="Q903" s="25">
        <f t="array" aca="1" ref="Q903" ca="1">INDEX('Isaac 401k'!L:L,MATCH('Retirement Calculator'!A903,'Isaac 401k'!N:N,0),0)</f>
        <v>-3146987.7235736963</v>
      </c>
      <c r="R903" s="25">
        <f t="array" aca="1" ref="R903" ca="1">INDEX('Lorri 401b'!L:L,MATCH('Retirement Calculator'!A903,'Lorri 401b'!N:N,0),0)</f>
        <v>-12456880.299150825</v>
      </c>
      <c r="S903" s="25">
        <f t="shared" ca="1" si="787"/>
        <v>-15603868.02272452</v>
      </c>
    </row>
    <row r="904" spans="1:19" ht="15.75" customHeight="1" x14ac:dyDescent="0.3">
      <c r="A904" s="37">
        <v>78468</v>
      </c>
      <c r="B904" s="409">
        <f t="shared" ref="B904:C904" si="915">($A904-B$9)/365.25</f>
        <v>132.95550992470911</v>
      </c>
      <c r="C904" s="409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3525.4531757812501</v>
      </c>
      <c r="H904" s="25">
        <f>IF(B904&lt;62,0,'Combined Retirement'!$I$14)</f>
        <v>2192</v>
      </c>
      <c r="I904" s="25">
        <f>IF(C904&lt;62,0,'Combined Retirement'!$I$13)</f>
        <v>2420</v>
      </c>
      <c r="J904" s="25">
        <f t="shared" si="783"/>
        <v>7863.2184191855868</v>
      </c>
      <c r="K904" s="25">
        <f t="shared" si="784"/>
        <v>20282.026119384056</v>
      </c>
      <c r="L904" s="25"/>
      <c r="N904" s="25">
        <f>'Combined Retirement'!$C$18/12</f>
        <v>39153.069999999992</v>
      </c>
      <c r="O904" s="25">
        <f t="shared" si="785"/>
        <v>11007.82546143035</v>
      </c>
      <c r="P904" s="25">
        <f t="shared" si="786"/>
        <v>28145.244538569641</v>
      </c>
      <c r="Q904" s="25">
        <f t="array" aca="1" ref="Q904" ca="1">INDEX('Isaac 401k'!L:L,MATCH('Retirement Calculator'!A904,'Isaac 401k'!N:N,0),0)</f>
        <v>-3167996.1542511852</v>
      </c>
      <c r="R904" s="25">
        <f t="array" aca="1" ref="R904" ca="1">INDEX('Lorri 401b'!L:L,MATCH('Retirement Calculator'!A904,'Lorri 401b'!N:N,0),0)</f>
        <v>-12529150.501625502</v>
      </c>
      <c r="S904" s="25">
        <f t="shared" ca="1" si="787"/>
        <v>-15697146.655876689</v>
      </c>
    </row>
    <row r="905" spans="1:19" ht="15.75" customHeight="1" x14ac:dyDescent="0.3">
      <c r="A905" s="37">
        <v>78498</v>
      </c>
      <c r="B905" s="409">
        <f t="shared" ref="B905:C905" si="916">($A905-B$9)/365.25</f>
        <v>133.03764544832308</v>
      </c>
      <c r="C905" s="409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3525.4531757812501</v>
      </c>
      <c r="H905" s="25">
        <f>IF(B905&lt;62,0,'Combined Retirement'!$I$14)</f>
        <v>2192</v>
      </c>
      <c r="I905" s="25">
        <f>IF(C905&lt;62,0,'Combined Retirement'!$I$13)</f>
        <v>2420</v>
      </c>
      <c r="J905" s="25">
        <f t="shared" si="783"/>
        <v>7863.2184191855868</v>
      </c>
      <c r="K905" s="25">
        <f t="shared" si="784"/>
        <v>20282.026119384056</v>
      </c>
      <c r="L905" s="25"/>
      <c r="N905" s="25">
        <f>'Combined Retirement'!$C$18/12</f>
        <v>39153.069999999992</v>
      </c>
      <c r="O905" s="25">
        <f t="shared" si="785"/>
        <v>11007.82546143035</v>
      </c>
      <c r="P905" s="25">
        <f t="shared" si="786"/>
        <v>28145.244538569641</v>
      </c>
      <c r="Q905" s="25">
        <f t="array" aca="1" ref="Q905" ca="1">INDEX('Isaac 401k'!L:L,MATCH('Retirement Calculator'!A905,'Isaac 401k'!N:N,0),0)</f>
        <v>-3189092.1200564969</v>
      </c>
      <c r="R905" s="25">
        <f t="array" aca="1" ref="R905" ca="1">INDEX('Lorri 401b'!L:L,MATCH('Retirement Calculator'!A905,'Lorri 401b'!N:N,0),0)</f>
        <v>-12601721.829943825</v>
      </c>
      <c r="S905" s="25">
        <f t="shared" ca="1" si="787"/>
        <v>-15790813.950000321</v>
      </c>
    </row>
    <row r="906" spans="1:19" ht="15.75" customHeight="1" x14ac:dyDescent="0.3">
      <c r="A906" s="37">
        <v>78529</v>
      </c>
      <c r="B906" s="409">
        <f t="shared" ref="B906:C906" si="917">($A906-B$9)/365.25</f>
        <v>133.12251882272417</v>
      </c>
      <c r="C906" s="409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3525.4531757812501</v>
      </c>
      <c r="H906" s="25">
        <f>IF(B906&lt;62,0,'Combined Retirement'!$I$14)</f>
        <v>2192</v>
      </c>
      <c r="I906" s="25">
        <f>IF(C906&lt;62,0,'Combined Retirement'!$I$13)</f>
        <v>2420</v>
      </c>
      <c r="J906" s="25">
        <f t="shared" si="783"/>
        <v>7863.2184191855868</v>
      </c>
      <c r="K906" s="25">
        <f t="shared" si="784"/>
        <v>20282.026119384056</v>
      </c>
      <c r="L906" s="25"/>
      <c r="N906" s="25">
        <f>'Combined Retirement'!$C$18/12</f>
        <v>39153.069999999992</v>
      </c>
      <c r="O906" s="25">
        <f t="shared" si="785"/>
        <v>11007.82546143035</v>
      </c>
      <c r="P906" s="25">
        <f t="shared" si="786"/>
        <v>28145.244538569641</v>
      </c>
      <c r="Q906" s="25">
        <f t="array" aca="1" ref="Q906" ca="1">INDEX('Isaac 401k'!L:L,MATCH('Retirement Calculator'!A906,'Isaac 401k'!N:N,0),0)</f>
        <v>-3210275.9857193311</v>
      </c>
      <c r="R906" s="25">
        <f t="array" aca="1" ref="R906" ca="1">INDEX('Lorri 401b'!L:L,MATCH('Retirement Calculator'!A906,'Lorri 401b'!N:N,0),0)</f>
        <v>-12674595.538796807</v>
      </c>
      <c r="S906" s="25">
        <f t="shared" ca="1" si="787"/>
        <v>-15884871.524516137</v>
      </c>
    </row>
    <row r="907" spans="1:19" ht="15.75" customHeight="1" x14ac:dyDescent="0.3">
      <c r="A907" s="37">
        <v>78560</v>
      </c>
      <c r="B907" s="409">
        <f t="shared" ref="B907:C907" si="918">($A907-B$9)/365.25</f>
        <v>133.20739219712524</v>
      </c>
      <c r="C907" s="409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3525.4531757812501</v>
      </c>
      <c r="H907" s="25">
        <f>IF(B907&lt;62,0,'Combined Retirement'!$I$14)</f>
        <v>2192</v>
      </c>
      <c r="I907" s="25">
        <f>IF(C907&lt;62,0,'Combined Retirement'!$I$13)</f>
        <v>2420</v>
      </c>
      <c r="J907" s="25">
        <f t="shared" si="783"/>
        <v>7863.2184191855868</v>
      </c>
      <c r="K907" s="25">
        <f t="shared" si="784"/>
        <v>20282.026119384056</v>
      </c>
      <c r="L907" s="25"/>
      <c r="N907" s="25">
        <f>'Combined Retirement'!$C$18/12</f>
        <v>39153.069999999992</v>
      </c>
      <c r="O907" s="25">
        <f t="shared" si="785"/>
        <v>11007.82546143035</v>
      </c>
      <c r="P907" s="25">
        <f t="shared" si="786"/>
        <v>28145.244538569641</v>
      </c>
      <c r="Q907" s="25">
        <f t="array" aca="1" ref="Q907" ca="1">INDEX('Isaac 401k'!L:L,MATCH('Retirement Calculator'!A907,'Isaac 401k'!N:N,0),0)</f>
        <v>-3231548.1174890934</v>
      </c>
      <c r="R907" s="25">
        <f t="array" aca="1" ref="R907" ca="1">INDEX('Lorri 401b'!L:L,MATCH('Retirement Calculator'!A907,'Lorri 401b'!N:N,0),0)</f>
        <v>-12747772.888103342</v>
      </c>
      <c r="S907" s="25">
        <f t="shared" ca="1" si="787"/>
        <v>-15979321.005592436</v>
      </c>
    </row>
    <row r="908" spans="1:19" ht="15.75" customHeight="1" x14ac:dyDescent="0.3">
      <c r="A908" s="37">
        <v>78588</v>
      </c>
      <c r="B908" s="409">
        <f t="shared" ref="B908:C908" si="919">($A908-B$9)/365.25</f>
        <v>133.28405201916496</v>
      </c>
      <c r="C908" s="409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3525.4531757812501</v>
      </c>
      <c r="H908" s="25">
        <f>IF(B908&lt;62,0,'Combined Retirement'!$I$14)</f>
        <v>2192</v>
      </c>
      <c r="I908" s="25">
        <f>IF(C908&lt;62,0,'Combined Retirement'!$I$13)</f>
        <v>2420</v>
      </c>
      <c r="J908" s="25">
        <f t="shared" si="783"/>
        <v>7863.2184191855868</v>
      </c>
      <c r="K908" s="25">
        <f t="shared" si="784"/>
        <v>20282.026119384056</v>
      </c>
      <c r="L908" s="25"/>
      <c r="N908" s="25">
        <f>'Combined Retirement'!$C$18/12</f>
        <v>39153.069999999992</v>
      </c>
      <c r="O908" s="25">
        <f t="shared" si="785"/>
        <v>11007.82546143035</v>
      </c>
      <c r="P908" s="25">
        <f t="shared" si="786"/>
        <v>28145.244538569641</v>
      </c>
      <c r="Q908" s="25">
        <f t="array" aca="1" ref="Q908" ca="1">INDEX('Isaac 401k'!L:L,MATCH('Retirement Calculator'!A908,'Isaac 401k'!N:N,0),0)</f>
        <v>-3252908.8831412299</v>
      </c>
      <c r="R908" s="25">
        <f t="array" aca="1" ref="R908" ca="1">INDEX('Lorri 401b'!L:L,MATCH('Retirement Calculator'!A908,'Lorri 401b'!N:N,0),0)</f>
        <v>-12821255.143031988</v>
      </c>
      <c r="S908" s="25">
        <f t="shared" ca="1" si="787"/>
        <v>-16074164.026173219</v>
      </c>
    </row>
    <row r="909" spans="1:19" ht="15.75" customHeight="1" x14ac:dyDescent="0.3">
      <c r="A909" s="37">
        <v>78619</v>
      </c>
      <c r="B909" s="409">
        <f t="shared" ref="B909:C909" si="920">($A909-B$9)/365.25</f>
        <v>133.36892539356606</v>
      </c>
      <c r="C909" s="409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3525.4531757812501</v>
      </c>
      <c r="H909" s="25">
        <f>IF(B909&lt;62,0,'Combined Retirement'!$I$14)</f>
        <v>2192</v>
      </c>
      <c r="I909" s="25">
        <f>IF(C909&lt;62,0,'Combined Retirement'!$I$13)</f>
        <v>2420</v>
      </c>
      <c r="J909" s="25">
        <f t="shared" si="783"/>
        <v>7863.2184191855868</v>
      </c>
      <c r="K909" s="25">
        <f t="shared" si="784"/>
        <v>20282.026119384056</v>
      </c>
      <c r="L909" s="25"/>
      <c r="N909" s="25">
        <f>'Combined Retirement'!$C$18/12</f>
        <v>39153.069999999992</v>
      </c>
      <c r="O909" s="25">
        <f t="shared" si="785"/>
        <v>11007.82546143035</v>
      </c>
      <c r="P909" s="25">
        <f t="shared" si="786"/>
        <v>28145.244538569641</v>
      </c>
      <c r="Q909" s="25">
        <f t="array" aca="1" ref="Q909" ca="1">INDEX('Isaac 401k'!L:L,MATCH('Retirement Calculator'!A909,'Isaac 401k'!N:N,0),0)</f>
        <v>-3274358.6519835838</v>
      </c>
      <c r="R909" s="25">
        <f t="array" aca="1" ref="R909" ca="1">INDEX('Lorri 401b'!L:L,MATCH('Retirement Calculator'!A909,'Lorri 401b'!N:N,0),0)</f>
        <v>-12895043.574022837</v>
      </c>
      <c r="S909" s="25">
        <f t="shared" ca="1" si="787"/>
        <v>-16169402.22600642</v>
      </c>
    </row>
    <row r="910" spans="1:19" ht="15.75" customHeight="1" x14ac:dyDescent="0.3">
      <c r="A910" s="37">
        <v>78649</v>
      </c>
      <c r="B910" s="409">
        <f t="shared" ref="B910:C910" si="921">($A910-B$9)/365.25</f>
        <v>133.45106091718</v>
      </c>
      <c r="C910" s="409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3525.4531757812501</v>
      </c>
      <c r="H910" s="25">
        <f>IF(B910&lt;62,0,'Combined Retirement'!$I$14)</f>
        <v>2192</v>
      </c>
      <c r="I910" s="25">
        <f>IF(C910&lt;62,0,'Combined Retirement'!$I$13)</f>
        <v>2420</v>
      </c>
      <c r="J910" s="25">
        <f t="shared" si="783"/>
        <v>7863.2184191855868</v>
      </c>
      <c r="K910" s="25">
        <f t="shared" si="784"/>
        <v>20282.026119384056</v>
      </c>
      <c r="L910" s="25"/>
      <c r="N910" s="25">
        <f>'Combined Retirement'!$C$18/12</f>
        <v>39153.069999999992</v>
      </c>
      <c r="O910" s="25">
        <f t="shared" si="785"/>
        <v>11007.82546143035</v>
      </c>
      <c r="P910" s="25">
        <f t="shared" si="786"/>
        <v>28145.244538569641</v>
      </c>
      <c r="Q910" s="25">
        <f t="array" aca="1" ref="Q910" ca="1">INDEX('Isaac 401k'!L:L,MATCH('Retirement Calculator'!A910,'Isaac 401k'!N:N,0),0)</f>
        <v>-3295897.7948627807</v>
      </c>
      <c r="R910" s="25">
        <f t="array" aca="1" ref="R910" ca="1">INDEX('Lorri 401b'!L:L,MATCH('Retirement Calculator'!A910,'Lorri 401b'!N:N,0),0)</f>
        <v>-12969139.456809482</v>
      </c>
      <c r="S910" s="25">
        <f t="shared" ca="1" si="787"/>
        <v>-16265037.251672262</v>
      </c>
    </row>
    <row r="911" spans="1:19" ht="15.75" customHeight="1" x14ac:dyDescent="0.3">
      <c r="A911" s="37">
        <v>78680</v>
      </c>
      <c r="B911" s="409">
        <f t="shared" ref="B911:C911" si="922">($A911-B$9)/365.25</f>
        <v>133.5359342915811</v>
      </c>
      <c r="C911" s="409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3525.4531757812501</v>
      </c>
      <c r="H911" s="25">
        <f>IF(B911&lt;62,0,'Combined Retirement'!$I$14)</f>
        <v>2192</v>
      </c>
      <c r="I911" s="25">
        <f>IF(C911&lt;62,0,'Combined Retirement'!$I$13)</f>
        <v>2420</v>
      </c>
      <c r="J911" s="25">
        <f t="shared" si="783"/>
        <v>7863.2184191855868</v>
      </c>
      <c r="K911" s="25">
        <f t="shared" si="784"/>
        <v>20282.026119384056</v>
      </c>
      <c r="L911" s="25"/>
      <c r="N911" s="25">
        <f>'Combined Retirement'!$C$18/12</f>
        <v>39153.069999999992</v>
      </c>
      <c r="O911" s="25">
        <f t="shared" si="785"/>
        <v>11007.82546143035</v>
      </c>
      <c r="P911" s="25">
        <f t="shared" si="786"/>
        <v>28145.244538569641</v>
      </c>
      <c r="Q911" s="25">
        <f t="array" aca="1" ref="Q911" ca="1">INDEX('Isaac 401k'!L:L,MATCH('Retirement Calculator'!A911,'Isaac 401k'!N:N,0),0)</f>
        <v>-3317526.684170641</v>
      </c>
      <c r="R911" s="25">
        <f t="array" aca="1" ref="R911" ca="1">INDEX('Lorri 401b'!L:L,MATCH('Retirement Calculator'!A911,'Lorri 401b'!N:N,0),0)</f>
        <v>-13043544.072441069</v>
      </c>
      <c r="S911" s="25">
        <f t="shared" ca="1" si="787"/>
        <v>-16361070.75661171</v>
      </c>
    </row>
    <row r="912" spans="1:19" ht="15.75" customHeight="1" x14ac:dyDescent="0.3">
      <c r="A912" s="37">
        <v>78710</v>
      </c>
      <c r="B912" s="409">
        <f t="shared" ref="B912:C912" si="923">($A912-B$9)/365.25</f>
        <v>133.61806981519507</v>
      </c>
      <c r="C912" s="409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3525.4531757812501</v>
      </c>
      <c r="H912" s="25">
        <f>IF(B912&lt;62,0,'Combined Retirement'!$I$14)</f>
        <v>2192</v>
      </c>
      <c r="I912" s="25">
        <f>IF(C912&lt;62,0,'Combined Retirement'!$I$13)</f>
        <v>2420</v>
      </c>
      <c r="J912" s="25">
        <f t="shared" si="783"/>
        <v>7863.2184191855868</v>
      </c>
      <c r="K912" s="25">
        <f t="shared" si="784"/>
        <v>20282.026119384056</v>
      </c>
      <c r="L912" s="25"/>
      <c r="N912" s="25">
        <f>'Combined Retirement'!$C$18/12</f>
        <v>39153.069999999992</v>
      </c>
      <c r="O912" s="25">
        <f t="shared" si="785"/>
        <v>11007.82546143035</v>
      </c>
      <c r="P912" s="25">
        <f t="shared" si="786"/>
        <v>28145.244538569641</v>
      </c>
      <c r="Q912" s="25">
        <f t="array" aca="1" ref="Q912" ca="1">INDEX('Isaac 401k'!L:L,MATCH('Retirement Calculator'!A912,'Isaac 401k'!N:N,0),0)</f>
        <v>-3339245.6938506174</v>
      </c>
      <c r="R912" s="25">
        <f t="array" aca="1" ref="R912" ca="1">INDEX('Lorri 401b'!L:L,MATCH('Retirement Calculator'!A912,'Lorri 401b'!N:N,0),0)</f>
        <v>-13118258.707304455</v>
      </c>
      <c r="S912" s="25">
        <f t="shared" ca="1" si="787"/>
        <v>-16457504.401155073</v>
      </c>
    </row>
    <row r="913" spans="1:19" ht="15.75" customHeight="1" x14ac:dyDescent="0.3">
      <c r="A913" s="37">
        <v>78741</v>
      </c>
      <c r="B913" s="409">
        <f t="shared" ref="B913:C913" si="924">($A913-B$9)/365.25</f>
        <v>133.70294318959617</v>
      </c>
      <c r="C913" s="409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3525.4531757812501</v>
      </c>
      <c r="H913" s="25">
        <f>IF(B913&lt;62,0,'Combined Retirement'!$I$14)</f>
        <v>2192</v>
      </c>
      <c r="I913" s="25">
        <f>IF(C913&lt;62,0,'Combined Retirement'!$I$13)</f>
        <v>2420</v>
      </c>
      <c r="J913" s="25">
        <f t="shared" si="783"/>
        <v>7863.2184191855868</v>
      </c>
      <c r="K913" s="25">
        <f t="shared" si="784"/>
        <v>20282.026119384056</v>
      </c>
      <c r="L913" s="25"/>
      <c r="N913" s="25">
        <f>'Combined Retirement'!$C$18/12</f>
        <v>39153.069999999992</v>
      </c>
      <c r="O913" s="25">
        <f t="shared" si="785"/>
        <v>11007.82546143035</v>
      </c>
      <c r="P913" s="25">
        <f t="shared" si="786"/>
        <v>28145.244538569641</v>
      </c>
      <c r="Q913" s="25">
        <f t="array" aca="1" ref="Q913" ca="1">INDEX('Isaac 401k'!L:L,MATCH('Retirement Calculator'!A913,'Isaac 401k'!N:N,0),0)</f>
        <v>-3361055.1994042601</v>
      </c>
      <c r="R913" s="25">
        <f t="array" aca="1" ref="R913" ca="1">INDEX('Lorri 401b'!L:L,MATCH('Retirement Calculator'!A913,'Lorri 401b'!N:N,0),0)</f>
        <v>-13193284.65314644</v>
      </c>
      <c r="S913" s="25">
        <f t="shared" ca="1" si="787"/>
        <v>-16554339.8525507</v>
      </c>
    </row>
    <row r="914" spans="1:19" ht="15.75" customHeight="1" x14ac:dyDescent="0.3">
      <c r="A914" s="37">
        <v>78772</v>
      </c>
      <c r="B914" s="409">
        <f t="shared" ref="B914:C914" si="925">($A914-B$9)/365.25</f>
        <v>133.78781656399727</v>
      </c>
      <c r="C914" s="409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3525.4531757812501</v>
      </c>
      <c r="H914" s="25">
        <f>IF(B914&lt;62,0,'Combined Retirement'!$I$14)</f>
        <v>2192</v>
      </c>
      <c r="I914" s="25">
        <f>IF(C914&lt;62,0,'Combined Retirement'!$I$13)</f>
        <v>2420</v>
      </c>
      <c r="J914" s="25">
        <f t="shared" si="783"/>
        <v>7863.2184191855868</v>
      </c>
      <c r="K914" s="25">
        <f t="shared" si="784"/>
        <v>20282.026119384056</v>
      </c>
      <c r="L914" s="25"/>
      <c r="N914" s="25">
        <f>'Combined Retirement'!$C$18/12</f>
        <v>39153.069999999992</v>
      </c>
      <c r="O914" s="25">
        <f t="shared" si="785"/>
        <v>11007.82546143035</v>
      </c>
      <c r="P914" s="25">
        <f t="shared" si="786"/>
        <v>28145.244538569641</v>
      </c>
      <c r="Q914" s="25">
        <f t="array" aca="1" ref="Q914" ca="1">INDEX('Isaac 401k'!L:L,MATCH('Retirement Calculator'!A914,'Isaac 401k'!N:N,0),0)</f>
        <v>-3382955.5778977098</v>
      </c>
      <c r="R914" s="25">
        <f t="array" aca="1" ref="R914" ca="1">INDEX('Lorri 401b'!L:L,MATCH('Retirement Calculator'!A914,'Lorri 401b'!N:N,0),0)</f>
        <v>-13268623.2070961</v>
      </c>
      <c r="S914" s="25">
        <f t="shared" ca="1" si="787"/>
        <v>-16651578.784993809</v>
      </c>
    </row>
    <row r="915" spans="1:19" ht="15.75" customHeight="1" x14ac:dyDescent="0.3">
      <c r="A915" s="37">
        <v>78802</v>
      </c>
      <c r="B915" s="409">
        <f t="shared" ref="B915:C915" si="926">($A915-B$9)/365.25</f>
        <v>133.86995208761124</v>
      </c>
      <c r="C915" s="409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3525.4531757812501</v>
      </c>
      <c r="H915" s="25">
        <f>IF(B915&lt;62,0,'Combined Retirement'!$I$14)</f>
        <v>2192</v>
      </c>
      <c r="I915" s="25">
        <f>IF(C915&lt;62,0,'Combined Retirement'!$I$13)</f>
        <v>2420</v>
      </c>
      <c r="J915" s="25">
        <f t="shared" si="783"/>
        <v>7863.2184191855868</v>
      </c>
      <c r="K915" s="25">
        <f t="shared" si="784"/>
        <v>20282.026119384056</v>
      </c>
      <c r="L915" s="25"/>
      <c r="N915" s="25">
        <f>'Combined Retirement'!$C$18/12</f>
        <v>39153.069999999992</v>
      </c>
      <c r="O915" s="25">
        <f t="shared" si="785"/>
        <v>11007.82546143035</v>
      </c>
      <c r="P915" s="25">
        <f t="shared" si="786"/>
        <v>28145.244538569641</v>
      </c>
      <c r="Q915" s="25">
        <f t="array" aca="1" ref="Q915" ca="1">INDEX('Isaac 401k'!L:L,MATCH('Retirement Calculator'!A915,'Isaac 401k'!N:N,0),0)</f>
        <v>-3404947.2079682155</v>
      </c>
      <c r="R915" s="25">
        <f t="array" aca="1" ref="R915" ca="1">INDEX('Lorri 401b'!L:L,MATCH('Retirement Calculator'!A915,'Lorri 401b'!N:N,0),0)</f>
        <v>-13344275.671687216</v>
      </c>
      <c r="S915" s="25">
        <f t="shared" ca="1" si="787"/>
        <v>-16749222.879655432</v>
      </c>
    </row>
    <row r="916" spans="1:19" ht="15.75" customHeight="1" x14ac:dyDescent="0.3">
      <c r="A916" s="37">
        <v>78833</v>
      </c>
      <c r="B916" s="409">
        <f t="shared" ref="B916:C916" si="927">($A916-B$9)/365.25</f>
        <v>133.95482546201231</v>
      </c>
      <c r="C916" s="409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3525.4531757812501</v>
      </c>
      <c r="H916" s="25">
        <f>IF(B916&lt;62,0,'Combined Retirement'!$I$14)</f>
        <v>2192</v>
      </c>
      <c r="I916" s="25">
        <f>IF(C916&lt;62,0,'Combined Retirement'!$I$13)</f>
        <v>2420</v>
      </c>
      <c r="J916" s="25">
        <f t="shared" si="783"/>
        <v>7863.2184191855868</v>
      </c>
      <c r="K916" s="25">
        <f t="shared" si="784"/>
        <v>20282.026119384056</v>
      </c>
      <c r="L916" s="25"/>
      <c r="N916" s="25">
        <f>'Combined Retirement'!$C$18/12</f>
        <v>39153.069999999992</v>
      </c>
      <c r="O916" s="25">
        <f t="shared" si="785"/>
        <v>11007.82546143035</v>
      </c>
      <c r="P916" s="25">
        <f t="shared" si="786"/>
        <v>28145.244538569641</v>
      </c>
      <c r="Q916" s="25">
        <f t="array" aca="1" ref="Q916" ca="1">INDEX('Isaac 401k'!L:L,MATCH('Retirement Calculator'!A916,'Isaac 401k'!N:N,0),0)</f>
        <v>-3427030.4698306816</v>
      </c>
      <c r="R916" s="25">
        <f t="array" aca="1" ref="R916" ca="1">INDEX('Lorri 401b'!L:L,MATCH('Retirement Calculator'!A916,'Lorri 401b'!N:N,0),0)</f>
        <v>-13420243.354880795</v>
      </c>
      <c r="S916" s="25">
        <f t="shared" ca="1" si="787"/>
        <v>-16847273.824711476</v>
      </c>
    </row>
    <row r="917" spans="1:19" ht="15.75" customHeight="1" x14ac:dyDescent="0.3">
      <c r="A917" s="37">
        <v>78863</v>
      </c>
      <c r="B917" s="409">
        <f t="shared" ref="B917:C917" si="928">($A917-B$9)/365.25</f>
        <v>134.03696098562628</v>
      </c>
      <c r="C917" s="409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3525.4531757812501</v>
      </c>
      <c r="H917" s="25">
        <f>IF(B917&lt;62,0,'Combined Retirement'!$I$14)</f>
        <v>2192</v>
      </c>
      <c r="I917" s="25">
        <f>IF(C917&lt;62,0,'Combined Retirement'!$I$13)</f>
        <v>2420</v>
      </c>
      <c r="J917" s="25">
        <f t="shared" si="783"/>
        <v>7863.2184191855868</v>
      </c>
      <c r="K917" s="25">
        <f t="shared" si="784"/>
        <v>20282.026119384056</v>
      </c>
      <c r="L917" s="25"/>
      <c r="N917" s="25">
        <f>'Combined Retirement'!$C$18/12</f>
        <v>39153.069999999992</v>
      </c>
      <c r="O917" s="25">
        <f t="shared" si="785"/>
        <v>11007.82546143035</v>
      </c>
      <c r="P917" s="25">
        <f t="shared" si="786"/>
        <v>28145.244538569641</v>
      </c>
      <c r="Q917" s="25">
        <f t="array" aca="1" ref="Q917" ca="1">INDEX('Isaac 401k'!L:L,MATCH('Retirement Calculator'!A917,'Isaac 401k'!N:N,0),0)</f>
        <v>-3449205.7452842412</v>
      </c>
      <c r="R917" s="25">
        <f t="array" aca="1" ref="R917" ca="1">INDEX('Lorri 401b'!L:L,MATCH('Retirement Calculator'!A917,'Lorri 401b'!N:N,0),0)</f>
        <v>-13496527.570087681</v>
      </c>
      <c r="S917" s="25">
        <f t="shared" ca="1" si="787"/>
        <v>-16945733.315371923</v>
      </c>
    </row>
    <row r="918" spans="1:19" ht="15.75" customHeight="1" x14ac:dyDescent="0.3">
      <c r="A918" s="37">
        <v>78894</v>
      </c>
      <c r="B918" s="409">
        <f t="shared" ref="B918:C918" si="929">($A918-B$9)/365.25</f>
        <v>134.12183436002738</v>
      </c>
      <c r="C918" s="409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3525.4531757812501</v>
      </c>
      <c r="H918" s="25">
        <f>IF(B918&lt;62,0,'Combined Retirement'!$I$14)</f>
        <v>2192</v>
      </c>
      <c r="I918" s="25">
        <f>IF(C918&lt;62,0,'Combined Retirement'!$I$13)</f>
        <v>2420</v>
      </c>
      <c r="J918" s="25">
        <f t="shared" si="783"/>
        <v>7863.2184191855868</v>
      </c>
      <c r="K918" s="25">
        <f t="shared" si="784"/>
        <v>20282.026119384056</v>
      </c>
      <c r="L918" s="25"/>
      <c r="N918" s="25">
        <f>'Combined Retirement'!$C$18/12</f>
        <v>39153.069999999992</v>
      </c>
      <c r="O918" s="25">
        <f t="shared" si="785"/>
        <v>11007.82546143035</v>
      </c>
      <c r="P918" s="25">
        <f t="shared" si="786"/>
        <v>28145.244538569641</v>
      </c>
      <c r="Q918" s="25">
        <f t="array" aca="1" ref="Q918" ca="1">INDEX('Isaac 401k'!L:L,MATCH('Retirement Calculator'!A918,'Isaac 401k'!N:N,0),0)</f>
        <v>-3471473.4177188575</v>
      </c>
      <c r="R918" s="25">
        <f t="array" aca="1" ref="R918" ca="1">INDEX('Lorri 401b'!L:L,MATCH('Retirement Calculator'!A918,'Lorri 401b'!N:N,0),0)</f>
        <v>-13573129.636191262</v>
      </c>
      <c r="S918" s="25">
        <f t="shared" ca="1" si="787"/>
        <v>-17044603.053910121</v>
      </c>
    </row>
    <row r="919" spans="1:19" ht="15.75" customHeight="1" x14ac:dyDescent="0.3">
      <c r="A919" s="37">
        <v>78925</v>
      </c>
      <c r="B919" s="409">
        <f t="shared" ref="B919:C919" si="930">($A919-B$9)/365.25</f>
        <v>134.20670773442848</v>
      </c>
      <c r="C919" s="409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3525.4531757812501</v>
      </c>
      <c r="H919" s="25">
        <f>IF(B919&lt;62,0,'Combined Retirement'!$I$14)</f>
        <v>2192</v>
      </c>
      <c r="I919" s="25">
        <f>IF(C919&lt;62,0,'Combined Retirement'!$I$13)</f>
        <v>2420</v>
      </c>
      <c r="J919" s="25">
        <f t="shared" si="783"/>
        <v>7863.2184191855868</v>
      </c>
      <c r="K919" s="25">
        <f t="shared" si="784"/>
        <v>20282.026119384056</v>
      </c>
      <c r="L919" s="25"/>
      <c r="N919" s="25">
        <f>'Combined Retirement'!$C$18/12</f>
        <v>39153.069999999992</v>
      </c>
      <c r="O919" s="25">
        <f t="shared" si="785"/>
        <v>11007.82546143035</v>
      </c>
      <c r="P919" s="25">
        <f t="shared" si="786"/>
        <v>28145.244538569641</v>
      </c>
      <c r="Q919" s="25">
        <f t="array" aca="1" ref="Q919" ca="1">INDEX('Isaac 401k'!L:L,MATCH('Retirement Calculator'!A919,'Isaac 401k'!N:N,0),0)</f>
        <v>-3493833.8721219515</v>
      </c>
      <c r="R919" s="25">
        <f t="array" aca="1" ref="R919" ca="1">INDEX('Lorri 401b'!L:L,MATCH('Retirement Calculator'!A919,'Lorri 401b'!N:N,0),0)</f>
        <v>-13650050.877570275</v>
      </c>
      <c r="S919" s="25">
        <f t="shared" ca="1" si="787"/>
        <v>-17143884.749692228</v>
      </c>
    </row>
    <row r="920" spans="1:19" ht="15.75" customHeight="1" x14ac:dyDescent="0.3">
      <c r="A920" s="37">
        <v>78954</v>
      </c>
      <c r="B920" s="409">
        <f t="shared" ref="B920:C920" si="931">($A920-B$9)/365.25</f>
        <v>134.28610540725529</v>
      </c>
      <c r="C920" s="409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3525.4531757812501</v>
      </c>
      <c r="H920" s="25">
        <f>IF(B920&lt;62,0,'Combined Retirement'!$I$14)</f>
        <v>2192</v>
      </c>
      <c r="I920" s="25">
        <f>IF(C920&lt;62,0,'Combined Retirement'!$I$13)</f>
        <v>2420</v>
      </c>
      <c r="J920" s="25">
        <f t="shared" si="783"/>
        <v>7863.2184191855868</v>
      </c>
      <c r="K920" s="25">
        <f t="shared" si="784"/>
        <v>20282.026119384056</v>
      </c>
      <c r="L920" s="25"/>
      <c r="N920" s="25">
        <f>'Combined Retirement'!$C$18/12</f>
        <v>39153.069999999992</v>
      </c>
      <c r="O920" s="25">
        <f t="shared" si="785"/>
        <v>11007.82546143035</v>
      </c>
      <c r="P920" s="25">
        <f t="shared" si="786"/>
        <v>28145.244538569641</v>
      </c>
      <c r="Q920" s="25">
        <f t="array" aca="1" ref="Q920" ca="1">INDEX('Isaac 401k'!L:L,MATCH('Retirement Calculator'!A920,'Isaac 401k'!N:N,0),0)</f>
        <v>-3516287.4950850583</v>
      </c>
      <c r="R920" s="25">
        <f t="array" aca="1" ref="R920" ca="1">INDEX('Lorri 401b'!L:L,MATCH('Retirement Calculator'!A920,'Lorri 401b'!N:N,0),0)</f>
        <v>-13727292.624121699</v>
      </c>
      <c r="S920" s="25">
        <f t="shared" ca="1" si="787"/>
        <v>-17243580.119206756</v>
      </c>
    </row>
    <row r="921" spans="1:19" ht="15.75" customHeight="1" x14ac:dyDescent="0.3">
      <c r="A921" s="37">
        <v>78985</v>
      </c>
      <c r="B921" s="409">
        <f t="shared" ref="B921:C921" si="932">($A921-B$9)/365.25</f>
        <v>134.37097878165639</v>
      </c>
      <c r="C921" s="409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3525.4531757812501</v>
      </c>
      <c r="H921" s="25">
        <f>IF(B921&lt;62,0,'Combined Retirement'!$I$14)</f>
        <v>2192</v>
      </c>
      <c r="I921" s="25">
        <f>IF(C921&lt;62,0,'Combined Retirement'!$I$13)</f>
        <v>2420</v>
      </c>
      <c r="J921" s="25">
        <f t="shared" si="783"/>
        <v>7863.2184191855868</v>
      </c>
      <c r="K921" s="25">
        <f t="shared" si="784"/>
        <v>20282.026119384056</v>
      </c>
      <c r="L921" s="25"/>
      <c r="N921" s="25">
        <f>'Combined Retirement'!$C$18/12</f>
        <v>39153.069999999992</v>
      </c>
      <c r="O921" s="25">
        <f t="shared" si="785"/>
        <v>11007.82546143035</v>
      </c>
      <c r="P921" s="25">
        <f t="shared" si="786"/>
        <v>28145.244538569641</v>
      </c>
      <c r="Q921" s="25">
        <f t="array" aca="1" ref="Q921" ca="1">INDEX('Isaac 401k'!L:L,MATCH('Retirement Calculator'!A921,'Isaac 401k'!N:N,0),0)</f>
        <v>-3538834.6748105115</v>
      </c>
      <c r="R921" s="25">
        <f t="array" aca="1" ref="R921" ca="1">INDEX('Lorri 401b'!L:L,MATCH('Retirement Calculator'!A921,'Lorri 401b'!N:N,0),0)</f>
        <v>-13804856.211283756</v>
      </c>
      <c r="S921" s="25">
        <f t="shared" ca="1" si="787"/>
        <v>-17343690.886094268</v>
      </c>
    </row>
    <row r="922" spans="1:19" ht="15.75" customHeight="1" x14ac:dyDescent="0.3">
      <c r="A922" s="37">
        <v>79015</v>
      </c>
      <c r="B922" s="409">
        <f t="shared" ref="B922:C922" si="933">($A922-B$9)/365.25</f>
        <v>134.45311430527036</v>
      </c>
      <c r="C922" s="409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3525.4531757812501</v>
      </c>
      <c r="H922" s="25">
        <f>IF(B922&lt;62,0,'Combined Retirement'!$I$14)</f>
        <v>2192</v>
      </c>
      <c r="I922" s="25">
        <f>IF(C922&lt;62,0,'Combined Retirement'!$I$13)</f>
        <v>2420</v>
      </c>
      <c r="J922" s="25">
        <f t="shared" si="783"/>
        <v>7863.2184191855868</v>
      </c>
      <c r="K922" s="25">
        <f t="shared" si="784"/>
        <v>20282.026119384056</v>
      </c>
      <c r="L922" s="25"/>
      <c r="N922" s="25">
        <f>'Combined Retirement'!$C$18/12</f>
        <v>39153.069999999992</v>
      </c>
      <c r="O922" s="25">
        <f t="shared" si="785"/>
        <v>11007.82546143035</v>
      </c>
      <c r="P922" s="25">
        <f t="shared" si="786"/>
        <v>28145.244538569641</v>
      </c>
      <c r="Q922" s="25">
        <f t="array" aca="1" ref="Q922" ca="1">INDEX('Isaac 401k'!L:L,MATCH('Retirement Calculator'!A922,'Isaac 401k'!N:N,0),0)</f>
        <v>-3561475.8011181541</v>
      </c>
      <c r="R922" s="25">
        <f t="array" aca="1" ref="R922" ca="1">INDEX('Lorri 401b'!L:L,MATCH('Retirement Calculator'!A922,'Lorri 401b'!N:N,0),0)</f>
        <v>-13882742.980058989</v>
      </c>
      <c r="S922" s="25">
        <f t="shared" ca="1" si="787"/>
        <v>-17444218.781177141</v>
      </c>
    </row>
    <row r="923" spans="1:19" ht="15.75" customHeight="1" x14ac:dyDescent="0.3">
      <c r="A923" s="37">
        <v>79046</v>
      </c>
      <c r="B923" s="409">
        <f t="shared" ref="B923:C923" si="934">($A923-B$9)/365.25</f>
        <v>134.53798767967146</v>
      </c>
      <c r="C923" s="409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3525.4531757812501</v>
      </c>
      <c r="H923" s="25">
        <f>IF(B923&lt;62,0,'Combined Retirement'!$I$14)</f>
        <v>2192</v>
      </c>
      <c r="I923" s="25">
        <f>IF(C923&lt;62,0,'Combined Retirement'!$I$13)</f>
        <v>2420</v>
      </c>
      <c r="J923" s="25">
        <f t="shared" si="783"/>
        <v>7863.2184191855868</v>
      </c>
      <c r="K923" s="25">
        <f t="shared" si="784"/>
        <v>20282.026119384056</v>
      </c>
      <c r="L923" s="25"/>
      <c r="N923" s="25">
        <f>'Combined Retirement'!$C$18/12</f>
        <v>39153.069999999992</v>
      </c>
      <c r="O923" s="25">
        <f t="shared" si="785"/>
        <v>11007.82546143035</v>
      </c>
      <c r="P923" s="25">
        <f t="shared" si="786"/>
        <v>28145.244538569641</v>
      </c>
      <c r="Q923" s="25">
        <f t="array" aca="1" ref="Q923" ca="1">INDEX('Isaac 401k'!L:L,MATCH('Retirement Calculator'!A923,'Isaac 401k'!N:N,0),0)</f>
        <v>-3584211.2654520785</v>
      </c>
      <c r="R923" s="25">
        <f t="array" aca="1" ref="R923" ca="1">INDEX('Lorri 401b'!L:L,MATCH('Retirement Calculator'!A923,'Lorri 401b'!N:N,0),0)</f>
        <v>-13960954.277037449</v>
      </c>
      <c r="S923" s="25">
        <f t="shared" ca="1" si="787"/>
        <v>-17545165.542489529</v>
      </c>
    </row>
    <row r="924" spans="1:19" ht="15.75" customHeight="1" x14ac:dyDescent="0.3">
      <c r="A924" s="37">
        <v>79076</v>
      </c>
      <c r="B924" s="409">
        <f t="shared" ref="B924:C924" si="935">($A924-B$9)/365.25</f>
        <v>134.62012320328543</v>
      </c>
      <c r="C924" s="409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3525.4531757812501</v>
      </c>
      <c r="H924" s="25">
        <f>IF(B924&lt;62,0,'Combined Retirement'!$I$14)</f>
        <v>2192</v>
      </c>
      <c r="I924" s="25">
        <f>IF(C924&lt;62,0,'Combined Retirement'!$I$13)</f>
        <v>2420</v>
      </c>
      <c r="J924" s="25">
        <f t="shared" si="783"/>
        <v>7863.2184191855868</v>
      </c>
      <c r="K924" s="25">
        <f t="shared" si="784"/>
        <v>20282.026119384056</v>
      </c>
      <c r="L924" s="25"/>
      <c r="N924" s="25">
        <f>'Combined Retirement'!$C$18/12</f>
        <v>39153.069999999992</v>
      </c>
      <c r="O924" s="25">
        <f t="shared" si="785"/>
        <v>11007.82546143035</v>
      </c>
      <c r="P924" s="25">
        <f t="shared" si="786"/>
        <v>28145.244538569641</v>
      </c>
      <c r="Q924" s="25">
        <f t="array" aca="1" ref="Q924" ca="1">INDEX('Isaac 401k'!L:L,MATCH('Retirement Calculator'!A924,'Isaac 401k'!N:N,0),0)</f>
        <v>-3607041.4608873944</v>
      </c>
      <c r="R924" s="25">
        <f t="array" aca="1" ref="R924" ca="1">INDEX('Lorri 401b'!L:L,MATCH('Retirement Calculator'!A924,'Lorri 401b'!N:N,0),0)</f>
        <v>-14039491.454419987</v>
      </c>
      <c r="S924" s="25">
        <f t="shared" ca="1" si="787"/>
        <v>-17646532.91530738</v>
      </c>
    </row>
    <row r="925" spans="1:19" ht="15.75" customHeight="1" x14ac:dyDescent="0.3">
      <c r="A925" s="37">
        <v>79107</v>
      </c>
      <c r="B925" s="409">
        <f t="shared" ref="B925:C925" si="936">($A925-B$9)/365.25</f>
        <v>134.70499657768653</v>
      </c>
      <c r="C925" s="409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3525.4531757812501</v>
      </c>
      <c r="H925" s="25">
        <f>IF(B925&lt;62,0,'Combined Retirement'!$I$14)</f>
        <v>2192</v>
      </c>
      <c r="I925" s="25">
        <f>IF(C925&lt;62,0,'Combined Retirement'!$I$13)</f>
        <v>2420</v>
      </c>
      <c r="J925" s="25">
        <f t="shared" si="783"/>
        <v>7863.2184191855868</v>
      </c>
      <c r="K925" s="25">
        <f t="shared" si="784"/>
        <v>20282.026119384056</v>
      </c>
      <c r="L925" s="25"/>
      <c r="N925" s="25">
        <f>'Combined Retirement'!$C$18/12</f>
        <v>39153.069999999992</v>
      </c>
      <c r="O925" s="25">
        <f t="shared" si="785"/>
        <v>11007.82546143035</v>
      </c>
      <c r="P925" s="25">
        <f t="shared" si="786"/>
        <v>28145.244538569641</v>
      </c>
      <c r="Q925" s="25">
        <f t="array" aca="1" ref="Q925" ca="1">INDEX('Isaac 401k'!L:L,MATCH('Retirement Calculator'!A925,'Isaac 401k'!N:N,0),0)</f>
        <v>-3629966.7821370238</v>
      </c>
      <c r="R925" s="25">
        <f t="array" aca="1" ref="R925" ca="1">INDEX('Lorri 401b'!L:L,MATCH('Retirement Calculator'!A925,'Lorri 401b'!N:N,0),0)</f>
        <v>-14118355.87004162</v>
      </c>
      <c r="S925" s="25">
        <f t="shared" ca="1" si="787"/>
        <v>-17748322.652178645</v>
      </c>
    </row>
    <row r="926" spans="1:19" ht="15.75" customHeight="1" x14ac:dyDescent="0.3">
      <c r="A926" s="37">
        <v>79138</v>
      </c>
      <c r="B926" s="409">
        <f t="shared" ref="B926:C926" si="937">($A926-B$9)/365.25</f>
        <v>134.7898699520876</v>
      </c>
      <c r="C926" s="409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3525.4531757812501</v>
      </c>
      <c r="H926" s="25">
        <f>IF(B926&lt;62,0,'Combined Retirement'!$I$14)</f>
        <v>2192</v>
      </c>
      <c r="I926" s="25">
        <f>IF(C926&lt;62,0,'Combined Retirement'!$I$13)</f>
        <v>2420</v>
      </c>
      <c r="J926" s="25">
        <f t="shared" si="783"/>
        <v>7863.2184191855868</v>
      </c>
      <c r="K926" s="25">
        <f t="shared" si="784"/>
        <v>20282.026119384056</v>
      </c>
      <c r="L926" s="25"/>
      <c r="N926" s="25">
        <f>'Combined Retirement'!$C$18/12</f>
        <v>39153.069999999992</v>
      </c>
      <c r="O926" s="25">
        <f t="shared" si="785"/>
        <v>11007.82546143035</v>
      </c>
      <c r="P926" s="25">
        <f t="shared" si="786"/>
        <v>28145.244538569641</v>
      </c>
      <c r="Q926" s="25">
        <f t="array" aca="1" ref="Q926" ca="1">INDEX('Isaac 401k'!L:L,MATCH('Retirement Calculator'!A926,'Isaac 401k'!N:N,0),0)</f>
        <v>-3652987.6255585267</v>
      </c>
      <c r="R926" s="25">
        <f t="array" aca="1" ref="R926" ca="1">INDEX('Lorri 401b'!L:L,MATCH('Retirement Calculator'!A926,'Lorri 401b'!N:N,0),0)</f>
        <v>-14197548.887395009</v>
      </c>
      <c r="S926" s="25">
        <f t="shared" ca="1" si="787"/>
        <v>-17850536.512953535</v>
      </c>
    </row>
    <row r="927" spans="1:19" ht="15.75" customHeight="1" x14ac:dyDescent="0.3">
      <c r="A927" s="37">
        <v>79168</v>
      </c>
      <c r="B927" s="409">
        <f t="shared" ref="B927:C927" si="938">($A927-B$9)/365.25</f>
        <v>134.87200547570157</v>
      </c>
      <c r="C927" s="409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3525.4531757812501</v>
      </c>
      <c r="H927" s="25">
        <f>IF(B927&lt;62,0,'Combined Retirement'!$I$14)</f>
        <v>2192</v>
      </c>
      <c r="I927" s="25">
        <f>IF(C927&lt;62,0,'Combined Retirement'!$I$13)</f>
        <v>2420</v>
      </c>
      <c r="J927" s="25">
        <f t="shared" si="783"/>
        <v>7863.2184191855868</v>
      </c>
      <c r="K927" s="25">
        <f t="shared" si="784"/>
        <v>20282.026119384056</v>
      </c>
      <c r="L927" s="25"/>
      <c r="N927" s="25">
        <f>'Combined Retirement'!$C$18/12</f>
        <v>39153.069999999992</v>
      </c>
      <c r="O927" s="25">
        <f t="shared" si="785"/>
        <v>11007.82546143035</v>
      </c>
      <c r="P927" s="25">
        <f t="shared" si="786"/>
        <v>28145.244538569641</v>
      </c>
      <c r="Q927" s="25">
        <f t="array" aca="1" ref="Q927" ca="1">INDEX('Isaac 401k'!L:L,MATCH('Retirement Calculator'!A927,'Isaac 401k'!N:N,0),0)</f>
        <v>-3676104.3891609525</v>
      </c>
      <c r="R927" s="25">
        <f t="array" aca="1" ref="R927" ca="1">INDEX('Lorri 401b'!L:L,MATCH('Retirement Calculator'!A927,'Lorri 401b'!N:N,0),0)</f>
        <v>-14277071.875654038</v>
      </c>
      <c r="S927" s="25">
        <f t="shared" ca="1" si="787"/>
        <v>-17953176.264814992</v>
      </c>
    </row>
    <row r="928" spans="1:19" ht="15.75" customHeight="1" x14ac:dyDescent="0.3">
      <c r="A928" s="37">
        <v>79199</v>
      </c>
      <c r="B928" s="409">
        <f t="shared" ref="B928:C928" si="939">($A928-B$9)/365.25</f>
        <v>134.95687885010267</v>
      </c>
      <c r="C928" s="409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3525.4531757812501</v>
      </c>
      <c r="H928" s="25">
        <f>IF(B928&lt;62,0,'Combined Retirement'!$I$14)</f>
        <v>2192</v>
      </c>
      <c r="I928" s="25">
        <f>IF(C928&lt;62,0,'Combined Retirement'!$I$13)</f>
        <v>2420</v>
      </c>
      <c r="J928" s="25">
        <f t="shared" si="783"/>
        <v>7863.2184191855868</v>
      </c>
      <c r="K928" s="25">
        <f t="shared" si="784"/>
        <v>20282.026119384056</v>
      </c>
      <c r="L928" s="25"/>
      <c r="N928" s="25">
        <f>'Combined Retirement'!$C$18/12</f>
        <v>39153.069999999992</v>
      </c>
      <c r="O928" s="25">
        <f t="shared" si="785"/>
        <v>11007.82546143035</v>
      </c>
      <c r="P928" s="25">
        <f t="shared" si="786"/>
        <v>28145.244538569641</v>
      </c>
      <c r="Q928" s="25">
        <f t="array" aca="1" ref="Q928" ca="1">INDEX('Isaac 401k'!L:L,MATCH('Retirement Calculator'!A928,'Isaac 401k'!N:N,0),0)</f>
        <v>-3699317.4726117216</v>
      </c>
      <c r="R928" s="25">
        <f t="array" aca="1" ref="R928" ca="1">INDEX('Lorri 401b'!L:L,MATCH('Retirement Calculator'!A928,'Lorri 401b'!N:N,0),0)</f>
        <v>-14356926.209697479</v>
      </c>
      <c r="S928" s="25">
        <f t="shared" ca="1" si="787"/>
        <v>-18056243.682309203</v>
      </c>
    </row>
    <row r="929" spans="1:19" ht="15.75" customHeight="1" x14ac:dyDescent="0.3">
      <c r="A929" s="37">
        <v>79229</v>
      </c>
      <c r="B929" s="409">
        <f t="shared" ref="B929:C929" si="940">($A929-B$9)/365.25</f>
        <v>135.03901437371664</v>
      </c>
      <c r="C929" s="409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3525.4531757812501</v>
      </c>
      <c r="H929" s="25">
        <f>IF(B929&lt;62,0,'Combined Retirement'!$I$14)</f>
        <v>2192</v>
      </c>
      <c r="I929" s="25">
        <f>IF(C929&lt;62,0,'Combined Retirement'!$I$13)</f>
        <v>2420</v>
      </c>
      <c r="J929" s="25">
        <f t="shared" si="783"/>
        <v>7863.2184191855868</v>
      </c>
      <c r="K929" s="25">
        <f t="shared" si="784"/>
        <v>20282.026119384056</v>
      </c>
      <c r="L929" s="25"/>
      <c r="N929" s="25">
        <f>'Combined Retirement'!$C$18/12</f>
        <v>39153.069999999992</v>
      </c>
      <c r="O929" s="25">
        <f t="shared" si="785"/>
        <v>11007.82546143035</v>
      </c>
      <c r="P929" s="25">
        <f t="shared" si="786"/>
        <v>28145.244538569641</v>
      </c>
      <c r="Q929" s="25">
        <f t="array" aca="1" ref="Q929" ca="1">INDEX('Isaac 401k'!L:L,MATCH('Retirement Calculator'!A929,'Isaac 401k'!N:N,0),0)</f>
        <v>-3722627.277243536</v>
      </c>
      <c r="R929" s="25">
        <f t="array" aca="1" ref="R929" ca="1">INDEX('Lorri 401b'!L:L,MATCH('Retirement Calculator'!A929,'Lorri 401b'!N:N,0),0)</f>
        <v>-14437113.270132767</v>
      </c>
      <c r="S929" s="25">
        <f t="shared" ca="1" si="787"/>
        <v>-18159740.547376305</v>
      </c>
    </row>
    <row r="930" spans="1:19" ht="15.75" customHeight="1" x14ac:dyDescent="0.3">
      <c r="A930" s="37">
        <v>79260</v>
      </c>
      <c r="B930" s="409">
        <f t="shared" ref="B930:C930" si="941">($A930-B$9)/365.25</f>
        <v>135.12388774811774</v>
      </c>
      <c r="C930" s="409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3525.4531757812501</v>
      </c>
      <c r="H930" s="25">
        <f>IF(B930&lt;62,0,'Combined Retirement'!$I$14)</f>
        <v>2192</v>
      </c>
      <c r="I930" s="25">
        <f>IF(C930&lt;62,0,'Combined Retirement'!$I$13)</f>
        <v>2420</v>
      </c>
      <c r="J930" s="25">
        <f t="shared" si="783"/>
        <v>7863.2184191855868</v>
      </c>
      <c r="K930" s="25">
        <f t="shared" si="784"/>
        <v>20282.026119384056</v>
      </c>
      <c r="L930" s="25"/>
      <c r="N930" s="25">
        <f>'Combined Retirement'!$C$18/12</f>
        <v>39153.069999999992</v>
      </c>
      <c r="O930" s="25">
        <f t="shared" si="785"/>
        <v>11007.82546143035</v>
      </c>
      <c r="P930" s="25">
        <f t="shared" si="786"/>
        <v>28145.244538569641</v>
      </c>
      <c r="Q930" s="25">
        <f t="array" aca="1" ref="Q930" ca="1">INDEX('Isaac 401k'!L:L,MATCH('Retirement Calculator'!A930,'Isaac 401k'!N:N,0),0)</f>
        <v>-3746034.2060613162</v>
      </c>
      <c r="R930" s="25">
        <f t="array" aca="1" ref="R930" ca="1">INDEX('Lorri 401b'!L:L,MATCH('Retirement Calculator'!A930,'Lorri 401b'!N:N,0),0)</f>
        <v>-14517634.44331987</v>
      </c>
      <c r="S930" s="25">
        <f t="shared" ca="1" si="787"/>
        <v>-18263668.649381187</v>
      </c>
    </row>
    <row r="931" spans="1:19" ht="15.75" customHeight="1" x14ac:dyDescent="0.3">
      <c r="A931" s="37">
        <v>79291</v>
      </c>
      <c r="B931" s="409">
        <f t="shared" ref="B931:C931" si="942">($A931-B$9)/365.25</f>
        <v>135.20876112251884</v>
      </c>
      <c r="C931" s="409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3525.4531757812501</v>
      </c>
      <c r="H931" s="25">
        <f>IF(B931&lt;62,0,'Combined Retirement'!$I$14)</f>
        <v>2192</v>
      </c>
      <c r="I931" s="25">
        <f>IF(C931&lt;62,0,'Combined Retirement'!$I$13)</f>
        <v>2420</v>
      </c>
      <c r="J931" s="25">
        <f t="shared" si="783"/>
        <v>7863.2184191855868</v>
      </c>
      <c r="K931" s="25">
        <f t="shared" si="784"/>
        <v>20282.026119384056</v>
      </c>
      <c r="L931" s="25"/>
      <c r="N931" s="25">
        <f>'Combined Retirement'!$C$18/12</f>
        <v>39153.069999999992</v>
      </c>
      <c r="O931" s="25">
        <f t="shared" si="785"/>
        <v>11007.82546143035</v>
      </c>
      <c r="P931" s="25">
        <f t="shared" si="786"/>
        <v>28145.244538569641</v>
      </c>
      <c r="Q931" s="25">
        <f t="array" aca="1" ref="Q931" ca="1">INDEX('Isaac 401k'!L:L,MATCH('Retirement Calculator'!A931,'Isaac 401k'!N:N,0),0)</f>
        <v>-3769538.6637491705</v>
      </c>
      <c r="R931" s="25">
        <f t="array" aca="1" ref="R931" ca="1">INDEX('Lorri 401b'!L:L,MATCH('Retirement Calculator'!A931,'Lorri 401b'!N:N,0),0)</f>
        <v>-14598491.121395253</v>
      </c>
      <c r="S931" s="25">
        <f t="shared" ca="1" si="787"/>
        <v>-18368029.785144422</v>
      </c>
    </row>
    <row r="932" spans="1:19" ht="15.75" customHeight="1" x14ac:dyDescent="0.3">
      <c r="A932" s="37">
        <v>79319</v>
      </c>
      <c r="B932" s="409">
        <f t="shared" ref="B932:C932" si="943">($A932-B$9)/365.25</f>
        <v>135.28542094455852</v>
      </c>
      <c r="C932" s="409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3525.4531757812501</v>
      </c>
      <c r="H932" s="25">
        <f>IF(B932&lt;62,0,'Combined Retirement'!$I$14)</f>
        <v>2192</v>
      </c>
      <c r="I932" s="25">
        <f>IF(C932&lt;62,0,'Combined Retirement'!$I$13)</f>
        <v>2420</v>
      </c>
      <c r="J932" s="25">
        <f t="shared" si="783"/>
        <v>7863.2184191855868</v>
      </c>
      <c r="K932" s="25">
        <f t="shared" si="784"/>
        <v>20282.026119384056</v>
      </c>
      <c r="L932" s="25"/>
      <c r="N932" s="25">
        <f>'Combined Retirement'!$C$18/12</f>
        <v>39153.069999999992</v>
      </c>
      <c r="O932" s="25">
        <f t="shared" si="785"/>
        <v>11007.82546143035</v>
      </c>
      <c r="P932" s="25">
        <f t="shared" si="786"/>
        <v>28145.244538569641</v>
      </c>
      <c r="Q932" s="25">
        <f t="array" aca="1" ref="Q932" ca="1">INDEX('Isaac 401k'!L:L,MATCH('Retirement Calculator'!A932,'Isaac 401k'!N:N,0),0)</f>
        <v>-3793141.0566773908</v>
      </c>
      <c r="R932" s="25">
        <f t="array" aca="1" ref="R932" ca="1">INDEX('Lorri 401b'!L:L,MATCH('Retirement Calculator'!A932,'Lorri 401b'!N:N,0),0)</f>
        <v>-14679684.702295948</v>
      </c>
      <c r="S932" s="25">
        <f t="shared" ca="1" si="787"/>
        <v>-18472825.758973338</v>
      </c>
    </row>
    <row r="933" spans="1:19" ht="15.75" customHeight="1" x14ac:dyDescent="0.3">
      <c r="A933" s="37">
        <v>79350</v>
      </c>
      <c r="B933" s="409">
        <f t="shared" ref="B933:C933" si="944">($A933-B$9)/365.25</f>
        <v>135.37029431895962</v>
      </c>
      <c r="C933" s="409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3525.4531757812501</v>
      </c>
      <c r="H933" s="25">
        <f>IF(B933&lt;62,0,'Combined Retirement'!$I$14)</f>
        <v>2192</v>
      </c>
      <c r="I933" s="25">
        <f>IF(C933&lt;62,0,'Combined Retirement'!$I$13)</f>
        <v>2420</v>
      </c>
      <c r="J933" s="25">
        <f t="shared" si="783"/>
        <v>7863.2184191855868</v>
      </c>
      <c r="K933" s="25">
        <f t="shared" si="784"/>
        <v>20282.026119384056</v>
      </c>
      <c r="L933" s="25"/>
      <c r="N933" s="25">
        <f>'Combined Retirement'!$C$18/12</f>
        <v>39153.069999999992</v>
      </c>
      <c r="O933" s="25">
        <f t="shared" si="785"/>
        <v>11007.82546143035</v>
      </c>
      <c r="P933" s="25">
        <f t="shared" si="786"/>
        <v>28145.244538569641</v>
      </c>
      <c r="Q933" s="25">
        <f t="array" aca="1" ref="Q933" ca="1">INDEX('Isaac 401k'!L:L,MATCH('Retirement Calculator'!A933,'Isaac 401k'!N:N,0),0)</f>
        <v>-3816841.7929094788</v>
      </c>
      <c r="R933" s="25">
        <f t="array" aca="1" ref="R933" ca="1">INDEX('Lorri 401b'!L:L,MATCH('Retirement Calculator'!A933,'Lorri 401b'!N:N,0),0)</f>
        <v>-14761216.58978373</v>
      </c>
      <c r="S933" s="25">
        <f t="shared" ca="1" si="787"/>
        <v>-18578058.382693209</v>
      </c>
    </row>
    <row r="934" spans="1:19" ht="15.75" customHeight="1" x14ac:dyDescent="0.3">
      <c r="A934" s="37">
        <v>79380</v>
      </c>
      <c r="B934" s="409">
        <f t="shared" ref="B934:C934" si="945">($A934-B$9)/365.25</f>
        <v>135.45242984257359</v>
      </c>
      <c r="C934" s="409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3525.4531757812501</v>
      </c>
      <c r="H934" s="25">
        <f>IF(B934&lt;62,0,'Combined Retirement'!$I$14)</f>
        <v>2192</v>
      </c>
      <c r="I934" s="25">
        <f>IF(C934&lt;62,0,'Combined Retirement'!$I$13)</f>
        <v>2420</v>
      </c>
      <c r="J934" s="25">
        <f t="shared" si="783"/>
        <v>7863.2184191855868</v>
      </c>
      <c r="K934" s="25">
        <f t="shared" si="784"/>
        <v>20282.026119384056</v>
      </c>
      <c r="L934" s="25"/>
      <c r="N934" s="25">
        <f>'Combined Retirement'!$C$18/12</f>
        <v>39153.069999999992</v>
      </c>
      <c r="O934" s="25">
        <f t="shared" si="785"/>
        <v>11007.82546143035</v>
      </c>
      <c r="P934" s="25">
        <f t="shared" si="786"/>
        <v>28145.244538569641</v>
      </c>
      <c r="Q934" s="25">
        <f t="array" aca="1" ref="Q934" ca="1">INDEX('Isaac 401k'!L:L,MATCH('Retirement Calculator'!A934,'Isaac 401k'!N:N,0),0)</f>
        <v>-3840641.2822092003</v>
      </c>
      <c r="R934" s="25">
        <f t="array" aca="1" ref="R934" ca="1">INDEX('Lorri 401b'!L:L,MATCH('Retirement Calculator'!A934,'Lorri 401b'!N:N,0),0)</f>
        <v>-14843088.193469377</v>
      </c>
      <c r="S934" s="25">
        <f t="shared" ca="1" si="787"/>
        <v>-18683729.475678578</v>
      </c>
    </row>
    <row r="935" spans="1:19" ht="15.75" customHeight="1" x14ac:dyDescent="0.3">
      <c r="A935" s="37">
        <v>79411</v>
      </c>
      <c r="B935" s="409">
        <f t="shared" ref="B935:C935" si="946">($A935-B$9)/365.25</f>
        <v>135.53730321697466</v>
      </c>
      <c r="C935" s="409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3525.4531757812501</v>
      </c>
      <c r="H935" s="25">
        <f>IF(B935&lt;62,0,'Combined Retirement'!$I$14)</f>
        <v>2192</v>
      </c>
      <c r="I935" s="25">
        <f>IF(C935&lt;62,0,'Combined Retirement'!$I$13)</f>
        <v>2420</v>
      </c>
      <c r="J935" s="25">
        <f t="shared" si="783"/>
        <v>7863.2184191855868</v>
      </c>
      <c r="K935" s="25">
        <f t="shared" si="784"/>
        <v>20282.026119384056</v>
      </c>
      <c r="L935" s="25"/>
      <c r="N935" s="25">
        <f>'Combined Retirement'!$C$18/12</f>
        <v>39153.069999999992</v>
      </c>
      <c r="O935" s="25">
        <f t="shared" si="785"/>
        <v>11007.82546143035</v>
      </c>
      <c r="P935" s="25">
        <f t="shared" si="786"/>
        <v>28145.244538569641</v>
      </c>
      <c r="Q935" s="25">
        <f t="array" aca="1" ref="Q935" ca="1">INDEX('Isaac 401k'!L:L,MATCH('Retirement Calculator'!A935,'Isaac 401k'!N:N,0),0)</f>
        <v>-3864539.9360476704</v>
      </c>
      <c r="R935" s="25">
        <f t="array" aca="1" ref="R935" ca="1">INDEX('Lorri 401b'!L:L,MATCH('Retirement Calculator'!A935,'Lorri 401b'!N:N,0),0)</f>
        <v>-14925300.928837048</v>
      </c>
      <c r="S935" s="25">
        <f t="shared" ca="1" si="787"/>
        <v>-18789840.864884719</v>
      </c>
    </row>
    <row r="936" spans="1:19" ht="15.75" customHeight="1" x14ac:dyDescent="0.3">
      <c r="A936" s="37">
        <v>79441</v>
      </c>
      <c r="B936" s="409">
        <f t="shared" ref="B936:C936" si="947">($A936-B$9)/365.25</f>
        <v>135.61943874058863</v>
      </c>
      <c r="C936" s="409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3525.4531757812501</v>
      </c>
      <c r="H936" s="25">
        <f>IF(B936&lt;62,0,'Combined Retirement'!$I$14)</f>
        <v>2192</v>
      </c>
      <c r="I936" s="25">
        <f>IF(C936&lt;62,0,'Combined Retirement'!$I$13)</f>
        <v>2420</v>
      </c>
      <c r="J936" s="25">
        <f t="shared" si="783"/>
        <v>7863.2184191855868</v>
      </c>
      <c r="K936" s="25">
        <f t="shared" si="784"/>
        <v>20282.026119384056</v>
      </c>
      <c r="L936" s="25"/>
      <c r="N936" s="25">
        <f>'Combined Retirement'!$C$18/12</f>
        <v>39153.069999999992</v>
      </c>
      <c r="O936" s="25">
        <f t="shared" si="785"/>
        <v>11007.82546143035</v>
      </c>
      <c r="P936" s="25">
        <f t="shared" si="786"/>
        <v>28145.244538569641</v>
      </c>
      <c r="Q936" s="25">
        <f t="array" aca="1" ref="Q936" ca="1">INDEX('Isaac 401k'!L:L,MATCH('Retirement Calculator'!A936,'Isaac 401k'!N:N,0),0)</f>
        <v>-3888538.1676104679</v>
      </c>
      <c r="R936" s="25">
        <f t="array" aca="1" ref="R936" ca="1">INDEX('Lorri 401b'!L:L,MATCH('Retirement Calculator'!A936,'Lorri 401b'!N:N,0),0)</f>
        <v>-15007856.217268752</v>
      </c>
      <c r="S936" s="25">
        <f t="shared" ca="1" si="787"/>
        <v>-18896394.38487922</v>
      </c>
    </row>
    <row r="937" spans="1:19" ht="15.75" customHeight="1" x14ac:dyDescent="0.3">
      <c r="A937" s="37">
        <v>79472</v>
      </c>
      <c r="B937" s="409">
        <f t="shared" ref="B937:C937" si="948">($A937-B$9)/365.25</f>
        <v>135.70431211498973</v>
      </c>
      <c r="C937" s="409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3525.4531757812501</v>
      </c>
      <c r="H937" s="25">
        <f>IF(B937&lt;62,0,'Combined Retirement'!$I$14)</f>
        <v>2192</v>
      </c>
      <c r="I937" s="25">
        <f>IF(C937&lt;62,0,'Combined Retirement'!$I$13)</f>
        <v>2420</v>
      </c>
      <c r="J937" s="25">
        <f t="shared" si="783"/>
        <v>7863.2184191855868</v>
      </c>
      <c r="K937" s="25">
        <f t="shared" si="784"/>
        <v>20282.026119384056</v>
      </c>
      <c r="L937" s="25"/>
      <c r="N937" s="25">
        <f>'Combined Retirement'!$C$18/12</f>
        <v>39153.069999999992</v>
      </c>
      <c r="O937" s="25">
        <f t="shared" si="785"/>
        <v>11007.82546143035</v>
      </c>
      <c r="P937" s="25">
        <f t="shared" si="786"/>
        <v>28145.244538569641</v>
      </c>
      <c r="Q937" s="25">
        <f t="array" aca="1" ref="Q937" ca="1">INDEX('Isaac 401k'!L:L,MATCH('Retirement Calculator'!A937,'Isaac 401k'!N:N,0),0)</f>
        <v>-3912636.3918047766</v>
      </c>
      <c r="R937" s="25">
        <f t="array" aca="1" ref="R937" ca="1">INDEX('Lorri 401b'!L:L,MATCH('Retirement Calculator'!A937,'Lorri 401b'!N:N,0),0)</f>
        <v>-15090755.486068921</v>
      </c>
      <c r="S937" s="25">
        <f t="shared" ca="1" si="787"/>
        <v>-19003391.877873696</v>
      </c>
    </row>
    <row r="938" spans="1:19" ht="15.75" customHeight="1" x14ac:dyDescent="0.3">
      <c r="A938" s="37">
        <v>79503</v>
      </c>
      <c r="B938" s="409">
        <f t="shared" ref="B938:C938" si="949">($A938-B$9)/365.25</f>
        <v>135.78918548939083</v>
      </c>
      <c r="C938" s="409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3525.4531757812501</v>
      </c>
      <c r="H938" s="25">
        <f>IF(B938&lt;62,0,'Combined Retirement'!$I$14)</f>
        <v>2192</v>
      </c>
      <c r="I938" s="25">
        <f>IF(C938&lt;62,0,'Combined Retirement'!$I$13)</f>
        <v>2420</v>
      </c>
      <c r="J938" s="25">
        <f t="shared" si="783"/>
        <v>7863.2184191855868</v>
      </c>
      <c r="K938" s="25">
        <f t="shared" si="784"/>
        <v>20282.026119384056</v>
      </c>
      <c r="L938" s="25"/>
      <c r="N938" s="25">
        <f>'Combined Retirement'!$C$18/12</f>
        <v>39153.069999999992</v>
      </c>
      <c r="O938" s="25">
        <f t="shared" si="785"/>
        <v>11007.82546143035</v>
      </c>
      <c r="P938" s="25">
        <f t="shared" si="786"/>
        <v>28145.244538569641</v>
      </c>
      <c r="Q938" s="25">
        <f t="array" aca="1" ref="Q938" ca="1">INDEX('Isaac 401k'!L:L,MATCH('Retirement Calculator'!A938,'Isaac 401k'!N:N,0),0)</f>
        <v>-3936835.0252665617</v>
      </c>
      <c r="R938" s="25">
        <f t="array" aca="1" ref="R938" ca="1">INDEX('Lorri 401b'!L:L,MATCH('Retirement Calculator'!A938,'Lorri 401b'!N:N,0),0)</f>
        <v>-15174000.168489091</v>
      </c>
      <c r="S938" s="25">
        <f t="shared" ca="1" si="787"/>
        <v>-19110835.193755653</v>
      </c>
    </row>
    <row r="939" spans="1:19" ht="15.75" customHeight="1" x14ac:dyDescent="0.3">
      <c r="A939" s="37">
        <v>79533</v>
      </c>
      <c r="B939" s="409">
        <f t="shared" ref="B939:C939" si="950">($A939-B$9)/365.25</f>
        <v>135.8713210130048</v>
      </c>
      <c r="C939" s="409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3525.4531757812501</v>
      </c>
      <c r="H939" s="25">
        <f>IF(B939&lt;62,0,'Combined Retirement'!$I$14)</f>
        <v>2192</v>
      </c>
      <c r="I939" s="25">
        <f>IF(C939&lt;62,0,'Combined Retirement'!$I$13)</f>
        <v>2420</v>
      </c>
      <c r="J939" s="25">
        <f t="shared" si="783"/>
        <v>7863.2184191855868</v>
      </c>
      <c r="K939" s="25">
        <f t="shared" si="784"/>
        <v>20282.026119384056</v>
      </c>
      <c r="L939" s="25"/>
      <c r="N939" s="25">
        <f>'Combined Retirement'!$C$18/12</f>
        <v>39153.069999999992</v>
      </c>
      <c r="O939" s="25">
        <f t="shared" si="785"/>
        <v>11007.82546143035</v>
      </c>
      <c r="P939" s="25">
        <f t="shared" si="786"/>
        <v>28145.244538569641</v>
      </c>
      <c r="Q939" s="25">
        <f t="array" aca="1" ref="Q939" ca="1">INDEX('Isaac 401k'!L:L,MATCH('Retirement Calculator'!A939,'Isaac 401k'!N:N,0),0)</f>
        <v>-3961134.4863677709</v>
      </c>
      <c r="R939" s="25">
        <f t="array" aca="1" ref="R939" ca="1">INDEX('Lorri 401b'!L:L,MATCH('Retirement Calculator'!A939,'Lorri 401b'!N:N,0),0)</f>
        <v>-15257591.703752678</v>
      </c>
      <c r="S939" s="25">
        <f t="shared" ca="1" si="787"/>
        <v>-19218726.190120447</v>
      </c>
    </row>
    <row r="940" spans="1:19" ht="15.75" customHeight="1" x14ac:dyDescent="0.3">
      <c r="A940" s="37">
        <v>79564</v>
      </c>
      <c r="B940" s="409">
        <f t="shared" ref="B940:C940" si="951">($A940-B$9)/365.25</f>
        <v>135.95619438740587</v>
      </c>
      <c r="C940" s="409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3525.4531757812501</v>
      </c>
      <c r="H940" s="25">
        <f>IF(B940&lt;62,0,'Combined Retirement'!$I$14)</f>
        <v>2192</v>
      </c>
      <c r="I940" s="25">
        <f>IF(C940&lt;62,0,'Combined Retirement'!$I$13)</f>
        <v>2420</v>
      </c>
      <c r="J940" s="25">
        <f t="shared" si="783"/>
        <v>7863.2184191855868</v>
      </c>
      <c r="K940" s="25">
        <f t="shared" si="784"/>
        <v>20282.026119384056</v>
      </c>
      <c r="L940" s="25"/>
      <c r="N940" s="25">
        <f>'Combined Retirement'!$C$18/12</f>
        <v>39153.069999999992</v>
      </c>
      <c r="O940" s="25">
        <f t="shared" si="785"/>
        <v>11007.82546143035</v>
      </c>
      <c r="P940" s="25">
        <f t="shared" si="786"/>
        <v>28145.244538569641</v>
      </c>
      <c r="Q940" s="25">
        <f t="array" aca="1" ref="Q940" ca="1">INDEX('Isaac 401k'!L:L,MATCH('Retirement Calculator'!A940,'Isaac 401k'!N:N,0),0)</f>
        <v>-3985535.1952235685</v>
      </c>
      <c r="R940" s="25">
        <f t="array" aca="1" ref="R940" ca="1">INDEX('Lorri 401b'!L:L,MATCH('Retirement Calculator'!A940,'Lorri 401b'!N:N,0),0)</f>
        <v>-15341531.537079863</v>
      </c>
      <c r="S940" s="25">
        <f t="shared" ca="1" si="787"/>
        <v>-19327066.732303433</v>
      </c>
    </row>
    <row r="941" spans="1:19" ht="15.75" customHeight="1" x14ac:dyDescent="0.3">
      <c r="A941" s="37">
        <v>79594</v>
      </c>
      <c r="B941" s="409">
        <f t="shared" ref="B941:C941" si="952">($A941-B$9)/365.25</f>
        <v>136.03832991101984</v>
      </c>
      <c r="C941" s="409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3525.4531757812501</v>
      </c>
      <c r="H941" s="25">
        <f>IF(B941&lt;62,0,'Combined Retirement'!$I$14)</f>
        <v>2192</v>
      </c>
      <c r="I941" s="25">
        <f>IF(C941&lt;62,0,'Combined Retirement'!$I$13)</f>
        <v>2420</v>
      </c>
      <c r="J941" s="25">
        <f t="shared" si="783"/>
        <v>7863.2184191855868</v>
      </c>
      <c r="K941" s="25">
        <f t="shared" si="784"/>
        <v>20282.026119384056</v>
      </c>
      <c r="L941" s="25"/>
      <c r="N941" s="25">
        <f>'Combined Retirement'!$C$18/12</f>
        <v>39153.069999999992</v>
      </c>
      <c r="O941" s="25">
        <f t="shared" si="785"/>
        <v>11007.82546143035</v>
      </c>
      <c r="P941" s="25">
        <f t="shared" si="786"/>
        <v>28145.244538569641</v>
      </c>
      <c r="Q941" s="25">
        <f t="array" aca="1" ref="Q941" ca="1">INDEX('Isaac 401k'!L:L,MATCH('Retirement Calculator'!A941,'Isaac 401k'!N:N,0),0)</f>
        <v>-4010037.5736995987</v>
      </c>
      <c r="R941" s="25">
        <f t="array" aca="1" ref="R941" ca="1">INDEX('Lorri 401b'!L:L,MATCH('Retirement Calculator'!A941,'Lorri 401b'!N:N,0),0)</f>
        <v>-15425821.119712578</v>
      </c>
      <c r="S941" s="25">
        <f t="shared" ca="1" si="787"/>
        <v>-19435858.693412177</v>
      </c>
    </row>
    <row r="942" spans="1:19" ht="15.75" customHeight="1" x14ac:dyDescent="0.3">
      <c r="A942" s="37">
        <v>79625</v>
      </c>
      <c r="B942" s="409">
        <f t="shared" ref="B942:C942" si="953">($A942-B$9)/365.25</f>
        <v>136.12320328542094</v>
      </c>
      <c r="C942" s="409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3525.4531757812501</v>
      </c>
      <c r="H942" s="25">
        <f>IF(B942&lt;62,0,'Combined Retirement'!$I$14)</f>
        <v>2192</v>
      </c>
      <c r="I942" s="25">
        <f>IF(C942&lt;62,0,'Combined Retirement'!$I$13)</f>
        <v>2420</v>
      </c>
      <c r="J942" s="25">
        <f t="shared" si="783"/>
        <v>7863.2184191855868</v>
      </c>
      <c r="K942" s="25">
        <f t="shared" si="784"/>
        <v>20282.026119384056</v>
      </c>
      <c r="L942" s="25"/>
      <c r="N942" s="25">
        <f>'Combined Retirement'!$C$18/12</f>
        <v>39153.069999999992</v>
      </c>
      <c r="O942" s="25">
        <f t="shared" si="785"/>
        <v>11007.82546143035</v>
      </c>
      <c r="P942" s="25">
        <f t="shared" si="786"/>
        <v>28145.244538569641</v>
      </c>
      <c r="Q942" s="25">
        <f t="array" aca="1" ref="Q942" ca="1">INDEX('Isaac 401k'!L:L,MATCH('Retirement Calculator'!A942,'Isaac 401k'!N:N,0),0)</f>
        <v>-4034642.045419279</v>
      </c>
      <c r="R942" s="25">
        <f t="array" aca="1" ref="R942" ca="1">INDEX('Lorri 401b'!L:L,MATCH('Retirement Calculator'!A942,'Lorri 401b'!N:N,0),0)</f>
        <v>-15510461.908939596</v>
      </c>
      <c r="S942" s="25">
        <f t="shared" ca="1" si="787"/>
        <v>-19545103.954358876</v>
      </c>
    </row>
    <row r="943" spans="1:19" ht="15.75" customHeight="1" x14ac:dyDescent="0.3">
      <c r="A943" s="37">
        <v>79656</v>
      </c>
      <c r="B943" s="409">
        <f t="shared" ref="B943:C943" si="954">($A943-B$9)/365.25</f>
        <v>136.20807665982204</v>
      </c>
      <c r="C943" s="409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3525.4531757812501</v>
      </c>
      <c r="H943" s="25">
        <f>IF(B943&lt;62,0,'Combined Retirement'!$I$14)</f>
        <v>2192</v>
      </c>
      <c r="I943" s="25">
        <f>IF(C943&lt;62,0,'Combined Retirement'!$I$13)</f>
        <v>2420</v>
      </c>
      <c r="J943" s="25">
        <f t="shared" si="783"/>
        <v>7863.2184191855868</v>
      </c>
      <c r="K943" s="25">
        <f t="shared" si="784"/>
        <v>20282.026119384056</v>
      </c>
      <c r="L943" s="25"/>
      <c r="N943" s="25">
        <f>'Combined Retirement'!$C$18/12</f>
        <v>39153.069999999992</v>
      </c>
      <c r="O943" s="25">
        <f t="shared" si="785"/>
        <v>11007.82546143035</v>
      </c>
      <c r="P943" s="25">
        <f t="shared" si="786"/>
        <v>28145.244538569641</v>
      </c>
      <c r="Q943" s="25">
        <f t="array" aca="1" ref="Q943" ca="1">INDEX('Isaac 401k'!L:L,MATCH('Retirement Calculator'!A943,'Isaac 401k'!N:N,0),0)</f>
        <v>-4059349.0357711245</v>
      </c>
      <c r="R943" s="25">
        <f t="array" aca="1" ref="R943" ca="1">INDEX('Lorri 401b'!L:L,MATCH('Retirement Calculator'!A943,'Lorri 401b'!N:N,0),0)</f>
        <v>-15595455.368121726</v>
      </c>
      <c r="S943" s="25">
        <f t="shared" ca="1" si="787"/>
        <v>-19654804.403892852</v>
      </c>
    </row>
    <row r="944" spans="1:19" ht="15.75" customHeight="1" x14ac:dyDescent="0.3">
      <c r="A944" s="37">
        <v>79684</v>
      </c>
      <c r="B944" s="409">
        <f t="shared" ref="B944:C944" si="955">($A944-B$9)/365.25</f>
        <v>136.28473648186173</v>
      </c>
      <c r="C944" s="409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3525.4531757812501</v>
      </c>
      <c r="H944" s="25">
        <f>IF(B944&lt;62,0,'Combined Retirement'!$I$14)</f>
        <v>2192</v>
      </c>
      <c r="I944" s="25">
        <f>IF(C944&lt;62,0,'Combined Retirement'!$I$13)</f>
        <v>2420</v>
      </c>
      <c r="J944" s="25">
        <f t="shared" si="783"/>
        <v>7863.2184191855868</v>
      </c>
      <c r="K944" s="25">
        <f t="shared" si="784"/>
        <v>20282.026119384056</v>
      </c>
      <c r="L944" s="25"/>
      <c r="N944" s="25">
        <f>'Combined Retirement'!$C$18/12</f>
        <v>39153.069999999992</v>
      </c>
      <c r="O944" s="25">
        <f t="shared" si="785"/>
        <v>11007.82546143035</v>
      </c>
      <c r="P944" s="25">
        <f t="shared" si="786"/>
        <v>28145.244538569641</v>
      </c>
      <c r="Q944" s="25">
        <f t="array" aca="1" ref="Q944" ca="1">INDEX('Isaac 401k'!L:L,MATCH('Retirement Calculator'!A944,'Isaac 401k'!N:N,0),0)</f>
        <v>-4084158.9719161028</v>
      </c>
      <c r="R944" s="25">
        <f t="array" aca="1" ref="R944" ca="1">INDEX('Lorri 401b'!L:L,MATCH('Retirement Calculator'!A944,'Lorri 401b'!N:N,0),0)</f>
        <v>-15680802.966717117</v>
      </c>
      <c r="S944" s="25">
        <f t="shared" ca="1" si="787"/>
        <v>-19764961.938633218</v>
      </c>
    </row>
    <row r="945" spans="1:19" ht="15.75" customHeight="1" x14ac:dyDescent="0.3">
      <c r="A945" s="37">
        <v>79715</v>
      </c>
      <c r="B945" s="409">
        <f t="shared" ref="B945:C945" si="956">($A945-B$9)/365.25</f>
        <v>136.36960985626283</v>
      </c>
      <c r="C945" s="409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3525.4531757812501</v>
      </c>
      <c r="H945" s="25">
        <f>IF(B945&lt;62,0,'Combined Retirement'!$I$14)</f>
        <v>2192</v>
      </c>
      <c r="I945" s="25">
        <f>IF(C945&lt;62,0,'Combined Retirement'!$I$13)</f>
        <v>2420</v>
      </c>
      <c r="J945" s="25">
        <f t="shared" si="783"/>
        <v>7863.2184191855868</v>
      </c>
      <c r="K945" s="25">
        <f t="shared" si="784"/>
        <v>20282.026119384056</v>
      </c>
      <c r="L945" s="25"/>
      <c r="N945" s="25">
        <f>'Combined Retirement'!$C$18/12</f>
        <v>39153.069999999992</v>
      </c>
      <c r="O945" s="25">
        <f t="shared" si="785"/>
        <v>11007.82546143035</v>
      </c>
      <c r="P945" s="25">
        <f t="shared" si="786"/>
        <v>28145.244538569641</v>
      </c>
      <c r="Q945" s="25">
        <f t="array" aca="1" ref="Q945" ca="1">INDEX('Isaac 401k'!L:L,MATCH('Retirement Calculator'!A945,'Isaac 401k'!N:N,0),0)</f>
        <v>-4109072.2827950185</v>
      </c>
      <c r="R945" s="25">
        <f t="array" aca="1" ref="R945" ca="1">INDEX('Lorri 401b'!L:L,MATCH('Retirement Calculator'!A945,'Lorri 401b'!N:N,0),0)</f>
        <v>-15766506.180306654</v>
      </c>
      <c r="S945" s="25">
        <f t="shared" ca="1" si="787"/>
        <v>-19875578.463101674</v>
      </c>
    </row>
    <row r="946" spans="1:19" ht="15.75" customHeight="1" x14ac:dyDescent="0.3">
      <c r="A946" s="37">
        <v>79745</v>
      </c>
      <c r="B946" s="409">
        <f t="shared" ref="B946:C946" si="957">($A946-B$9)/365.25</f>
        <v>136.4517453798768</v>
      </c>
      <c r="C946" s="409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3525.4531757812501</v>
      </c>
      <c r="H946" s="25">
        <f>IF(B946&lt;62,0,'Combined Retirement'!$I$14)</f>
        <v>2192</v>
      </c>
      <c r="I946" s="25">
        <f>IF(C946&lt;62,0,'Combined Retirement'!$I$13)</f>
        <v>2420</v>
      </c>
      <c r="J946" s="25">
        <f t="shared" si="783"/>
        <v>7863.2184191855868</v>
      </c>
      <c r="K946" s="25">
        <f t="shared" si="784"/>
        <v>20282.026119384056</v>
      </c>
      <c r="L946" s="25"/>
      <c r="N946" s="25">
        <f>'Combined Retirement'!$C$18/12</f>
        <v>39153.069999999992</v>
      </c>
      <c r="O946" s="25">
        <f t="shared" si="785"/>
        <v>11007.82546143035</v>
      </c>
      <c r="P946" s="25">
        <f t="shared" si="786"/>
        <v>28145.244538569641</v>
      </c>
      <c r="Q946" s="25">
        <f t="array" aca="1" ref="Q946" ca="1">INDEX('Isaac 401k'!L:L,MATCH('Retirement Calculator'!A946,'Isaac 401k'!N:N,0),0)</f>
        <v>-4134089.3991359295</v>
      </c>
      <c r="R946" s="25">
        <f t="array" aca="1" ref="R946" ca="1">INDEX('Lorri 401b'!L:L,MATCH('Retirement Calculator'!A946,'Lorri 401b'!N:N,0),0)</f>
        <v>-15852566.490619481</v>
      </c>
      <c r="S946" s="25">
        <f t="shared" ca="1" si="787"/>
        <v>-19986655.889755409</v>
      </c>
    </row>
    <row r="947" spans="1:19" ht="15.75" customHeight="1" x14ac:dyDescent="0.3">
      <c r="A947" s="37">
        <v>79776</v>
      </c>
      <c r="B947" s="409">
        <f t="shared" ref="B947:C947" si="958">($A947-B$9)/365.25</f>
        <v>136.5366187542779</v>
      </c>
      <c r="C947" s="409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3525.4531757812501</v>
      </c>
      <c r="H947" s="25">
        <f>IF(B947&lt;62,0,'Combined Retirement'!$I$14)</f>
        <v>2192</v>
      </c>
      <c r="I947" s="25">
        <f>IF(C947&lt;62,0,'Combined Retirement'!$I$13)</f>
        <v>2420</v>
      </c>
      <c r="J947" s="25">
        <f t="shared" si="783"/>
        <v>7863.2184191855868</v>
      </c>
      <c r="K947" s="25">
        <f t="shared" si="784"/>
        <v>20282.026119384056</v>
      </c>
      <c r="L947" s="25"/>
      <c r="N947" s="25">
        <f>'Combined Retirement'!$C$18/12</f>
        <v>39153.069999999992</v>
      </c>
      <c r="O947" s="25">
        <f t="shared" si="785"/>
        <v>11007.82546143035</v>
      </c>
      <c r="P947" s="25">
        <f t="shared" si="786"/>
        <v>28145.244538569641</v>
      </c>
      <c r="Q947" s="25">
        <f t="array" aca="1" ref="Q947" ca="1">INDEX('Isaac 401k'!L:L,MATCH('Retirement Calculator'!A947,'Isaac 401k'!N:N,0),0)</f>
        <v>-4159210.7534615947</v>
      </c>
      <c r="R947" s="25">
        <f t="array" aca="1" ref="R947" ca="1">INDEX('Lorri 401b'!L:L,MATCH('Retirement Calculator'!A947,'Lorri 401b'!N:N,0),0)</f>
        <v>-15938985.385558611</v>
      </c>
      <c r="S947" s="25">
        <f t="shared" ca="1" si="787"/>
        <v>-20098196.139020205</v>
      </c>
    </row>
    <row r="948" spans="1:19" ht="15.75" customHeight="1" x14ac:dyDescent="0.3">
      <c r="A948" s="37">
        <v>79806</v>
      </c>
      <c r="B948" s="409">
        <f t="shared" ref="B948:C948" si="959">($A948-B$9)/365.25</f>
        <v>136.61875427789187</v>
      </c>
      <c r="C948" s="409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3525.4531757812501</v>
      </c>
      <c r="H948" s="25">
        <f>IF(B948&lt;62,0,'Combined Retirement'!$I$14)</f>
        <v>2192</v>
      </c>
      <c r="I948" s="25">
        <f>IF(C948&lt;62,0,'Combined Retirement'!$I$13)</f>
        <v>2420</v>
      </c>
      <c r="J948" s="25">
        <f t="shared" si="783"/>
        <v>7863.2184191855868</v>
      </c>
      <c r="K948" s="25">
        <f t="shared" si="784"/>
        <v>20282.026119384056</v>
      </c>
      <c r="L948" s="25"/>
      <c r="N948" s="25">
        <f>'Combined Retirement'!$C$18/12</f>
        <v>39153.069999999992</v>
      </c>
      <c r="O948" s="25">
        <f t="shared" si="785"/>
        <v>11007.82546143035</v>
      </c>
      <c r="P948" s="25">
        <f t="shared" si="786"/>
        <v>28145.244538569641</v>
      </c>
      <c r="Q948" s="25">
        <f t="array" aca="1" ref="Q948" ca="1">INDEX('Isaac 401k'!L:L,MATCH('Retirement Calculator'!A948,'Isaac 401k'!N:N,0),0)</f>
        <v>-4184436.78009695</v>
      </c>
      <c r="R948" s="25">
        <f t="array" aca="1" ref="R948" ca="1">INDEX('Lorri 401b'!L:L,MATCH('Retirement Calculator'!A948,'Lorri 401b'!N:N,0),0)</f>
        <v>-16025764.359226653</v>
      </c>
      <c r="S948" s="25">
        <f t="shared" ca="1" si="787"/>
        <v>-20210201.139323603</v>
      </c>
    </row>
    <row r="949" spans="1:19" ht="15.75" customHeight="1" x14ac:dyDescent="0.3">
      <c r="A949" s="37">
        <v>79837</v>
      </c>
      <c r="B949" s="409">
        <f t="shared" ref="B949:C949" si="960">($A949-B$9)/365.25</f>
        <v>136.70362765229294</v>
      </c>
      <c r="C949" s="409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3525.4531757812501</v>
      </c>
      <c r="H949" s="25">
        <f>IF(B949&lt;62,0,'Combined Retirement'!$I$14)</f>
        <v>2192</v>
      </c>
      <c r="I949" s="25">
        <f>IF(C949&lt;62,0,'Combined Retirement'!$I$13)</f>
        <v>2420</v>
      </c>
      <c r="J949" s="25">
        <f t="shared" si="783"/>
        <v>7863.2184191855868</v>
      </c>
      <c r="K949" s="25">
        <f t="shared" si="784"/>
        <v>20282.026119384056</v>
      </c>
      <c r="L949" s="25"/>
      <c r="N949" s="25">
        <f>'Combined Retirement'!$C$18/12</f>
        <v>39153.069999999992</v>
      </c>
      <c r="O949" s="25">
        <f t="shared" si="785"/>
        <v>11007.82546143035</v>
      </c>
      <c r="P949" s="25">
        <f t="shared" si="786"/>
        <v>28145.244538569641</v>
      </c>
      <c r="Q949" s="25">
        <f t="array" aca="1" ref="Q949" ca="1">INDEX('Isaac 401k'!L:L,MATCH('Retirement Calculator'!A949,'Isaac 401k'!N:N,0),0)</f>
        <v>-4209767.9151766188</v>
      </c>
      <c r="R949" s="25">
        <f t="array" aca="1" ref="R949" ca="1">INDEX('Lorri 401b'!L:L,MATCH('Retirement Calculator'!A949,'Lorri 401b'!N:N,0),0)</f>
        <v>-16112904.911951646</v>
      </c>
      <c r="S949" s="25">
        <f t="shared" ca="1" si="787"/>
        <v>-20322672.827128265</v>
      </c>
    </row>
    <row r="950" spans="1:19" ht="15.75" customHeight="1" x14ac:dyDescent="0.3">
      <c r="A950" s="37">
        <v>79868</v>
      </c>
      <c r="B950" s="409">
        <f t="shared" ref="B950:C950" si="961">($A950-B$9)/365.25</f>
        <v>136.78850102669404</v>
      </c>
      <c r="C950" s="409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3525.4531757812501</v>
      </c>
      <c r="H950" s="25">
        <f>IF(B950&lt;62,0,'Combined Retirement'!$I$14)</f>
        <v>2192</v>
      </c>
      <c r="I950" s="25">
        <f>IF(C950&lt;62,0,'Combined Retirement'!$I$13)</f>
        <v>2420</v>
      </c>
      <c r="J950" s="25">
        <f t="shared" si="783"/>
        <v>7863.2184191855868</v>
      </c>
      <c r="K950" s="25">
        <f t="shared" si="784"/>
        <v>20282.026119384056</v>
      </c>
      <c r="L950" s="25"/>
      <c r="N950" s="25">
        <f>'Combined Retirement'!$C$18/12</f>
        <v>39153.069999999992</v>
      </c>
      <c r="O950" s="25">
        <f t="shared" si="785"/>
        <v>11007.82546143035</v>
      </c>
      <c r="P950" s="25">
        <f t="shared" si="786"/>
        <v>28145.244538569641</v>
      </c>
      <c r="Q950" s="25">
        <f t="array" aca="1" ref="Q950" ca="1">INDEX('Isaac 401k'!L:L,MATCH('Retirement Calculator'!A950,'Isaac 401k'!N:N,0),0)</f>
        <v>-4235204.5966524538</v>
      </c>
      <c r="R950" s="25">
        <f t="array" aca="1" ref="R950" ca="1">INDEX('Lorri 401b'!L:L,MATCH('Retirement Calculator'!A950,'Lorri 401b'!N:N,0),0)</f>
        <v>-16200408.550312994</v>
      </c>
      <c r="S950" s="25">
        <f t="shared" ca="1" si="787"/>
        <v>-20435613.146965448</v>
      </c>
    </row>
    <row r="951" spans="1:19" ht="15.75" customHeight="1" x14ac:dyDescent="0.3">
      <c r="A951" s="37">
        <v>79898</v>
      </c>
      <c r="B951" s="409">
        <f t="shared" ref="B951:C951" si="962">($A951-B$9)/365.25</f>
        <v>136.87063655030801</v>
      </c>
      <c r="C951" s="409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3525.4531757812501</v>
      </c>
      <c r="H951" s="25">
        <f>IF(B951&lt;62,0,'Combined Retirement'!$I$14)</f>
        <v>2192</v>
      </c>
      <c r="I951" s="25">
        <f>IF(C951&lt;62,0,'Combined Retirement'!$I$13)</f>
        <v>2420</v>
      </c>
      <c r="J951" s="25">
        <f t="shared" si="783"/>
        <v>7863.2184191855868</v>
      </c>
      <c r="K951" s="25">
        <f t="shared" si="784"/>
        <v>20282.026119384056</v>
      </c>
      <c r="L951" s="25"/>
      <c r="N951" s="25">
        <f>'Combined Retirement'!$C$18/12</f>
        <v>39153.069999999992</v>
      </c>
      <c r="O951" s="25">
        <f t="shared" si="785"/>
        <v>11007.82546143035</v>
      </c>
      <c r="P951" s="25">
        <f t="shared" si="786"/>
        <v>28145.244538569641</v>
      </c>
      <c r="Q951" s="25">
        <f t="array" aca="1" ref="Q951" ca="1">INDEX('Isaac 401k'!L:L,MATCH('Retirement Calculator'!A951,'Isaac 401k'!N:N,0),0)</f>
        <v>-4260747.2643011045</v>
      </c>
      <c r="R951" s="25">
        <f t="array" aca="1" ref="R951" ca="1">INDEX('Lorri 401b'!L:L,MATCH('Retirement Calculator'!A951,'Lorri 401b'!N:N,0),0)</f>
        <v>-16288276.787167514</v>
      </c>
      <c r="S951" s="25">
        <f t="shared" ca="1" si="787"/>
        <v>-20549024.051468618</v>
      </c>
    </row>
    <row r="952" spans="1:19" ht="15.75" customHeight="1" x14ac:dyDescent="0.3">
      <c r="A952" s="37">
        <v>79929</v>
      </c>
      <c r="B952" s="409">
        <f t="shared" ref="B952:C952" si="963">($A952-B$9)/365.25</f>
        <v>136.95550992470911</v>
      </c>
      <c r="C952" s="409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3525.4531757812501</v>
      </c>
      <c r="H952" s="25">
        <f>IF(B952&lt;62,0,'Combined Retirement'!$I$14)</f>
        <v>2192</v>
      </c>
      <c r="I952" s="25">
        <f>IF(C952&lt;62,0,'Combined Retirement'!$I$13)</f>
        <v>2420</v>
      </c>
      <c r="J952" s="25">
        <f t="shared" si="783"/>
        <v>7863.2184191855868</v>
      </c>
      <c r="K952" s="25">
        <f t="shared" si="784"/>
        <v>20282.026119384056</v>
      </c>
      <c r="L952" s="25"/>
      <c r="N952" s="25">
        <f>'Combined Retirement'!$C$18/12</f>
        <v>39153.069999999992</v>
      </c>
      <c r="O952" s="25">
        <f t="shared" si="785"/>
        <v>11007.82546143035</v>
      </c>
      <c r="P952" s="25">
        <f t="shared" si="786"/>
        <v>28145.244538569641</v>
      </c>
      <c r="Q952" s="25">
        <f t="array" aca="1" ref="Q952" ca="1">INDEX('Isaac 401k'!L:L,MATCH('Retirement Calculator'!A952,'Isaac 401k'!N:N,0),0)</f>
        <v>-4286396.3597316248</v>
      </c>
      <c r="R952" s="25">
        <f t="array" aca="1" ref="R952" ca="1">INDEX('Lorri 401b'!L:L,MATCH('Retirement Calculator'!A952,'Lorri 401b'!N:N,0),0)</f>
        <v>-16376511.141675593</v>
      </c>
      <c r="S952" s="25">
        <f t="shared" ca="1" si="787"/>
        <v>-20662907.501407217</v>
      </c>
    </row>
    <row r="953" spans="1:19" ht="15.75" customHeight="1" x14ac:dyDescent="0.3">
      <c r="A953" s="37">
        <v>79959</v>
      </c>
      <c r="B953" s="409">
        <f t="shared" ref="B953:C953" si="964">($A953-B$9)/365.25</f>
        <v>137.03764544832308</v>
      </c>
      <c r="C953" s="409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3525.4531757812501</v>
      </c>
      <c r="H953" s="25">
        <f>IF(B953&lt;62,0,'Combined Retirement'!$I$14)</f>
        <v>2192</v>
      </c>
      <c r="I953" s="25">
        <f>IF(C953&lt;62,0,'Combined Retirement'!$I$13)</f>
        <v>2420</v>
      </c>
      <c r="J953" s="25">
        <f t="shared" si="783"/>
        <v>7863.2184191855868</v>
      </c>
      <c r="K953" s="25">
        <f t="shared" si="784"/>
        <v>20282.026119384056</v>
      </c>
      <c r="L953" s="25"/>
      <c r="N953" s="25">
        <f>'Combined Retirement'!$C$18/12</f>
        <v>39153.069999999992</v>
      </c>
      <c r="O953" s="25">
        <f t="shared" si="785"/>
        <v>11007.82546143035</v>
      </c>
      <c r="P953" s="25">
        <f t="shared" si="786"/>
        <v>28145.244538569641</v>
      </c>
      <c r="Q953" s="25">
        <f t="array" aca="1" ref="Q953" ca="1">INDEX('Isaac 401k'!L:L,MATCH('Retirement Calculator'!A953,'Isaac 401k'!N:N,0),0)</f>
        <v>-4312152.326393106</v>
      </c>
      <c r="R953" s="25">
        <f t="array" aca="1" ref="R953" ca="1">INDEX('Lorri 401b'!L:L,MATCH('Retirement Calculator'!A953,'Lorri 401b'!N:N,0),0)</f>
        <v>-16465113.139327457</v>
      </c>
      <c r="S953" s="25">
        <f t="shared" ca="1" si="787"/>
        <v>-20777265.465720564</v>
      </c>
    </row>
    <row r="954" spans="1:19" ht="15.75" customHeight="1" x14ac:dyDescent="0.3">
      <c r="A954" s="37">
        <v>79990</v>
      </c>
      <c r="B954" s="409">
        <f t="shared" ref="B954:C954" si="965">($A954-B$9)/365.25</f>
        <v>137.12251882272417</v>
      </c>
      <c r="C954" s="409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3525.4531757812501</v>
      </c>
      <c r="H954" s="25">
        <f>IF(B954&lt;62,0,'Combined Retirement'!$I$14)</f>
        <v>2192</v>
      </c>
      <c r="I954" s="25">
        <f>IF(C954&lt;62,0,'Combined Retirement'!$I$13)</f>
        <v>2420</v>
      </c>
      <c r="J954" s="25">
        <f t="shared" si="783"/>
        <v>7863.2184191855868</v>
      </c>
      <c r="K954" s="25">
        <f t="shared" si="784"/>
        <v>20282.026119384056</v>
      </c>
      <c r="L954" s="25"/>
      <c r="N954" s="25">
        <f>'Combined Retirement'!$C$18/12</f>
        <v>39153.069999999992</v>
      </c>
      <c r="O954" s="25">
        <f t="shared" si="785"/>
        <v>11007.82546143035</v>
      </c>
      <c r="P954" s="25">
        <f t="shared" si="786"/>
        <v>28145.244538569641</v>
      </c>
      <c r="Q954" s="25">
        <f t="array" aca="1" ref="Q954" ca="1">INDEX('Isaac 401k'!L:L,MATCH('Retirement Calculator'!A954,'Isaac 401k'!N:N,0),0)</f>
        <v>-4338015.6095823431</v>
      </c>
      <c r="R954" s="25">
        <f t="array" aca="1" ref="R954" ca="1">INDEX('Lorri 401b'!L:L,MATCH('Retirement Calculator'!A954,'Lorri 401b'!N:N,0),0)</f>
        <v>-16554084.311969537</v>
      </c>
      <c r="S954" s="25">
        <f t="shared" ca="1" si="787"/>
        <v>-20892099.921551879</v>
      </c>
    </row>
    <row r="955" spans="1:19" ht="15.75" customHeight="1" x14ac:dyDescent="0.3">
      <c r="A955" s="37">
        <v>80021</v>
      </c>
      <c r="B955" s="409">
        <f t="shared" ref="B955:C955" si="966">($A955-B$9)/365.25</f>
        <v>137.20739219712524</v>
      </c>
      <c r="C955" s="409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3525.4531757812501</v>
      </c>
      <c r="H955" s="25">
        <f>IF(B955&lt;62,0,'Combined Retirement'!$I$14)</f>
        <v>2192</v>
      </c>
      <c r="I955" s="25">
        <f>IF(C955&lt;62,0,'Combined Retirement'!$I$13)</f>
        <v>2420</v>
      </c>
      <c r="J955" s="25">
        <f t="shared" si="783"/>
        <v>7863.2184191855868</v>
      </c>
      <c r="K955" s="25">
        <f t="shared" si="784"/>
        <v>20282.026119384056</v>
      </c>
      <c r="L955" s="25"/>
      <c r="N955" s="25">
        <f>'Combined Retirement'!$C$18/12</f>
        <v>39153.069999999992</v>
      </c>
      <c r="O955" s="25">
        <f t="shared" si="785"/>
        <v>11007.82546143035</v>
      </c>
      <c r="P955" s="25">
        <f t="shared" si="786"/>
        <v>28145.244538569641</v>
      </c>
      <c r="Q955" s="25">
        <f t="array" aca="1" ref="Q955" ca="1">INDEX('Isaac 401k'!L:L,MATCH('Retirement Calculator'!A955,'Isaac 401k'!N:N,0),0)</f>
        <v>-4363986.6564515354</v>
      </c>
      <c r="R955" s="25">
        <f t="array" aca="1" ref="R955" ca="1">INDEX('Lorri 401b'!L:L,MATCH('Retirement Calculator'!A955,'Lorri 401b'!N:N,0),0)</f>
        <v>-16643426.19783096</v>
      </c>
      <c r="S955" s="25">
        <f t="shared" ca="1" si="787"/>
        <v>-21007412.854282495</v>
      </c>
    </row>
    <row r="956" spans="1:19" ht="15.75" customHeight="1" x14ac:dyDescent="0.3">
      <c r="A956" s="37">
        <v>80049</v>
      </c>
      <c r="B956" s="409">
        <f t="shared" ref="B956:C956" si="967">($A956-B$9)/365.25</f>
        <v>137.28405201916496</v>
      </c>
      <c r="C956" s="409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3525.4531757812501</v>
      </c>
      <c r="H956" s="25">
        <f>IF(B956&lt;62,0,'Combined Retirement'!$I$14)</f>
        <v>2192</v>
      </c>
      <c r="I956" s="25">
        <f>IF(C956&lt;62,0,'Combined Retirement'!$I$13)</f>
        <v>2420</v>
      </c>
      <c r="J956" s="25">
        <f t="shared" si="783"/>
        <v>7863.2184191855868</v>
      </c>
      <c r="K956" s="25">
        <f t="shared" si="784"/>
        <v>20282.026119384056</v>
      </c>
      <c r="L956" s="25"/>
      <c r="N956" s="25">
        <f>'Combined Retirement'!$C$18/12</f>
        <v>39153.069999999992</v>
      </c>
      <c r="O956" s="25">
        <f t="shared" si="785"/>
        <v>11007.82546143035</v>
      </c>
      <c r="P956" s="25">
        <f t="shared" si="786"/>
        <v>28145.244538569641</v>
      </c>
      <c r="Q956" s="25">
        <f t="array" aca="1" ref="Q956" ca="1">INDEX('Isaac 401k'!L:L,MATCH('Retirement Calculator'!A956,'Isaac 401k'!N:N,0),0)</f>
        <v>-4390065.9160160162</v>
      </c>
      <c r="R956" s="25">
        <f t="array" aca="1" ref="R956" ca="1">INDEX('Lorri 401b'!L:L,MATCH('Retirement Calculator'!A956,'Lorri 401b'!N:N,0),0)</f>
        <v>-16733140.341550138</v>
      </c>
      <c r="S956" s="25">
        <f t="shared" ca="1" si="787"/>
        <v>-21123206.257566154</v>
      </c>
    </row>
    <row r="957" spans="1:19" ht="15.75" customHeight="1" x14ac:dyDescent="0.3">
      <c r="A957" s="37">
        <v>80080</v>
      </c>
      <c r="B957" s="409">
        <f t="shared" ref="B957:C957" si="968">($A957-B$9)/365.25</f>
        <v>137.36892539356606</v>
      </c>
      <c r="C957" s="409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3525.4531757812501</v>
      </c>
      <c r="H957" s="25">
        <f>IF(B957&lt;62,0,'Combined Retirement'!$I$14)</f>
        <v>2192</v>
      </c>
      <c r="I957" s="25">
        <f>IF(C957&lt;62,0,'Combined Retirement'!$I$13)</f>
        <v>2420</v>
      </c>
      <c r="J957" s="25">
        <f t="shared" si="783"/>
        <v>7863.2184191855868</v>
      </c>
      <c r="K957" s="25">
        <f t="shared" si="784"/>
        <v>20282.026119384056</v>
      </c>
      <c r="L957" s="25"/>
      <c r="N957" s="25">
        <f>'Combined Retirement'!$C$18/12</f>
        <v>39153.069999999992</v>
      </c>
      <c r="O957" s="25">
        <f t="shared" si="785"/>
        <v>11007.82546143035</v>
      </c>
      <c r="P957" s="25">
        <f t="shared" si="786"/>
        <v>28145.244538569641</v>
      </c>
      <c r="Q957" s="25">
        <f t="array" aca="1" ref="Q957" ca="1">INDEX('Isaac 401k'!L:L,MATCH('Retirement Calculator'!A957,'Isaac 401k'!N:N,0),0)</f>
        <v>-4416253.8391620154</v>
      </c>
      <c r="R957" s="25">
        <f t="array" aca="1" ref="R957" ca="1">INDEX('Lorri 401b'!L:L,MATCH('Retirement Calculator'!A957,'Lorri 401b'!N:N,0),0)</f>
        <v>-16823228.294201478</v>
      </c>
      <c r="S957" s="25">
        <f t="shared" ca="1" si="787"/>
        <v>-21239482.133363493</v>
      </c>
    </row>
    <row r="958" spans="1:19" ht="15.75" customHeight="1" x14ac:dyDescent="0.3">
      <c r="A958" s="37">
        <v>80110</v>
      </c>
      <c r="B958" s="409">
        <f t="shared" ref="B958:C958" si="969">($A958-B$9)/365.25</f>
        <v>137.45106091718</v>
      </c>
      <c r="C958" s="409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3525.4531757812501</v>
      </c>
      <c r="H958" s="25">
        <f>IF(B958&lt;62,0,'Combined Retirement'!$I$14)</f>
        <v>2192</v>
      </c>
      <c r="I958" s="25">
        <f>IF(C958&lt;62,0,'Combined Retirement'!$I$13)</f>
        <v>2420</v>
      </c>
      <c r="J958" s="25">
        <f t="shared" si="783"/>
        <v>7863.2184191855868</v>
      </c>
      <c r="K958" s="25">
        <f t="shared" si="784"/>
        <v>20282.026119384056</v>
      </c>
      <c r="L958" s="25"/>
      <c r="N958" s="25">
        <f>'Combined Retirement'!$C$18/12</f>
        <v>39153.069999999992</v>
      </c>
      <c r="O958" s="25">
        <f t="shared" si="785"/>
        <v>11007.82546143035</v>
      </c>
      <c r="P958" s="25">
        <f t="shared" si="786"/>
        <v>28145.244538569641</v>
      </c>
      <c r="Q958" s="25">
        <f t="array" aca="1" ref="Q958" ca="1">INDEX('Isaac 401k'!L:L,MATCH('Retirement Calculator'!A958,'Isaac 401k'!N:N,0),0)</f>
        <v>-4442550.8786544558</v>
      </c>
      <c r="R958" s="25">
        <f t="array" aca="1" ref="R958" ca="1">INDEX('Lorri 401b'!L:L,MATCH('Retirement Calculator'!A958,'Lorri 401b'!N:N,0),0)</f>
        <v>-16913691.613322198</v>
      </c>
      <c r="S958" s="25">
        <f t="shared" ca="1" si="787"/>
        <v>-21356242.491976656</v>
      </c>
    </row>
    <row r="959" spans="1:19" ht="15.75" customHeight="1" x14ac:dyDescent="0.3">
      <c r="A959" s="37">
        <v>80141</v>
      </c>
      <c r="B959" s="409">
        <f t="shared" ref="B959:C959" si="970">($A959-B$9)/365.25</f>
        <v>137.5359342915811</v>
      </c>
      <c r="C959" s="409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3525.4531757812501</v>
      </c>
      <c r="H959" s="25">
        <f>IF(B959&lt;62,0,'Combined Retirement'!$I$14)</f>
        <v>2192</v>
      </c>
      <c r="I959" s="25">
        <f>IF(C959&lt;62,0,'Combined Retirement'!$I$13)</f>
        <v>2420</v>
      </c>
      <c r="J959" s="25">
        <f t="shared" si="783"/>
        <v>7863.2184191855868</v>
      </c>
      <c r="K959" s="25">
        <f t="shared" si="784"/>
        <v>20282.026119384056</v>
      </c>
      <c r="L959" s="25"/>
      <c r="N959" s="25">
        <f>'Combined Retirement'!$C$18/12</f>
        <v>39153.069999999992</v>
      </c>
      <c r="O959" s="25">
        <f t="shared" si="785"/>
        <v>11007.82546143035</v>
      </c>
      <c r="P959" s="25">
        <f t="shared" si="786"/>
        <v>28145.244538569641</v>
      </c>
      <c r="Q959" s="25">
        <f t="array" aca="1" ref="Q959" ca="1">INDEX('Isaac 401k'!L:L,MATCH('Retirement Calculator'!A959,'Isaac 401k'!N:N,0),0)</f>
        <v>-4468957.4891447816</v>
      </c>
      <c r="R959" s="25">
        <f t="array" aca="1" ref="R959" ca="1">INDEX('Lorri 401b'!L:L,MATCH('Retirement Calculator'!A959,'Lorri 401b'!N:N,0),0)</f>
        <v>-17004531.862939257</v>
      </c>
      <c r="S959" s="25">
        <f t="shared" ca="1" si="787"/>
        <v>-21473489.352084041</v>
      </c>
    </row>
    <row r="960" spans="1:19" ht="15.75" customHeight="1" x14ac:dyDescent="0.3">
      <c r="A960" s="37">
        <v>80171</v>
      </c>
      <c r="B960" s="409">
        <f t="shared" ref="B960:C960" si="971">($A960-B$9)/365.25</f>
        <v>137.61806981519507</v>
      </c>
      <c r="C960" s="409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3525.4531757812501</v>
      </c>
      <c r="H960" s="25">
        <f>IF(B960&lt;62,0,'Combined Retirement'!$I$14)</f>
        <v>2192</v>
      </c>
      <c r="I960" s="25">
        <f>IF(C960&lt;62,0,'Combined Retirement'!$I$13)</f>
        <v>2420</v>
      </c>
      <c r="J960" s="25">
        <f t="shared" si="783"/>
        <v>7863.2184191855868</v>
      </c>
      <c r="K960" s="25">
        <f t="shared" si="784"/>
        <v>20282.026119384056</v>
      </c>
      <c r="L960" s="25"/>
      <c r="N960" s="25">
        <f>'Combined Retirement'!$C$18/12</f>
        <v>39153.069999999992</v>
      </c>
      <c r="O960" s="25">
        <f t="shared" si="785"/>
        <v>11007.82546143035</v>
      </c>
      <c r="P960" s="25">
        <f t="shared" si="786"/>
        <v>28145.244538569641</v>
      </c>
      <c r="Q960" s="25">
        <f t="array" aca="1" ref="Q960" ca="1">INDEX('Isaac 401k'!L:L,MATCH('Retirement Calculator'!A960,'Isaac 401k'!N:N,0),0)</f>
        <v>-4495474.1271788171</v>
      </c>
      <c r="R960" s="25">
        <f t="array" aca="1" ref="R960" ca="1">INDEX('Lorri 401b'!L:L,MATCH('Retirement Calculator'!A960,'Lorri 401b'!N:N,0),0)</f>
        <v>-17095750.613596387</v>
      </c>
      <c r="S960" s="25">
        <f t="shared" ca="1" si="787"/>
        <v>-21591224.740775205</v>
      </c>
    </row>
    <row r="961" spans="1:19" ht="15.75" customHeight="1" x14ac:dyDescent="0.3">
      <c r="A961" s="37">
        <v>80202</v>
      </c>
      <c r="B961" s="409">
        <f t="shared" ref="B961:C961" si="972">($A961-B$9)/365.25</f>
        <v>137.70294318959617</v>
      </c>
      <c r="C961" s="409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3525.4531757812501</v>
      </c>
      <c r="H961" s="25">
        <f>IF(B961&lt;62,0,'Combined Retirement'!$I$14)</f>
        <v>2192</v>
      </c>
      <c r="I961" s="25">
        <f>IF(C961&lt;62,0,'Combined Retirement'!$I$13)</f>
        <v>2420</v>
      </c>
      <c r="J961" s="25">
        <f t="shared" si="783"/>
        <v>7863.2184191855868</v>
      </c>
      <c r="K961" s="25">
        <f t="shared" si="784"/>
        <v>20282.026119384056</v>
      </c>
      <c r="L961" s="25"/>
      <c r="N961" s="25">
        <f>'Combined Retirement'!$C$18/12</f>
        <v>39153.069999999992</v>
      </c>
      <c r="O961" s="25">
        <f t="shared" si="785"/>
        <v>11007.82546143035</v>
      </c>
      <c r="P961" s="25">
        <f t="shared" si="786"/>
        <v>28145.244538569641</v>
      </c>
      <c r="Q961" s="25">
        <f t="array" aca="1" ref="Q961" ca="1">INDEX('Isaac 401k'!L:L,MATCH('Retirement Calculator'!A961,'Isaac 401k'!N:N,0),0)</f>
        <v>-4522101.2512046611</v>
      </c>
      <c r="R961" s="25">
        <f t="array" aca="1" ref="R961" ca="1">INDEX('Lorri 401b'!L:L,MATCH('Retirement Calculator'!A961,'Lorri 401b'!N:N,0),0)</f>
        <v>-17187349.442381255</v>
      </c>
      <c r="S961" s="25">
        <f t="shared" ca="1" si="787"/>
        <v>-21709450.693585917</v>
      </c>
    </row>
    <row r="962" spans="1:19" ht="15.75" customHeight="1" x14ac:dyDescent="0.3">
      <c r="A962" s="37">
        <v>80233</v>
      </c>
      <c r="B962" s="409">
        <f t="shared" ref="B962:C962" si="973">($A962-B$9)/365.25</f>
        <v>137.78781656399727</v>
      </c>
      <c r="C962" s="409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3525.4531757812501</v>
      </c>
      <c r="H962" s="25">
        <f>IF(B962&lt;62,0,'Combined Retirement'!$I$14)</f>
        <v>2192</v>
      </c>
      <c r="I962" s="25">
        <f>IF(C962&lt;62,0,'Combined Retirement'!$I$13)</f>
        <v>2420</v>
      </c>
      <c r="J962" s="25">
        <f t="shared" si="783"/>
        <v>7863.2184191855868</v>
      </c>
      <c r="K962" s="25">
        <f t="shared" si="784"/>
        <v>20282.026119384056</v>
      </c>
      <c r="L962" s="25"/>
      <c r="N962" s="25">
        <f>'Combined Retirement'!$C$18/12</f>
        <v>39153.069999999992</v>
      </c>
      <c r="O962" s="25">
        <f t="shared" si="785"/>
        <v>11007.82546143035</v>
      </c>
      <c r="P962" s="25">
        <f t="shared" si="786"/>
        <v>28145.244538569641</v>
      </c>
      <c r="Q962" s="25">
        <f t="array" aca="1" ref="Q962" ca="1">INDEX('Isaac 401k'!L:L,MATCH('Retirement Calculator'!A962,'Isaac 401k'!N:N,0),0)</f>
        <v>-4548839.321580613</v>
      </c>
      <c r="R962" s="25">
        <f t="array" aca="1" ref="R962" ca="1">INDEX('Lorri 401b'!L:L,MATCH('Retirement Calculator'!A962,'Lorri 401b'!N:N,0),0)</f>
        <v>-17279329.932952724</v>
      </c>
      <c r="S962" s="25">
        <f t="shared" ca="1" si="787"/>
        <v>-21828169.254533336</v>
      </c>
    </row>
    <row r="963" spans="1:19" ht="15.75" customHeight="1" x14ac:dyDescent="0.3">
      <c r="A963" s="37">
        <v>80263</v>
      </c>
      <c r="B963" s="409">
        <f t="shared" ref="B963:C963" si="974">($A963-B$9)/365.25</f>
        <v>137.86995208761124</v>
      </c>
      <c r="C963" s="409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3525.4531757812501</v>
      </c>
      <c r="H963" s="25">
        <f>IF(B963&lt;62,0,'Combined Retirement'!$I$14)</f>
        <v>2192</v>
      </c>
      <c r="I963" s="25">
        <f>IF(C963&lt;62,0,'Combined Retirement'!$I$13)</f>
        <v>2420</v>
      </c>
      <c r="J963" s="25">
        <f t="shared" si="783"/>
        <v>7863.2184191855868</v>
      </c>
      <c r="K963" s="25">
        <f t="shared" si="784"/>
        <v>20282.026119384056</v>
      </c>
      <c r="L963" s="25"/>
      <c r="N963" s="25">
        <f>'Combined Retirement'!$C$18/12</f>
        <v>39153.069999999992</v>
      </c>
      <c r="O963" s="25">
        <f t="shared" si="785"/>
        <v>11007.82546143035</v>
      </c>
      <c r="P963" s="25">
        <f t="shared" si="786"/>
        <v>28145.244538569641</v>
      </c>
      <c r="Q963" s="25">
        <f t="array" aca="1" ref="Q963" ca="1">INDEX('Isaac 401k'!L:L,MATCH('Retirement Calculator'!A963,'Isaac 401k'!N:N,0),0)</f>
        <v>-4575688.8005831316</v>
      </c>
      <c r="R963" s="25">
        <f t="array" aca="1" ref="R963" ca="1">INDEX('Lorri 401b'!L:L,MATCH('Retirement Calculator'!A963,'Lorri 401b'!N:N,0),0)</f>
        <v>-17371693.675568242</v>
      </c>
      <c r="S963" s="25">
        <f t="shared" ca="1" si="787"/>
        <v>-21947382.476151373</v>
      </c>
    </row>
    <row r="964" spans="1:19" ht="15.75" customHeight="1" x14ac:dyDescent="0.3">
      <c r="A964" s="37">
        <v>80294</v>
      </c>
      <c r="B964" s="409">
        <f t="shared" ref="B964:C964" si="975">($A964-B$9)/365.25</f>
        <v>137.95482546201231</v>
      </c>
      <c r="C964" s="409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3525.4531757812501</v>
      </c>
      <c r="H964" s="25">
        <f>IF(B964&lt;62,0,'Combined Retirement'!$I$14)</f>
        <v>2192</v>
      </c>
      <c r="I964" s="25">
        <f>IF(C964&lt;62,0,'Combined Retirement'!$I$13)</f>
        <v>2420</v>
      </c>
      <c r="J964" s="25">
        <f t="shared" si="783"/>
        <v>7863.2184191855868</v>
      </c>
      <c r="K964" s="25">
        <f t="shared" si="784"/>
        <v>20282.026119384056</v>
      </c>
      <c r="L964" s="25"/>
      <c r="N964" s="25">
        <f>'Combined Retirement'!$C$18/12</f>
        <v>39153.069999999992</v>
      </c>
      <c r="O964" s="25">
        <f t="shared" si="785"/>
        <v>11007.82546143035</v>
      </c>
      <c r="P964" s="25">
        <f t="shared" si="786"/>
        <v>28145.244538569641</v>
      </c>
      <c r="Q964" s="25">
        <f t="array" aca="1" ref="Q964" ca="1">INDEX('Isaac 401k'!L:L,MATCH('Retirement Calculator'!A964,'Isaac 401k'!N:N,0),0)</f>
        <v>-4602650.1524148267</v>
      </c>
      <c r="R964" s="25">
        <f t="array" aca="1" ref="R964" ca="1">INDEX('Lorri 401b'!L:L,MATCH('Retirement Calculator'!A964,'Lorri 401b'!N:N,0),0)</f>
        <v>-17464442.267111324</v>
      </c>
      <c r="S964" s="25">
        <f t="shared" ca="1" si="787"/>
        <v>-22067092.419526152</v>
      </c>
    </row>
    <row r="965" spans="1:19" ht="15.75" customHeight="1" x14ac:dyDescent="0.3">
      <c r="A965" s="37">
        <v>80324</v>
      </c>
      <c r="B965" s="409">
        <f t="shared" ref="B965:C965" si="976">($A965-B$9)/365.25</f>
        <v>138.03696098562628</v>
      </c>
      <c r="C965" s="409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3525.4531757812501</v>
      </c>
      <c r="H965" s="25">
        <f>IF(B965&lt;62,0,'Combined Retirement'!$I$14)</f>
        <v>2192</v>
      </c>
      <c r="I965" s="25">
        <f>IF(C965&lt;62,0,'Combined Retirement'!$I$13)</f>
        <v>2420</v>
      </c>
      <c r="J965" s="25">
        <f t="shared" si="783"/>
        <v>7863.2184191855868</v>
      </c>
      <c r="K965" s="25">
        <f t="shared" si="784"/>
        <v>20282.026119384056</v>
      </c>
      <c r="L965" s="25"/>
      <c r="N965" s="25">
        <f>'Combined Retirement'!$C$18/12</f>
        <v>39153.069999999992</v>
      </c>
      <c r="O965" s="25">
        <f t="shared" si="785"/>
        <v>11007.82546143035</v>
      </c>
      <c r="P965" s="25">
        <f t="shared" si="786"/>
        <v>28145.244538569641</v>
      </c>
      <c r="Q965" s="25">
        <f t="array" aca="1" ref="Q965" ca="1">INDEX('Isaac 401k'!L:L,MATCH('Retirement Calculator'!A965,'Isaac 401k'!N:N,0),0)</f>
        <v>-4629723.8432124872</v>
      </c>
      <c r="R965" s="25">
        <f t="array" aca="1" ref="R965" ca="1">INDEX('Lorri 401b'!L:L,MATCH('Retirement Calculator'!A965,'Lorri 401b'!N:N,0),0)</f>
        <v>-17557577.311119169</v>
      </c>
      <c r="S965" s="25">
        <f t="shared" ca="1" si="787"/>
        <v>-22187301.154331654</v>
      </c>
    </row>
    <row r="966" spans="1:19" ht="15.75" customHeight="1" x14ac:dyDescent="0.3">
      <c r="A966" s="37">
        <v>80355</v>
      </c>
      <c r="B966" s="409">
        <f t="shared" ref="B966:C966" si="977">($A966-B$9)/365.25</f>
        <v>138.12183436002738</v>
      </c>
      <c r="C966" s="409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3525.4531757812501</v>
      </c>
      <c r="H966" s="25">
        <f>IF(B966&lt;62,0,'Combined Retirement'!$I$14)</f>
        <v>2192</v>
      </c>
      <c r="I966" s="25">
        <f>IF(C966&lt;62,0,'Combined Retirement'!$I$13)</f>
        <v>2420</v>
      </c>
      <c r="J966" s="25">
        <f t="shared" si="783"/>
        <v>7863.2184191855868</v>
      </c>
      <c r="K966" s="25">
        <f t="shared" si="784"/>
        <v>20282.026119384056</v>
      </c>
      <c r="L966" s="25"/>
      <c r="N966" s="25">
        <f>'Combined Retirement'!$C$18/12</f>
        <v>39153.069999999992</v>
      </c>
      <c r="O966" s="25">
        <f t="shared" si="785"/>
        <v>11007.82546143035</v>
      </c>
      <c r="P966" s="25">
        <f t="shared" si="786"/>
        <v>28145.244538569641</v>
      </c>
      <c r="Q966" s="25">
        <f t="array" aca="1" ref="Q966" ca="1">INDEX('Isaac 401k'!L:L,MATCH('Retirement Calculator'!A966,'Isaac 401k'!N:N,0),0)</f>
        <v>-4656910.341055138</v>
      </c>
      <c r="R966" s="25">
        <f t="array" aca="1" ref="R966" ca="1">INDEX('Lorri 401b'!L:L,MATCH('Retirement Calculator'!A966,'Lorri 401b'!N:N,0),0)</f>
        <v>-17651100.41781038</v>
      </c>
      <c r="S966" s="25">
        <f t="shared" ca="1" si="787"/>
        <v>-22308010.75886552</v>
      </c>
    </row>
    <row r="967" spans="1:19" ht="15.75" customHeight="1" x14ac:dyDescent="0.3">
      <c r="A967" s="37">
        <v>80386</v>
      </c>
      <c r="B967" s="409">
        <f t="shared" ref="B967:C967" si="978">($A967-B$9)/365.25</f>
        <v>138.20670773442848</v>
      </c>
      <c r="C967" s="409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3525.4531757812501</v>
      </c>
      <c r="H967" s="25">
        <f>IF(B967&lt;62,0,'Combined Retirement'!$I$14)</f>
        <v>2192</v>
      </c>
      <c r="I967" s="25">
        <f>IF(C967&lt;62,0,'Combined Retirement'!$I$13)</f>
        <v>2420</v>
      </c>
      <c r="J967" s="25">
        <f t="shared" si="783"/>
        <v>7863.2184191855868</v>
      </c>
      <c r="K967" s="25">
        <f t="shared" si="784"/>
        <v>20282.026119384056</v>
      </c>
      <c r="L967" s="25"/>
      <c r="N967" s="25">
        <f>'Combined Retirement'!$C$18/12</f>
        <v>39153.069999999992</v>
      </c>
      <c r="O967" s="25">
        <f t="shared" si="785"/>
        <v>11007.82546143035</v>
      </c>
      <c r="P967" s="25">
        <f t="shared" si="786"/>
        <v>28145.244538569641</v>
      </c>
      <c r="Q967" s="25">
        <f t="array" aca="1" ref="Q967" ca="1">INDEX('Isaac 401k'!L:L,MATCH('Retirement Calculator'!A967,'Isaac 401k'!N:N,0),0)</f>
        <v>-4684210.1159721334</v>
      </c>
      <c r="R967" s="25">
        <f t="array" aca="1" ref="R967" ca="1">INDEX('Lorri 401b'!L:L,MATCH('Retirement Calculator'!A967,'Lorri 401b'!N:N,0),0)</f>
        <v>-17745013.204112805</v>
      </c>
      <c r="S967" s="25">
        <f t="shared" ca="1" si="787"/>
        <v>-22429223.320084937</v>
      </c>
    </row>
    <row r="968" spans="1:19" ht="15.75" customHeight="1" x14ac:dyDescent="0.3">
      <c r="A968" s="37">
        <v>80415</v>
      </c>
      <c r="B968" s="409">
        <f t="shared" ref="B968:C968" si="979">($A968-B$9)/365.25</f>
        <v>138.28610540725529</v>
      </c>
      <c r="C968" s="409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3525.4531757812501</v>
      </c>
      <c r="H968" s="25">
        <f>IF(B968&lt;62,0,'Combined Retirement'!$I$14)</f>
        <v>2192</v>
      </c>
      <c r="I968" s="25">
        <f>IF(C968&lt;62,0,'Combined Retirement'!$I$13)</f>
        <v>2420</v>
      </c>
      <c r="J968" s="25">
        <f t="shared" si="783"/>
        <v>7863.2184191855868</v>
      </c>
      <c r="K968" s="25">
        <f t="shared" si="784"/>
        <v>20282.026119384056</v>
      </c>
      <c r="L968" s="25"/>
      <c r="N968" s="25">
        <f>'Combined Retirement'!$C$18/12</f>
        <v>39153.069999999992</v>
      </c>
      <c r="O968" s="25">
        <f t="shared" si="785"/>
        <v>11007.82546143035</v>
      </c>
      <c r="P968" s="25">
        <f t="shared" si="786"/>
        <v>28145.244538569641</v>
      </c>
      <c r="Q968" s="25">
        <f t="array" aca="1" ref="Q968" ca="1">INDEX('Isaac 401k'!L:L,MATCH('Retirement Calculator'!A968,'Isaac 401k'!N:N,0),0)</f>
        <v>-4711623.6399512831</v>
      </c>
      <c r="R968" s="25">
        <f t="array" aca="1" ref="R968" ca="1">INDEX('Lorri 401b'!L:L,MATCH('Retirement Calculator'!A968,'Lorri 401b'!N:N,0),0)</f>
        <v>-17839317.29369149</v>
      </c>
      <c r="S968" s="25">
        <f t="shared" ca="1" si="787"/>
        <v>-22550940.933642775</v>
      </c>
    </row>
    <row r="969" spans="1:19" ht="15.75" customHeight="1" x14ac:dyDescent="0.3">
      <c r="A969" s="37">
        <v>80446</v>
      </c>
      <c r="B969" s="409">
        <f t="shared" ref="B969:C969" si="980">($A969-B$9)/365.25</f>
        <v>138.37097878165639</v>
      </c>
      <c r="C969" s="409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3525.4531757812501</v>
      </c>
      <c r="H969" s="25">
        <f>IF(B969&lt;62,0,'Combined Retirement'!$I$14)</f>
        <v>2192</v>
      </c>
      <c r="I969" s="25">
        <f>IF(C969&lt;62,0,'Combined Retirement'!$I$13)</f>
        <v>2420</v>
      </c>
      <c r="J969" s="25">
        <f t="shared" si="783"/>
        <v>7863.2184191855868</v>
      </c>
      <c r="K969" s="25">
        <f t="shared" si="784"/>
        <v>20282.026119384056</v>
      </c>
      <c r="L969" s="25"/>
      <c r="N969" s="25">
        <f>'Combined Retirement'!$C$18/12</f>
        <v>39153.069999999992</v>
      </c>
      <c r="O969" s="25">
        <f t="shared" si="785"/>
        <v>11007.82546143035</v>
      </c>
      <c r="P969" s="25">
        <f t="shared" si="786"/>
        <v>28145.244538569641</v>
      </c>
      <c r="Q969" s="25">
        <f t="array" aca="1" ref="Q969" ca="1">INDEX('Isaac 401k'!L:L,MATCH('Retirement Calculator'!A969,'Isaac 401k'!N:N,0),0)</f>
        <v>-4739151.3869470125</v>
      </c>
      <c r="R969" s="25">
        <f t="array" aca="1" ref="R969" ca="1">INDEX('Lorri 401b'!L:L,MATCH('Retirement Calculator'!A969,'Lorri 401b'!N:N,0),0)</f>
        <v>-17934014.316976752</v>
      </c>
      <c r="S969" s="25">
        <f t="shared" ca="1" si="787"/>
        <v>-22673165.703923766</v>
      </c>
    </row>
    <row r="970" spans="1:19" ht="15.75" customHeight="1" x14ac:dyDescent="0.3">
      <c r="A970" s="37">
        <v>80476</v>
      </c>
      <c r="B970" s="409">
        <f t="shared" ref="B970:C970" si="981">($A970-B$9)/365.25</f>
        <v>138.45311430527036</v>
      </c>
      <c r="C970" s="409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3525.4531757812501</v>
      </c>
      <c r="H970" s="25">
        <f>IF(B970&lt;62,0,'Combined Retirement'!$I$14)</f>
        <v>2192</v>
      </c>
      <c r="I970" s="25">
        <f>IF(C970&lt;62,0,'Combined Retirement'!$I$13)</f>
        <v>2420</v>
      </c>
      <c r="J970" s="25">
        <f t="shared" si="783"/>
        <v>7863.2184191855868</v>
      </c>
      <c r="K970" s="25">
        <f t="shared" si="784"/>
        <v>20282.026119384056</v>
      </c>
      <c r="L970" s="25"/>
      <c r="N970" s="25">
        <f>'Combined Retirement'!$C$18/12</f>
        <v>39153.069999999992</v>
      </c>
      <c r="O970" s="25">
        <f t="shared" si="785"/>
        <v>11007.82546143035</v>
      </c>
      <c r="P970" s="25">
        <f t="shared" si="786"/>
        <v>28145.244538569641</v>
      </c>
      <c r="Q970" s="25">
        <f t="array" aca="1" ref="Q970" ca="1">INDEX('Isaac 401k'!L:L,MATCH('Retirement Calculator'!A970,'Isaac 401k'!N:N,0),0)</f>
        <v>-4766793.8328885576</v>
      </c>
      <c r="R970" s="25">
        <f t="array" aca="1" ref="R970" ca="1">INDEX('Lorri 401b'!L:L,MATCH('Retirement Calculator'!A970,'Lorri 401b'!N:N,0),0)</f>
        <v>-18029105.911192372</v>
      </c>
      <c r="S970" s="25">
        <f t="shared" ca="1" si="787"/>
        <v>-22795899.744080931</v>
      </c>
    </row>
    <row r="971" spans="1:19" ht="15.75" customHeight="1" x14ac:dyDescent="0.3">
      <c r="A971" s="37">
        <v>80507</v>
      </c>
      <c r="B971" s="409">
        <f t="shared" ref="B971:C971" si="982">($A971-B$9)/365.25</f>
        <v>138.53798767967146</v>
      </c>
      <c r="C971" s="409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3525.4531757812501</v>
      </c>
      <c r="H971" s="25">
        <f>IF(B971&lt;62,0,'Combined Retirement'!$I$14)</f>
        <v>2192</v>
      </c>
      <c r="I971" s="25">
        <f>IF(C971&lt;62,0,'Combined Retirement'!$I$13)</f>
        <v>2420</v>
      </c>
      <c r="J971" s="25">
        <f t="shared" si="783"/>
        <v>7863.2184191855868</v>
      </c>
      <c r="K971" s="25">
        <f t="shared" si="784"/>
        <v>20282.026119384056</v>
      </c>
      <c r="L971" s="25"/>
      <c r="N971" s="25">
        <f>'Combined Retirement'!$C$18/12</f>
        <v>39153.069999999992</v>
      </c>
      <c r="O971" s="25">
        <f t="shared" si="785"/>
        <v>11007.82546143035</v>
      </c>
      <c r="P971" s="25">
        <f t="shared" si="786"/>
        <v>28145.244538569641</v>
      </c>
      <c r="Q971" s="25">
        <f t="array" aca="1" ref="Q971" ca="1">INDEX('Isaac 401k'!L:L,MATCH('Retirement Calculator'!A971,'Isaac 401k'!N:N,0),0)</f>
        <v>-4794551.4556881925</v>
      </c>
      <c r="R971" s="25">
        <f t="array" aca="1" ref="R971" ca="1">INDEX('Lorri 401b'!L:L,MATCH('Retirement Calculator'!A971,'Lorri 401b'!N:N,0),0)</f>
        <v>-18124593.72038389</v>
      </c>
      <c r="S971" s="25">
        <f t="shared" ca="1" si="787"/>
        <v>-22919145.176072083</v>
      </c>
    </row>
    <row r="972" spans="1:19" ht="15.75" customHeight="1" x14ac:dyDescent="0.3">
      <c r="A972" s="37">
        <v>80537</v>
      </c>
      <c r="B972" s="409">
        <f t="shared" ref="B972:C972" si="983">($A972-B$9)/365.25</f>
        <v>138.62012320328543</v>
      </c>
      <c r="C972" s="409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3525.4531757812501</v>
      </c>
      <c r="H972" s="25">
        <f>IF(B972&lt;62,0,'Combined Retirement'!$I$14)</f>
        <v>2192</v>
      </c>
      <c r="I972" s="25">
        <f>IF(C972&lt;62,0,'Combined Retirement'!$I$13)</f>
        <v>2420</v>
      </c>
      <c r="J972" s="25">
        <f t="shared" si="783"/>
        <v>7863.2184191855868</v>
      </c>
      <c r="K972" s="25">
        <f t="shared" si="784"/>
        <v>20282.026119384056</v>
      </c>
      <c r="L972" s="25"/>
      <c r="N972" s="25">
        <f>'Combined Retirement'!$C$18/12</f>
        <v>39153.069999999992</v>
      </c>
      <c r="O972" s="25">
        <f t="shared" si="785"/>
        <v>11007.82546143035</v>
      </c>
      <c r="P972" s="25">
        <f t="shared" si="786"/>
        <v>28145.244538569641</v>
      </c>
      <c r="Q972" s="25">
        <f t="array" aca="1" ref="Q972" ca="1">INDEX('Isaac 401k'!L:L,MATCH('Retirement Calculator'!A972,'Isaac 401k'!N:N,0),0)</f>
        <v>-4822424.7352494923</v>
      </c>
      <c r="R972" s="25">
        <f t="array" aca="1" ref="R972" ca="1">INDEX('Lorri 401b'!L:L,MATCH('Retirement Calculator'!A972,'Lorri 401b'!N:N,0),0)</f>
        <v>-18220479.395447038</v>
      </c>
      <c r="S972" s="25">
        <f t="shared" ca="1" si="787"/>
        <v>-23042904.130696531</v>
      </c>
    </row>
    <row r="973" spans="1:19" ht="15.75" customHeight="1" x14ac:dyDescent="0.3">
      <c r="A973" s="37">
        <v>80568</v>
      </c>
      <c r="B973" s="409">
        <f t="shared" ref="B973:C973" si="984">($A973-B$9)/365.25</f>
        <v>138.70499657768653</v>
      </c>
      <c r="C973" s="409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3525.4531757812501</v>
      </c>
      <c r="H973" s="25">
        <f>IF(B973&lt;62,0,'Combined Retirement'!$I$14)</f>
        <v>2192</v>
      </c>
      <c r="I973" s="25">
        <f>IF(C973&lt;62,0,'Combined Retirement'!$I$13)</f>
        <v>2420</v>
      </c>
      <c r="J973" s="25">
        <f t="shared" si="783"/>
        <v>7863.2184191855868</v>
      </c>
      <c r="K973" s="25">
        <f t="shared" si="784"/>
        <v>20282.026119384056</v>
      </c>
      <c r="L973" s="25"/>
      <c r="N973" s="25">
        <f>'Combined Retirement'!$C$18/12</f>
        <v>39153.069999999992</v>
      </c>
      <c r="O973" s="25">
        <f t="shared" si="785"/>
        <v>11007.82546143035</v>
      </c>
      <c r="P973" s="25">
        <f t="shared" si="786"/>
        <v>28145.244538569641</v>
      </c>
      <c r="Q973" s="25">
        <f t="array" aca="1" ref="Q973" ca="1">INDEX('Isaac 401k'!L:L,MATCH('Retirement Calculator'!A973,'Isaac 401k'!N:N,0),0)</f>
        <v>-4850414.153475631</v>
      </c>
      <c r="R973" s="25">
        <f t="array" aca="1" ref="R973" ca="1">INDEX('Lorri 401b'!L:L,MATCH('Retirement Calculator'!A973,'Lorri 401b'!N:N,0),0)</f>
        <v>-18316764.594156284</v>
      </c>
      <c r="S973" s="25">
        <f t="shared" ca="1" si="787"/>
        <v>-23167178.747631915</v>
      </c>
    </row>
    <row r="974" spans="1:19" ht="15.75" customHeight="1" x14ac:dyDescent="0.3">
      <c r="A974" s="37">
        <v>80599</v>
      </c>
      <c r="B974" s="409">
        <f t="shared" ref="B974:C974" si="985">($A974-B$9)/365.25</f>
        <v>138.7898699520876</v>
      </c>
      <c r="C974" s="409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3525.4531757812501</v>
      </c>
      <c r="H974" s="25">
        <f>IF(B974&lt;62,0,'Combined Retirement'!$I$14)</f>
        <v>2192</v>
      </c>
      <c r="I974" s="25">
        <f>IF(C974&lt;62,0,'Combined Retirement'!$I$13)</f>
        <v>2420</v>
      </c>
      <c r="J974" s="25">
        <f t="shared" si="783"/>
        <v>7863.2184191855868</v>
      </c>
      <c r="K974" s="25">
        <f t="shared" si="784"/>
        <v>20282.026119384056</v>
      </c>
      <c r="L974" s="25"/>
      <c r="N974" s="25">
        <f>'Combined Retirement'!$C$18/12</f>
        <v>39153.069999999992</v>
      </c>
      <c r="O974" s="25">
        <f t="shared" si="785"/>
        <v>11007.82546143035</v>
      </c>
      <c r="P974" s="25">
        <f t="shared" si="786"/>
        <v>28145.244538569641</v>
      </c>
      <c r="Q974" s="25">
        <f t="array" aca="1" ref="Q974" ca="1">INDEX('Isaac 401k'!L:L,MATCH('Retirement Calculator'!A974,'Isaac 401k'!N:N,0),0)</f>
        <v>-4878520.1942777121</v>
      </c>
      <c r="R974" s="25">
        <f t="array" aca="1" ref="R974" ca="1">INDEX('Lorri 401b'!L:L,MATCH('Retirement Calculator'!A974,'Lorri 401b'!N:N,0),0)</f>
        <v>-18413450.981193483</v>
      </c>
      <c r="S974" s="25">
        <f t="shared" ca="1" si="787"/>
        <v>-23291971.175471194</v>
      </c>
    </row>
    <row r="975" spans="1:19" ht="15.75" customHeight="1" x14ac:dyDescent="0.3">
      <c r="A975" s="37">
        <v>80629</v>
      </c>
      <c r="B975" s="409">
        <f t="shared" ref="B975:C975" si="986">($A975-B$9)/365.25</f>
        <v>138.87200547570157</v>
      </c>
      <c r="C975" s="409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3525.4531757812501</v>
      </c>
      <c r="H975" s="25">
        <f>IF(B975&lt;62,0,'Combined Retirement'!$I$14)</f>
        <v>2192</v>
      </c>
      <c r="I975" s="25">
        <f>IF(C975&lt;62,0,'Combined Retirement'!$I$13)</f>
        <v>2420</v>
      </c>
      <c r="J975" s="25">
        <f t="shared" si="783"/>
        <v>7863.2184191855868</v>
      </c>
      <c r="K975" s="25">
        <f t="shared" si="784"/>
        <v>20282.026119384056</v>
      </c>
      <c r="L975" s="25"/>
      <c r="N975" s="25">
        <f>'Combined Retirement'!$C$18/12</f>
        <v>39153.069999999992</v>
      </c>
      <c r="O975" s="25">
        <f t="shared" si="785"/>
        <v>11007.82546143035</v>
      </c>
      <c r="P975" s="25">
        <f t="shared" si="786"/>
        <v>28145.244538569641</v>
      </c>
      <c r="Q975" s="25">
        <f t="array" aca="1" ref="Q975" ca="1">INDEX('Isaac 401k'!L:L,MATCH('Retirement Calculator'!A975,'Isaac 401k'!N:N,0),0)</f>
        <v>-4906743.3435831349</v>
      </c>
      <c r="R975" s="25">
        <f t="array" aca="1" ref="R975" ca="1">INDEX('Lorri 401b'!L:L,MATCH('Retirement Calculator'!A975,'Lorri 401b'!N:N,0),0)</f>
        <v>-18510540.228176672</v>
      </c>
      <c r="S975" s="25">
        <f t="shared" ca="1" si="787"/>
        <v>-23417283.571759805</v>
      </c>
    </row>
    <row r="976" spans="1:19" ht="15.75" customHeight="1" x14ac:dyDescent="0.3">
      <c r="A976" s="37">
        <v>80660</v>
      </c>
      <c r="B976" s="409">
        <f t="shared" ref="B976:C976" si="987">($A976-B$9)/365.25</f>
        <v>138.95687885010267</v>
      </c>
      <c r="C976" s="409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3525.4531757812501</v>
      </c>
      <c r="H976" s="25">
        <f>IF(B976&lt;62,0,'Combined Retirement'!$I$14)</f>
        <v>2192</v>
      </c>
      <c r="I976" s="25">
        <f>IF(C976&lt;62,0,'Combined Retirement'!$I$13)</f>
        <v>2420</v>
      </c>
      <c r="J976" s="25">
        <f t="shared" si="783"/>
        <v>7863.2184191855868</v>
      </c>
      <c r="K976" s="25">
        <f t="shared" si="784"/>
        <v>20282.026119384056</v>
      </c>
      <c r="L976" s="25"/>
      <c r="N976" s="25">
        <f>'Combined Retirement'!$C$18/12</f>
        <v>39153.069999999992</v>
      </c>
      <c r="O976" s="25">
        <f t="shared" si="785"/>
        <v>11007.82546143035</v>
      </c>
      <c r="P976" s="25">
        <f t="shared" si="786"/>
        <v>28145.244538569641</v>
      </c>
      <c r="Q976" s="25">
        <f t="array" aca="1" ref="Q976" ca="1">INDEX('Isaac 401k'!L:L,MATCH('Retirement Calculator'!A976,'Isaac 401k'!N:N,0),0)</f>
        <v>-4935084.0893439967</v>
      </c>
      <c r="R976" s="25">
        <f t="array" aca="1" ref="R976" ca="1">INDEX('Lorri 401b'!L:L,MATCH('Retirement Calculator'!A976,'Lorri 401b'!N:N,0),0)</f>
        <v>-18608034.013688955</v>
      </c>
      <c r="S976" s="25">
        <f t="shared" ca="1" si="787"/>
        <v>-23543118.103032954</v>
      </c>
    </row>
    <row r="977" spans="1:19" ht="15.75" customHeight="1" x14ac:dyDescent="0.3">
      <c r="A977" s="37">
        <v>80690</v>
      </c>
      <c r="B977" s="409">
        <f t="shared" ref="B977:C977" si="988">($A977-B$9)/365.25</f>
        <v>139.03901437371664</v>
      </c>
      <c r="C977" s="409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3525.4531757812501</v>
      </c>
      <c r="H977" s="25">
        <f>IF(B977&lt;62,0,'Combined Retirement'!$I$14)</f>
        <v>2192</v>
      </c>
      <c r="I977" s="25">
        <f>IF(C977&lt;62,0,'Combined Retirement'!$I$13)</f>
        <v>2420</v>
      </c>
      <c r="J977" s="25">
        <f t="shared" si="783"/>
        <v>7863.2184191855868</v>
      </c>
      <c r="K977" s="25">
        <f t="shared" si="784"/>
        <v>20282.026119384056</v>
      </c>
      <c r="L977" s="25"/>
      <c r="N977" s="25">
        <f>'Combined Retirement'!$C$18/12</f>
        <v>39153.069999999992</v>
      </c>
      <c r="O977" s="25">
        <f t="shared" si="785"/>
        <v>11007.82546143035</v>
      </c>
      <c r="P977" s="25">
        <f t="shared" si="786"/>
        <v>28145.244538569641</v>
      </c>
      <c r="Q977" s="25">
        <f t="array" aca="1" ref="Q977" ca="1">INDEX('Isaac 401k'!L:L,MATCH('Retirement Calculator'!A977,'Isaac 401k'!N:N,0),0)</f>
        <v>-4963542.9215455288</v>
      </c>
      <c r="R977" s="25">
        <f t="array" aca="1" ref="R977" ca="1">INDEX('Lorri 401b'!L:L,MATCH('Retirement Calculator'!A977,'Lorri 401b'!N:N,0),0)</f>
        <v>-18705934.023307543</v>
      </c>
      <c r="S977" s="25">
        <f t="shared" ca="1" si="787"/>
        <v>-23669476.944853071</v>
      </c>
    </row>
    <row r="978" spans="1:19" ht="15.75" customHeight="1" x14ac:dyDescent="0.3">
      <c r="A978" s="37">
        <v>80721</v>
      </c>
      <c r="B978" s="409">
        <f t="shared" ref="B978:C978" si="989">($A978-B$9)/365.25</f>
        <v>139.12388774811774</v>
      </c>
      <c r="C978" s="409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3525.4531757812501</v>
      </c>
      <c r="H978" s="25">
        <f>IF(B978&lt;62,0,'Combined Retirement'!$I$14)</f>
        <v>2192</v>
      </c>
      <c r="I978" s="25">
        <f>IF(C978&lt;62,0,'Combined Retirement'!$I$13)</f>
        <v>2420</v>
      </c>
      <c r="J978" s="25">
        <f t="shared" si="783"/>
        <v>7863.2184191855868</v>
      </c>
      <c r="K978" s="25">
        <f t="shared" si="784"/>
        <v>20282.026119384056</v>
      </c>
      <c r="L978" s="25"/>
      <c r="N978" s="25">
        <f>'Combined Retirement'!$C$18/12</f>
        <v>39153.069999999992</v>
      </c>
      <c r="O978" s="25">
        <f t="shared" si="785"/>
        <v>11007.82546143035</v>
      </c>
      <c r="P978" s="25">
        <f t="shared" si="786"/>
        <v>28145.244538569641</v>
      </c>
      <c r="Q978" s="25">
        <f t="array" aca="1" ref="Q978" ca="1">INDEX('Isaac 401k'!L:L,MATCH('Retirement Calculator'!A978,'Isaac 401k'!N:N,0),0)</f>
        <v>-4992120.3322145678</v>
      </c>
      <c r="R978" s="25">
        <f t="array" aca="1" ref="R978" ca="1">INDEX('Lorri 401b'!L:L,MATCH('Retirement Calculator'!A978,'Lorri 401b'!N:N,0),0)</f>
        <v>-18804241.949632872</v>
      </c>
      <c r="S978" s="25">
        <f t="shared" ca="1" si="787"/>
        <v>-23796362.28184744</v>
      </c>
    </row>
    <row r="979" spans="1:19" ht="15.75" customHeight="1" x14ac:dyDescent="0.3">
      <c r="A979" s="37">
        <v>80752</v>
      </c>
      <c r="B979" s="409">
        <f t="shared" ref="B979:C979" si="990">($A979-B$9)/365.25</f>
        <v>139.20876112251884</v>
      </c>
      <c r="C979" s="409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3525.4531757812501</v>
      </c>
      <c r="H979" s="25">
        <f>IF(B979&lt;62,0,'Combined Retirement'!$I$14)</f>
        <v>2192</v>
      </c>
      <c r="I979" s="25">
        <f>IF(C979&lt;62,0,'Combined Retirement'!$I$13)</f>
        <v>2420</v>
      </c>
      <c r="J979" s="25">
        <f t="shared" si="783"/>
        <v>7863.2184191855868</v>
      </c>
      <c r="K979" s="25">
        <f t="shared" si="784"/>
        <v>20282.026119384056</v>
      </c>
      <c r="L979" s="25"/>
      <c r="N979" s="25">
        <f>'Combined Retirement'!$C$18/12</f>
        <v>39153.069999999992</v>
      </c>
      <c r="O979" s="25">
        <f t="shared" si="785"/>
        <v>11007.82546143035</v>
      </c>
      <c r="P979" s="25">
        <f t="shared" si="786"/>
        <v>28145.244538569641</v>
      </c>
      <c r="Q979" s="25">
        <f t="array" aca="1" ref="Q979" ca="1">INDEX('Isaac 401k'!L:L,MATCH('Retirement Calculator'!A979,'Isaac 401k'!N:N,0),0)</f>
        <v>-5020816.8154280614</v>
      </c>
      <c r="R979" s="25">
        <f t="array" aca="1" ref="R979" ca="1">INDEX('Lorri 401b'!L:L,MATCH('Retirement Calculator'!A979,'Lorri 401b'!N:N,0),0)</f>
        <v>-18902959.492317893</v>
      </c>
      <c r="S979" s="25">
        <f t="shared" ca="1" si="787"/>
        <v>-23923776.307745956</v>
      </c>
    </row>
    <row r="980" spans="1:19" ht="15.75" customHeight="1" x14ac:dyDescent="0.3">
      <c r="A980" s="37">
        <v>80780</v>
      </c>
      <c r="B980" s="409">
        <f t="shared" ref="B980:C980" si="991">($A980-B$9)/365.25</f>
        <v>139.28542094455852</v>
      </c>
      <c r="C980" s="409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3525.4531757812501</v>
      </c>
      <c r="H980" s="25">
        <f>IF(B980&lt;62,0,'Combined Retirement'!$I$14)</f>
        <v>2192</v>
      </c>
      <c r="I980" s="25">
        <f>IF(C980&lt;62,0,'Combined Retirement'!$I$13)</f>
        <v>2420</v>
      </c>
      <c r="J980" s="25">
        <f t="shared" si="783"/>
        <v>7863.2184191855868</v>
      </c>
      <c r="K980" s="25">
        <f t="shared" si="784"/>
        <v>20282.026119384056</v>
      </c>
      <c r="L980" s="25"/>
      <c r="N980" s="25">
        <f>'Combined Retirement'!$C$18/12</f>
        <v>39153.069999999992</v>
      </c>
      <c r="O980" s="25">
        <f t="shared" si="785"/>
        <v>11007.82546143035</v>
      </c>
      <c r="P980" s="25">
        <f t="shared" si="786"/>
        <v>28145.244538569641</v>
      </c>
      <c r="Q980" s="25">
        <f t="array" aca="1" ref="Q980" ca="1">INDEX('Isaac 401k'!L:L,MATCH('Retirement Calculator'!A980,'Isaac 401k'!N:N,0),0)</f>
        <v>-5049632.8673216105</v>
      </c>
      <c r="R980" s="25">
        <f t="array" aca="1" ref="R980" ca="1">INDEX('Lorri 401b'!L:L,MATCH('Retirement Calculator'!A980,'Lorri 401b'!N:N,0),0)</f>
        <v>-19002088.358097434</v>
      </c>
      <c r="S980" s="25">
        <f t="shared" ca="1" si="787"/>
        <v>-24051721.225419044</v>
      </c>
    </row>
    <row r="981" spans="1:19" ht="15.75" customHeight="1" x14ac:dyDescent="0.3">
      <c r="A981" s="37">
        <v>80811</v>
      </c>
      <c r="B981" s="409">
        <f t="shared" ref="B981:C981" si="992">($A981-B$9)/365.25</f>
        <v>139.37029431895962</v>
      </c>
      <c r="C981" s="409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3525.4531757812501</v>
      </c>
      <c r="H981" s="25">
        <f>IF(B981&lt;62,0,'Combined Retirement'!$I$14)</f>
        <v>2192</v>
      </c>
      <c r="I981" s="25">
        <f>IF(C981&lt;62,0,'Combined Retirement'!$I$13)</f>
        <v>2420</v>
      </c>
      <c r="J981" s="25">
        <f t="shared" si="783"/>
        <v>7863.2184191855868</v>
      </c>
      <c r="K981" s="25">
        <f t="shared" si="784"/>
        <v>20282.026119384056</v>
      </c>
      <c r="L981" s="25"/>
      <c r="N981" s="25">
        <f>'Combined Retirement'!$C$18/12</f>
        <v>39153.069999999992</v>
      </c>
      <c r="O981" s="25">
        <f t="shared" si="785"/>
        <v>11007.82546143035</v>
      </c>
      <c r="P981" s="25">
        <f t="shared" si="786"/>
        <v>28145.244538569641</v>
      </c>
      <c r="Q981" s="25">
        <f t="array" aca="1" ref="Q981" ca="1">INDEX('Isaac 401k'!L:L,MATCH('Retirement Calculator'!A981,'Isaac 401k'!N:N,0),0)</f>
        <v>-5078568.9860980492</v>
      </c>
      <c r="R981" s="25">
        <f t="array" aca="1" ref="R981" ca="1">INDEX('Lorri 401b'!L:L,MATCH('Retirement Calculator'!A981,'Lorri 401b'!N:N,0),0)</f>
        <v>-19101630.260817721</v>
      </c>
      <c r="S981" s="25">
        <f t="shared" ca="1" si="787"/>
        <v>-24180199.246915773</v>
      </c>
    </row>
    <row r="982" spans="1:19" ht="15.75" customHeight="1" x14ac:dyDescent="0.3">
      <c r="A982" s="37">
        <v>80841</v>
      </c>
      <c r="B982" s="409">
        <f t="shared" ref="B982:C982" si="993">($A982-B$9)/365.25</f>
        <v>139.45242984257359</v>
      </c>
      <c r="C982" s="409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3525.4531757812501</v>
      </c>
      <c r="H982" s="25">
        <f>IF(B982&lt;62,0,'Combined Retirement'!$I$14)</f>
        <v>2192</v>
      </c>
      <c r="I982" s="25">
        <f>IF(C982&lt;62,0,'Combined Retirement'!$I$13)</f>
        <v>2420</v>
      </c>
      <c r="J982" s="25">
        <f t="shared" si="783"/>
        <v>7863.2184191855868</v>
      </c>
      <c r="K982" s="25">
        <f t="shared" si="784"/>
        <v>20282.026119384056</v>
      </c>
      <c r="L982" s="25"/>
      <c r="N982" s="25">
        <f>'Combined Retirement'!$C$18/12</f>
        <v>39153.069999999992</v>
      </c>
      <c r="O982" s="25">
        <f t="shared" si="785"/>
        <v>11007.82546143035</v>
      </c>
      <c r="P982" s="25">
        <f t="shared" si="786"/>
        <v>28145.244538569641</v>
      </c>
      <c r="Q982" s="25">
        <f t="array" aca="1" ref="Q982" ca="1">INDEX('Isaac 401k'!L:L,MATCH('Retirement Calculator'!A982,'Isaac 401k'!N:N,0),0)</f>
        <v>-5107625.6720360564</v>
      </c>
      <c r="R982" s="25">
        <f t="array" aca="1" ref="R982" ca="1">INDEX('Lorri 401b'!L:L,MATCH('Retirement Calculator'!A982,'Lorri 401b'!N:N,0),0)</f>
        <v>-19201586.921466012</v>
      </c>
      <c r="S982" s="25">
        <f t="shared" ca="1" si="787"/>
        <v>-24309212.593502067</v>
      </c>
    </row>
    <row r="983" spans="1:19" ht="15.75" customHeight="1" x14ac:dyDescent="0.3">
      <c r="A983" s="37">
        <v>80872</v>
      </c>
      <c r="B983" s="409">
        <f t="shared" ref="B983:C983" si="994">($A983-B$9)/365.25</f>
        <v>139.53730321697466</v>
      </c>
      <c r="C983" s="409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3525.4531757812501</v>
      </c>
      <c r="H983" s="25">
        <f>IF(B983&lt;62,0,'Combined Retirement'!$I$14)</f>
        <v>2192</v>
      </c>
      <c r="I983" s="25">
        <f>IF(C983&lt;62,0,'Combined Retirement'!$I$13)</f>
        <v>2420</v>
      </c>
      <c r="J983" s="25">
        <f t="shared" si="783"/>
        <v>7863.2184191855868</v>
      </c>
      <c r="K983" s="25">
        <f t="shared" si="784"/>
        <v>20282.026119384056</v>
      </c>
      <c r="L983" s="25"/>
      <c r="N983" s="25">
        <f>'Combined Retirement'!$C$18/12</f>
        <v>39153.069999999992</v>
      </c>
      <c r="O983" s="25">
        <f t="shared" si="785"/>
        <v>11007.82546143035</v>
      </c>
      <c r="P983" s="25">
        <f t="shared" si="786"/>
        <v>28145.244538569641</v>
      </c>
      <c r="Q983" s="25">
        <f t="array" aca="1" ref="Q983" ca="1">INDEX('Isaac 401k'!L:L,MATCH('Retirement Calculator'!A983,'Isaac 401k'!N:N,0),0)</f>
        <v>-5136803.4274988053</v>
      </c>
      <c r="R983" s="25">
        <f t="array" aca="1" ref="R983" ca="1">INDEX('Lorri 401b'!L:L,MATCH('Retirement Calculator'!A983,'Lorri 401b'!N:N,0),0)</f>
        <v>-19301960.068200335</v>
      </c>
      <c r="S983" s="25">
        <f t="shared" ca="1" si="787"/>
        <v>-24438763.495699141</v>
      </c>
    </row>
    <row r="984" spans="1:19" ht="15.75" customHeight="1" x14ac:dyDescent="0.3">
      <c r="A984" s="37">
        <v>80902</v>
      </c>
      <c r="B984" s="409">
        <f t="shared" ref="B984:C984" si="995">($A984-B$9)/365.25</f>
        <v>139.61943874058863</v>
      </c>
      <c r="C984" s="409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3525.4531757812501</v>
      </c>
      <c r="H984" s="25">
        <f>IF(B984&lt;62,0,'Combined Retirement'!$I$14)</f>
        <v>2192</v>
      </c>
      <c r="I984" s="25">
        <f>IF(C984&lt;62,0,'Combined Retirement'!$I$13)</f>
        <v>2420</v>
      </c>
      <c r="J984" s="25">
        <f t="shared" si="783"/>
        <v>7863.2184191855868</v>
      </c>
      <c r="K984" s="25">
        <f t="shared" si="784"/>
        <v>20282.026119384056</v>
      </c>
      <c r="L984" s="25"/>
      <c r="N984" s="25">
        <f>'Combined Retirement'!$C$18/12</f>
        <v>39153.069999999992</v>
      </c>
      <c r="O984" s="25">
        <f t="shared" si="785"/>
        <v>11007.82546143035</v>
      </c>
      <c r="P984" s="25">
        <f t="shared" si="786"/>
        <v>28145.244538569641</v>
      </c>
      <c r="Q984" s="25">
        <f t="array" aca="1" ref="Q984" ca="1">INDEX('Isaac 401k'!L:L,MATCH('Retirement Calculator'!A984,'Isaac 401k'!N:N,0),0)</f>
        <v>-5166102.7569426494</v>
      </c>
      <c r="R984" s="25">
        <f t="array" aca="1" ref="R984" ca="1">INDEX('Lorri 401b'!L:L,MATCH('Retirement Calculator'!A984,'Lorri 401b'!N:N,0),0)</f>
        <v>-19402751.436379384</v>
      </c>
      <c r="S984" s="25">
        <f t="shared" ca="1" si="787"/>
        <v>-24568854.193322033</v>
      </c>
    </row>
    <row r="985" spans="1:19" ht="15.75" customHeight="1" x14ac:dyDescent="0.3">
      <c r="A985" s="37">
        <v>80933</v>
      </c>
      <c r="B985" s="409">
        <f t="shared" ref="B985:C985" si="996">($A985-B$9)/365.25</f>
        <v>139.70431211498973</v>
      </c>
      <c r="C985" s="409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3525.4531757812501</v>
      </c>
      <c r="H985" s="25">
        <f>IF(B985&lt;62,0,'Combined Retirement'!$I$14)</f>
        <v>2192</v>
      </c>
      <c r="I985" s="25">
        <f>IF(C985&lt;62,0,'Combined Retirement'!$I$13)</f>
        <v>2420</v>
      </c>
      <c r="J985" s="25">
        <f t="shared" si="783"/>
        <v>7863.2184191855868</v>
      </c>
      <c r="K985" s="25">
        <f t="shared" si="784"/>
        <v>20282.026119384056</v>
      </c>
      <c r="L985" s="25"/>
      <c r="N985" s="25">
        <f>'Combined Retirement'!$C$18/12</f>
        <v>39153.069999999992</v>
      </c>
      <c r="O985" s="25">
        <f t="shared" si="785"/>
        <v>11007.82546143035</v>
      </c>
      <c r="P985" s="25">
        <f t="shared" si="786"/>
        <v>28145.244538569641</v>
      </c>
      <c r="Q985" s="25">
        <f t="array" aca="1" ref="Q985" ca="1">INDEX('Isaac 401k'!L:L,MATCH('Retirement Calculator'!A985,'Isaac 401k'!N:N,0),0)</f>
        <v>-5195524.1669258429</v>
      </c>
      <c r="R985" s="25">
        <f t="array" aca="1" ref="R985" ca="1">INDEX('Lorri 401b'!L:L,MATCH('Retirement Calculator'!A985,'Lorri 401b'!N:N,0),0)</f>
        <v>-19503962.768592514</v>
      </c>
      <c r="S985" s="25">
        <f t="shared" ca="1" si="787"/>
        <v>-24699486.935518358</v>
      </c>
    </row>
    <row r="986" spans="1:19" ht="15.75" customHeight="1" x14ac:dyDescent="0.3">
      <c r="A986" s="37">
        <v>80964</v>
      </c>
      <c r="B986" s="409">
        <f t="shared" ref="B986:C986" si="997">($A986-B$9)/365.25</f>
        <v>139.78918548939083</v>
      </c>
      <c r="C986" s="409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3525.4531757812501</v>
      </c>
      <c r="H986" s="25">
        <f>IF(B986&lt;62,0,'Combined Retirement'!$I$14)</f>
        <v>2192</v>
      </c>
      <c r="I986" s="25">
        <f>IF(C986&lt;62,0,'Combined Retirement'!$I$13)</f>
        <v>2420</v>
      </c>
      <c r="J986" s="25">
        <f t="shared" si="783"/>
        <v>7863.2184191855868</v>
      </c>
      <c r="K986" s="25">
        <f t="shared" si="784"/>
        <v>20282.026119384056</v>
      </c>
      <c r="L986" s="25"/>
      <c r="N986" s="25">
        <f>'Combined Retirement'!$C$18/12</f>
        <v>39153.069999999992</v>
      </c>
      <c r="O986" s="25">
        <f t="shared" si="785"/>
        <v>11007.82546143035</v>
      </c>
      <c r="P986" s="25">
        <f t="shared" si="786"/>
        <v>28145.244538569641</v>
      </c>
      <c r="Q986" s="25">
        <f t="array" aca="1" ref="Q986" ca="1">INDEX('Isaac 401k'!L:L,MATCH('Retirement Calculator'!A986,'Isaac 401k'!N:N,0),0)</f>
        <v>-5225068.1661172993</v>
      </c>
      <c r="R986" s="25">
        <f t="array" aca="1" ref="R986" ca="1">INDEX('Lorri 401b'!L:L,MATCH('Retirement Calculator'!A986,'Lorri 401b'!N:N,0),0)</f>
        <v>-19605595.814689863</v>
      </c>
      <c r="S986" s="25">
        <f t="shared" ca="1" si="787"/>
        <v>-24830663.980807163</v>
      </c>
    </row>
    <row r="987" spans="1:19" ht="15.75" customHeight="1" x14ac:dyDescent="0.3">
      <c r="A987" s="37">
        <v>80994</v>
      </c>
      <c r="B987" s="409">
        <f t="shared" ref="B987:C987" si="998">($A987-B$9)/365.25</f>
        <v>139.8713210130048</v>
      </c>
      <c r="C987" s="409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3525.4531757812501</v>
      </c>
      <c r="H987" s="25">
        <f>IF(B987&lt;62,0,'Combined Retirement'!$I$14)</f>
        <v>2192</v>
      </c>
      <c r="I987" s="25">
        <f>IF(C987&lt;62,0,'Combined Retirement'!$I$13)</f>
        <v>2420</v>
      </c>
      <c r="J987" s="25">
        <f t="shared" si="783"/>
        <v>7863.2184191855868</v>
      </c>
      <c r="K987" s="25">
        <f t="shared" si="784"/>
        <v>20282.026119384056</v>
      </c>
      <c r="L987" s="25"/>
      <c r="N987" s="25">
        <f>'Combined Retirement'!$C$18/12</f>
        <v>39153.069999999992</v>
      </c>
      <c r="O987" s="25">
        <f t="shared" si="785"/>
        <v>11007.82546143035</v>
      </c>
      <c r="P987" s="25">
        <f t="shared" si="786"/>
        <v>28145.244538569641</v>
      </c>
      <c r="Q987" s="25">
        <f t="array" aca="1" ref="Q987" ca="1">INDEX('Isaac 401k'!L:L,MATCH('Retirement Calculator'!A987,'Isaac 401k'!N:N,0),0)</f>
        <v>-5254735.2653053869</v>
      </c>
      <c r="R987" s="25">
        <f t="array" aca="1" ref="R987" ca="1">INDEX('Lorri 401b'!L:L,MATCH('Retirement Calculator'!A987,'Lorri 401b'!N:N,0),0)</f>
        <v>-19707652.33181262</v>
      </c>
      <c r="S987" s="25">
        <f t="shared" ca="1" si="787"/>
        <v>-24962387.597118005</v>
      </c>
    </row>
    <row r="988" spans="1:19" ht="15.75" customHeight="1" x14ac:dyDescent="0.3">
      <c r="A988" s="37">
        <v>81025</v>
      </c>
      <c r="B988" s="409">
        <f t="shared" ref="B988:C988" si="999">($A988-B$9)/365.25</f>
        <v>139.95619438740587</v>
      </c>
      <c r="C988" s="409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3525.4531757812501</v>
      </c>
      <c r="H988" s="25">
        <f>IF(B988&lt;62,0,'Combined Retirement'!$I$14)</f>
        <v>2192</v>
      </c>
      <c r="I988" s="25">
        <f>IF(C988&lt;62,0,'Combined Retirement'!$I$13)</f>
        <v>2420</v>
      </c>
      <c r="J988" s="25">
        <f t="shared" si="783"/>
        <v>7863.2184191855868</v>
      </c>
      <c r="K988" s="25">
        <f t="shared" si="784"/>
        <v>20282.026119384056</v>
      </c>
      <c r="L988" s="25"/>
      <c r="N988" s="25">
        <f>'Combined Retirement'!$C$18/12</f>
        <v>39153.069999999992</v>
      </c>
      <c r="O988" s="25">
        <f t="shared" si="785"/>
        <v>11007.82546143035</v>
      </c>
      <c r="P988" s="25">
        <f t="shared" si="786"/>
        <v>28145.244538569641</v>
      </c>
      <c r="Q988" s="25">
        <f t="array" aca="1" ref="Q988" ca="1">INDEX('Isaac 401k'!L:L,MATCH('Retirement Calculator'!A988,'Isaac 401k'!N:N,0),0)</f>
        <v>-5284525.9774067588</v>
      </c>
      <c r="R988" s="25">
        <f t="array" aca="1" ref="R988" ca="1">INDEX('Lorri 401b'!L:L,MATCH('Retirement Calculator'!A988,'Lorri 401b'!N:N,0),0)</f>
        <v>-19810134.084423389</v>
      </c>
      <c r="S988" s="25">
        <f t="shared" ca="1" si="787"/>
        <v>-25094660.061830148</v>
      </c>
    </row>
    <row r="989" spans="1:19" ht="15.75" customHeight="1" x14ac:dyDescent="0.3">
      <c r="A989" s="37">
        <v>81055</v>
      </c>
      <c r="B989" s="409">
        <f t="shared" ref="B989:C989" si="1000">($A989-B$9)/365.25</f>
        <v>140.03832991101984</v>
      </c>
      <c r="C989" s="409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3525.4531757812501</v>
      </c>
      <c r="H989" s="25">
        <f>IF(B989&lt;62,0,'Combined Retirement'!$I$14)</f>
        <v>2192</v>
      </c>
      <c r="I989" s="25">
        <f>IF(C989&lt;62,0,'Combined Retirement'!$I$13)</f>
        <v>2420</v>
      </c>
      <c r="J989" s="25">
        <f t="shared" si="783"/>
        <v>7863.2184191855868</v>
      </c>
      <c r="K989" s="25">
        <f t="shared" si="784"/>
        <v>20282.026119384056</v>
      </c>
      <c r="L989" s="25"/>
      <c r="N989" s="25">
        <f>'Combined Retirement'!$C$18/12</f>
        <v>39153.069999999992</v>
      </c>
      <c r="O989" s="25">
        <f t="shared" si="785"/>
        <v>11007.82546143035</v>
      </c>
      <c r="P989" s="25">
        <f t="shared" si="786"/>
        <v>28145.244538569641</v>
      </c>
      <c r="Q989" s="25">
        <f t="array" aca="1" ref="Q989" ca="1">INDEX('Isaac 401k'!L:L,MATCH('Retirement Calculator'!A989,'Isaac 401k'!N:N,0),0)</f>
        <v>-5314440.8174752193</v>
      </c>
      <c r="R989" s="25">
        <f t="array" aca="1" ref="R989" ca="1">INDEX('Lorri 401b'!L:L,MATCH('Retirement Calculator'!A989,'Lorri 401b'!N:N,0),0)</f>
        <v>-19913042.844336703</v>
      </c>
      <c r="S989" s="25">
        <f t="shared" ca="1" si="787"/>
        <v>-25227483.661811922</v>
      </c>
    </row>
    <row r="990" spans="1:19" ht="15.75" customHeight="1" x14ac:dyDescent="0.3">
      <c r="A990" s="37">
        <v>81086</v>
      </c>
      <c r="B990" s="409">
        <f t="shared" ref="B990:C990" si="1001">($A990-B$9)/365.25</f>
        <v>140.12320328542094</v>
      </c>
      <c r="C990" s="409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3525.4531757812501</v>
      </c>
      <c r="H990" s="25">
        <f>IF(B990&lt;62,0,'Combined Retirement'!$I$14)</f>
        <v>2192</v>
      </c>
      <c r="I990" s="25">
        <f>IF(C990&lt;62,0,'Combined Retirement'!$I$13)</f>
        <v>2420</v>
      </c>
      <c r="J990" s="25">
        <f t="shared" si="783"/>
        <v>7863.2184191855868</v>
      </c>
      <c r="K990" s="25">
        <f t="shared" si="784"/>
        <v>20282.026119384056</v>
      </c>
      <c r="L990" s="25"/>
      <c r="N990" s="25">
        <f>'Combined Retirement'!$C$18/12</f>
        <v>39153.069999999992</v>
      </c>
      <c r="O990" s="25">
        <f t="shared" si="785"/>
        <v>11007.82546143035</v>
      </c>
      <c r="P990" s="25">
        <f t="shared" si="786"/>
        <v>28145.244538569641</v>
      </c>
      <c r="Q990" s="25">
        <f t="array" aca="1" ref="Q990" ca="1">INDEX('Isaac 401k'!L:L,MATCH('Retirement Calculator'!A990,'Isaac 401k'!N:N,0),0)</f>
        <v>-5344480.3027106319</v>
      </c>
      <c r="R990" s="25">
        <f t="array" aca="1" ref="R990" ca="1">INDEX('Lorri 401b'!L:L,MATCH('Retirement Calculator'!A990,'Lorri 401b'!N:N,0),0)</f>
        <v>-20016380.390749656</v>
      </c>
      <c r="S990" s="25">
        <f t="shared" ca="1" si="787"/>
        <v>-25360860.693460286</v>
      </c>
    </row>
    <row r="991" spans="1:19" ht="15.75" customHeight="1" x14ac:dyDescent="0.3">
      <c r="A991" s="37">
        <v>81117</v>
      </c>
      <c r="B991" s="409">
        <f t="shared" ref="B991:C991" si="1002">($A991-B$9)/365.25</f>
        <v>140.20807665982204</v>
      </c>
      <c r="C991" s="409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3525.4531757812501</v>
      </c>
      <c r="H991" s="25">
        <f>IF(B991&lt;62,0,'Combined Retirement'!$I$14)</f>
        <v>2192</v>
      </c>
      <c r="I991" s="25">
        <f>IF(C991&lt;62,0,'Combined Retirement'!$I$13)</f>
        <v>2420</v>
      </c>
      <c r="J991" s="25">
        <f t="shared" si="783"/>
        <v>7863.2184191855868</v>
      </c>
      <c r="K991" s="25">
        <f t="shared" si="784"/>
        <v>20282.026119384056</v>
      </c>
      <c r="L991" s="25"/>
      <c r="N991" s="25">
        <f>'Combined Retirement'!$C$18/12</f>
        <v>39153.069999999992</v>
      </c>
      <c r="O991" s="25">
        <f t="shared" si="785"/>
        <v>11007.82546143035</v>
      </c>
      <c r="P991" s="25">
        <f t="shared" si="786"/>
        <v>28145.244538569641</v>
      </c>
      <c r="Q991" s="25">
        <f t="array" aca="1" ref="Q991" ca="1">INDEX('Isaac 401k'!L:L,MATCH('Retirement Calculator'!A991,'Isaac 401k'!N:N,0),0)</f>
        <v>-5374644.9524678588</v>
      </c>
      <c r="R991" s="25">
        <f t="array" aca="1" ref="R991" ca="1">INDEX('Lorri 401b'!L:L,MATCH('Retirement Calculator'!A991,'Lorri 401b'!N:N,0),0)</f>
        <v>-20120148.510272663</v>
      </c>
      <c r="S991" s="25">
        <f t="shared" ca="1" si="787"/>
        <v>-25494793.462740522</v>
      </c>
    </row>
    <row r="992" spans="1:19" ht="15.75" customHeight="1" x14ac:dyDescent="0.3">
      <c r="A992" s="37">
        <v>81145</v>
      </c>
      <c r="B992" s="409">
        <f t="shared" ref="B992:C992" si="1003">($A992-B$9)/365.25</f>
        <v>140.28473648186173</v>
      </c>
      <c r="C992" s="409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3525.4531757812501</v>
      </c>
      <c r="H992" s="25">
        <f>IF(B992&lt;62,0,'Combined Retirement'!$I$14)</f>
        <v>2192</v>
      </c>
      <c r="I992" s="25">
        <f>IF(C992&lt;62,0,'Combined Retirement'!$I$13)</f>
        <v>2420</v>
      </c>
      <c r="J992" s="25">
        <f t="shared" si="783"/>
        <v>7863.2184191855868</v>
      </c>
      <c r="K992" s="25">
        <f t="shared" si="784"/>
        <v>20282.026119384056</v>
      </c>
      <c r="L992" s="25"/>
      <c r="N992" s="25">
        <f>'Combined Retirement'!$C$18/12</f>
        <v>39153.069999999992</v>
      </c>
      <c r="O992" s="25">
        <f t="shared" si="785"/>
        <v>11007.82546143035</v>
      </c>
      <c r="P992" s="25">
        <f t="shared" si="786"/>
        <v>28145.244538569641</v>
      </c>
      <c r="Q992" s="25">
        <f t="array" aca="1" ref="Q992" ca="1">INDEX('Isaac 401k'!L:L,MATCH('Retirement Calculator'!A992,'Isaac 401k'!N:N,0),0)</f>
        <v>-5404935.2882657405</v>
      </c>
      <c r="R992" s="25">
        <f t="array" aca="1" ref="R992" ca="1">INDEX('Lorri 401b'!L:L,MATCH('Retirement Calculator'!A992,'Lorri 401b'!N:N,0),0)</f>
        <v>-20224348.996960349</v>
      </c>
      <c r="S992" s="25">
        <f t="shared" ca="1" si="787"/>
        <v>-25629284.285226092</v>
      </c>
    </row>
    <row r="993" spans="1:19" ht="15.75" customHeight="1" x14ac:dyDescent="0.3">
      <c r="A993" s="37">
        <v>81176</v>
      </c>
      <c r="B993" s="409">
        <f t="shared" ref="B993:C993" si="1004">($A993-B$9)/365.25</f>
        <v>140.36960985626283</v>
      </c>
      <c r="C993" s="409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3525.4531757812501</v>
      </c>
      <c r="H993" s="25">
        <f>IF(B993&lt;62,0,'Combined Retirement'!$I$14)</f>
        <v>2192</v>
      </c>
      <c r="I993" s="25">
        <f>IF(C993&lt;62,0,'Combined Retirement'!$I$13)</f>
        <v>2420</v>
      </c>
      <c r="J993" s="25">
        <f t="shared" si="783"/>
        <v>7863.2184191855868</v>
      </c>
      <c r="K993" s="25">
        <f t="shared" si="784"/>
        <v>20282.026119384056</v>
      </c>
      <c r="L993" s="25"/>
      <c r="N993" s="25">
        <f>'Combined Retirement'!$C$18/12</f>
        <v>39153.069999999992</v>
      </c>
      <c r="O993" s="25">
        <f t="shared" si="785"/>
        <v>11007.82546143035</v>
      </c>
      <c r="P993" s="25">
        <f t="shared" si="786"/>
        <v>28145.244538569641</v>
      </c>
      <c r="Q993" s="25">
        <f t="array" aca="1" ref="Q993" ca="1">INDEX('Isaac 401k'!L:L,MATCH('Retirement Calculator'!A993,'Isaac 401k'!N:N,0),0)</f>
        <v>-5435351.8337961137</v>
      </c>
      <c r="R993" s="25">
        <f t="array" aca="1" ref="R993" ca="1">INDEX('Lorri 401b'!L:L,MATCH('Retirement Calculator'!A993,'Lorri 401b'!N:N,0),0)</f>
        <v>-20328983.652342565</v>
      </c>
      <c r="S993" s="25">
        <f t="shared" ca="1" si="787"/>
        <v>-25764335.486138679</v>
      </c>
    </row>
    <row r="994" spans="1:19" ht="15.75" customHeight="1" x14ac:dyDescent="0.3">
      <c r="A994" s="37">
        <v>81206</v>
      </c>
      <c r="B994" s="409">
        <f t="shared" ref="B994:C994" si="1005">($A994-B$9)/365.25</f>
        <v>140.4517453798768</v>
      </c>
      <c r="C994" s="409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3525.4531757812501</v>
      </c>
      <c r="H994" s="25">
        <f>IF(B994&lt;62,0,'Combined Retirement'!$I$14)</f>
        <v>2192</v>
      </c>
      <c r="I994" s="25">
        <f>IF(C994&lt;62,0,'Combined Retirement'!$I$13)</f>
        <v>2420</v>
      </c>
      <c r="J994" s="25">
        <f t="shared" si="783"/>
        <v>7863.2184191855868</v>
      </c>
      <c r="K994" s="25">
        <f t="shared" si="784"/>
        <v>20282.026119384056</v>
      </c>
      <c r="L994" s="25"/>
      <c r="N994" s="25">
        <f>'Combined Retirement'!$C$18/12</f>
        <v>39153.069999999992</v>
      </c>
      <c r="O994" s="25">
        <f t="shared" si="785"/>
        <v>11007.82546143035</v>
      </c>
      <c r="P994" s="25">
        <f t="shared" si="786"/>
        <v>28145.244538569641</v>
      </c>
      <c r="Q994" s="25">
        <f t="array" aca="1" ref="Q994" ca="1">INDEX('Isaac 401k'!L:L,MATCH('Retirement Calculator'!A994,'Isaac 401k'!N:N,0),0)</f>
        <v>-5465895.114932863</v>
      </c>
      <c r="R994" s="25">
        <f t="array" aca="1" ref="R994" ca="1">INDEX('Lorri 401b'!L:L,MATCH('Retirement Calculator'!A994,'Lorri 401b'!N:N,0),0)</f>
        <v>-20434054.285455544</v>
      </c>
      <c r="S994" s="25">
        <f t="shared" ca="1" si="787"/>
        <v>-25899949.400388405</v>
      </c>
    </row>
    <row r="995" spans="1:19" ht="15.75" customHeight="1" x14ac:dyDescent="0.3">
      <c r="A995" s="37">
        <v>81237</v>
      </c>
      <c r="B995" s="409">
        <f t="shared" ref="B995:C995" si="1006">($A995-B$9)/365.25</f>
        <v>140.5366187542779</v>
      </c>
      <c r="C995" s="409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3525.4531757812501</v>
      </c>
      <c r="H995" s="25">
        <f>IF(B995&lt;62,0,'Combined Retirement'!$I$14)</f>
        <v>2192</v>
      </c>
      <c r="I995" s="25">
        <f>IF(C995&lt;62,0,'Combined Retirement'!$I$13)</f>
        <v>2420</v>
      </c>
      <c r="J995" s="25">
        <f t="shared" si="783"/>
        <v>7863.2184191855868</v>
      </c>
      <c r="K995" s="25">
        <f t="shared" si="784"/>
        <v>20282.026119384056</v>
      </c>
      <c r="L995" s="25"/>
      <c r="N995" s="25">
        <f>'Combined Retirement'!$C$18/12</f>
        <v>39153.069999999992</v>
      </c>
      <c r="O995" s="25">
        <f t="shared" si="785"/>
        <v>11007.82546143035</v>
      </c>
      <c r="P995" s="25">
        <f t="shared" si="786"/>
        <v>28145.244538569641</v>
      </c>
      <c r="Q995" s="25">
        <f t="array" aca="1" ref="Q995" ca="1">INDEX('Isaac 401k'!L:L,MATCH('Retirement Calculator'!A995,'Isaac 401k'!N:N,0),0)</f>
        <v>-5496565.6597410161</v>
      </c>
      <c r="R995" s="25">
        <f t="array" aca="1" ref="R995" ca="1">INDEX('Lorri 401b'!L:L,MATCH('Retirement Calculator'!A995,'Lorri 401b'!N:N,0),0)</f>
        <v>-20539562.712873157</v>
      </c>
      <c r="S995" s="25">
        <f t="shared" ca="1" si="787"/>
        <v>-26036128.372614175</v>
      </c>
    </row>
    <row r="996" spans="1:19" ht="15.75" customHeight="1" x14ac:dyDescent="0.3">
      <c r="A996" s="37">
        <v>81267</v>
      </c>
      <c r="B996" s="409">
        <f t="shared" ref="B996:C996" si="1007">($A996-B$9)/365.25</f>
        <v>140.61875427789187</v>
      </c>
      <c r="C996" s="409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3525.4531757812501</v>
      </c>
      <c r="H996" s="25">
        <f>IF(B996&lt;62,0,'Combined Retirement'!$I$14)</f>
        <v>2192</v>
      </c>
      <c r="I996" s="25">
        <f>IF(C996&lt;62,0,'Combined Retirement'!$I$13)</f>
        <v>2420</v>
      </c>
      <c r="J996" s="25">
        <f t="shared" si="783"/>
        <v>7863.2184191855868</v>
      </c>
      <c r="K996" s="25">
        <f t="shared" si="784"/>
        <v>20282.026119384056</v>
      </c>
      <c r="L996" s="25"/>
      <c r="N996" s="25">
        <f>'Combined Retirement'!$C$18/12</f>
        <v>39153.069999999992</v>
      </c>
      <c r="O996" s="25">
        <f t="shared" si="785"/>
        <v>11007.82546143035</v>
      </c>
      <c r="P996" s="25">
        <f t="shared" si="786"/>
        <v>28145.244538569641</v>
      </c>
      <c r="Q996" s="25">
        <f t="array" aca="1" ref="Q996" ca="1">INDEX('Isaac 401k'!L:L,MATCH('Retirement Calculator'!A996,'Isaac 401k'!N:N,0),0)</f>
        <v>-5527363.9984858697</v>
      </c>
      <c r="R996" s="25">
        <f t="array" aca="1" ref="R996" ca="1">INDEX('Lorri 401b'!L:L,MATCH('Retirement Calculator'!A996,'Lorri 401b'!N:N,0),0)</f>
        <v>-20645510.758738343</v>
      </c>
      <c r="S996" s="25">
        <f t="shared" ca="1" si="787"/>
        <v>-26172874.757224213</v>
      </c>
    </row>
    <row r="997" spans="1:19" ht="15.75" customHeight="1" x14ac:dyDescent="0.3">
      <c r="A997" s="37">
        <v>81298</v>
      </c>
      <c r="B997" s="409">
        <f t="shared" ref="B997:C997" si="1008">($A997-B$9)/365.25</f>
        <v>140.70362765229294</v>
      </c>
      <c r="C997" s="409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3525.4531757812501</v>
      </c>
      <c r="H997" s="25">
        <f>IF(B997&lt;62,0,'Combined Retirement'!$I$14)</f>
        <v>2192</v>
      </c>
      <c r="I997" s="25">
        <f>IF(C997&lt;62,0,'Combined Retirement'!$I$13)</f>
        <v>2420</v>
      </c>
      <c r="J997" s="25">
        <f t="shared" si="783"/>
        <v>7863.2184191855868</v>
      </c>
      <c r="K997" s="25">
        <f t="shared" si="784"/>
        <v>20282.026119384056</v>
      </c>
      <c r="L997" s="25"/>
      <c r="N997" s="25">
        <f>'Combined Retirement'!$C$18/12</f>
        <v>39153.069999999992</v>
      </c>
      <c r="O997" s="25">
        <f t="shared" si="785"/>
        <v>11007.82546143035</v>
      </c>
      <c r="P997" s="25">
        <f t="shared" si="786"/>
        <v>28145.244538569641</v>
      </c>
      <c r="Q997" s="25">
        <f t="array" aca="1" ref="Q997" ca="1">INDEX('Isaac 401k'!L:L,MATCH('Retirement Calculator'!A997,'Isaac 401k'!N:N,0),0)</f>
        <v>-5558290.6636421597</v>
      </c>
      <c r="R997" s="25">
        <f t="array" aca="1" ref="R997" ca="1">INDEX('Lorri 401b'!L:L,MATCH('Retirement Calculator'!A997,'Lorri 401b'!N:N,0),0)</f>
        <v>-20751900.254794635</v>
      </c>
      <c r="S997" s="25">
        <f t="shared" ca="1" si="787"/>
        <v>-26310190.918436795</v>
      </c>
    </row>
    <row r="998" spans="1:19" ht="15.75" customHeight="1" x14ac:dyDescent="0.3">
      <c r="A998" s="37">
        <v>81329</v>
      </c>
      <c r="B998" s="409">
        <f t="shared" ref="B998:C998" si="1009">($A998-B$9)/365.25</f>
        <v>140.78850102669404</v>
      </c>
      <c r="C998" s="409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3525.4531757812501</v>
      </c>
      <c r="H998" s="25">
        <f>IF(B998&lt;62,0,'Combined Retirement'!$I$14)</f>
        <v>2192</v>
      </c>
      <c r="I998" s="25">
        <f>IF(C998&lt;62,0,'Combined Retirement'!$I$13)</f>
        <v>2420</v>
      </c>
      <c r="J998" s="25">
        <f t="shared" si="783"/>
        <v>7863.2184191855868</v>
      </c>
      <c r="K998" s="25">
        <f t="shared" si="784"/>
        <v>20282.026119384056</v>
      </c>
      <c r="L998" s="25"/>
      <c r="N998" s="25">
        <f>'Combined Retirement'!$C$18/12</f>
        <v>39153.069999999992</v>
      </c>
      <c r="O998" s="25">
        <f t="shared" si="785"/>
        <v>11007.82546143035</v>
      </c>
      <c r="P998" s="25">
        <f t="shared" si="786"/>
        <v>28145.244538569641</v>
      </c>
      <c r="Q998" s="25">
        <f t="array" aca="1" ref="Q998" ca="1">INDEX('Isaac 401k'!L:L,MATCH('Retirement Calculator'!A998,'Isaac 401k'!N:N,0),0)</f>
        <v>-5589346.1899032677</v>
      </c>
      <c r="R998" s="25">
        <f t="array" aca="1" ref="R998" ca="1">INDEX('Lorri 401b'!L:L,MATCH('Retirement Calculator'!A998,'Lorri 401b'!N:N,0),0)</f>
        <v>-20858733.040417828</v>
      </c>
      <c r="S998" s="25">
        <f t="shared" ca="1" si="787"/>
        <v>-26448079.230321094</v>
      </c>
    </row>
    <row r="999" spans="1:19" ht="15.75" customHeight="1" x14ac:dyDescent="0.3">
      <c r="A999" s="37">
        <v>81359</v>
      </c>
      <c r="B999" s="409">
        <f t="shared" ref="B999:C999" si="1010">($A999-B$9)/365.25</f>
        <v>140.87063655030801</v>
      </c>
      <c r="C999" s="409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3525.4531757812501</v>
      </c>
      <c r="H999" s="25">
        <f>IF(B999&lt;62,0,'Combined Retirement'!$I$14)</f>
        <v>2192</v>
      </c>
      <c r="I999" s="25">
        <f>IF(C999&lt;62,0,'Combined Retirement'!$I$13)</f>
        <v>2420</v>
      </c>
      <c r="J999" s="25">
        <f t="shared" si="783"/>
        <v>7863.2184191855868</v>
      </c>
      <c r="K999" s="25">
        <f t="shared" si="784"/>
        <v>20282.026119384056</v>
      </c>
      <c r="L999" s="25"/>
      <c r="N999" s="25">
        <f>'Combined Retirement'!$C$18/12</f>
        <v>39153.069999999992</v>
      </c>
      <c r="O999" s="25">
        <f t="shared" si="785"/>
        <v>11007.82546143035</v>
      </c>
      <c r="P999" s="25">
        <f t="shared" si="786"/>
        <v>28145.244538569641</v>
      </c>
      <c r="Q999" s="25">
        <f t="array" aca="1" ref="Q999" ca="1">INDEX('Isaac 401k'!L:L,MATCH('Retirement Calculator'!A999,'Isaac 401k'!N:N,0),0)</f>
        <v>-5620531.1141904639</v>
      </c>
      <c r="R999" s="25">
        <f t="array" aca="1" ref="R999" ca="1">INDEX('Lorri 401b'!L:L,MATCH('Retirement Calculator'!A999,'Lorri 401b'!N:N,0),0)</f>
        <v>-20966010.962647785</v>
      </c>
      <c r="S999" s="25">
        <f t="shared" ca="1" si="787"/>
        <v>-26586542.076838247</v>
      </c>
    </row>
    <row r="1000" spans="1:19" ht="15.75" customHeight="1" x14ac:dyDescent="0.3">
      <c r="A1000" s="37">
        <v>81390</v>
      </c>
      <c r="B1000" s="409">
        <f t="shared" ref="B1000:C1000" si="1011">($A1000-B$9)/365.25</f>
        <v>140.95550992470911</v>
      </c>
      <c r="C1000" s="409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3525.4531757812501</v>
      </c>
      <c r="H1000" s="25">
        <f>IF(B1000&lt;62,0,'Combined Retirement'!$I$14)</f>
        <v>2192</v>
      </c>
      <c r="I1000" s="25">
        <f>IF(C1000&lt;62,0,'Combined Retirement'!$I$13)</f>
        <v>2420</v>
      </c>
      <c r="J1000" s="25">
        <f t="shared" si="783"/>
        <v>7863.2184191855868</v>
      </c>
      <c r="K1000" s="25">
        <f t="shared" si="784"/>
        <v>20282.026119384056</v>
      </c>
      <c r="L1000" s="25"/>
      <c r="N1000" s="25">
        <f>'Combined Retirement'!$C$18/12</f>
        <v>39153.069999999992</v>
      </c>
      <c r="O1000" s="25">
        <f t="shared" si="785"/>
        <v>11007.82546143035</v>
      </c>
      <c r="P1000" s="25">
        <f t="shared" si="786"/>
        <v>28145.244538569641</v>
      </c>
      <c r="Q1000" s="25">
        <f t="array" aca="1" ref="Q1000" ca="1">INDEX('Isaac 401k'!L:L,MATCH('Retirement Calculator'!A1000,'Isaac 401k'!N:N,0),0)</f>
        <v>-5651845.9756621895</v>
      </c>
      <c r="R1000" s="25">
        <f t="array" aca="1" ref="R1000" ca="1">INDEX('Lorri 401b'!L:L,MATCH('Retirement Calculator'!A1000,'Lorri 401b'!N:N,0),0)</f>
        <v>-21073735.876220364</v>
      </c>
      <c r="S1000" s="25">
        <f t="shared" ca="1" si="787"/>
        <v>-26725581.851882555</v>
      </c>
    </row>
    <row r="1001" spans="1:19" ht="15.75" customHeight="1" x14ac:dyDescent="0.3">
      <c r="A1001" s="37">
        <v>81420</v>
      </c>
      <c r="B1001" s="409">
        <f t="shared" ref="B1001:C1001" si="1012">($A1001-B$9)/365.25</f>
        <v>141.03764544832308</v>
      </c>
      <c r="C1001" s="409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3525.4531757812501</v>
      </c>
      <c r="H1001" s="25">
        <f>IF(B1001&lt;62,0,'Combined Retirement'!$I$14)</f>
        <v>2192</v>
      </c>
      <c r="I1001" s="25">
        <f>IF(C1001&lt;62,0,'Combined Retirement'!$I$13)</f>
        <v>2420</v>
      </c>
      <c r="J1001" s="25">
        <f t="shared" si="783"/>
        <v>7863.2184191855868</v>
      </c>
      <c r="K1001" s="25">
        <f t="shared" si="784"/>
        <v>20282.026119384056</v>
      </c>
      <c r="L1001" s="25"/>
      <c r="N1001" s="25">
        <f>'Combined Retirement'!$C$18/12</f>
        <v>39153.069999999992</v>
      </c>
      <c r="O1001" s="25">
        <f t="shared" si="785"/>
        <v>11007.82546143035</v>
      </c>
      <c r="P1001" s="25">
        <f t="shared" si="786"/>
        <v>28145.244538569641</v>
      </c>
      <c r="Q1001" s="25">
        <f t="array" aca="1" ref="Q1001" ca="1">INDEX('Isaac 401k'!L:L,MATCH('Retirement Calculator'!A1001,'Isaac 401k'!N:N,0),0)</f>
        <v>-5683291.315723381</v>
      </c>
      <c r="R1001" s="25">
        <f t="array" aca="1" ref="R1001" ca="1">INDEX('Lorri 401b'!L:L,MATCH('Retirement Calculator'!A1001,'Lorri 401b'!N:N,0),0)</f>
        <v>-21181909.643599499</v>
      </c>
      <c r="S1001" s="25">
        <f t="shared" ca="1" si="787"/>
        <v>-26865200.959322881</v>
      </c>
    </row>
    <row r="1002" spans="1:19" ht="15.75" customHeight="1" x14ac:dyDescent="0.3">
      <c r="A1002" s="37">
        <v>81451</v>
      </c>
      <c r="B1002" s="409">
        <f t="shared" ref="B1002:C1002" si="1013">($A1002-B$9)/365.25</f>
        <v>141.12251882272417</v>
      </c>
      <c r="C1002" s="409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3525.4531757812501</v>
      </c>
      <c r="H1002" s="25">
        <f>IF(B1002&lt;62,0,'Combined Retirement'!$I$14)</f>
        <v>2192</v>
      </c>
      <c r="I1002" s="25">
        <f>IF(C1002&lt;62,0,'Combined Retirement'!$I$13)</f>
        <v>2420</v>
      </c>
      <c r="J1002" s="25">
        <f t="shared" si="783"/>
        <v>7863.2184191855868</v>
      </c>
      <c r="K1002" s="25">
        <f t="shared" si="784"/>
        <v>20282.026119384056</v>
      </c>
      <c r="L1002" s="25"/>
      <c r="N1002" s="25">
        <f>'Combined Retirement'!$C$18/12</f>
        <v>39153.069999999992</v>
      </c>
      <c r="O1002" s="25">
        <f t="shared" si="785"/>
        <v>11007.82546143035</v>
      </c>
      <c r="P1002" s="25">
        <f t="shared" si="786"/>
        <v>28145.244538569641</v>
      </c>
      <c r="Q1002" s="25">
        <f t="array" aca="1" ref="Q1002" ca="1">INDEX('Isaac 401k'!L:L,MATCH('Retirement Calculator'!A1002,'Isaac 401k'!N:N,0),0)</f>
        <v>-5714867.6780348271</v>
      </c>
      <c r="R1002" s="25">
        <f t="array" aca="1" ref="R1002" ca="1">INDEX('Lorri 401b'!L:L,MATCH('Retirement Calculator'!A1002,'Lorri 401b'!N:N,0),0)</f>
        <v>-21290534.135009378</v>
      </c>
      <c r="S1002" s="25">
        <f t="shared" ca="1" si="787"/>
        <v>-27005401.813044205</v>
      </c>
    </row>
    <row r="1003" spans="1:19" ht="15.75" customHeight="1" x14ac:dyDescent="0.3">
      <c r="A1003" s="37">
        <v>81482</v>
      </c>
      <c r="B1003" s="409">
        <f t="shared" ref="B1003:C1003" si="1014">($A1003-B$9)/365.25</f>
        <v>141.20739219712524</v>
      </c>
      <c r="C1003" s="409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3525.4531757812501</v>
      </c>
      <c r="H1003" s="25">
        <f>IF(B1003&lt;62,0,'Combined Retirement'!$I$14)</f>
        <v>2192</v>
      </c>
      <c r="I1003" s="25">
        <f>IF(C1003&lt;62,0,'Combined Retirement'!$I$13)</f>
        <v>2420</v>
      </c>
      <c r="J1003" s="25">
        <f t="shared" si="783"/>
        <v>7863.2184191855868</v>
      </c>
      <c r="K1003" s="25">
        <f t="shared" si="784"/>
        <v>20282.026119384056</v>
      </c>
      <c r="L1003" s="25"/>
      <c r="N1003" s="25">
        <f>'Combined Retirement'!$C$18/12</f>
        <v>39153.069999999992</v>
      </c>
      <c r="O1003" s="25">
        <f t="shared" si="785"/>
        <v>11007.82546143035</v>
      </c>
      <c r="P1003" s="25">
        <f t="shared" si="786"/>
        <v>28145.244538569641</v>
      </c>
      <c r="Q1003" s="25">
        <f t="array" aca="1" ref="Q1003" ca="1">INDEX('Isaac 401k'!L:L,MATCH('Retirement Calculator'!A1003,'Isaac 401k'!N:N,0),0)</f>
        <v>-5746575.6085225716</v>
      </c>
      <c r="R1003" s="25">
        <f t="array" aca="1" ref="R1003" ca="1">INDEX('Lorri 401b'!L:L,MATCH('Retirement Calculator'!A1003,'Lorri 401b'!N:N,0),0)</f>
        <v>-21399611.228466801</v>
      </c>
      <c r="S1003" s="25">
        <f t="shared" ca="1" si="787"/>
        <v>-27146186.836989373</v>
      </c>
    </row>
    <row r="1004" spans="1:19" ht="15.75" customHeight="1" x14ac:dyDescent="0.3">
      <c r="A1004" s="37">
        <v>81510</v>
      </c>
      <c r="B1004" s="409">
        <f t="shared" ref="B1004:C1004" si="1015">($A1004-B$9)/365.25</f>
        <v>141.28405201916496</v>
      </c>
      <c r="C1004" s="409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3525.4531757812501</v>
      </c>
      <c r="H1004" s="25">
        <f>IF(B1004&lt;62,0,'Combined Retirement'!$I$14)</f>
        <v>2192</v>
      </c>
      <c r="I1004" s="25">
        <f>IF(C1004&lt;62,0,'Combined Retirement'!$I$13)</f>
        <v>2420</v>
      </c>
      <c r="J1004" s="25">
        <f t="shared" si="783"/>
        <v>7863.2184191855868</v>
      </c>
      <c r="K1004" s="25">
        <f t="shared" si="784"/>
        <v>20282.026119384056</v>
      </c>
      <c r="L1004" s="25"/>
      <c r="N1004" s="25">
        <f>'Combined Retirement'!$C$18/12</f>
        <v>39153.069999999992</v>
      </c>
      <c r="O1004" s="25">
        <f t="shared" si="785"/>
        <v>11007.82546143035</v>
      </c>
      <c r="P1004" s="25">
        <f t="shared" si="786"/>
        <v>28145.244538569641</v>
      </c>
      <c r="Q1004" s="25">
        <f t="array" aca="1" ref="Q1004" ca="1">INDEX('Isaac 401k'!L:L,MATCH('Retirement Calculator'!A1004,'Isaac 401k'!N:N,0),0)</f>
        <v>-5778415.6553873485</v>
      </c>
      <c r="R1004" s="25">
        <f t="array" aca="1" ref="R1004" ca="1">INDEX('Lorri 401b'!L:L,MATCH('Retirement Calculator'!A1004,'Lorri 401b'!N:N,0),0)</f>
        <v>-21509142.80981363</v>
      </c>
      <c r="S1004" s="25">
        <f t="shared" ca="1" si="787"/>
        <v>-27287558.465200979</v>
      </c>
    </row>
    <row r="1005" spans="1:19" ht="15.75" customHeight="1" x14ac:dyDescent="0.3">
      <c r="A1005" s="37">
        <v>81541</v>
      </c>
      <c r="B1005" s="409">
        <f t="shared" ref="B1005:C1005" si="1016">($A1005-B$9)/365.25</f>
        <v>141.36892539356606</v>
      </c>
      <c r="C1005" s="409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3525.4531757812501</v>
      </c>
      <c r="H1005" s="25">
        <f>IF(B1005&lt;62,0,'Combined Retirement'!$I$14)</f>
        <v>2192</v>
      </c>
      <c r="I1005" s="25">
        <f>IF(C1005&lt;62,0,'Combined Retirement'!$I$13)</f>
        <v>2420</v>
      </c>
      <c r="J1005" s="25">
        <f t="shared" si="783"/>
        <v>7863.2184191855868</v>
      </c>
      <c r="K1005" s="25">
        <f t="shared" si="784"/>
        <v>20282.026119384056</v>
      </c>
      <c r="L1005" s="25"/>
      <c r="N1005" s="25">
        <f>'Combined Retirement'!$C$18/12</f>
        <v>39153.069999999992</v>
      </c>
      <c r="O1005" s="25">
        <f t="shared" si="785"/>
        <v>11007.82546143035</v>
      </c>
      <c r="P1005" s="25">
        <f t="shared" si="786"/>
        <v>28145.244538569641</v>
      </c>
      <c r="Q1005" s="25">
        <f t="array" aca="1" ref="Q1005" ca="1">INDEX('Isaac 401k'!L:L,MATCH('Retirement Calculator'!A1005,'Isaac 401k'!N:N,0),0)</f>
        <v>-5810388.3691140618</v>
      </c>
      <c r="R1005" s="25">
        <f t="array" aca="1" ref="R1005" ca="1">INDEX('Lorri 401b'!L:L,MATCH('Retirement Calculator'!A1005,'Lorri 401b'!N:N,0),0)</f>
        <v>-21619130.772749402</v>
      </c>
      <c r="S1005" s="25">
        <f t="shared" ca="1" si="787"/>
        <v>-27429519.141863465</v>
      </c>
    </row>
    <row r="1006" spans="1:19" ht="15.75" customHeight="1" x14ac:dyDescent="0.3">
      <c r="A1006" s="37">
        <v>81571</v>
      </c>
      <c r="B1006" s="409">
        <f t="shared" ref="B1006:C1006" si="1017">($A1006-B$9)/365.25</f>
        <v>141.45106091718</v>
      </c>
      <c r="C1006" s="409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3525.4531757812501</v>
      </c>
      <c r="H1006" s="25">
        <f>IF(B1006&lt;62,0,'Combined Retirement'!$I$14)</f>
        <v>2192</v>
      </c>
      <c r="I1006" s="25">
        <f>IF(C1006&lt;62,0,'Combined Retirement'!$I$13)</f>
        <v>2420</v>
      </c>
      <c r="J1006" s="25">
        <f t="shared" si="783"/>
        <v>7863.2184191855868</v>
      </c>
      <c r="K1006" s="25">
        <f t="shared" si="784"/>
        <v>20282.026119384056</v>
      </c>
      <c r="L1006" s="25"/>
      <c r="N1006" s="25">
        <f>'Combined Retirement'!$C$18/12</f>
        <v>39153.069999999992</v>
      </c>
      <c r="O1006" s="25">
        <f t="shared" si="785"/>
        <v>11007.82546143035</v>
      </c>
      <c r="P1006" s="25">
        <f t="shared" si="786"/>
        <v>28145.244538569641</v>
      </c>
      <c r="Q1006" s="25">
        <f t="array" aca="1" ref="Q1006" ca="1">INDEX('Isaac 401k'!L:L,MATCH('Retirement Calculator'!A1006,'Isaac 401k'!N:N,0),0)</f>
        <v>-5842494.302481303</v>
      </c>
      <c r="R1006" s="25">
        <f t="array" aca="1" ref="R1006" ca="1">INDEX('Lorri 401b'!L:L,MATCH('Retirement Calculator'!A1006,'Lorri 401b'!N:N,0),0)</f>
        <v>-21729577.018864073</v>
      </c>
      <c r="S1006" s="25">
        <f t="shared" ca="1" si="787"/>
        <v>-27572071.321345374</v>
      </c>
    </row>
    <row r="1007" spans="1:19" ht="15.75" customHeight="1" x14ac:dyDescent="0.3">
      <c r="A1007" s="37">
        <v>81602</v>
      </c>
      <c r="B1007" s="409">
        <f t="shared" ref="B1007:C1007" si="1018">($A1007-B$9)/365.25</f>
        <v>141.5359342915811</v>
      </c>
      <c r="C1007" s="409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3525.4531757812501</v>
      </c>
      <c r="H1007" s="25">
        <f>IF(B1007&lt;62,0,'Combined Retirement'!$I$14)</f>
        <v>2192</v>
      </c>
      <c r="I1007" s="25">
        <f>IF(C1007&lt;62,0,'Combined Retirement'!$I$13)</f>
        <v>2420</v>
      </c>
      <c r="J1007" s="25">
        <f t="shared" si="783"/>
        <v>7863.2184191855868</v>
      </c>
      <c r="K1007" s="25">
        <f t="shared" si="784"/>
        <v>20282.026119384056</v>
      </c>
      <c r="L1007" s="25"/>
      <c r="N1007" s="25">
        <f>'Combined Retirement'!$C$18/12</f>
        <v>39153.069999999992</v>
      </c>
      <c r="O1007" s="25">
        <f t="shared" si="785"/>
        <v>11007.82546143035</v>
      </c>
      <c r="P1007" s="25">
        <f t="shared" si="786"/>
        <v>28145.244538569641</v>
      </c>
      <c r="Q1007" s="25">
        <f t="array" aca="1" ref="Q1007" ca="1">INDEX('Isaac 401k'!L:L,MATCH('Retirement Calculator'!A1007,'Isaac 401k'!N:N,0),0)</f>
        <v>-5874734.010570908</v>
      </c>
      <c r="R1007" s="25">
        <f t="array" aca="1" ref="R1007" ca="1">INDEX('Lorri 401b'!L:L,MATCH('Retirement Calculator'!A1007,'Lorri 401b'!N:N,0),0)</f>
        <v>-21840483.45767089</v>
      </c>
      <c r="S1007" s="25">
        <f t="shared" ca="1" si="787"/>
        <v>-27715217.468241796</v>
      </c>
    </row>
    <row r="1008" spans="1:19" ht="15.75" customHeight="1" x14ac:dyDescent="0.3">
      <c r="A1008" s="37">
        <v>81632</v>
      </c>
      <c r="B1008" s="409">
        <f t="shared" ref="B1008:C1008" si="1019">($A1008-B$9)/365.25</f>
        <v>141.61806981519507</v>
      </c>
      <c r="C1008" s="409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3525.4531757812501</v>
      </c>
      <c r="H1008" s="25">
        <f>IF(B1008&lt;62,0,'Combined Retirement'!$I$14)</f>
        <v>2192</v>
      </c>
      <c r="I1008" s="25">
        <f>IF(C1008&lt;62,0,'Combined Retirement'!$I$13)</f>
        <v>2420</v>
      </c>
      <c r="J1008" s="25">
        <f t="shared" si="783"/>
        <v>7863.2184191855868</v>
      </c>
      <c r="K1008" s="25">
        <f t="shared" si="784"/>
        <v>20282.026119384056</v>
      </c>
      <c r="L1008" s="25"/>
      <c r="N1008" s="25">
        <f>'Combined Retirement'!$C$18/12</f>
        <v>39153.069999999992</v>
      </c>
      <c r="O1008" s="25">
        <f t="shared" si="785"/>
        <v>11007.82546143035</v>
      </c>
      <c r="P1008" s="25">
        <f t="shared" si="786"/>
        <v>28145.244538569641</v>
      </c>
      <c r="Q1008" s="25">
        <f t="array" aca="1" ref="Q1008" ca="1">INDEX('Isaac 401k'!L:L,MATCH('Retirement Calculator'!A1008,'Isaac 401k'!N:N,0),0)</f>
        <v>-5907108.0507775526</v>
      </c>
      <c r="R1008" s="25">
        <f t="array" aca="1" ref="R1008" ca="1">INDEX('Lorri 401b'!L:L,MATCH('Retirement Calculator'!A1008,'Lorri 401b'!N:N,0),0)</f>
        <v>-21951852.006639402</v>
      </c>
      <c r="S1008" s="25">
        <f t="shared" ca="1" si="787"/>
        <v>-27858960.057416953</v>
      </c>
    </row>
    <row r="1009" spans="1:19" ht="15.75" customHeight="1" x14ac:dyDescent="0.3">
      <c r="A1009" s="37">
        <v>81663</v>
      </c>
      <c r="B1009" s="409">
        <f t="shared" ref="B1009:C1009" si="1020">($A1009-B$9)/365.25</f>
        <v>141.70294318959617</v>
      </c>
      <c r="C1009" s="409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3525.4531757812501</v>
      </c>
      <c r="H1009" s="25">
        <f>IF(B1009&lt;62,0,'Combined Retirement'!$I$14)</f>
        <v>2192</v>
      </c>
      <c r="I1009" s="25">
        <f>IF(C1009&lt;62,0,'Combined Retirement'!$I$13)</f>
        <v>2420</v>
      </c>
      <c r="J1009" s="25">
        <f t="shared" si="783"/>
        <v>7863.2184191855868</v>
      </c>
      <c r="K1009" s="25">
        <f t="shared" si="784"/>
        <v>20282.026119384056</v>
      </c>
      <c r="L1009" s="25"/>
      <c r="N1009" s="25">
        <f>'Combined Retirement'!$C$18/12</f>
        <v>39153.069999999992</v>
      </c>
      <c r="O1009" s="25">
        <f t="shared" si="785"/>
        <v>11007.82546143035</v>
      </c>
      <c r="P1009" s="25">
        <f t="shared" si="786"/>
        <v>28145.244538569641</v>
      </c>
      <c r="Q1009" s="25">
        <f t="array" aca="1" ref="Q1009" ca="1">INDEX('Isaac 401k'!L:L,MATCH('Retirement Calculator'!A1009,'Isaac 401k'!N:N,0),0)</f>
        <v>-5939616.9828183912</v>
      </c>
      <c r="R1009" s="25">
        <f t="array" aca="1" ref="R1009" ca="1">INDEX('Lorri 401b'!L:L,MATCH('Retirement Calculator'!A1009,'Lorri 401b'!N:N,0),0)</f>
        <v>-22063684.591228615</v>
      </c>
      <c r="S1009" s="25">
        <f t="shared" ca="1" si="787"/>
        <v>-28003301.574047007</v>
      </c>
    </row>
    <row r="1010" spans="1:19" ht="15.75" customHeight="1" x14ac:dyDescent="0.3">
      <c r="A1010" s="37">
        <v>81694</v>
      </c>
      <c r="B1010" s="409">
        <f t="shared" ref="B1010:C1010" si="1021">($A1010-B$9)/365.25</f>
        <v>141.78781656399727</v>
      </c>
      <c r="C1010" s="409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3525.4531757812501</v>
      </c>
      <c r="H1010" s="25">
        <f>IF(B1010&lt;62,0,'Combined Retirement'!$I$14)</f>
        <v>2192</v>
      </c>
      <c r="I1010" s="25">
        <f>IF(C1010&lt;62,0,'Combined Retirement'!$I$13)</f>
        <v>2420</v>
      </c>
      <c r="J1010" s="25">
        <f t="shared" si="783"/>
        <v>7863.2184191855868</v>
      </c>
      <c r="K1010" s="25">
        <f t="shared" si="784"/>
        <v>20282.026119384056</v>
      </c>
      <c r="L1010" s="25"/>
      <c r="N1010" s="25">
        <f>'Combined Retirement'!$C$18/12</f>
        <v>39153.069999999992</v>
      </c>
      <c r="O1010" s="25">
        <f t="shared" si="785"/>
        <v>11007.82546143035</v>
      </c>
      <c r="P1010" s="25">
        <f t="shared" si="786"/>
        <v>28145.244538569641</v>
      </c>
      <c r="Q1010" s="25">
        <f t="array" aca="1" ref="Q1010" ca="1">INDEX('Isaac 401k'!L:L,MATCH('Retirement Calculator'!A1010,'Isaac 401k'!N:N,0),0)</f>
        <v>-5972261.3687427333</v>
      </c>
      <c r="R1010" s="25">
        <f t="array" aca="1" ref="R1010" ca="1">INDEX('Lorri 401b'!L:L,MATCH('Retirement Calculator'!A1010,'Lorri 401b'!N:N,0),0)</f>
        <v>-22175983.144920282</v>
      </c>
      <c r="S1010" s="25">
        <f t="shared" ca="1" si="787"/>
        <v>-28148244.513663016</v>
      </c>
    </row>
    <row r="1011" spans="1:19" ht="15.75" customHeight="1" x14ac:dyDescent="0.3">
      <c r="A1011" s="37">
        <v>81724</v>
      </c>
      <c r="B1011" s="409">
        <f t="shared" ref="B1011:C1011" si="1022">($A1011-B$9)/365.25</f>
        <v>141.86995208761124</v>
      </c>
      <c r="C1011" s="409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3525.4531757812501</v>
      </c>
      <c r="H1011" s="25">
        <f>IF(B1011&lt;62,0,'Combined Retirement'!$I$14)</f>
        <v>2192</v>
      </c>
      <c r="I1011" s="25">
        <f>IF(C1011&lt;62,0,'Combined Retirement'!$I$13)</f>
        <v>2420</v>
      </c>
      <c r="J1011" s="25">
        <f t="shared" si="783"/>
        <v>7863.2184191855868</v>
      </c>
      <c r="K1011" s="25">
        <f t="shared" si="784"/>
        <v>20282.026119384056</v>
      </c>
      <c r="L1011" s="25"/>
      <c r="N1011" s="25">
        <f>'Combined Retirement'!$C$18/12</f>
        <v>39153.069999999992</v>
      </c>
      <c r="O1011" s="25">
        <f t="shared" si="785"/>
        <v>11007.82546143035</v>
      </c>
      <c r="P1011" s="25">
        <f t="shared" si="786"/>
        <v>28145.244538569641</v>
      </c>
      <c r="Q1011" s="25">
        <f t="array" aca="1" ref="Q1011" ca="1">INDEX('Isaac 401k'!L:L,MATCH('Retirement Calculator'!A1011,'Isaac 401k'!N:N,0),0)</f>
        <v>-6005041.7729417607</v>
      </c>
      <c r="R1011" s="25">
        <f t="array" aca="1" ref="R1011" ca="1">INDEX('Lorri 401b'!L:L,MATCH('Retirement Calculator'!A1011,'Lorri 401b'!N:N,0),0)</f>
        <v>-22288749.609252334</v>
      </c>
      <c r="S1011" s="25">
        <f t="shared" ca="1" si="787"/>
        <v>-28293791.382194094</v>
      </c>
    </row>
    <row r="1012" spans="1:19" ht="15.75" customHeight="1" x14ac:dyDescent="0.3">
      <c r="A1012" s="37">
        <v>81755</v>
      </c>
      <c r="B1012" s="409">
        <f t="shared" ref="B1012:C1012" si="1023">($A1012-B$9)/365.25</f>
        <v>141.95482546201231</v>
      </c>
      <c r="C1012" s="409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3525.4531757812501</v>
      </c>
      <c r="H1012" s="25">
        <f>IF(B1012&lt;62,0,'Combined Retirement'!$I$14)</f>
        <v>2192</v>
      </c>
      <c r="I1012" s="25">
        <f>IF(C1012&lt;62,0,'Combined Retirement'!$I$13)</f>
        <v>2420</v>
      </c>
      <c r="J1012" s="25">
        <f t="shared" si="783"/>
        <v>7863.2184191855868</v>
      </c>
      <c r="K1012" s="25">
        <f t="shared" si="784"/>
        <v>20282.026119384056</v>
      </c>
      <c r="L1012" s="25"/>
      <c r="N1012" s="25">
        <f>'Combined Retirement'!$C$18/12</f>
        <v>39153.069999999992</v>
      </c>
      <c r="O1012" s="25">
        <f t="shared" si="785"/>
        <v>11007.82546143035</v>
      </c>
      <c r="P1012" s="25">
        <f t="shared" si="786"/>
        <v>28145.244538569641</v>
      </c>
      <c r="Q1012" s="25">
        <f t="array" aca="1" ref="Q1012" ca="1">INDEX('Isaac 401k'!L:L,MATCH('Retirement Calculator'!A1012,'Isaac 401k'!N:N,0),0)</f>
        <v>-6037958.762158284</v>
      </c>
      <c r="R1012" s="25">
        <f t="array" aca="1" ref="R1012" ca="1">INDEX('Lorri 401b'!L:L,MATCH('Retirement Calculator'!A1012,'Lorri 401b'!N:N,0),0)</f>
        <v>-22401985.933852434</v>
      </c>
      <c r="S1012" s="25">
        <f t="shared" ca="1" si="787"/>
        <v>-28439944.696010716</v>
      </c>
    </row>
    <row r="1013" spans="1:19" ht="15.75" customHeight="1" x14ac:dyDescent="0.3">
      <c r="A1013" s="37">
        <v>81785</v>
      </c>
      <c r="B1013" s="409">
        <f t="shared" ref="B1013:C1013" si="1024">($A1013-B$9)/365.25</f>
        <v>142.03696098562628</v>
      </c>
      <c r="C1013" s="409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3525.4531757812501</v>
      </c>
      <c r="H1013" s="25">
        <f>IF(B1013&lt;62,0,'Combined Retirement'!$I$14)</f>
        <v>2192</v>
      </c>
      <c r="I1013" s="25">
        <f>IF(C1013&lt;62,0,'Combined Retirement'!$I$13)</f>
        <v>2420</v>
      </c>
      <c r="J1013" s="25">
        <f t="shared" si="783"/>
        <v>7863.2184191855868</v>
      </c>
      <c r="K1013" s="25">
        <f t="shared" si="784"/>
        <v>20282.026119384056</v>
      </c>
      <c r="L1013" s="25"/>
      <c r="N1013" s="25">
        <f>'Combined Retirement'!$C$18/12</f>
        <v>39153.069999999992</v>
      </c>
      <c r="O1013" s="25">
        <f t="shared" si="785"/>
        <v>11007.82546143035</v>
      </c>
      <c r="P1013" s="25">
        <f t="shared" si="786"/>
        <v>28145.244538569641</v>
      </c>
      <c r="Q1013" s="25">
        <f t="array" aca="1" ref="Q1013" ca="1">INDEX('Isaac 401k'!L:L,MATCH('Retirement Calculator'!A1013,'Isaac 401k'!N:N,0),0)</f>
        <v>-6071012.9054965423</v>
      </c>
      <c r="R1013" s="25">
        <f t="array" aca="1" ref="R1013" ca="1">INDEX('Lorri 401b'!L:L,MATCH('Retirement Calculator'!A1013,'Lorri 401b'!N:N,0),0)</f>
        <v>-22515694.076471701</v>
      </c>
      <c r="S1013" s="25">
        <f t="shared" ca="1" si="787"/>
        <v>-28586706.981968243</v>
      </c>
    </row>
    <row r="1014" spans="1:19" ht="15.75" customHeight="1" x14ac:dyDescent="0.3">
      <c r="A1014" s="37">
        <v>81816</v>
      </c>
      <c r="B1014" s="409">
        <f t="shared" ref="B1014:C1014" si="1025">($A1014-B$9)/365.25</f>
        <v>142.12183436002738</v>
      </c>
      <c r="C1014" s="409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3525.4531757812501</v>
      </c>
      <c r="H1014" s="25">
        <f>IF(B1014&lt;62,0,'Combined Retirement'!$I$14)</f>
        <v>2192</v>
      </c>
      <c r="I1014" s="25">
        <f>IF(C1014&lt;62,0,'Combined Retirement'!$I$13)</f>
        <v>2420</v>
      </c>
      <c r="J1014" s="25">
        <f t="shared" si="783"/>
        <v>7863.2184191855868</v>
      </c>
      <c r="K1014" s="25">
        <f t="shared" si="784"/>
        <v>20282.026119384056</v>
      </c>
      <c r="L1014" s="25"/>
      <c r="N1014" s="25">
        <f>'Combined Retirement'!$C$18/12</f>
        <v>39153.069999999992</v>
      </c>
      <c r="O1014" s="25">
        <f t="shared" si="785"/>
        <v>11007.82546143035</v>
      </c>
      <c r="P1014" s="25">
        <f t="shared" si="786"/>
        <v>28145.244538569641</v>
      </c>
      <c r="Q1014" s="25">
        <f t="array" aca="1" ref="Q1014" ca="1">INDEX('Isaac 401k'!L:L,MATCH('Retirement Calculator'!A1014,'Isaac 401k'!N:N,0),0)</f>
        <v>-6104204.7744320435</v>
      </c>
      <c r="R1014" s="25">
        <f t="array" aca="1" ref="R1014" ca="1">INDEX('Lorri 401b'!L:L,MATCH('Retirement Calculator'!A1014,'Lorri 401b'!N:N,0),0)</f>
        <v>-22629876.003018551</v>
      </c>
      <c r="S1014" s="25">
        <f t="shared" ca="1" si="787"/>
        <v>-28734080.777450595</v>
      </c>
    </row>
    <row r="1015" spans="1:19" ht="15.75" customHeight="1" x14ac:dyDescent="0.3">
      <c r="A1015" s="37">
        <v>81847</v>
      </c>
      <c r="B1015" s="409">
        <f t="shared" ref="B1015:C1015" si="1026">($A1015-B$9)/365.25</f>
        <v>142.20670773442848</v>
      </c>
      <c r="C1015" s="409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3525.4531757812501</v>
      </c>
      <c r="H1015" s="25">
        <f>IF(B1015&lt;62,0,'Combined Retirement'!$I$14)</f>
        <v>2192</v>
      </c>
      <c r="I1015" s="25">
        <f>IF(C1015&lt;62,0,'Combined Retirement'!$I$13)</f>
        <v>2420</v>
      </c>
      <c r="J1015" s="25">
        <f t="shared" si="783"/>
        <v>7863.2184191855868</v>
      </c>
      <c r="K1015" s="25">
        <f t="shared" si="784"/>
        <v>20282.026119384056</v>
      </c>
      <c r="L1015" s="25"/>
      <c r="N1015" s="25">
        <f>'Combined Retirement'!$C$18/12</f>
        <v>39153.069999999992</v>
      </c>
      <c r="O1015" s="25">
        <f t="shared" si="785"/>
        <v>11007.82546143035</v>
      </c>
      <c r="P1015" s="25">
        <f t="shared" si="786"/>
        <v>28145.244538569641</v>
      </c>
      <c r="Q1015" s="25">
        <f t="array" aca="1" ref="Q1015" ca="1">INDEX('Isaac 401k'!L:L,MATCH('Retirement Calculator'!A1015,'Isaac 401k'!N:N,0),0)</f>
        <v>-6137534.9428214431</v>
      </c>
      <c r="R1015" s="25">
        <f t="array" aca="1" ref="R1015" ca="1">INDEX('Lorri 401b'!L:L,MATCH('Retirement Calculator'!A1015,'Lorri 401b'!N:N,0),0)</f>
        <v>-22744533.687592678</v>
      </c>
      <c r="S1015" s="25">
        <f t="shared" ca="1" si="787"/>
        <v>-28882068.630414121</v>
      </c>
    </row>
    <row r="1016" spans="1:19" ht="15.75" customHeight="1" x14ac:dyDescent="0.3">
      <c r="A1016" s="37">
        <v>81876</v>
      </c>
      <c r="B1016" s="409">
        <f t="shared" ref="B1016:C1016" si="1027">($A1016-B$9)/365.25</f>
        <v>142.28610540725529</v>
      </c>
      <c r="C1016" s="409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3525.4531757812501</v>
      </c>
      <c r="H1016" s="25">
        <f>IF(B1016&lt;62,0,'Combined Retirement'!$I$14)</f>
        <v>2192</v>
      </c>
      <c r="I1016" s="25">
        <f>IF(C1016&lt;62,0,'Combined Retirement'!$I$13)</f>
        <v>2420</v>
      </c>
      <c r="J1016" s="25">
        <f t="shared" si="783"/>
        <v>7863.2184191855868</v>
      </c>
      <c r="K1016" s="25">
        <f t="shared" si="784"/>
        <v>20282.026119384056</v>
      </c>
      <c r="L1016" s="25"/>
      <c r="N1016" s="25">
        <f>'Combined Retirement'!$C$18/12</f>
        <v>39153.069999999992</v>
      </c>
      <c r="O1016" s="25">
        <f t="shared" si="785"/>
        <v>11007.82546143035</v>
      </c>
      <c r="P1016" s="25">
        <f t="shared" si="786"/>
        <v>28145.244538569641</v>
      </c>
      <c r="Q1016" s="25">
        <f t="array" aca="1" ref="Q1016" ca="1">INDEX('Isaac 401k'!L:L,MATCH('Retirement Calculator'!A1016,'Isaac 401k'!N:N,0),0)</f>
        <v>-6171003.9869124647</v>
      </c>
      <c r="R1016" s="25">
        <f t="array" aca="1" ref="R1016" ca="1">INDEX('Lorri 401b'!L:L,MATCH('Retirement Calculator'!A1016,'Lorri 401b'!N:N,0),0)</f>
        <v>-22859669.112519197</v>
      </c>
      <c r="S1016" s="25">
        <f t="shared" ca="1" si="787"/>
        <v>-29030673.099431664</v>
      </c>
    </row>
    <row r="1017" spans="1:19" ht="15.75" customHeight="1" x14ac:dyDescent="0.3">
      <c r="A1017" s="37">
        <v>81907</v>
      </c>
      <c r="B1017" s="409">
        <f t="shared" ref="B1017:C1017" si="1028">($A1017-B$9)/365.25</f>
        <v>142.37097878165639</v>
      </c>
      <c r="C1017" s="409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3525.4531757812501</v>
      </c>
      <c r="H1017" s="25">
        <f>IF(B1017&lt;62,0,'Combined Retirement'!$I$14)</f>
        <v>2192</v>
      </c>
      <c r="I1017" s="25">
        <f>IF(C1017&lt;62,0,'Combined Retirement'!$I$13)</f>
        <v>2420</v>
      </c>
      <c r="J1017" s="25">
        <f t="shared" si="783"/>
        <v>7863.2184191855868</v>
      </c>
      <c r="K1017" s="25">
        <f t="shared" si="784"/>
        <v>20282.026119384056</v>
      </c>
      <c r="L1017" s="25"/>
      <c r="N1017" s="25">
        <f>'Combined Retirement'!$C$18/12</f>
        <v>39153.069999999992</v>
      </c>
      <c r="O1017" s="25">
        <f t="shared" si="785"/>
        <v>11007.82546143035</v>
      </c>
      <c r="P1017" s="25">
        <f t="shared" si="786"/>
        <v>28145.244538569641</v>
      </c>
      <c r="Q1017" s="25">
        <f t="array" aca="1" ref="Q1017" ca="1">INDEX('Isaac 401k'!L:L,MATCH('Retirement Calculator'!A1017,'Isaac 401k'!N:N,0),0)</f>
        <v>-6204612.4853538657</v>
      </c>
      <c r="R1017" s="25">
        <f t="array" aca="1" ref="R1017" ca="1">INDEX('Lorri 401b'!L:L,MATCH('Retirement Calculator'!A1017,'Lorri 401b'!N:N,0),0)</f>
        <v>-22975284.268382911</v>
      </c>
      <c r="S1017" s="25">
        <f t="shared" ca="1" si="787"/>
        <v>-29179896.753736775</v>
      </c>
    </row>
    <row r="1018" spans="1:19" ht="15.75" customHeight="1" x14ac:dyDescent="0.3">
      <c r="A1018" s="37">
        <v>81937</v>
      </c>
      <c r="B1018" s="409">
        <f t="shared" ref="B1018:C1018" si="1029">($A1018-B$9)/365.25</f>
        <v>142.45311430527036</v>
      </c>
      <c r="C1018" s="409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3525.4531757812501</v>
      </c>
      <c r="H1018" s="25">
        <f>IF(B1018&lt;62,0,'Combined Retirement'!$I$14)</f>
        <v>2192</v>
      </c>
      <c r="I1018" s="25">
        <f>IF(C1018&lt;62,0,'Combined Retirement'!$I$13)</f>
        <v>2420</v>
      </c>
      <c r="J1018" s="25">
        <f t="shared" si="783"/>
        <v>7863.2184191855868</v>
      </c>
      <c r="K1018" s="25">
        <f t="shared" si="784"/>
        <v>20282.026119384056</v>
      </c>
      <c r="L1018" s="25"/>
      <c r="N1018" s="25">
        <f>'Combined Retirement'!$C$18/12</f>
        <v>39153.069999999992</v>
      </c>
      <c r="O1018" s="25">
        <f t="shared" si="785"/>
        <v>11007.82546143035</v>
      </c>
      <c r="P1018" s="25">
        <f t="shared" si="786"/>
        <v>28145.244538569641</v>
      </c>
      <c r="Q1018" s="25">
        <f t="array" aca="1" ref="Q1018" ca="1">INDEX('Isaac 401k'!L:L,MATCH('Retirement Calculator'!A1018,'Isaac 401k'!N:N,0),0)</f>
        <v>-6238361.0192054389</v>
      </c>
      <c r="R1018" s="25">
        <f t="array" aca="1" ref="R1018" ca="1">INDEX('Lorri 401b'!L:L,MATCH('Retirement Calculator'!A1018,'Lorri 401b'!N:N,0),0)</f>
        <v>-23091381.154062722</v>
      </c>
      <c r="S1018" s="25">
        <f t="shared" ca="1" si="787"/>
        <v>-29329742.173268162</v>
      </c>
    </row>
    <row r="1019" spans="1:19" ht="15.75" customHeight="1" x14ac:dyDescent="0.3">
      <c r="A1019" s="37">
        <v>81968</v>
      </c>
      <c r="B1019" s="409">
        <f t="shared" ref="B1019:C1019" si="1030">($A1019-B$9)/365.25</f>
        <v>142.53798767967146</v>
      </c>
      <c r="C1019" s="409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3525.4531757812501</v>
      </c>
      <c r="H1019" s="25">
        <f>IF(B1019&lt;62,0,'Combined Retirement'!$I$14)</f>
        <v>2192</v>
      </c>
      <c r="I1019" s="25">
        <f>IF(C1019&lt;62,0,'Combined Retirement'!$I$13)</f>
        <v>2420</v>
      </c>
      <c r="J1019" s="25">
        <f t="shared" si="783"/>
        <v>7863.2184191855868</v>
      </c>
      <c r="K1019" s="25">
        <f t="shared" si="784"/>
        <v>20282.026119384056</v>
      </c>
      <c r="L1019" s="25"/>
      <c r="N1019" s="25">
        <f>'Combined Retirement'!$C$18/12</f>
        <v>39153.069999999992</v>
      </c>
      <c r="O1019" s="25">
        <f t="shared" si="785"/>
        <v>11007.82546143035</v>
      </c>
      <c r="P1019" s="25">
        <f t="shared" si="786"/>
        <v>28145.244538569641</v>
      </c>
      <c r="Q1019" s="25">
        <f t="array" aca="1" ref="Q1019" ca="1">INDEX('Isaac 401k'!L:L,MATCH('Retirement Calculator'!A1019,'Isaac 401k'!N:N,0),0)</f>
        <v>-6272250.1719480604</v>
      </c>
      <c r="R1019" s="25">
        <f t="array" aca="1" ref="R1019" ca="1">INDEX('Lorri 401b'!L:L,MATCH('Retirement Calculator'!A1019,'Lorri 401b'!N:N,0),0)</f>
        <v>-23207961.7767662</v>
      </c>
      <c r="S1019" s="25">
        <f t="shared" ca="1" si="787"/>
        <v>-29480211.94871426</v>
      </c>
    </row>
    <row r="1020" spans="1:19" ht="15.75" customHeight="1" x14ac:dyDescent="0.3">
      <c r="A1020" s="37">
        <v>81998</v>
      </c>
      <c r="B1020" s="409">
        <f t="shared" ref="B1020:C1020" si="1031">($A1020-B$9)/365.25</f>
        <v>142.62012320328543</v>
      </c>
      <c r="C1020" s="409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3525.4531757812501</v>
      </c>
      <c r="H1020" s="25">
        <f>IF(B1020&lt;62,0,'Combined Retirement'!$I$14)</f>
        <v>2192</v>
      </c>
      <c r="I1020" s="25">
        <f>IF(C1020&lt;62,0,'Combined Retirement'!$I$13)</f>
        <v>2420</v>
      </c>
      <c r="J1020" s="25">
        <f t="shared" si="783"/>
        <v>7863.2184191855868</v>
      </c>
      <c r="K1020" s="25">
        <f t="shared" si="784"/>
        <v>20282.026119384056</v>
      </c>
      <c r="L1020" s="25"/>
      <c r="N1020" s="25">
        <f>'Combined Retirement'!$C$18/12</f>
        <v>39153.069999999992</v>
      </c>
      <c r="O1020" s="25">
        <f t="shared" si="785"/>
        <v>11007.82546143035</v>
      </c>
      <c r="P1020" s="25">
        <f t="shared" si="786"/>
        <v>28145.244538569641</v>
      </c>
      <c r="Q1020" s="25">
        <f t="array" aca="1" ref="Q1020" ca="1">INDEX('Isaac 401k'!L:L,MATCH('Retirement Calculator'!A1020,'Isaac 401k'!N:N,0),0)</f>
        <v>-6306280.5294937762</v>
      </c>
      <c r="R1020" s="25">
        <f t="array" aca="1" ref="R1020" ca="1">INDEX('Lorri 401b'!L:L,MATCH('Retirement Calculator'!A1020,'Lorri 401b'!N:N,0),0)</f>
        <v>-23325028.152064275</v>
      </c>
      <c r="S1020" s="25">
        <f t="shared" ca="1" si="787"/>
        <v>-29631308.68155805</v>
      </c>
    </row>
    <row r="1021" spans="1:19" ht="15.75" customHeight="1" x14ac:dyDescent="0.3">
      <c r="A1021" s="37">
        <v>82029</v>
      </c>
      <c r="B1021" s="409">
        <f t="shared" ref="B1021:C1021" si="1032">($A1021-B$9)/365.25</f>
        <v>142.70499657768653</v>
      </c>
      <c r="C1021" s="409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3525.4531757812501</v>
      </c>
      <c r="H1021" s="25">
        <f>IF(B1021&lt;62,0,'Combined Retirement'!$I$14)</f>
        <v>2192</v>
      </c>
      <c r="I1021" s="25">
        <f>IF(C1021&lt;62,0,'Combined Retirement'!$I$13)</f>
        <v>2420</v>
      </c>
      <c r="J1021" s="25">
        <f t="shared" si="783"/>
        <v>7863.2184191855868</v>
      </c>
      <c r="K1021" s="25">
        <f t="shared" si="784"/>
        <v>20282.026119384056</v>
      </c>
      <c r="L1021" s="25"/>
      <c r="N1021" s="25">
        <f>'Combined Retirement'!$C$18/12</f>
        <v>39153.069999999992</v>
      </c>
      <c r="O1021" s="25">
        <f t="shared" si="785"/>
        <v>11007.82546143035</v>
      </c>
      <c r="P1021" s="25">
        <f t="shared" si="786"/>
        <v>28145.244538569641</v>
      </c>
      <c r="Q1021" s="25">
        <f t="array" aca="1" ref="Q1021" ca="1">INDEX('Isaac 401k'!L:L,MATCH('Retirement Calculator'!A1021,'Isaac 401k'!N:N,0),0)</f>
        <v>-6340452.6801959323</v>
      </c>
      <c r="R1021" s="25">
        <f t="array" aca="1" ref="R1021" ca="1">INDEX('Lorri 401b'!L:L,MATCH('Retirement Calculator'!A1021,'Lorri 401b'!N:N,0),0)</f>
        <v>-23442582.303926092</v>
      </c>
      <c r="S1021" s="25">
        <f t="shared" ca="1" si="787"/>
        <v>-29783034.984122023</v>
      </c>
    </row>
    <row r="1022" spans="1:19" ht="15.75" customHeight="1" x14ac:dyDescent="0.3">
      <c r="A1022" s="37">
        <v>82060</v>
      </c>
      <c r="B1022" s="409">
        <f t="shared" ref="B1022:C1022" si="1033">($A1022-B$9)/365.25</f>
        <v>142.7898699520876</v>
      </c>
      <c r="C1022" s="409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3525.4531757812501</v>
      </c>
      <c r="H1022" s="25">
        <f>IF(B1022&lt;62,0,'Combined Retirement'!$I$14)</f>
        <v>2192</v>
      </c>
      <c r="I1022" s="25">
        <f>IF(C1022&lt;62,0,'Combined Retirement'!$I$13)</f>
        <v>2420</v>
      </c>
      <c r="J1022" s="25">
        <f t="shared" si="783"/>
        <v>7863.2184191855868</v>
      </c>
      <c r="K1022" s="25">
        <f t="shared" si="784"/>
        <v>20282.026119384056</v>
      </c>
      <c r="L1022" s="25"/>
      <c r="N1022" s="25">
        <f>'Combined Retirement'!$C$18/12</f>
        <v>39153.069999999992</v>
      </c>
      <c r="O1022" s="25">
        <f t="shared" si="785"/>
        <v>11007.82546143035</v>
      </c>
      <c r="P1022" s="25">
        <f t="shared" si="786"/>
        <v>28145.244538569641</v>
      </c>
      <c r="Q1022" s="25">
        <f t="array" aca="1" ref="Q1022" ca="1">INDEX('Isaac 401k'!L:L,MATCH('Retirement Calculator'!A1022,'Isaac 401k'!N:N,0),0)</f>
        <v>-6374767.2148593478</v>
      </c>
      <c r="R1022" s="25">
        <f t="array" aca="1" ref="R1022" ca="1">INDEX('Lorri 401b'!L:L,MATCH('Retirement Calculator'!A1022,'Lorri 401b'!N:N,0),0)</f>
        <v>-23560626.264754001</v>
      </c>
      <c r="S1022" s="25">
        <f t="shared" ca="1" si="787"/>
        <v>-29935393.479613349</v>
      </c>
    </row>
    <row r="1023" spans="1:19" ht="15.75" customHeight="1" x14ac:dyDescent="0.3">
      <c r="A1023" s="37">
        <v>82090</v>
      </c>
      <c r="B1023" s="409">
        <f t="shared" ref="B1023:C1023" si="1034">($A1023-B$9)/365.25</f>
        <v>142.87200547570157</v>
      </c>
      <c r="C1023" s="409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3525.4531757812501</v>
      </c>
      <c r="H1023" s="25">
        <f>IF(B1023&lt;62,0,'Combined Retirement'!$I$14)</f>
        <v>2192</v>
      </c>
      <c r="I1023" s="25">
        <f>IF(C1023&lt;62,0,'Combined Retirement'!$I$13)</f>
        <v>2420</v>
      </c>
      <c r="J1023" s="25">
        <f t="shared" si="783"/>
        <v>7863.2184191855868</v>
      </c>
      <c r="K1023" s="25">
        <f t="shared" si="784"/>
        <v>20282.026119384056</v>
      </c>
      <c r="L1023" s="25"/>
      <c r="N1023" s="25">
        <f>'Combined Retirement'!$C$18/12</f>
        <v>39153.069999999992</v>
      </c>
      <c r="O1023" s="25">
        <f t="shared" si="785"/>
        <v>11007.82546143035</v>
      </c>
      <c r="P1023" s="25">
        <f t="shared" si="786"/>
        <v>28145.244538569641</v>
      </c>
      <c r="Q1023" s="25">
        <f t="array" aca="1" ref="Q1023" ca="1">INDEX('Isaac 401k'!L:L,MATCH('Retirement Calculator'!A1023,'Isaac 401k'!N:N,0),0)</f>
        <v>-6409224.7267505275</v>
      </c>
      <c r="R1023" s="25">
        <f t="array" aca="1" ref="R1023" ca="1">INDEX('Lorri 401b'!L:L,MATCH('Retirement Calculator'!A1023,'Lorri 401b'!N:N,0),0)</f>
        <v>-23679162.075418692</v>
      </c>
      <c r="S1023" s="25">
        <f t="shared" ca="1" si="787"/>
        <v>-30088386.802169219</v>
      </c>
    </row>
    <row r="1024" spans="1:19" ht="15.75" customHeight="1" x14ac:dyDescent="0.3">
      <c r="A1024" s="37">
        <v>82121</v>
      </c>
      <c r="B1024" s="409">
        <f t="shared" ref="B1024:C1024" si="1035">($A1024-B$9)/365.25</f>
        <v>142.95687885010267</v>
      </c>
      <c r="C1024" s="409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3525.4531757812501</v>
      </c>
      <c r="H1024" s="25">
        <f>IF(B1024&lt;62,0,'Combined Retirement'!$I$14)</f>
        <v>2192</v>
      </c>
      <c r="I1024" s="25">
        <f>IF(C1024&lt;62,0,'Combined Retirement'!$I$13)</f>
        <v>2420</v>
      </c>
      <c r="J1024" s="25">
        <f t="shared" si="783"/>
        <v>7863.2184191855868</v>
      </c>
      <c r="K1024" s="25">
        <f t="shared" si="784"/>
        <v>20282.026119384056</v>
      </c>
      <c r="L1024" s="25"/>
      <c r="N1024" s="25">
        <f>'Combined Retirement'!$C$18/12</f>
        <v>39153.069999999992</v>
      </c>
      <c r="O1024" s="25">
        <f t="shared" si="785"/>
        <v>11007.82546143035</v>
      </c>
      <c r="P1024" s="25">
        <f t="shared" si="786"/>
        <v>28145.244538569641</v>
      </c>
      <c r="Q1024" s="25">
        <f t="array" aca="1" ref="Q1024" ca="1">INDEX('Isaac 401k'!L:L,MATCH('Retirement Calculator'!A1024,'Isaac 401k'!N:N,0),0)</f>
        <v>-6443825.8116079206</v>
      </c>
      <c r="R1024" s="25">
        <f t="array" aca="1" ref="R1024" ca="1">INDEX('Lorri 401b'!L:L,MATCH('Retirement Calculator'!A1024,'Lorri 401b'!N:N,0),0)</f>
        <v>-23798191.785294484</v>
      </c>
      <c r="S1024" s="25">
        <f t="shared" ca="1" si="787"/>
        <v>-30242017.596902404</v>
      </c>
    </row>
    <row r="1025" spans="1:19" ht="15.75" customHeight="1" x14ac:dyDescent="0.3">
      <c r="A1025" s="37">
        <v>82151</v>
      </c>
      <c r="B1025" s="409">
        <f t="shared" ref="B1025:C1025" si="1036">($A1025-B$9)/365.25</f>
        <v>143.03901437371664</v>
      </c>
      <c r="C1025" s="409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3525.4531757812501</v>
      </c>
      <c r="H1025" s="25">
        <f>IF(B1025&lt;62,0,'Combined Retirement'!$I$14)</f>
        <v>2192</v>
      </c>
      <c r="I1025" s="25">
        <f>IF(C1025&lt;62,0,'Combined Retirement'!$I$13)</f>
        <v>2420</v>
      </c>
      <c r="J1025" s="25">
        <f t="shared" si="783"/>
        <v>7863.2184191855868</v>
      </c>
      <c r="K1025" s="25">
        <f t="shared" si="784"/>
        <v>20282.026119384056</v>
      </c>
      <c r="L1025" s="25"/>
      <c r="N1025" s="25">
        <f>'Combined Retirement'!$C$18/12</f>
        <v>39153.069999999992</v>
      </c>
      <c r="O1025" s="25">
        <f t="shared" si="785"/>
        <v>11007.82546143035</v>
      </c>
      <c r="P1025" s="25">
        <f t="shared" si="786"/>
        <v>28145.244538569641</v>
      </c>
      <c r="Q1025" s="25">
        <f t="array" aca="1" ref="Q1025" ca="1">INDEX('Isaac 401k'!L:L,MATCH('Retirement Calculator'!A1025,'Isaac 401k'!N:N,0),0)</f>
        <v>-6478571.067652219</v>
      </c>
      <c r="R1025" s="25">
        <f t="array" aca="1" ref="R1025" ca="1">INDEX('Lorri 401b'!L:L,MATCH('Retirement Calculator'!A1025,'Lorri 401b'!N:N,0),0)</f>
        <v>-23917717.452294759</v>
      </c>
      <c r="S1025" s="25">
        <f t="shared" ca="1" si="787"/>
        <v>-30396288.519946977</v>
      </c>
    </row>
    <row r="1026" spans="1:19" ht="15.75" customHeight="1" x14ac:dyDescent="0.3">
      <c r="A1026" s="37">
        <v>82182</v>
      </c>
      <c r="B1026" s="409">
        <f t="shared" ref="B1026:C1026" si="1037">($A1026-B$9)/365.25</f>
        <v>143.12388774811774</v>
      </c>
      <c r="C1026" s="409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3525.4531757812501</v>
      </c>
      <c r="H1026" s="25">
        <f>IF(B1026&lt;62,0,'Combined Retirement'!$I$14)</f>
        <v>2192</v>
      </c>
      <c r="I1026" s="25">
        <f>IF(C1026&lt;62,0,'Combined Retirement'!$I$13)</f>
        <v>2420</v>
      </c>
      <c r="J1026" s="25">
        <f t="shared" si="783"/>
        <v>7863.2184191855868</v>
      </c>
      <c r="K1026" s="25">
        <f t="shared" si="784"/>
        <v>20282.026119384056</v>
      </c>
      <c r="L1026" s="25"/>
      <c r="N1026" s="25">
        <f>'Combined Retirement'!$C$18/12</f>
        <v>39153.069999999992</v>
      </c>
      <c r="O1026" s="25">
        <f t="shared" si="785"/>
        <v>11007.82546143035</v>
      </c>
      <c r="P1026" s="25">
        <f t="shared" si="786"/>
        <v>28145.244538569641</v>
      </c>
      <c r="Q1026" s="25">
        <f t="array" aca="1" ref="Q1026" ca="1">INDEX('Isaac 401k'!L:L,MATCH('Retirement Calculator'!A1026,'Isaac 401k'!N:N,0),0)</f>
        <v>-6513461.0955967028</v>
      </c>
      <c r="R1026" s="25">
        <f t="array" aca="1" ref="R1026" ca="1">INDEX('Lorri 401b'!L:L,MATCH('Retirement Calculator'!A1026,'Lorri 401b'!N:N,0),0)</f>
        <v>-24037741.142907538</v>
      </c>
      <c r="S1026" s="25">
        <f t="shared" ca="1" si="787"/>
        <v>-30551202.238504238</v>
      </c>
    </row>
    <row r="1027" spans="1:19" ht="15.75" customHeight="1" x14ac:dyDescent="0.3">
      <c r="A1027" s="37">
        <v>82213</v>
      </c>
      <c r="B1027" s="409">
        <f t="shared" ref="B1027:C1027" si="1038">($A1027-B$9)/365.25</f>
        <v>143.20876112251884</v>
      </c>
      <c r="C1027" s="409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3525.4531757812501</v>
      </c>
      <c r="H1027" s="25">
        <f>IF(B1027&lt;62,0,'Combined Retirement'!$I$14)</f>
        <v>2192</v>
      </c>
      <c r="I1027" s="25">
        <f>IF(C1027&lt;62,0,'Combined Retirement'!$I$13)</f>
        <v>2420</v>
      </c>
      <c r="J1027" s="25">
        <f t="shared" si="783"/>
        <v>7863.2184191855868</v>
      </c>
      <c r="K1027" s="25">
        <f t="shared" si="784"/>
        <v>20282.026119384056</v>
      </c>
      <c r="L1027" s="25"/>
      <c r="N1027" s="25">
        <f>'Combined Retirement'!$C$18/12</f>
        <v>39153.069999999992</v>
      </c>
      <c r="O1027" s="25">
        <f t="shared" si="785"/>
        <v>11007.82546143035</v>
      </c>
      <c r="P1027" s="25">
        <f t="shared" si="786"/>
        <v>28145.244538569641</v>
      </c>
      <c r="Q1027" s="25">
        <f t="array" aca="1" ref="Q1027" ca="1">INDEX('Isaac 401k'!L:L,MATCH('Retirement Calculator'!A1027,'Isaac 401k'!N:N,0),0)</f>
        <v>-6548496.4986576214</v>
      </c>
      <c r="R1027" s="25">
        <f t="array" aca="1" ref="R1027" ca="1">INDEX('Lorri 401b'!L:L,MATCH('Retirement Calculator'!A1027,'Lorri 401b'!N:N,0),0)</f>
        <v>-24158264.932231203</v>
      </c>
      <c r="S1027" s="25">
        <f t="shared" ca="1" si="787"/>
        <v>-30706761.430888824</v>
      </c>
    </row>
    <row r="1028" spans="1:19" ht="15.75" customHeight="1" x14ac:dyDescent="0.3">
      <c r="A1028" s="37">
        <v>82241</v>
      </c>
      <c r="B1028" s="409">
        <f t="shared" ref="B1028:C1028" si="1039">($A1028-B$9)/365.25</f>
        <v>143.28542094455852</v>
      </c>
      <c r="C1028" s="409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3525.4531757812501</v>
      </c>
      <c r="H1028" s="25">
        <f>IF(B1028&lt;62,0,'Combined Retirement'!$I$14)</f>
        <v>2192</v>
      </c>
      <c r="I1028" s="25">
        <f>IF(C1028&lt;62,0,'Combined Retirement'!$I$13)</f>
        <v>2420</v>
      </c>
      <c r="J1028" s="25">
        <f t="shared" si="783"/>
        <v>7863.2184191855868</v>
      </c>
      <c r="K1028" s="25">
        <f t="shared" si="784"/>
        <v>20282.026119384056</v>
      </c>
      <c r="L1028" s="25"/>
      <c r="N1028" s="25">
        <f>'Combined Retirement'!$C$18/12</f>
        <v>39153.069999999992</v>
      </c>
      <c r="O1028" s="25">
        <f t="shared" si="785"/>
        <v>11007.82546143035</v>
      </c>
      <c r="P1028" s="25">
        <f t="shared" si="786"/>
        <v>28145.244538569641</v>
      </c>
      <c r="Q1028" s="25">
        <f t="array" aca="1" ref="Q1028" ca="1">INDEX('Isaac 401k'!L:L,MATCH('Retirement Calculator'!A1028,'Isaac 401k'!N:N,0),0)</f>
        <v>-6583677.8825646276</v>
      </c>
      <c r="R1028" s="25">
        <f t="array" aca="1" ref="R1028" ca="1">INDEX('Lorri 401b'!L:L,MATCH('Retirement Calculator'!A1028,'Lorri 401b'!N:N,0),0)</f>
        <v>-24279290.904010382</v>
      </c>
      <c r="S1028" s="25">
        <f t="shared" ca="1" si="787"/>
        <v>-30862968.786575008</v>
      </c>
    </row>
    <row r="1029" spans="1:19" ht="15.75" customHeight="1" x14ac:dyDescent="0.3">
      <c r="A1029" s="37">
        <v>82272</v>
      </c>
      <c r="B1029" s="409">
        <f t="shared" ref="B1029:C1029" si="1040">($A1029-B$9)/365.25</f>
        <v>143.37029431895962</v>
      </c>
      <c r="C1029" s="409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3525.4531757812501</v>
      </c>
      <c r="H1029" s="25">
        <f>IF(B1029&lt;62,0,'Combined Retirement'!$I$14)</f>
        <v>2192</v>
      </c>
      <c r="I1029" s="25">
        <f>IF(C1029&lt;62,0,'Combined Retirement'!$I$13)</f>
        <v>2420</v>
      </c>
      <c r="J1029" s="25">
        <f t="shared" si="783"/>
        <v>7863.2184191855868</v>
      </c>
      <c r="K1029" s="25">
        <f t="shared" si="784"/>
        <v>20282.026119384056</v>
      </c>
      <c r="L1029" s="25"/>
      <c r="N1029" s="25">
        <f>'Combined Retirement'!$C$18/12</f>
        <v>39153.069999999992</v>
      </c>
      <c r="O1029" s="25">
        <f t="shared" si="785"/>
        <v>11007.82546143035</v>
      </c>
      <c r="P1029" s="25">
        <f t="shared" si="786"/>
        <v>28145.244538569641</v>
      </c>
      <c r="Q1029" s="25">
        <f t="array" aca="1" ref="Q1029" ca="1">INDEX('Isaac 401k'!L:L,MATCH('Retirement Calculator'!A1029,'Isaac 401k'!N:N,0),0)</f>
        <v>-6619005.8555712458</v>
      </c>
      <c r="R1029" s="25">
        <f t="array" aca="1" ref="R1029" ca="1">INDEX('Lorri 401b'!L:L,MATCH('Retirement Calculator'!A1029,'Lorri 401b'!N:N,0),0)</f>
        <v>-24400821.150671974</v>
      </c>
      <c r="S1029" s="25">
        <f t="shared" ca="1" si="787"/>
        <v>-31019827.006243221</v>
      </c>
    </row>
    <row r="1030" spans="1:19" ht="15.75" customHeight="1" x14ac:dyDescent="0.3">
      <c r="A1030" s="37">
        <v>82302</v>
      </c>
      <c r="B1030" s="409">
        <f t="shared" ref="B1030:C1030" si="1041">($A1030-B$9)/365.25</f>
        <v>143.45242984257359</v>
      </c>
      <c r="C1030" s="409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3525.4531757812501</v>
      </c>
      <c r="H1030" s="25">
        <f>IF(B1030&lt;62,0,'Combined Retirement'!$I$14)</f>
        <v>2192</v>
      </c>
      <c r="I1030" s="25">
        <f>IF(C1030&lt;62,0,'Combined Retirement'!$I$13)</f>
        <v>2420</v>
      </c>
      <c r="J1030" s="25">
        <f t="shared" si="783"/>
        <v>7863.2184191855868</v>
      </c>
      <c r="K1030" s="25">
        <f t="shared" si="784"/>
        <v>20282.026119384056</v>
      </c>
      <c r="L1030" s="25"/>
      <c r="N1030" s="25">
        <f>'Combined Retirement'!$C$18/12</f>
        <v>39153.069999999992</v>
      </c>
      <c r="O1030" s="25">
        <f t="shared" si="785"/>
        <v>11007.82546143035</v>
      </c>
      <c r="P1030" s="25">
        <f t="shared" si="786"/>
        <v>28145.244538569641</v>
      </c>
      <c r="Q1030" s="25">
        <f t="array" aca="1" ref="Q1030" ca="1">INDEX('Isaac 401k'!L:L,MATCH('Retirement Calculator'!A1030,'Isaac 401k'!N:N,0),0)</f>
        <v>-6654481.0284653921</v>
      </c>
      <c r="R1030" s="25">
        <f t="array" aca="1" ref="R1030" ca="1">INDEX('Lorri 401b'!L:L,MATCH('Retirement Calculator'!A1030,'Lorri 401b'!N:N,0),0)</f>
        <v>-24522857.773361322</v>
      </c>
      <c r="S1030" s="25">
        <f t="shared" ca="1" si="787"/>
        <v>-31177338.801826715</v>
      </c>
    </row>
    <row r="1031" spans="1:19" ht="15.75" customHeight="1" x14ac:dyDescent="0.3">
      <c r="A1031" s="37">
        <v>82333</v>
      </c>
      <c r="B1031" s="409">
        <f t="shared" ref="B1031:C1031" si="1042">($A1031-B$9)/365.25</f>
        <v>143.53730321697466</v>
      </c>
      <c r="C1031" s="409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3525.4531757812501</v>
      </c>
      <c r="H1031" s="25">
        <f>IF(B1031&lt;62,0,'Combined Retirement'!$I$14)</f>
        <v>2192</v>
      </c>
      <c r="I1031" s="25">
        <f>IF(C1031&lt;62,0,'Combined Retirement'!$I$13)</f>
        <v>2420</v>
      </c>
      <c r="J1031" s="25">
        <f t="shared" ref="J1031:J1171" si="1043">IF(C1031&lt;59.5,P1031,P1031*$J$7)</f>
        <v>7863.2184191855868</v>
      </c>
      <c r="K1031" s="25">
        <f t="shared" ref="K1031:K1171" si="1044">IF(C1031&lt;59.5,0,IF(C1031&lt;$B$7,0,P1031*$K$7))</f>
        <v>20282.026119384056</v>
      </c>
      <c r="L1031" s="25"/>
      <c r="N1031" s="25">
        <f>'Combined Retirement'!$C$18/12</f>
        <v>39153.069999999992</v>
      </c>
      <c r="O1031" s="25">
        <f t="shared" ref="O1031:O1171" si="1045">SUM(E1031:I1031)</f>
        <v>11007.82546143035</v>
      </c>
      <c r="P1031" s="25">
        <f t="shared" ref="P1031:P1171" si="1046">N1031-O1031</f>
        <v>28145.244538569641</v>
      </c>
      <c r="Q1031" s="25">
        <f t="array" aca="1" ref="Q1031" ca="1">INDEX('Isaac 401k'!L:L,MATCH('Retirement Calculator'!A1031,'Isaac 401k'!N:N,0),0)</f>
        <v>-6690104.0145799303</v>
      </c>
      <c r="R1031" s="25">
        <f t="array" aca="1" ref="R1031" ca="1">INDEX('Lorri 401b'!L:L,MATCH('Retirement Calculator'!A1031,'Lorri 401b'!N:N,0),0)</f>
        <v>-24645402.881978542</v>
      </c>
      <c r="S1031" s="25">
        <f t="shared" ref="S1031:S1171" ca="1" si="1047">SUM(Q1031:R1031)</f>
        <v>-31335506.896558471</v>
      </c>
    </row>
    <row r="1032" spans="1:19" ht="15.75" customHeight="1" x14ac:dyDescent="0.3">
      <c r="A1032" s="37">
        <v>82363</v>
      </c>
      <c r="B1032" s="409">
        <f t="shared" ref="B1032:C1032" si="1048">($A1032-B$9)/365.25</f>
        <v>143.61943874058863</v>
      </c>
      <c r="C1032" s="409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3525.4531757812501</v>
      </c>
      <c r="H1032" s="25">
        <f>IF(B1032&lt;62,0,'Combined Retirement'!$I$14)</f>
        <v>2192</v>
      </c>
      <c r="I1032" s="25">
        <f>IF(C1032&lt;62,0,'Combined Retirement'!$I$13)</f>
        <v>2420</v>
      </c>
      <c r="J1032" s="25">
        <f t="shared" si="1043"/>
        <v>7863.2184191855868</v>
      </c>
      <c r="K1032" s="25">
        <f t="shared" si="1044"/>
        <v>20282.026119384056</v>
      </c>
      <c r="L1032" s="25"/>
      <c r="N1032" s="25">
        <f>'Combined Retirement'!$C$18/12</f>
        <v>39153.069999999992</v>
      </c>
      <c r="O1032" s="25">
        <f t="shared" si="1045"/>
        <v>11007.82546143035</v>
      </c>
      <c r="P1032" s="25">
        <f t="shared" si="1046"/>
        <v>28145.244538569641</v>
      </c>
      <c r="Q1032" s="25">
        <f t="array" aca="1" ref="Q1032" ca="1">INDEX('Isaac 401k'!L:L,MATCH('Retirement Calculator'!A1032,'Isaac 401k'!N:N,0),0)</f>
        <v>-6725875.4298032792</v>
      </c>
      <c r="R1032" s="25">
        <f t="array" aca="1" ref="R1032" ca="1">INDEX('Lorri 401b'!L:L,MATCH('Retirement Calculator'!A1032,'Lorri 401b'!N:N,0),0)</f>
        <v>-24768458.595215</v>
      </c>
      <c r="S1032" s="25">
        <f t="shared" ca="1" si="1047"/>
        <v>-31494334.025018279</v>
      </c>
    </row>
    <row r="1033" spans="1:19" ht="15.75" customHeight="1" x14ac:dyDescent="0.3">
      <c r="A1033" s="37">
        <v>82394</v>
      </c>
      <c r="B1033" s="409">
        <f t="shared" ref="B1033:C1033" si="1049">($A1033-B$9)/365.25</f>
        <v>143.70431211498973</v>
      </c>
      <c r="C1033" s="409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3525.4531757812501</v>
      </c>
      <c r="H1033" s="25">
        <f>IF(B1033&lt;62,0,'Combined Retirement'!$I$14)</f>
        <v>2192</v>
      </c>
      <c r="I1033" s="25">
        <f>IF(C1033&lt;62,0,'Combined Retirement'!$I$13)</f>
        <v>2420</v>
      </c>
      <c r="J1033" s="25">
        <f t="shared" si="1043"/>
        <v>7863.2184191855868</v>
      </c>
      <c r="K1033" s="25">
        <f t="shared" si="1044"/>
        <v>20282.026119384056</v>
      </c>
      <c r="L1033" s="25"/>
      <c r="N1033" s="25">
        <f>'Combined Retirement'!$C$18/12</f>
        <v>39153.069999999992</v>
      </c>
      <c r="O1033" s="25">
        <f t="shared" si="1045"/>
        <v>11007.82546143035</v>
      </c>
      <c r="P1033" s="25">
        <f t="shared" si="1046"/>
        <v>28145.244538569641</v>
      </c>
      <c r="Q1033" s="25">
        <f t="array" aca="1" ref="Q1033" ca="1">INDEX('Isaac 401k'!L:L,MATCH('Retirement Calculator'!A1033,'Isaac 401k'!N:N,0),0)</f>
        <v>-6761795.892590059</v>
      </c>
      <c r="R1033" s="25">
        <f t="array" aca="1" ref="R1033" ca="1">INDEX('Lorri 401b'!L:L,MATCH('Retirement Calculator'!A1033,'Lorri 401b'!N:N,0),0)</f>
        <v>-24892027.040589944</v>
      </c>
      <c r="S1033" s="25">
        <f t="shared" ca="1" si="1047"/>
        <v>-31653822.933180004</v>
      </c>
    </row>
    <row r="1034" spans="1:19" ht="15.75" customHeight="1" x14ac:dyDescent="0.3">
      <c r="A1034" s="37">
        <v>82425</v>
      </c>
      <c r="B1034" s="409">
        <f t="shared" ref="B1034:C1034" si="1050">($A1034-B$9)/365.25</f>
        <v>143.78918548939083</v>
      </c>
      <c r="C1034" s="409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3525.4531757812501</v>
      </c>
      <c r="H1034" s="25">
        <f>IF(B1034&lt;62,0,'Combined Retirement'!$I$14)</f>
        <v>2192</v>
      </c>
      <c r="I1034" s="25">
        <f>IF(C1034&lt;62,0,'Combined Retirement'!$I$13)</f>
        <v>2420</v>
      </c>
      <c r="J1034" s="25">
        <f t="shared" si="1043"/>
        <v>7863.2184191855868</v>
      </c>
      <c r="K1034" s="25">
        <f t="shared" si="1044"/>
        <v>20282.026119384056</v>
      </c>
      <c r="L1034" s="25"/>
      <c r="N1034" s="25">
        <f>'Combined Retirement'!$C$18/12</f>
        <v>39153.069999999992</v>
      </c>
      <c r="O1034" s="25">
        <f t="shared" si="1045"/>
        <v>11007.82546143035</v>
      </c>
      <c r="P1034" s="25">
        <f t="shared" si="1046"/>
        <v>28145.244538569641</v>
      </c>
      <c r="Q1034" s="25">
        <f t="array" aca="1" ref="Q1034" ca="1">INDEX('Isaac 401k'!L:L,MATCH('Retirement Calculator'!A1034,'Isaac 401k'!N:N,0),0)</f>
        <v>-6797866.023971783</v>
      </c>
      <c r="R1034" s="25">
        <f t="array" aca="1" ref="R1034" ca="1">INDEX('Lorri 401b'!L:L,MATCH('Retirement Calculator'!A1034,'Lorri 401b'!N:N,0),0)</f>
        <v>-25016110.354487285</v>
      </c>
      <c r="S1034" s="25">
        <f t="shared" ca="1" si="1047"/>
        <v>-31813976.378459066</v>
      </c>
    </row>
    <row r="1035" spans="1:19" ht="15.75" customHeight="1" x14ac:dyDescent="0.3">
      <c r="A1035" s="37">
        <v>82455</v>
      </c>
      <c r="B1035" s="409">
        <f t="shared" ref="B1035:C1035" si="1051">($A1035-B$9)/365.25</f>
        <v>143.8713210130048</v>
      </c>
      <c r="C1035" s="409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3525.4531757812501</v>
      </c>
      <c r="H1035" s="25">
        <f>IF(B1035&lt;62,0,'Combined Retirement'!$I$14)</f>
        <v>2192</v>
      </c>
      <c r="I1035" s="25">
        <f>IF(C1035&lt;62,0,'Combined Retirement'!$I$13)</f>
        <v>2420</v>
      </c>
      <c r="J1035" s="25">
        <f t="shared" si="1043"/>
        <v>7863.2184191855868</v>
      </c>
      <c r="K1035" s="25">
        <f t="shared" si="1044"/>
        <v>20282.026119384056</v>
      </c>
      <c r="L1035" s="25"/>
      <c r="N1035" s="25">
        <f>'Combined Retirement'!$C$18/12</f>
        <v>39153.069999999992</v>
      </c>
      <c r="O1035" s="25">
        <f t="shared" si="1045"/>
        <v>11007.82546143035</v>
      </c>
      <c r="P1035" s="25">
        <f t="shared" si="1046"/>
        <v>28145.244538569641</v>
      </c>
      <c r="Q1035" s="25">
        <f t="array" aca="1" ref="Q1035" ca="1">INDEX('Isaac 401k'!L:L,MATCH('Retirement Calculator'!A1035,'Isaac 401k'!N:N,0),0)</f>
        <v>-6834086.447567598</v>
      </c>
      <c r="R1035" s="25">
        <f t="array" aca="1" ref="R1035" ca="1">INDEX('Lorri 401b'!L:L,MATCH('Retirement Calculator'!A1035,'Lorri 401b'!N:N,0),0)</f>
        <v>-25140710.68219253</v>
      </c>
      <c r="S1035" s="25">
        <f t="shared" ca="1" si="1047"/>
        <v>-31974797.129760128</v>
      </c>
    </row>
    <row r="1036" spans="1:19" ht="15.75" customHeight="1" x14ac:dyDescent="0.3">
      <c r="A1036" s="37">
        <v>82486</v>
      </c>
      <c r="B1036" s="409">
        <f t="shared" ref="B1036:C1036" si="1052">($A1036-B$9)/365.25</f>
        <v>143.95619438740587</v>
      </c>
      <c r="C1036" s="409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3525.4531757812501</v>
      </c>
      <c r="H1036" s="25">
        <f>IF(B1036&lt;62,0,'Combined Retirement'!$I$14)</f>
        <v>2192</v>
      </c>
      <c r="I1036" s="25">
        <f>IF(C1036&lt;62,0,'Combined Retirement'!$I$13)</f>
        <v>2420</v>
      </c>
      <c r="J1036" s="25">
        <f t="shared" si="1043"/>
        <v>7863.2184191855868</v>
      </c>
      <c r="K1036" s="25">
        <f t="shared" si="1044"/>
        <v>20282.026119384056</v>
      </c>
      <c r="L1036" s="25"/>
      <c r="N1036" s="25">
        <f>'Combined Retirement'!$C$18/12</f>
        <v>39153.069999999992</v>
      </c>
      <c r="O1036" s="25">
        <f t="shared" si="1045"/>
        <v>11007.82546143035</v>
      </c>
      <c r="P1036" s="25">
        <f t="shared" si="1046"/>
        <v>28145.244538569641</v>
      </c>
      <c r="Q1036" s="25">
        <f t="array" aca="1" ref="Q1036" ca="1">INDEX('Isaac 401k'!L:L,MATCH('Retirement Calculator'!A1036,'Isaac 401k'!N:N,0),0)</f>
        <v>-6870457.7895950619</v>
      </c>
      <c r="R1036" s="25">
        <f t="array" aca="1" ref="R1036" ca="1">INDEX('Lorri 401b'!L:L,MATCH('Retirement Calculator'!A1036,'Lorri 401b'!N:N,0),0)</f>
        <v>-25265830.177929882</v>
      </c>
      <c r="S1036" s="25">
        <f t="shared" ca="1" si="1047"/>
        <v>-32136287.967524946</v>
      </c>
    </row>
    <row r="1037" spans="1:19" ht="15.75" customHeight="1" x14ac:dyDescent="0.3">
      <c r="A1037" s="37">
        <v>82516</v>
      </c>
      <c r="B1037" s="409">
        <f t="shared" ref="B1037:C1037" si="1053">($A1037-B$9)/365.25</f>
        <v>144.03832991101984</v>
      </c>
      <c r="C1037" s="409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3525.4531757812501</v>
      </c>
      <c r="H1037" s="25">
        <f>IF(B1037&lt;62,0,'Combined Retirement'!$I$14)</f>
        <v>2192</v>
      </c>
      <c r="I1037" s="25">
        <f>IF(C1037&lt;62,0,'Combined Retirement'!$I$13)</f>
        <v>2420</v>
      </c>
      <c r="J1037" s="25">
        <f t="shared" si="1043"/>
        <v>7863.2184191855868</v>
      </c>
      <c r="K1037" s="25">
        <f t="shared" si="1044"/>
        <v>20282.026119384056</v>
      </c>
      <c r="L1037" s="25"/>
      <c r="N1037" s="25">
        <f>'Combined Retirement'!$C$18/12</f>
        <v>39153.069999999992</v>
      </c>
      <c r="O1037" s="25">
        <f t="shared" si="1045"/>
        <v>11007.82546143035</v>
      </c>
      <c r="P1037" s="25">
        <f t="shared" si="1046"/>
        <v>28145.244538569641</v>
      </c>
      <c r="Q1037" s="25">
        <f t="array" aca="1" ref="Q1037" ca="1">INDEX('Isaac 401k'!L:L,MATCH('Retirement Calculator'!A1037,'Isaac 401k'!N:N,0),0)</f>
        <v>-6906980.6788809737</v>
      </c>
      <c r="R1037" s="25">
        <f t="array" aca="1" ref="R1037" ca="1">INDEX('Lorri 401b'!L:L,MATCH('Retirement Calculator'!A1037,'Lorri 401b'!N:N,0),0)</f>
        <v>-25391471.004899472</v>
      </c>
      <c r="S1037" s="25">
        <f t="shared" ca="1" si="1047"/>
        <v>-32298451.683780447</v>
      </c>
    </row>
    <row r="1038" spans="1:19" ht="15.75" customHeight="1" x14ac:dyDescent="0.3">
      <c r="A1038" s="37">
        <v>82547</v>
      </c>
      <c r="B1038" s="409">
        <f t="shared" ref="B1038:C1038" si="1054">($A1038-B$9)/365.25</f>
        <v>144.12320328542094</v>
      </c>
      <c r="C1038" s="409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3525.4531757812501</v>
      </c>
      <c r="H1038" s="25">
        <f>IF(B1038&lt;62,0,'Combined Retirement'!$I$14)</f>
        <v>2192</v>
      </c>
      <c r="I1038" s="25">
        <f>IF(C1038&lt;62,0,'Combined Retirement'!$I$13)</f>
        <v>2420</v>
      </c>
      <c r="J1038" s="25">
        <f t="shared" si="1043"/>
        <v>7863.2184191855868</v>
      </c>
      <c r="K1038" s="25">
        <f t="shared" si="1044"/>
        <v>20282.026119384056</v>
      </c>
      <c r="L1038" s="25"/>
      <c r="N1038" s="25">
        <f>'Combined Retirement'!$C$18/12</f>
        <v>39153.069999999992</v>
      </c>
      <c r="O1038" s="25">
        <f t="shared" si="1045"/>
        <v>11007.82546143035</v>
      </c>
      <c r="P1038" s="25">
        <f t="shared" si="1046"/>
        <v>28145.244538569641</v>
      </c>
      <c r="Q1038" s="25">
        <f t="array" aca="1" ref="Q1038" ca="1">INDEX('Isaac 401k'!L:L,MATCH('Retirement Calculator'!A1038,'Isaac 401k'!N:N,0),0)</f>
        <v>-6943655.7468722435</v>
      </c>
      <c r="R1038" s="25">
        <f t="array" aca="1" ref="R1038" ca="1">INDEX('Lorri 401b'!L:L,MATCH('Retirement Calculator'!A1038,'Lorri 401b'!N:N,0),0)</f>
        <v>-25517635.335314769</v>
      </c>
      <c r="S1038" s="25">
        <f t="shared" ca="1" si="1047"/>
        <v>-32461291.082187012</v>
      </c>
    </row>
    <row r="1039" spans="1:19" ht="15.75" customHeight="1" x14ac:dyDescent="0.3">
      <c r="A1039" s="37">
        <v>82578</v>
      </c>
      <c r="B1039" s="409">
        <f t="shared" ref="B1039:C1039" si="1055">($A1039-B$9)/365.25</f>
        <v>144.20807665982204</v>
      </c>
      <c r="C1039" s="409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3525.4531757812501</v>
      </c>
      <c r="H1039" s="25">
        <f>IF(B1039&lt;62,0,'Combined Retirement'!$I$14)</f>
        <v>2192</v>
      </c>
      <c r="I1039" s="25">
        <f>IF(C1039&lt;62,0,'Combined Retirement'!$I$13)</f>
        <v>2420</v>
      </c>
      <c r="J1039" s="25">
        <f t="shared" si="1043"/>
        <v>7863.2184191855868</v>
      </c>
      <c r="K1039" s="25">
        <f t="shared" si="1044"/>
        <v>20282.026119384056</v>
      </c>
      <c r="L1039" s="25"/>
      <c r="N1039" s="25">
        <f>'Combined Retirement'!$C$18/12</f>
        <v>39153.069999999992</v>
      </c>
      <c r="O1039" s="25">
        <f t="shared" si="1045"/>
        <v>11007.82546143035</v>
      </c>
      <c r="P1039" s="25">
        <f t="shared" si="1046"/>
        <v>28145.244538569641</v>
      </c>
      <c r="Q1039" s="25">
        <f t="array" aca="1" ref="Q1039" ca="1">INDEX('Isaac 401k'!L:L,MATCH('Retirement Calculator'!A1039,'Isaac 401k'!N:N,0),0)</f>
        <v>-6980483.6276468104</v>
      </c>
      <c r="R1039" s="25">
        <f t="array" aca="1" ref="R1039" ca="1">INDEX('Lorri 401b'!L:L,MATCH('Retirement Calculator'!A1039,'Lorri 401b'!N:N,0),0)</f>
        <v>-25644325.35044013</v>
      </c>
      <c r="S1039" s="25">
        <f t="shared" ca="1" si="1047"/>
        <v>-32624808.978086941</v>
      </c>
    </row>
    <row r="1040" spans="1:19" ht="15.75" customHeight="1" x14ac:dyDescent="0.3">
      <c r="A1040" s="37">
        <v>82606</v>
      </c>
      <c r="B1040" s="409">
        <f t="shared" ref="B1040:C1040" si="1056">($A1040-B$9)/365.25</f>
        <v>144.28473648186173</v>
      </c>
      <c r="C1040" s="409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3525.4531757812501</v>
      </c>
      <c r="H1040" s="25">
        <f>IF(B1040&lt;62,0,'Combined Retirement'!$I$14)</f>
        <v>2192</v>
      </c>
      <c r="I1040" s="25">
        <f>IF(C1040&lt;62,0,'Combined Retirement'!$I$13)</f>
        <v>2420</v>
      </c>
      <c r="J1040" s="25">
        <f t="shared" si="1043"/>
        <v>7863.2184191855868</v>
      </c>
      <c r="K1040" s="25">
        <f t="shared" si="1044"/>
        <v>20282.026119384056</v>
      </c>
      <c r="L1040" s="25"/>
      <c r="N1040" s="25">
        <f>'Combined Retirement'!$C$18/12</f>
        <v>39153.069999999992</v>
      </c>
      <c r="O1040" s="25">
        <f t="shared" si="1045"/>
        <v>11007.82546143035</v>
      </c>
      <c r="P1040" s="25">
        <f t="shared" si="1046"/>
        <v>28145.244538569641</v>
      </c>
      <c r="Q1040" s="25">
        <f t="array" aca="1" ref="Q1040" ca="1">INDEX('Isaac 401k'!L:L,MATCH('Retirement Calculator'!A1040,'Isaac 401k'!N:N,0),0)</f>
        <v>-7017464.9579246044</v>
      </c>
      <c r="R1040" s="25">
        <f t="array" aca="1" ref="R1040" ca="1">INDEX('Lorri 401b'!L:L,MATCH('Retirement Calculator'!A1040,'Lorri 401b'!N:N,0),0)</f>
        <v>-25771543.240628511</v>
      </c>
      <c r="S1040" s="25">
        <f t="shared" ca="1" si="1047"/>
        <v>-32789008.198553115</v>
      </c>
    </row>
    <row r="1041" spans="1:19" ht="15.75" customHeight="1" x14ac:dyDescent="0.3">
      <c r="A1041" s="37">
        <v>82637</v>
      </c>
      <c r="B1041" s="409">
        <f t="shared" ref="B1041:C1041" si="1057">($A1041-B$9)/365.25</f>
        <v>144.36960985626283</v>
      </c>
      <c r="C1041" s="409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3525.4531757812501</v>
      </c>
      <c r="H1041" s="25">
        <f>IF(B1041&lt;62,0,'Combined Retirement'!$I$14)</f>
        <v>2192</v>
      </c>
      <c r="I1041" s="25">
        <f>IF(C1041&lt;62,0,'Combined Retirement'!$I$13)</f>
        <v>2420</v>
      </c>
      <c r="J1041" s="25">
        <f t="shared" si="1043"/>
        <v>7863.2184191855868</v>
      </c>
      <c r="K1041" s="25">
        <f t="shared" si="1044"/>
        <v>20282.026119384056</v>
      </c>
      <c r="L1041" s="25"/>
      <c r="N1041" s="25">
        <f>'Combined Retirement'!$C$18/12</f>
        <v>39153.069999999992</v>
      </c>
      <c r="O1041" s="25">
        <f t="shared" si="1045"/>
        <v>11007.82546143035</v>
      </c>
      <c r="P1041" s="25">
        <f t="shared" si="1046"/>
        <v>28145.244538569641</v>
      </c>
      <c r="Q1041" s="25">
        <f t="array" aca="1" ref="Q1041" ca="1">INDEX('Isaac 401k'!L:L,MATCH('Retirement Calculator'!A1041,'Isaac 401k'!N:N,0),0)</f>
        <v>-7054600.3770785565</v>
      </c>
      <c r="R1041" s="25">
        <f t="array" aca="1" ref="R1041" ca="1">INDEX('Lorri 401b'!L:L,MATCH('Retirement Calculator'!A1041,'Lorri 401b'!N:N,0),0)</f>
        <v>-25899291.205359343</v>
      </c>
      <c r="S1041" s="25">
        <f t="shared" ca="1" si="1047"/>
        <v>-32953891.582437899</v>
      </c>
    </row>
    <row r="1042" spans="1:19" ht="15.75" customHeight="1" x14ac:dyDescent="0.3">
      <c r="A1042" s="37">
        <v>82667</v>
      </c>
      <c r="B1042" s="409">
        <f t="shared" ref="B1042:C1042" si="1058">($A1042-B$9)/365.25</f>
        <v>144.4517453798768</v>
      </c>
      <c r="C1042" s="409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3525.4531757812501</v>
      </c>
      <c r="H1042" s="25">
        <f>IF(B1042&lt;62,0,'Combined Retirement'!$I$14)</f>
        <v>2192</v>
      </c>
      <c r="I1042" s="25">
        <f>IF(C1042&lt;62,0,'Combined Retirement'!$I$13)</f>
        <v>2420</v>
      </c>
      <c r="J1042" s="25">
        <f t="shared" si="1043"/>
        <v>7863.2184191855868</v>
      </c>
      <c r="K1042" s="25">
        <f t="shared" si="1044"/>
        <v>20282.026119384056</v>
      </c>
      <c r="L1042" s="25"/>
      <c r="N1042" s="25">
        <f>'Combined Retirement'!$C$18/12</f>
        <v>39153.069999999992</v>
      </c>
      <c r="O1042" s="25">
        <f t="shared" si="1045"/>
        <v>11007.82546143035</v>
      </c>
      <c r="P1042" s="25">
        <f t="shared" si="1046"/>
        <v>28145.244538569641</v>
      </c>
      <c r="Q1042" s="25">
        <f t="array" aca="1" ref="Q1042" ca="1">INDEX('Isaac 401k'!L:L,MATCH('Retirement Calculator'!A1042,'Isaac 401k'!N:N,0),0)</f>
        <v>-7091890.5271456493</v>
      </c>
      <c r="R1042" s="25">
        <f t="array" aca="1" ref="R1042" ca="1">INDEX('Lorri 401b'!L:L,MATCH('Retirement Calculator'!A1042,'Lorri 401b'!N:N,0),0)</f>
        <v>-26027571.453276556</v>
      </c>
      <c r="S1042" s="25">
        <f t="shared" ca="1" si="1047"/>
        <v>-33119461.980422206</v>
      </c>
    </row>
    <row r="1043" spans="1:19" ht="15.75" customHeight="1" x14ac:dyDescent="0.3">
      <c r="A1043" s="37">
        <v>82698</v>
      </c>
      <c r="B1043" s="409">
        <f t="shared" ref="B1043:C1043" si="1059">($A1043-B$9)/365.25</f>
        <v>144.5366187542779</v>
      </c>
      <c r="C1043" s="409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3525.4531757812501</v>
      </c>
      <c r="H1043" s="25">
        <f>IF(B1043&lt;62,0,'Combined Retirement'!$I$14)</f>
        <v>2192</v>
      </c>
      <c r="I1043" s="25">
        <f>IF(C1043&lt;62,0,'Combined Retirement'!$I$13)</f>
        <v>2420</v>
      </c>
      <c r="J1043" s="25">
        <f t="shared" si="1043"/>
        <v>7863.2184191855868</v>
      </c>
      <c r="K1043" s="25">
        <f t="shared" si="1044"/>
        <v>20282.026119384056</v>
      </c>
      <c r="L1043" s="25"/>
      <c r="N1043" s="25">
        <f>'Combined Retirement'!$C$18/12</f>
        <v>39153.069999999992</v>
      </c>
      <c r="O1043" s="25">
        <f t="shared" si="1045"/>
        <v>11007.82546143035</v>
      </c>
      <c r="P1043" s="25">
        <f t="shared" si="1046"/>
        <v>28145.244538569641</v>
      </c>
      <c r="Q1043" s="25">
        <f t="array" aca="1" ref="Q1043" ca="1">INDEX('Isaac 401k'!L:L,MATCH('Retirement Calculator'!A1043,'Isaac 401k'!N:N,0),0)</f>
        <v>-7129336.0528380219</v>
      </c>
      <c r="R1043" s="25">
        <f t="array" aca="1" ref="R1043" ca="1">INDEX('Lorri 401b'!L:L,MATCH('Retirement Calculator'!A1043,'Lorri 401b'!N:N,0),0)</f>
        <v>-26156386.202226758</v>
      </c>
      <c r="S1043" s="25">
        <f t="shared" ca="1" si="1047"/>
        <v>-33285722.255064778</v>
      </c>
    </row>
    <row r="1044" spans="1:19" ht="15.75" customHeight="1" x14ac:dyDescent="0.3">
      <c r="A1044" s="37">
        <v>82728</v>
      </c>
      <c r="B1044" s="409">
        <f t="shared" ref="B1044:C1044" si="1060">($A1044-B$9)/365.25</f>
        <v>144.61875427789187</v>
      </c>
      <c r="C1044" s="409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3525.4531757812501</v>
      </c>
      <c r="H1044" s="25">
        <f>IF(B1044&lt;62,0,'Combined Retirement'!$I$14)</f>
        <v>2192</v>
      </c>
      <c r="I1044" s="25">
        <f>IF(C1044&lt;62,0,'Combined Retirement'!$I$13)</f>
        <v>2420</v>
      </c>
      <c r="J1044" s="25">
        <f t="shared" si="1043"/>
        <v>7863.2184191855868</v>
      </c>
      <c r="K1044" s="25">
        <f t="shared" si="1044"/>
        <v>20282.026119384056</v>
      </c>
      <c r="L1044" s="25"/>
      <c r="N1044" s="25">
        <f>'Combined Retirement'!$C$18/12</f>
        <v>39153.069999999992</v>
      </c>
      <c r="O1044" s="25">
        <f t="shared" si="1045"/>
        <v>11007.82546143035</v>
      </c>
      <c r="P1044" s="25">
        <f t="shared" si="1046"/>
        <v>28145.244538569641</v>
      </c>
      <c r="Q1044" s="25">
        <f t="array" aca="1" ref="Q1044" ca="1">INDEX('Isaac 401k'!L:L,MATCH('Retirement Calculator'!A1044,'Isaac 401k'!N:N,0),0)</f>
        <v>-7166937.6015541125</v>
      </c>
      <c r="R1044" s="25">
        <f t="array" aca="1" ref="R1044" ca="1">INDEX('Lorri 401b'!L:L,MATCH('Retirement Calculator'!A1044,'Lorri 401b'!N:N,0),0)</f>
        <v>-26285737.679297585</v>
      </c>
      <c r="S1044" s="25">
        <f t="shared" ca="1" si="1047"/>
        <v>-33452675.280851699</v>
      </c>
    </row>
    <row r="1045" spans="1:19" ht="15.75" customHeight="1" x14ac:dyDescent="0.3">
      <c r="A1045" s="37">
        <v>82759</v>
      </c>
      <c r="B1045" s="409">
        <f t="shared" ref="B1045:C1045" si="1061">($A1045-B$9)/365.25</f>
        <v>144.70362765229294</v>
      </c>
      <c r="C1045" s="409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3525.4531757812501</v>
      </c>
      <c r="H1045" s="25">
        <f>IF(B1045&lt;62,0,'Combined Retirement'!$I$14)</f>
        <v>2192</v>
      </c>
      <c r="I1045" s="25">
        <f>IF(C1045&lt;62,0,'Combined Retirement'!$I$13)</f>
        <v>2420</v>
      </c>
      <c r="J1045" s="25">
        <f t="shared" si="1043"/>
        <v>7863.2184191855868</v>
      </c>
      <c r="K1045" s="25">
        <f t="shared" si="1044"/>
        <v>20282.026119384056</v>
      </c>
      <c r="L1045" s="25"/>
      <c r="N1045" s="25">
        <f>'Combined Retirement'!$C$18/12</f>
        <v>39153.069999999992</v>
      </c>
      <c r="O1045" s="25">
        <f t="shared" si="1045"/>
        <v>11007.82546143035</v>
      </c>
      <c r="P1045" s="25">
        <f t="shared" si="1046"/>
        <v>28145.244538569641</v>
      </c>
      <c r="Q1045" s="25">
        <f t="array" aca="1" ref="Q1045" ca="1">INDEX('Isaac 401k'!L:L,MATCH('Retirement Calculator'!A1045,'Isaac 401k'!N:N,0),0)</f>
        <v>-7204695.8233898534</v>
      </c>
      <c r="R1045" s="25">
        <f t="array" aca="1" ref="R1045" ca="1">INDEX('Lorri 401b'!L:L,MATCH('Retirement Calculator'!A1045,'Lorri 401b'!N:N,0),0)</f>
        <v>-26415628.120856207</v>
      </c>
      <c r="S1045" s="25">
        <f t="shared" ca="1" si="1047"/>
        <v>-33620323.944246061</v>
      </c>
    </row>
    <row r="1046" spans="1:19" ht="15.75" customHeight="1" x14ac:dyDescent="0.3">
      <c r="A1046" s="37">
        <v>82790</v>
      </c>
      <c r="B1046" s="409">
        <f t="shared" ref="B1046:C1046" si="1062">($A1046-B$9)/365.25</f>
        <v>144.78850102669404</v>
      </c>
      <c r="C1046" s="409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3525.4531757812501</v>
      </c>
      <c r="H1046" s="25">
        <f>IF(B1046&lt;62,0,'Combined Retirement'!$I$14)</f>
        <v>2192</v>
      </c>
      <c r="I1046" s="25">
        <f>IF(C1046&lt;62,0,'Combined Retirement'!$I$13)</f>
        <v>2420</v>
      </c>
      <c r="J1046" s="25">
        <f t="shared" si="1043"/>
        <v>7863.2184191855868</v>
      </c>
      <c r="K1046" s="25">
        <f t="shared" si="1044"/>
        <v>20282.026119384056</v>
      </c>
      <c r="L1046" s="25"/>
      <c r="N1046" s="25">
        <f>'Combined Retirement'!$C$18/12</f>
        <v>39153.069999999992</v>
      </c>
      <c r="O1046" s="25">
        <f t="shared" si="1045"/>
        <v>11007.82546143035</v>
      </c>
      <c r="P1046" s="25">
        <f t="shared" si="1046"/>
        <v>28145.244538569641</v>
      </c>
      <c r="Q1046" s="25">
        <f t="array" aca="1" ref="Q1046" ca="1">INDEX('Isaac 401k'!L:L,MATCH('Retirement Calculator'!A1046,'Isaac 401k'!N:N,0),0)</f>
        <v>-7242611.3711499106</v>
      </c>
      <c r="R1046" s="25">
        <f t="array" aca="1" ref="R1046" ca="1">INDEX('Lorri 401b'!L:L,MATCH('Retirement Calculator'!A1046,'Lorri 401b'!N:N,0),0)</f>
        <v>-26546059.772587989</v>
      </c>
      <c r="S1046" s="25">
        <f t="shared" ca="1" si="1047"/>
        <v>-33788671.143737897</v>
      </c>
    </row>
    <row r="1047" spans="1:19" ht="15.75" customHeight="1" x14ac:dyDescent="0.3">
      <c r="A1047" s="37">
        <v>82820</v>
      </c>
      <c r="B1047" s="409">
        <f t="shared" ref="B1047:C1047" si="1063">($A1047-B$9)/365.25</f>
        <v>144.87063655030801</v>
      </c>
      <c r="C1047" s="409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3525.4531757812501</v>
      </c>
      <c r="H1047" s="25">
        <f>IF(B1047&lt;62,0,'Combined Retirement'!$I$14)</f>
        <v>2192</v>
      </c>
      <c r="I1047" s="25">
        <f>IF(C1047&lt;62,0,'Combined Retirement'!$I$13)</f>
        <v>2420</v>
      </c>
      <c r="J1047" s="25">
        <f t="shared" si="1043"/>
        <v>7863.2184191855868</v>
      </c>
      <c r="K1047" s="25">
        <f t="shared" si="1044"/>
        <v>20282.026119384056</v>
      </c>
      <c r="L1047" s="25"/>
      <c r="N1047" s="25">
        <f>'Combined Retirement'!$C$18/12</f>
        <v>39153.069999999992</v>
      </c>
      <c r="O1047" s="25">
        <f t="shared" si="1045"/>
        <v>11007.82546143035</v>
      </c>
      <c r="P1047" s="25">
        <f t="shared" si="1046"/>
        <v>28145.244538569641</v>
      </c>
      <c r="Q1047" s="25">
        <f t="array" aca="1" ref="Q1047" ca="1">INDEX('Isaac 401k'!L:L,MATCH('Retirement Calculator'!A1047,'Isaac 401k'!N:N,0),0)</f>
        <v>-7280684.9003589675</v>
      </c>
      <c r="R1047" s="25">
        <f t="array" aca="1" ref="R1047" ca="1">INDEX('Lorri 401b'!L:L,MATCH('Retirement Calculator'!A1047,'Lorri 401b'!N:N,0),0)</f>
        <v>-26677034.889535319</v>
      </c>
      <c r="S1047" s="25">
        <f t="shared" ca="1" si="1047"/>
        <v>-33957719.789894283</v>
      </c>
    </row>
    <row r="1048" spans="1:19" ht="15.75" customHeight="1" x14ac:dyDescent="0.3">
      <c r="A1048" s="37">
        <v>82851</v>
      </c>
      <c r="B1048" s="409">
        <f t="shared" ref="B1048:C1048" si="1064">($A1048-B$9)/365.25</f>
        <v>144.95550992470911</v>
      </c>
      <c r="C1048" s="409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3525.4531757812501</v>
      </c>
      <c r="H1048" s="25">
        <f>IF(B1048&lt;62,0,'Combined Retirement'!$I$14)</f>
        <v>2192</v>
      </c>
      <c r="I1048" s="25">
        <f>IF(C1048&lt;62,0,'Combined Retirement'!$I$13)</f>
        <v>2420</v>
      </c>
      <c r="J1048" s="25">
        <f t="shared" si="1043"/>
        <v>7863.2184191855868</v>
      </c>
      <c r="K1048" s="25">
        <f t="shared" si="1044"/>
        <v>20282.026119384056</v>
      </c>
      <c r="L1048" s="25"/>
      <c r="N1048" s="25">
        <f>'Combined Retirement'!$C$18/12</f>
        <v>39153.069999999992</v>
      </c>
      <c r="O1048" s="25">
        <f t="shared" si="1045"/>
        <v>11007.82546143035</v>
      </c>
      <c r="P1048" s="25">
        <f t="shared" si="1046"/>
        <v>28145.244538569641</v>
      </c>
      <c r="Q1048" s="25">
        <f t="array" aca="1" ref="Q1048" ca="1">INDEX('Isaac 401k'!L:L,MATCH('Retirement Calculator'!A1048,'Isaac 401k'!N:N,0),0)</f>
        <v>-7318917.0692730621</v>
      </c>
      <c r="R1048" s="25">
        <f t="array" aca="1" ref="R1048" ca="1">INDEX('Lorri 401b'!L:L,MATCH('Retirement Calculator'!A1048,'Lorri 401b'!N:N,0),0)</f>
        <v>-26808555.7361366</v>
      </c>
      <c r="S1048" s="25">
        <f t="shared" ca="1" si="1047"/>
        <v>-34127472.805409662</v>
      </c>
    </row>
    <row r="1049" spans="1:19" ht="15.75" customHeight="1" x14ac:dyDescent="0.3">
      <c r="A1049" s="37">
        <v>82881</v>
      </c>
      <c r="B1049" s="409">
        <f t="shared" ref="B1049:C1049" si="1065">($A1049-B$9)/365.25</f>
        <v>145.03764544832308</v>
      </c>
      <c r="C1049" s="409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3525.4531757812501</v>
      </c>
      <c r="H1049" s="25">
        <f>IF(B1049&lt;62,0,'Combined Retirement'!$I$14)</f>
        <v>2192</v>
      </c>
      <c r="I1049" s="25">
        <f>IF(C1049&lt;62,0,'Combined Retirement'!$I$13)</f>
        <v>2420</v>
      </c>
      <c r="J1049" s="25">
        <f t="shared" si="1043"/>
        <v>7863.2184191855868</v>
      </c>
      <c r="K1049" s="25">
        <f t="shared" si="1044"/>
        <v>20282.026119384056</v>
      </c>
      <c r="L1049" s="25"/>
      <c r="N1049" s="25">
        <f>'Combined Retirement'!$C$18/12</f>
        <v>39153.069999999992</v>
      </c>
      <c r="O1049" s="25">
        <f t="shared" si="1045"/>
        <v>11007.82546143035</v>
      </c>
      <c r="P1049" s="25">
        <f t="shared" si="1046"/>
        <v>28145.244538569641</v>
      </c>
      <c r="Q1049" s="25">
        <f t="array" aca="1" ref="Q1049" ca="1">INDEX('Isaac 401k'!L:L,MATCH('Retirement Calculator'!A1049,'Isaac 401k'!N:N,0),0)</f>
        <v>-7357308.5388909653</v>
      </c>
      <c r="R1049" s="25">
        <f t="array" aca="1" ref="R1049" ca="1">INDEX('Lorri 401b'!L:L,MATCH('Retirement Calculator'!A1049,'Lorri 401b'!N:N,0),0)</f>
        <v>-26940624.586265385</v>
      </c>
      <c r="S1049" s="25">
        <f t="shared" ca="1" si="1047"/>
        <v>-34297933.12515635</v>
      </c>
    </row>
    <row r="1050" spans="1:19" ht="15.75" customHeight="1" x14ac:dyDescent="0.3">
      <c r="A1050" s="37">
        <v>82912</v>
      </c>
      <c r="B1050" s="409">
        <f t="shared" ref="B1050:C1050" si="1066">($A1050-B$9)/365.25</f>
        <v>145.12251882272417</v>
      </c>
      <c r="C1050" s="409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3525.4531757812501</v>
      </c>
      <c r="H1050" s="25">
        <f>IF(B1050&lt;62,0,'Combined Retirement'!$I$14)</f>
        <v>2192</v>
      </c>
      <c r="I1050" s="25">
        <f>IF(C1050&lt;62,0,'Combined Retirement'!$I$13)</f>
        <v>2420</v>
      </c>
      <c r="J1050" s="25">
        <f t="shared" si="1043"/>
        <v>7863.2184191855868</v>
      </c>
      <c r="K1050" s="25">
        <f t="shared" si="1044"/>
        <v>20282.026119384056</v>
      </c>
      <c r="L1050" s="25"/>
      <c r="N1050" s="25">
        <f>'Combined Retirement'!$C$18/12</f>
        <v>39153.069999999992</v>
      </c>
      <c r="O1050" s="25">
        <f t="shared" si="1045"/>
        <v>11007.82546143035</v>
      </c>
      <c r="P1050" s="25">
        <f t="shared" si="1046"/>
        <v>28145.244538569641</v>
      </c>
      <c r="Q1050" s="25">
        <f t="array" aca="1" ref="Q1050" ca="1">INDEX('Isaac 401k'!L:L,MATCH('Retirement Calculator'!A1050,'Isaac 401k'!N:N,0),0)</f>
        <v>-7395859.9729656102</v>
      </c>
      <c r="R1050" s="25">
        <f t="array" aca="1" ref="R1050" ca="1">INDEX('Lorri 401b'!L:L,MATCH('Retirement Calculator'!A1050,'Lorri 401b'!N:N,0),0)</f>
        <v>-27073243.723269708</v>
      </c>
      <c r="S1050" s="25">
        <f t="shared" ca="1" si="1047"/>
        <v>-34469103.696235321</v>
      </c>
    </row>
    <row r="1051" spans="1:19" ht="15.75" customHeight="1" x14ac:dyDescent="0.3">
      <c r="A1051" s="37">
        <v>82943</v>
      </c>
      <c r="B1051" s="409">
        <f t="shared" ref="B1051:C1051" si="1067">($A1051-B$9)/365.25</f>
        <v>145.20739219712524</v>
      </c>
      <c r="C1051" s="409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3525.4531757812501</v>
      </c>
      <c r="H1051" s="25">
        <f>IF(B1051&lt;62,0,'Combined Retirement'!$I$14)</f>
        <v>2192</v>
      </c>
      <c r="I1051" s="25">
        <f>IF(C1051&lt;62,0,'Combined Retirement'!$I$13)</f>
        <v>2420</v>
      </c>
      <c r="J1051" s="25">
        <f t="shared" si="1043"/>
        <v>7863.2184191855868</v>
      </c>
      <c r="K1051" s="25">
        <f t="shared" si="1044"/>
        <v>20282.026119384056</v>
      </c>
      <c r="L1051" s="25"/>
      <c r="N1051" s="25">
        <f>'Combined Retirement'!$C$18/12</f>
        <v>39153.069999999992</v>
      </c>
      <c r="O1051" s="25">
        <f t="shared" si="1045"/>
        <v>11007.82546143035</v>
      </c>
      <c r="P1051" s="25">
        <f t="shared" si="1046"/>
        <v>28145.244538569641</v>
      </c>
      <c r="Q1051" s="25">
        <f t="array" aca="1" ref="Q1051" ca="1">INDEX('Isaac 401k'!L:L,MATCH('Retirement Calculator'!A1051,'Isaac 401k'!N:N,0),0)</f>
        <v>-7434572.0380155658</v>
      </c>
      <c r="R1051" s="25">
        <f t="array" aca="1" ref="R1051" ca="1">INDEX('Lorri 401b'!L:L,MATCH('Retirement Calculator'!A1051,'Lorri 401b'!N:N,0),0)</f>
        <v>-27206415.44001155</v>
      </c>
      <c r="S1051" s="25">
        <f t="shared" ca="1" si="1047"/>
        <v>-34640987.478027113</v>
      </c>
    </row>
    <row r="1052" spans="1:19" ht="15.75" customHeight="1" x14ac:dyDescent="0.3">
      <c r="A1052" s="37">
        <v>82971</v>
      </c>
      <c r="B1052" s="409">
        <f t="shared" ref="B1052:C1052" si="1068">($A1052-B$9)/365.25</f>
        <v>145.28405201916496</v>
      </c>
      <c r="C1052" s="409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3525.4531757812501</v>
      </c>
      <c r="H1052" s="25">
        <f>IF(B1052&lt;62,0,'Combined Retirement'!$I$14)</f>
        <v>2192</v>
      </c>
      <c r="I1052" s="25">
        <f>IF(C1052&lt;62,0,'Combined Retirement'!$I$13)</f>
        <v>2420</v>
      </c>
      <c r="J1052" s="25">
        <f t="shared" si="1043"/>
        <v>7863.2184191855868</v>
      </c>
      <c r="K1052" s="25">
        <f t="shared" si="1044"/>
        <v>20282.026119384056</v>
      </c>
      <c r="L1052" s="25"/>
      <c r="N1052" s="25">
        <f>'Combined Retirement'!$C$18/12</f>
        <v>39153.069999999992</v>
      </c>
      <c r="O1052" s="25">
        <f t="shared" si="1045"/>
        <v>11007.82546143035</v>
      </c>
      <c r="P1052" s="25">
        <f t="shared" si="1046"/>
        <v>28145.244538569641</v>
      </c>
      <c r="Q1052" s="25">
        <f t="array" aca="1" ref="Q1052" ca="1">INDEX('Isaac 401k'!L:L,MATCH('Retirement Calculator'!A1052,'Isaac 401k'!N:N,0),0)</f>
        <v>-7473445.4033365631</v>
      </c>
      <c r="R1052" s="25">
        <f t="array" aca="1" ref="R1052" ca="1">INDEX('Lorri 401b'!L:L,MATCH('Retirement Calculator'!A1052,'Lorri 401b'!N:N,0),0)</f>
        <v>-27340142.038906481</v>
      </c>
      <c r="S1052" s="25">
        <f t="shared" ca="1" si="1047"/>
        <v>-34813587.442243047</v>
      </c>
    </row>
    <row r="1053" spans="1:19" ht="15.75" customHeight="1" x14ac:dyDescent="0.3">
      <c r="A1053" s="37">
        <v>83002</v>
      </c>
      <c r="B1053" s="409">
        <f t="shared" ref="B1053:C1053" si="1069">($A1053-B$9)/365.25</f>
        <v>145.36892539356606</v>
      </c>
      <c r="C1053" s="409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3525.4531757812501</v>
      </c>
      <c r="H1053" s="25">
        <f>IF(B1053&lt;62,0,'Combined Retirement'!$I$14)</f>
        <v>2192</v>
      </c>
      <c r="I1053" s="25">
        <f>IF(C1053&lt;62,0,'Combined Retirement'!$I$13)</f>
        <v>2420</v>
      </c>
      <c r="J1053" s="25">
        <f t="shared" si="1043"/>
        <v>7863.2184191855868</v>
      </c>
      <c r="K1053" s="25">
        <f t="shared" si="1044"/>
        <v>20282.026119384056</v>
      </c>
      <c r="L1053" s="25"/>
      <c r="N1053" s="25">
        <f>'Combined Retirement'!$C$18/12</f>
        <v>39153.069999999992</v>
      </c>
      <c r="O1053" s="25">
        <f t="shared" si="1045"/>
        <v>11007.82546143035</v>
      </c>
      <c r="P1053" s="25">
        <f t="shared" si="1046"/>
        <v>28145.244538569641</v>
      </c>
      <c r="Q1053" s="25">
        <f t="array" aca="1" ref="Q1053" ca="1">INDEX('Isaac 401k'!L:L,MATCH('Retirement Calculator'!A1053,'Isaac 401k'!N:N,0),0)</f>
        <v>-7512480.741013065</v>
      </c>
      <c r="R1053" s="25">
        <f t="array" aca="1" ref="R1053" ca="1">INDEX('Lorri 401b'!L:L,MATCH('Retirement Calculator'!A1053,'Lorri 401b'!N:N,0),0)</f>
        <v>-27474425.831963472</v>
      </c>
      <c r="S1053" s="25">
        <f t="shared" ca="1" si="1047"/>
        <v>-34986906.572976537</v>
      </c>
    </row>
    <row r="1054" spans="1:19" ht="15.75" customHeight="1" x14ac:dyDescent="0.3">
      <c r="A1054" s="37">
        <v>83032</v>
      </c>
      <c r="B1054" s="409">
        <f t="shared" ref="B1054:C1054" si="1070">($A1054-B$9)/365.25</f>
        <v>145.45106091718</v>
      </c>
      <c r="C1054" s="409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3525.4531757812501</v>
      </c>
      <c r="H1054" s="25">
        <f>IF(B1054&lt;62,0,'Combined Retirement'!$I$14)</f>
        <v>2192</v>
      </c>
      <c r="I1054" s="25">
        <f>IF(C1054&lt;62,0,'Combined Retirement'!$I$13)</f>
        <v>2420</v>
      </c>
      <c r="J1054" s="25">
        <f t="shared" si="1043"/>
        <v>7863.2184191855868</v>
      </c>
      <c r="K1054" s="25">
        <f t="shared" si="1044"/>
        <v>20282.026119384056</v>
      </c>
      <c r="L1054" s="25"/>
      <c r="N1054" s="25">
        <f>'Combined Retirement'!$C$18/12</f>
        <v>39153.069999999992</v>
      </c>
      <c r="O1054" s="25">
        <f t="shared" si="1045"/>
        <v>11007.82546143035</v>
      </c>
      <c r="P1054" s="25">
        <f t="shared" si="1046"/>
        <v>28145.244538569641</v>
      </c>
      <c r="Q1054" s="25">
        <f t="array" aca="1" ref="Q1054" ca="1">INDEX('Isaac 401k'!L:L,MATCH('Retirement Calculator'!A1054,'Isaac 401k'!N:N,0),0)</f>
        <v>-7551678.7259298852</v>
      </c>
      <c r="R1054" s="25">
        <f t="array" aca="1" ref="R1054" ca="1">INDEX('Lorri 401b'!L:L,MATCH('Retirement Calculator'!A1054,'Lorri 401b'!N:N,0),0)</f>
        <v>-27609269.140824869</v>
      </c>
      <c r="S1054" s="25">
        <f t="shared" ca="1" si="1047"/>
        <v>-35160947.866754755</v>
      </c>
    </row>
    <row r="1055" spans="1:19" ht="15.75" customHeight="1" x14ac:dyDescent="0.3">
      <c r="A1055" s="37">
        <v>83063</v>
      </c>
      <c r="B1055" s="409">
        <f t="shared" ref="B1055:C1055" si="1071">($A1055-B$9)/365.25</f>
        <v>145.5359342915811</v>
      </c>
      <c r="C1055" s="409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3525.4531757812501</v>
      </c>
      <c r="H1055" s="25">
        <f>IF(B1055&lt;62,0,'Combined Retirement'!$I$14)</f>
        <v>2192</v>
      </c>
      <c r="I1055" s="25">
        <f>IF(C1055&lt;62,0,'Combined Retirement'!$I$13)</f>
        <v>2420</v>
      </c>
      <c r="J1055" s="25">
        <f t="shared" si="1043"/>
        <v>7863.2184191855868</v>
      </c>
      <c r="K1055" s="25">
        <f t="shared" si="1044"/>
        <v>20282.026119384056</v>
      </c>
      <c r="L1055" s="25"/>
      <c r="N1055" s="25">
        <f>'Combined Retirement'!$C$18/12</f>
        <v>39153.069999999992</v>
      </c>
      <c r="O1055" s="25">
        <f t="shared" si="1045"/>
        <v>11007.82546143035</v>
      </c>
      <c r="P1055" s="25">
        <f t="shared" si="1046"/>
        <v>28145.244538569641</v>
      </c>
      <c r="Q1055" s="25">
        <f t="array" aca="1" ref="Q1055" ca="1">INDEX('Isaac 401k'!L:L,MATCH('Retirement Calculator'!A1055,'Isaac 401k'!N:N,0),0)</f>
        <v>-7591040.035783859</v>
      </c>
      <c r="R1055" s="25">
        <f t="array" aca="1" ref="R1055" ca="1">INDEX('Lorri 401b'!L:L,MATCH('Retirement Calculator'!A1055,'Lorri 401b'!N:N,0),0)</f>
        <v>-27744674.296806522</v>
      </c>
      <c r="S1055" s="25">
        <f t="shared" ca="1" si="1047"/>
        <v>-35335714.332590379</v>
      </c>
    </row>
    <row r="1056" spans="1:19" ht="15.75" customHeight="1" x14ac:dyDescent="0.3">
      <c r="A1056" s="37">
        <v>83093</v>
      </c>
      <c r="B1056" s="409">
        <f t="shared" ref="B1056:C1056" si="1072">($A1056-B$9)/365.25</f>
        <v>145.61806981519507</v>
      </c>
      <c r="C1056" s="409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3525.4531757812501</v>
      </c>
      <c r="H1056" s="25">
        <f>IF(B1056&lt;62,0,'Combined Retirement'!$I$14)</f>
        <v>2192</v>
      </c>
      <c r="I1056" s="25">
        <f>IF(C1056&lt;62,0,'Combined Retirement'!$I$13)</f>
        <v>2420</v>
      </c>
      <c r="J1056" s="25">
        <f t="shared" si="1043"/>
        <v>7863.2184191855868</v>
      </c>
      <c r="K1056" s="25">
        <f t="shared" si="1044"/>
        <v>20282.026119384056</v>
      </c>
      <c r="L1056" s="25"/>
      <c r="N1056" s="25">
        <f>'Combined Retirement'!$C$18/12</f>
        <v>39153.069999999992</v>
      </c>
      <c r="O1056" s="25">
        <f t="shared" si="1045"/>
        <v>11007.82546143035</v>
      </c>
      <c r="P1056" s="25">
        <f t="shared" si="1046"/>
        <v>28145.244538569641</v>
      </c>
      <c r="Q1056" s="25">
        <f t="array" aca="1" ref="Q1056" ca="1">INDEX('Isaac 401k'!L:L,MATCH('Retirement Calculator'!A1056,'Isaac 401k'!N:N,0),0)</f>
        <v>-7630565.3510955572</v>
      </c>
      <c r="R1056" s="25">
        <f t="array" aca="1" ref="R1056" ca="1">INDEX('Lorri 401b'!L:L,MATCH('Retirement Calculator'!A1056,'Lorri 401b'!N:N,0),0)</f>
        <v>-27880643.640938099</v>
      </c>
      <c r="S1056" s="25">
        <f t="shared" ca="1" si="1047"/>
        <v>-35511208.99203366</v>
      </c>
    </row>
    <row r="1057" spans="1:19" ht="15.75" customHeight="1" x14ac:dyDescent="0.3">
      <c r="A1057" s="37">
        <v>83124</v>
      </c>
      <c r="B1057" s="409">
        <f t="shared" ref="B1057:C1057" si="1073">($A1057-B$9)/365.25</f>
        <v>145.70294318959617</v>
      </c>
      <c r="C1057" s="409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3525.4531757812501</v>
      </c>
      <c r="H1057" s="25">
        <f>IF(B1057&lt;62,0,'Combined Retirement'!$I$14)</f>
        <v>2192</v>
      </c>
      <c r="I1057" s="25">
        <f>IF(C1057&lt;62,0,'Combined Retirement'!$I$13)</f>
        <v>2420</v>
      </c>
      <c r="J1057" s="25">
        <f t="shared" si="1043"/>
        <v>7863.2184191855868</v>
      </c>
      <c r="K1057" s="25">
        <f t="shared" si="1044"/>
        <v>20282.026119384056</v>
      </c>
      <c r="L1057" s="25"/>
      <c r="N1057" s="25">
        <f>'Combined Retirement'!$C$18/12</f>
        <v>39153.069999999992</v>
      </c>
      <c r="O1057" s="25">
        <f t="shared" si="1045"/>
        <v>11007.82546143035</v>
      </c>
      <c r="P1057" s="25">
        <f t="shared" si="1046"/>
        <v>28145.244538569641</v>
      </c>
      <c r="Q1057" s="25">
        <f t="array" aca="1" ref="Q1057" ca="1">INDEX('Isaac 401k'!L:L,MATCH('Retirement Calculator'!A1057,'Isaac 401k'!N:N,0),0)</f>
        <v>-7670255.3552210545</v>
      </c>
      <c r="R1057" s="25">
        <f t="array" aca="1" ref="R1057" ca="1">INDEX('Lorri 401b'!L:L,MATCH('Retirement Calculator'!A1057,'Lorri 401b'!N:N,0),0)</f>
        <v>-28017179.524003558</v>
      </c>
      <c r="S1057" s="25">
        <f t="shared" ca="1" si="1047"/>
        <v>-35687434.879224613</v>
      </c>
    </row>
    <row r="1058" spans="1:19" ht="15.75" customHeight="1" x14ac:dyDescent="0.3">
      <c r="A1058" s="37">
        <v>83155</v>
      </c>
      <c r="B1058" s="409">
        <f t="shared" ref="B1058:C1058" si="1074">($A1058-B$9)/365.25</f>
        <v>145.78781656399727</v>
      </c>
      <c r="C1058" s="409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3525.4531757812501</v>
      </c>
      <c r="H1058" s="25">
        <f>IF(B1058&lt;62,0,'Combined Retirement'!$I$14)</f>
        <v>2192</v>
      </c>
      <c r="I1058" s="25">
        <f>IF(C1058&lt;62,0,'Combined Retirement'!$I$13)</f>
        <v>2420</v>
      </c>
      <c r="J1058" s="25">
        <f t="shared" si="1043"/>
        <v>7863.2184191855868</v>
      </c>
      <c r="K1058" s="25">
        <f t="shared" si="1044"/>
        <v>20282.026119384056</v>
      </c>
      <c r="L1058" s="25"/>
      <c r="N1058" s="25">
        <f>'Combined Retirement'!$C$18/12</f>
        <v>39153.069999999992</v>
      </c>
      <c r="O1058" s="25">
        <f t="shared" si="1045"/>
        <v>11007.82546143035</v>
      </c>
      <c r="P1058" s="25">
        <f t="shared" si="1046"/>
        <v>28145.244538569641</v>
      </c>
      <c r="Q1058" s="25">
        <f t="array" aca="1" ref="Q1058" ca="1">INDEX('Isaac 401k'!L:L,MATCH('Retirement Calculator'!A1058,'Isaac 401k'!N:N,0),0)</f>
        <v>-7710110.7343637412</v>
      </c>
      <c r="R1058" s="25">
        <f t="array" aca="1" ref="R1058" ca="1">INDEX('Lorri 401b'!L:L,MATCH('Retirement Calculator'!A1058,'Lorri 401b'!N:N,0),0)</f>
        <v>-28154284.306581788</v>
      </c>
      <c r="S1058" s="25">
        <f t="shared" ca="1" si="1047"/>
        <v>-35864395.04094553</v>
      </c>
    </row>
    <row r="1059" spans="1:19" ht="15.75" customHeight="1" x14ac:dyDescent="0.3">
      <c r="A1059" s="37">
        <v>83185</v>
      </c>
      <c r="B1059" s="409">
        <f t="shared" ref="B1059:C1059" si="1075">($A1059-B$9)/365.25</f>
        <v>145.86995208761124</v>
      </c>
      <c r="C1059" s="409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3525.4531757812501</v>
      </c>
      <c r="H1059" s="25">
        <f>IF(B1059&lt;62,0,'Combined Retirement'!$I$14)</f>
        <v>2192</v>
      </c>
      <c r="I1059" s="25">
        <f>IF(C1059&lt;62,0,'Combined Retirement'!$I$13)</f>
        <v>2420</v>
      </c>
      <c r="J1059" s="25">
        <f t="shared" si="1043"/>
        <v>7863.2184191855868</v>
      </c>
      <c r="K1059" s="25">
        <f t="shared" si="1044"/>
        <v>20282.026119384056</v>
      </c>
      <c r="L1059" s="25"/>
      <c r="N1059" s="25">
        <f>'Combined Retirement'!$C$18/12</f>
        <v>39153.069999999992</v>
      </c>
      <c r="O1059" s="25">
        <f t="shared" si="1045"/>
        <v>11007.82546143035</v>
      </c>
      <c r="P1059" s="25">
        <f t="shared" si="1046"/>
        <v>28145.244538569641</v>
      </c>
      <c r="Q1059" s="25">
        <f t="array" aca="1" ref="Q1059" ca="1">INDEX('Isaac 401k'!L:L,MATCH('Retirement Calculator'!A1059,'Isaac 401k'!N:N,0),0)</f>
        <v>-7750132.1775861895</v>
      </c>
      <c r="R1059" s="25">
        <f t="array" aca="1" ref="R1059" ca="1">INDEX('Lorri 401b'!L:L,MATCH('Retirement Calculator'!A1059,'Lorri 401b'!N:N,0),0)</f>
        <v>-28291960.359087426</v>
      </c>
      <c r="S1059" s="25">
        <f t="shared" ca="1" si="1047"/>
        <v>-36042092.536673613</v>
      </c>
    </row>
    <row r="1060" spans="1:19" ht="15.75" customHeight="1" x14ac:dyDescent="0.3">
      <c r="A1060" s="37">
        <v>83216</v>
      </c>
      <c r="B1060" s="409">
        <f t="shared" ref="B1060:C1060" si="1076">($A1060-B$9)/365.25</f>
        <v>145.95482546201231</v>
      </c>
      <c r="C1060" s="409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3525.4531757812501</v>
      </c>
      <c r="H1060" s="25">
        <f>IF(B1060&lt;62,0,'Combined Retirement'!$I$14)</f>
        <v>2192</v>
      </c>
      <c r="I1060" s="25">
        <f>IF(C1060&lt;62,0,'Combined Retirement'!$I$13)</f>
        <v>2420</v>
      </c>
      <c r="J1060" s="25">
        <f t="shared" si="1043"/>
        <v>7863.2184191855868</v>
      </c>
      <c r="K1060" s="25">
        <f t="shared" si="1044"/>
        <v>20282.026119384056</v>
      </c>
      <c r="L1060" s="25"/>
      <c r="N1060" s="25">
        <f>'Combined Retirement'!$C$18/12</f>
        <v>39153.069999999992</v>
      </c>
      <c r="O1060" s="25">
        <f t="shared" si="1045"/>
        <v>11007.82546143035</v>
      </c>
      <c r="P1060" s="25">
        <f t="shared" si="1046"/>
        <v>28145.244538569641</v>
      </c>
      <c r="Q1060" s="25">
        <f t="array" aca="1" ref="Q1060" ca="1">INDEX('Isaac 401k'!L:L,MATCH('Retirement Calculator'!A1060,'Isaac 401k'!N:N,0),0)</f>
        <v>-7790320.3768220646</v>
      </c>
      <c r="R1060" s="25">
        <f t="array" aca="1" ref="R1060" ca="1">INDEX('Lorri 401b'!L:L,MATCH('Retirement Calculator'!A1060,'Lorri 401b'!N:N,0),0)</f>
        <v>-28430210.061811838</v>
      </c>
      <c r="S1060" s="25">
        <f t="shared" ca="1" si="1047"/>
        <v>-36220530.438633904</v>
      </c>
    </row>
    <row r="1061" spans="1:19" ht="15.75" customHeight="1" x14ac:dyDescent="0.3">
      <c r="A1061" s="37">
        <v>83246</v>
      </c>
      <c r="B1061" s="409">
        <f t="shared" ref="B1061:C1061" si="1077">($A1061-B$9)/365.25</f>
        <v>146.03696098562628</v>
      </c>
      <c r="C1061" s="409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3525.4531757812501</v>
      </c>
      <c r="H1061" s="25">
        <f>IF(B1061&lt;62,0,'Combined Retirement'!$I$14)</f>
        <v>2192</v>
      </c>
      <c r="I1061" s="25">
        <f>IF(C1061&lt;62,0,'Combined Retirement'!$I$13)</f>
        <v>2420</v>
      </c>
      <c r="J1061" s="25">
        <f t="shared" si="1043"/>
        <v>7863.2184191855868</v>
      </c>
      <c r="K1061" s="25">
        <f t="shared" si="1044"/>
        <v>20282.026119384056</v>
      </c>
      <c r="L1061" s="25"/>
      <c r="N1061" s="25">
        <f>'Combined Retirement'!$C$18/12</f>
        <v>39153.069999999992</v>
      </c>
      <c r="O1061" s="25">
        <f t="shared" si="1045"/>
        <v>11007.82546143035</v>
      </c>
      <c r="P1061" s="25">
        <f t="shared" si="1046"/>
        <v>28145.244538569641</v>
      </c>
      <c r="Q1061" s="25">
        <f t="array" aca="1" ref="Q1061" ca="1">INDEX('Isaac 401k'!L:L,MATCH('Retirement Calculator'!A1061,'Isaac 401k'!N:N,0),0)</f>
        <v>-7830676.0268880893</v>
      </c>
      <c r="R1061" s="25">
        <f t="array" aca="1" ref="R1061" ca="1">INDEX('Lorri 401b'!L:L,MATCH('Retirement Calculator'!A1061,'Lorri 401b'!N:N,0),0)</f>
        <v>-28569035.80496427</v>
      </c>
      <c r="S1061" s="25">
        <f t="shared" ca="1" si="1047"/>
        <v>-36399711.831852362</v>
      </c>
    </row>
    <row r="1062" spans="1:19" ht="15.75" customHeight="1" x14ac:dyDescent="0.3">
      <c r="A1062" s="37">
        <v>83277</v>
      </c>
      <c r="B1062" s="409">
        <f t="shared" ref="B1062:C1062" si="1078">($A1062-B$9)/365.25</f>
        <v>146.12183436002738</v>
      </c>
      <c r="C1062" s="409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3525.4531757812501</v>
      </c>
      <c r="H1062" s="25">
        <f>IF(B1062&lt;62,0,'Combined Retirement'!$I$14)</f>
        <v>2192</v>
      </c>
      <c r="I1062" s="25">
        <f>IF(C1062&lt;62,0,'Combined Retirement'!$I$13)</f>
        <v>2420</v>
      </c>
      <c r="J1062" s="25">
        <f t="shared" si="1043"/>
        <v>7863.2184191855868</v>
      </c>
      <c r="K1062" s="25">
        <f t="shared" si="1044"/>
        <v>20282.026119384056</v>
      </c>
      <c r="L1062" s="25"/>
      <c r="N1062" s="25">
        <f>'Combined Retirement'!$C$18/12</f>
        <v>39153.069999999992</v>
      </c>
      <c r="O1062" s="25">
        <f t="shared" si="1045"/>
        <v>11007.82546143035</v>
      </c>
      <c r="P1062" s="25">
        <f t="shared" si="1046"/>
        <v>28145.244538569641</v>
      </c>
      <c r="Q1062" s="25">
        <f t="array" aca="1" ref="Q1062" ca="1">INDEX('Isaac 401k'!L:L,MATCH('Retirement Calculator'!A1062,'Isaac 401k'!N:N,0),0)</f>
        <v>-7871199.8254960552</v>
      </c>
      <c r="R1062" s="25">
        <f t="array" aca="1" ref="R1062" ca="1">INDEX('Lorri 401b'!L:L,MATCH('Retirement Calculator'!A1062,'Lorri 401b'!N:N,0),0)</f>
        <v>-28708439.988713171</v>
      </c>
      <c r="S1062" s="25">
        <f t="shared" ca="1" si="1047"/>
        <v>-36579639.814209223</v>
      </c>
    </row>
    <row r="1063" spans="1:19" ht="15.75" customHeight="1" x14ac:dyDescent="0.3">
      <c r="A1063" s="37">
        <v>83308</v>
      </c>
      <c r="B1063" s="409">
        <f t="shared" ref="B1063:C1063" si="1079">($A1063-B$9)/365.25</f>
        <v>146.20670773442848</v>
      </c>
      <c r="C1063" s="409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3525.4531757812501</v>
      </c>
      <c r="H1063" s="25">
        <f>IF(B1063&lt;62,0,'Combined Retirement'!$I$14)</f>
        <v>2192</v>
      </c>
      <c r="I1063" s="25">
        <f>IF(C1063&lt;62,0,'Combined Retirement'!$I$13)</f>
        <v>2420</v>
      </c>
      <c r="J1063" s="25">
        <f t="shared" si="1043"/>
        <v>7863.2184191855868</v>
      </c>
      <c r="K1063" s="25">
        <f t="shared" si="1044"/>
        <v>20282.026119384056</v>
      </c>
      <c r="L1063" s="25"/>
      <c r="N1063" s="25">
        <f>'Combined Retirement'!$C$18/12</f>
        <v>39153.069999999992</v>
      </c>
      <c r="O1063" s="25">
        <f t="shared" si="1045"/>
        <v>11007.82546143035</v>
      </c>
      <c r="P1063" s="25">
        <f t="shared" si="1046"/>
        <v>28145.244538569641</v>
      </c>
      <c r="Q1063" s="25">
        <f t="array" aca="1" ref="Q1063" ca="1">INDEX('Isaac 401k'!L:L,MATCH('Retirement Calculator'!A1063,'Isaac 401k'!N:N,0),0)</f>
        <v>-7911892.4732648879</v>
      </c>
      <c r="R1063" s="25">
        <f t="array" aca="1" ref="R1063" ca="1">INDEX('Lorri 401b'!L:L,MATCH('Retirement Calculator'!A1063,'Lorri 401b'!N:N,0),0)</f>
        <v>-28848425.023227692</v>
      </c>
      <c r="S1063" s="25">
        <f t="shared" ca="1" si="1047"/>
        <v>-36760317.49649258</v>
      </c>
    </row>
    <row r="1064" spans="1:19" ht="15.75" customHeight="1" x14ac:dyDescent="0.3">
      <c r="A1064" s="37">
        <v>83337</v>
      </c>
      <c r="B1064" s="409">
        <f t="shared" ref="B1064:C1064" si="1080">($A1064-B$9)/365.25</f>
        <v>146.28610540725529</v>
      </c>
      <c r="C1064" s="409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3525.4531757812501</v>
      </c>
      <c r="H1064" s="25">
        <f>IF(B1064&lt;62,0,'Combined Retirement'!$I$14)</f>
        <v>2192</v>
      </c>
      <c r="I1064" s="25">
        <f>IF(C1064&lt;62,0,'Combined Retirement'!$I$13)</f>
        <v>2420</v>
      </c>
      <c r="J1064" s="25">
        <f t="shared" si="1043"/>
        <v>7863.2184191855868</v>
      </c>
      <c r="K1064" s="25">
        <f t="shared" si="1044"/>
        <v>20282.026119384056</v>
      </c>
      <c r="L1064" s="25"/>
      <c r="N1064" s="25">
        <f>'Combined Retirement'!$C$18/12</f>
        <v>39153.069999999992</v>
      </c>
      <c r="O1064" s="25">
        <f t="shared" si="1045"/>
        <v>11007.82546143035</v>
      </c>
      <c r="P1064" s="25">
        <f t="shared" si="1046"/>
        <v>28145.244538569641</v>
      </c>
      <c r="Q1064" s="25">
        <f t="array" aca="1" ref="Q1064" ca="1">INDEX('Isaac 401k'!L:L,MATCH('Retirement Calculator'!A1064,'Isaac 401k'!N:N,0),0)</f>
        <v>-7952754.6737327576</v>
      </c>
      <c r="R1064" s="25">
        <f t="array" aca="1" ref="R1064" ca="1">INDEX('Lorri 401b'!L:L,MATCH('Retirement Calculator'!A1064,'Lorri 401b'!N:N,0),0)</f>
        <v>-28988993.328719355</v>
      </c>
      <c r="S1064" s="25">
        <f t="shared" ca="1" si="1047"/>
        <v>-36941748.002452113</v>
      </c>
    </row>
    <row r="1065" spans="1:19" ht="15.75" customHeight="1" x14ac:dyDescent="0.3">
      <c r="A1065" s="37">
        <v>83368</v>
      </c>
      <c r="B1065" s="409">
        <f t="shared" ref="B1065:C1065" si="1081">($A1065-B$9)/365.25</f>
        <v>146.37097878165639</v>
      </c>
      <c r="C1065" s="409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3525.4531757812501</v>
      </c>
      <c r="H1065" s="25">
        <f>IF(B1065&lt;62,0,'Combined Retirement'!$I$14)</f>
        <v>2192</v>
      </c>
      <c r="I1065" s="25">
        <f>IF(C1065&lt;62,0,'Combined Retirement'!$I$13)</f>
        <v>2420</v>
      </c>
      <c r="J1065" s="25">
        <f t="shared" si="1043"/>
        <v>7863.2184191855868</v>
      </c>
      <c r="K1065" s="25">
        <f t="shared" si="1044"/>
        <v>20282.026119384056</v>
      </c>
      <c r="L1065" s="25"/>
      <c r="N1065" s="25">
        <f>'Combined Retirement'!$C$18/12</f>
        <v>39153.069999999992</v>
      </c>
      <c r="O1065" s="25">
        <f t="shared" si="1045"/>
        <v>11007.82546143035</v>
      </c>
      <c r="P1065" s="25">
        <f t="shared" si="1046"/>
        <v>28145.244538569641</v>
      </c>
      <c r="Q1065" s="25">
        <f t="array" aca="1" ref="Q1065" ca="1">INDEX('Isaac 401k'!L:L,MATCH('Retirement Calculator'!A1065,'Isaac 401k'!N:N,0),0)</f>
        <v>-7993787.1333692428</v>
      </c>
      <c r="R1065" s="25">
        <f t="array" aca="1" ref="R1065" ca="1">INDEX('Lorri 401b'!L:L,MATCH('Retirement Calculator'!A1065,'Lorri 401b'!N:N,0),0)</f>
        <v>-29130147.335483901</v>
      </c>
      <c r="S1065" s="25">
        <f t="shared" ca="1" si="1047"/>
        <v>-37123934.468853146</v>
      </c>
    </row>
    <row r="1066" spans="1:19" ht="15.75" customHeight="1" x14ac:dyDescent="0.3">
      <c r="A1066" s="37">
        <v>83398</v>
      </c>
      <c r="B1066" s="409">
        <f t="shared" ref="B1066:C1066" si="1082">($A1066-B$9)/365.25</f>
        <v>146.45311430527036</v>
      </c>
      <c r="C1066" s="409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3525.4531757812501</v>
      </c>
      <c r="H1066" s="25">
        <f>IF(B1066&lt;62,0,'Combined Retirement'!$I$14)</f>
        <v>2192</v>
      </c>
      <c r="I1066" s="25">
        <f>IF(C1066&lt;62,0,'Combined Retirement'!$I$13)</f>
        <v>2420</v>
      </c>
      <c r="J1066" s="25">
        <f t="shared" si="1043"/>
        <v>7863.2184191855868</v>
      </c>
      <c r="K1066" s="25">
        <f t="shared" si="1044"/>
        <v>20282.026119384056</v>
      </c>
      <c r="L1066" s="25"/>
      <c r="N1066" s="25">
        <f>'Combined Retirement'!$C$18/12</f>
        <v>39153.069999999992</v>
      </c>
      <c r="O1066" s="25">
        <f t="shared" si="1045"/>
        <v>11007.82546143035</v>
      </c>
      <c r="P1066" s="25">
        <f t="shared" si="1046"/>
        <v>28145.244538569641</v>
      </c>
      <c r="Q1066" s="25">
        <f t="array" aca="1" ref="Q1066" ca="1">INDEX('Isaac 401k'!L:L,MATCH('Retirement Calculator'!A1066,'Isaac 401k'!N:N,0),0)</f>
        <v>-8034990.561587547</v>
      </c>
      <c r="R1066" s="25">
        <f t="array" aca="1" ref="R1066" ca="1">INDEX('Lorri 401b'!L:L,MATCH('Retirement Calculator'!A1066,'Lorri 401b'!N:N,0),0)</f>
        <v>-29271889.483943298</v>
      </c>
      <c r="S1066" s="25">
        <f t="shared" ca="1" si="1047"/>
        <v>-37306880.045530848</v>
      </c>
    </row>
    <row r="1067" spans="1:19" ht="15.75" customHeight="1" x14ac:dyDescent="0.3">
      <c r="A1067" s="37">
        <v>83429</v>
      </c>
      <c r="B1067" s="409">
        <f t="shared" ref="B1067:C1067" si="1083">($A1067-B$9)/365.25</f>
        <v>146.53798767967146</v>
      </c>
      <c r="C1067" s="409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3525.4531757812501</v>
      </c>
      <c r="H1067" s="25">
        <f>IF(B1067&lt;62,0,'Combined Retirement'!$I$14)</f>
        <v>2192</v>
      </c>
      <c r="I1067" s="25">
        <f>IF(C1067&lt;62,0,'Combined Retirement'!$I$13)</f>
        <v>2420</v>
      </c>
      <c r="J1067" s="25">
        <f t="shared" si="1043"/>
        <v>7863.2184191855868</v>
      </c>
      <c r="K1067" s="25">
        <f t="shared" si="1044"/>
        <v>20282.026119384056</v>
      </c>
      <c r="L1067" s="25"/>
      <c r="N1067" s="25">
        <f>'Combined Retirement'!$C$18/12</f>
        <v>39153.069999999992</v>
      </c>
      <c r="O1067" s="25">
        <f t="shared" si="1045"/>
        <v>11007.82546143035</v>
      </c>
      <c r="P1067" s="25">
        <f t="shared" si="1046"/>
        <v>28145.244538569641</v>
      </c>
      <c r="Q1067" s="25">
        <f t="array" aca="1" ref="Q1067" ca="1">INDEX('Isaac 401k'!L:L,MATCH('Retirement Calculator'!A1067,'Isaac 401k'!N:N,0),0)</f>
        <v>-8076365.670756761</v>
      </c>
      <c r="R1067" s="25">
        <f t="array" aca="1" ref="R1067" ca="1">INDEX('Lorri 401b'!L:L,MATCH('Retirement Calculator'!A1067,'Lorri 401b'!N:N,0),0)</f>
        <v>-29414222.224687945</v>
      </c>
      <c r="S1067" s="25">
        <f t="shared" ca="1" si="1047"/>
        <v>-37490587.895444706</v>
      </c>
    </row>
    <row r="1068" spans="1:19" ht="15.75" customHeight="1" x14ac:dyDescent="0.3">
      <c r="A1068" s="37">
        <v>83459</v>
      </c>
      <c r="B1068" s="409">
        <f t="shared" ref="B1068:C1068" si="1084">($A1068-B$9)/365.25</f>
        <v>146.62012320328543</v>
      </c>
      <c r="C1068" s="409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3525.4531757812501</v>
      </c>
      <c r="H1068" s="25">
        <f>IF(B1068&lt;62,0,'Combined Retirement'!$I$14)</f>
        <v>2192</v>
      </c>
      <c r="I1068" s="25">
        <f>IF(C1068&lt;62,0,'Combined Retirement'!$I$13)</f>
        <v>2420</v>
      </c>
      <c r="J1068" s="25">
        <f t="shared" si="1043"/>
        <v>7863.2184191855868</v>
      </c>
      <c r="K1068" s="25">
        <f t="shared" si="1044"/>
        <v>20282.026119384056</v>
      </c>
      <c r="L1068" s="25"/>
      <c r="N1068" s="25">
        <f>'Combined Retirement'!$C$18/12</f>
        <v>39153.069999999992</v>
      </c>
      <c r="O1068" s="25">
        <f t="shared" si="1045"/>
        <v>11007.82546143035</v>
      </c>
      <c r="P1068" s="25">
        <f t="shared" si="1046"/>
        <v>28145.244538569641</v>
      </c>
      <c r="Q1068" s="25">
        <f t="array" aca="1" ref="Q1068" ca="1">INDEX('Isaac 401k'!L:L,MATCH('Retirement Calculator'!A1068,'Isaac 401k'!N:N,0),0)</f>
        <v>-8117913.17621418</v>
      </c>
      <c r="R1068" s="25">
        <f t="array" aca="1" ref="R1068" ca="1">INDEX('Lorri 401b'!L:L,MATCH('Retirement Calculator'!A1068,'Lorri 401b'!N:N,0),0)</f>
        <v>-29557148.018519029</v>
      </c>
      <c r="S1068" s="25">
        <f t="shared" ca="1" si="1047"/>
        <v>-37675061.19473321</v>
      </c>
    </row>
    <row r="1069" spans="1:19" ht="15.75" customHeight="1" x14ac:dyDescent="0.3">
      <c r="A1069" s="37">
        <v>83490</v>
      </c>
      <c r="B1069" s="409">
        <f t="shared" ref="B1069:C1069" si="1085">($A1069-B$9)/365.25</f>
        <v>146.70499657768653</v>
      </c>
      <c r="C1069" s="409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3525.4531757812501</v>
      </c>
      <c r="H1069" s="25">
        <f>IF(B1069&lt;62,0,'Combined Retirement'!$I$14)</f>
        <v>2192</v>
      </c>
      <c r="I1069" s="25">
        <f>IF(C1069&lt;62,0,'Combined Retirement'!$I$13)</f>
        <v>2420</v>
      </c>
      <c r="J1069" s="25">
        <f t="shared" si="1043"/>
        <v>7863.2184191855868</v>
      </c>
      <c r="K1069" s="25">
        <f t="shared" si="1044"/>
        <v>20282.026119384056</v>
      </c>
      <c r="L1069" s="25"/>
      <c r="N1069" s="25">
        <f>'Combined Retirement'!$C$18/12</f>
        <v>39153.069999999992</v>
      </c>
      <c r="O1069" s="25">
        <f t="shared" si="1045"/>
        <v>11007.82546143035</v>
      </c>
      <c r="P1069" s="25">
        <f t="shared" si="1046"/>
        <v>28145.244538569641</v>
      </c>
      <c r="Q1069" s="25">
        <f t="array" aca="1" ref="Q1069" ca="1">INDEX('Isaac 401k'!L:L,MATCH('Retirement Calculator'!A1069,'Isaac 401k'!N:N,0),0)</f>
        <v>-8159633.7962776711</v>
      </c>
      <c r="R1069" s="25">
        <f t="array" aca="1" ref="R1069" ca="1">INDEX('Lorri 401b'!L:L,MATCH('Retirement Calculator'!A1069,'Lorri 401b'!N:N,0),0)</f>
        <v>-29700669.336491074</v>
      </c>
      <c r="S1069" s="25">
        <f t="shared" ca="1" si="1047"/>
        <v>-37860303.132768743</v>
      </c>
    </row>
    <row r="1070" spans="1:19" ht="15.75" customHeight="1" x14ac:dyDescent="0.3">
      <c r="A1070" s="37">
        <v>83521</v>
      </c>
      <c r="B1070" s="409">
        <f t="shared" ref="B1070:C1070" si="1086">($A1070-B$9)/365.25</f>
        <v>146.7898699520876</v>
      </c>
      <c r="C1070" s="409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3525.4531757812501</v>
      </c>
      <c r="H1070" s="25">
        <f>IF(B1070&lt;62,0,'Combined Retirement'!$I$14)</f>
        <v>2192</v>
      </c>
      <c r="I1070" s="25">
        <f>IF(C1070&lt;62,0,'Combined Retirement'!$I$13)</f>
        <v>2420</v>
      </c>
      <c r="J1070" s="25">
        <f t="shared" si="1043"/>
        <v>7863.2184191855868</v>
      </c>
      <c r="K1070" s="25">
        <f t="shared" si="1044"/>
        <v>20282.026119384056</v>
      </c>
      <c r="L1070" s="25"/>
      <c r="N1070" s="25">
        <f>'Combined Retirement'!$C$18/12</f>
        <v>39153.069999999992</v>
      </c>
      <c r="O1070" s="25">
        <f t="shared" si="1045"/>
        <v>11007.82546143035</v>
      </c>
      <c r="P1070" s="25">
        <f t="shared" si="1046"/>
        <v>28145.244538569641</v>
      </c>
      <c r="Q1070" s="25">
        <f t="array" aca="1" ref="Q1070" ca="1">INDEX('Isaac 401k'!L:L,MATCH('Retirement Calculator'!A1070,'Isaac 401k'!N:N,0),0)</f>
        <v>-8201528.252258094</v>
      </c>
      <c r="R1070" s="25">
        <f t="array" aca="1" ref="R1070" ca="1">INDEX('Lorri 401b'!L:L,MATCH('Retirement Calculator'!A1070,'Lorri 401b'!N:N,0),0)</f>
        <v>-29844788.659954671</v>
      </c>
      <c r="S1070" s="25">
        <f t="shared" ca="1" si="1047"/>
        <v>-38046316.912212767</v>
      </c>
    </row>
    <row r="1071" spans="1:19" ht="15.75" customHeight="1" x14ac:dyDescent="0.3">
      <c r="A1071" s="37">
        <v>83551</v>
      </c>
      <c r="B1071" s="409">
        <f t="shared" ref="B1071:C1071" si="1087">($A1071-B$9)/365.25</f>
        <v>146.87200547570157</v>
      </c>
      <c r="C1071" s="409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3525.4531757812501</v>
      </c>
      <c r="H1071" s="25">
        <f>IF(B1071&lt;62,0,'Combined Retirement'!$I$14)</f>
        <v>2192</v>
      </c>
      <c r="I1071" s="25">
        <f>IF(C1071&lt;62,0,'Combined Retirement'!$I$13)</f>
        <v>2420</v>
      </c>
      <c r="J1071" s="25">
        <f t="shared" si="1043"/>
        <v>7863.2184191855868</v>
      </c>
      <c r="K1071" s="25">
        <f t="shared" si="1044"/>
        <v>20282.026119384056</v>
      </c>
      <c r="L1071" s="25"/>
      <c r="N1071" s="25">
        <f>'Combined Retirement'!$C$18/12</f>
        <v>39153.069999999992</v>
      </c>
      <c r="O1071" s="25">
        <f t="shared" si="1045"/>
        <v>11007.82546143035</v>
      </c>
      <c r="P1071" s="25">
        <f t="shared" si="1046"/>
        <v>28145.244538569641</v>
      </c>
      <c r="Q1071" s="25">
        <f t="array" aca="1" ref="Q1071" ca="1">INDEX('Isaac 401k'!L:L,MATCH('Retirement Calculator'!A1071,'Isaac 401k'!N:N,0),0)</f>
        <v>-8243597.2684717681</v>
      </c>
      <c r="R1071" s="25">
        <f t="array" aca="1" ref="R1071" ca="1">INDEX('Lorri 401b'!L:L,MATCH('Retirement Calculator'!A1071,'Lorri 401b'!N:N,0),0)</f>
        <v>-29989508.480599366</v>
      </c>
      <c r="S1071" s="25">
        <f t="shared" ca="1" si="1047"/>
        <v>-38233105.749071136</v>
      </c>
    </row>
    <row r="1072" spans="1:19" ht="15.75" customHeight="1" x14ac:dyDescent="0.3">
      <c r="A1072" s="37">
        <v>83582</v>
      </c>
      <c r="B1072" s="409">
        <f t="shared" ref="B1072:C1072" si="1088">($A1072-B$9)/365.25</f>
        <v>146.95687885010267</v>
      </c>
      <c r="C1072" s="409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3525.4531757812501</v>
      </c>
      <c r="H1072" s="25">
        <f>IF(B1072&lt;62,0,'Combined Retirement'!$I$14)</f>
        <v>2192</v>
      </c>
      <c r="I1072" s="25">
        <f>IF(C1072&lt;62,0,'Combined Retirement'!$I$13)</f>
        <v>2420</v>
      </c>
      <c r="J1072" s="25">
        <f t="shared" si="1043"/>
        <v>7863.2184191855868</v>
      </c>
      <c r="K1072" s="25">
        <f t="shared" si="1044"/>
        <v>20282.026119384056</v>
      </c>
      <c r="L1072" s="25"/>
      <c r="N1072" s="25">
        <f>'Combined Retirement'!$C$18/12</f>
        <v>39153.069999999992</v>
      </c>
      <c r="O1072" s="25">
        <f t="shared" si="1045"/>
        <v>11007.82546143035</v>
      </c>
      <c r="P1072" s="25">
        <f t="shared" si="1046"/>
        <v>28145.244538569641</v>
      </c>
      <c r="Q1072" s="25">
        <f t="array" aca="1" ref="Q1072" ca="1">INDEX('Isaac 401k'!L:L,MATCH('Retirement Calculator'!A1072,'Isaac 401k'!N:N,0),0)</f>
        <v>-8285841.572253</v>
      </c>
      <c r="R1072" s="25">
        <f t="array" aca="1" ref="R1072" ca="1">INDEX('Lorri 401b'!L:L,MATCH('Retirement Calculator'!A1072,'Lorri 401b'!N:N,0),0)</f>
        <v>-30134831.300496746</v>
      </c>
      <c r="S1072" s="25">
        <f t="shared" ca="1" si="1047"/>
        <v>-38420672.872749746</v>
      </c>
    </row>
    <row r="1073" spans="1:19" ht="15.75" customHeight="1" x14ac:dyDescent="0.3">
      <c r="A1073" s="37">
        <v>83612</v>
      </c>
      <c r="B1073" s="409">
        <f t="shared" ref="B1073:C1073" si="1089">($A1073-B$9)/365.25</f>
        <v>147.03901437371664</v>
      </c>
      <c r="C1073" s="409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3525.4531757812501</v>
      </c>
      <c r="H1073" s="25">
        <f>IF(B1073&lt;62,0,'Combined Retirement'!$I$14)</f>
        <v>2192</v>
      </c>
      <c r="I1073" s="25">
        <f>IF(C1073&lt;62,0,'Combined Retirement'!$I$13)</f>
        <v>2420</v>
      </c>
      <c r="J1073" s="25">
        <f t="shared" si="1043"/>
        <v>7863.2184191855868</v>
      </c>
      <c r="K1073" s="25">
        <f t="shared" si="1044"/>
        <v>20282.026119384056</v>
      </c>
      <c r="L1073" s="25"/>
      <c r="N1073" s="25">
        <f>'Combined Retirement'!$C$18/12</f>
        <v>39153.069999999992</v>
      </c>
      <c r="O1073" s="25">
        <f t="shared" si="1045"/>
        <v>11007.82546143035</v>
      </c>
      <c r="P1073" s="25">
        <f t="shared" si="1046"/>
        <v>28145.244538569641</v>
      </c>
      <c r="Q1073" s="25">
        <f t="array" aca="1" ref="Q1073" ca="1">INDEX('Isaac 401k'!L:L,MATCH('Retirement Calculator'!A1073,'Isaac 401k'!N:N,0),0)</f>
        <v>-8328261.8939666534</v>
      </c>
      <c r="R1073" s="25">
        <f t="array" aca="1" ref="R1073" ca="1">INDEX('Lorri 401b'!L:L,MATCH('Retirement Calculator'!A1073,'Lorri 401b'!N:N,0),0)</f>
        <v>-30280759.632143699</v>
      </c>
      <c r="S1073" s="25">
        <f t="shared" ca="1" si="1047"/>
        <v>-38609021.526110351</v>
      </c>
    </row>
    <row r="1074" spans="1:19" ht="15.75" customHeight="1" x14ac:dyDescent="0.3">
      <c r="A1074" s="37">
        <v>83643</v>
      </c>
      <c r="B1074" s="409">
        <f t="shared" ref="B1074:C1074" si="1090">($A1074-B$9)/365.25</f>
        <v>147.12388774811774</v>
      </c>
      <c r="C1074" s="409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3525.4531757812501</v>
      </c>
      <c r="H1074" s="25">
        <f>IF(B1074&lt;62,0,'Combined Retirement'!$I$14)</f>
        <v>2192</v>
      </c>
      <c r="I1074" s="25">
        <f>IF(C1074&lt;62,0,'Combined Retirement'!$I$13)</f>
        <v>2420</v>
      </c>
      <c r="J1074" s="25">
        <f t="shared" si="1043"/>
        <v>7863.2184191855868</v>
      </c>
      <c r="K1074" s="25">
        <f t="shared" si="1044"/>
        <v>20282.026119384056</v>
      </c>
      <c r="L1074" s="25"/>
      <c r="N1074" s="25">
        <f>'Combined Retirement'!$C$18/12</f>
        <v>39153.069999999992</v>
      </c>
      <c r="O1074" s="25">
        <f t="shared" si="1045"/>
        <v>11007.82546143035</v>
      </c>
      <c r="P1074" s="25">
        <f t="shared" si="1046"/>
        <v>28145.244538569641</v>
      </c>
      <c r="Q1074" s="25">
        <f t="array" aca="1" ref="Q1074" ca="1">INDEX('Isaac 401k'!L:L,MATCH('Retirement Calculator'!A1074,'Isaac 401k'!N:N,0),0)</f>
        <v>-8370858.9670207798</v>
      </c>
      <c r="R1074" s="25">
        <f t="array" aca="1" ref="R1074" ca="1">INDEX('Lorri 401b'!L:L,MATCH('Retirement Calculator'!A1074,'Lorri 401b'!N:N,0),0)</f>
        <v>-30427295.998505846</v>
      </c>
      <c r="S1074" s="25">
        <f t="shared" ca="1" si="1047"/>
        <v>-38798154.965526626</v>
      </c>
    </row>
    <row r="1075" spans="1:19" ht="15.75" customHeight="1" x14ac:dyDescent="0.3">
      <c r="A1075" s="37">
        <v>83674</v>
      </c>
      <c r="B1075" s="409">
        <f t="shared" ref="B1075:C1075" si="1091">($A1075-B$9)/365.25</f>
        <v>147.20876112251884</v>
      </c>
      <c r="C1075" s="409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3525.4531757812501</v>
      </c>
      <c r="H1075" s="25">
        <f>IF(B1075&lt;62,0,'Combined Retirement'!$I$14)</f>
        <v>2192</v>
      </c>
      <c r="I1075" s="25">
        <f>IF(C1075&lt;62,0,'Combined Retirement'!$I$13)</f>
        <v>2420</v>
      </c>
      <c r="J1075" s="25">
        <f t="shared" si="1043"/>
        <v>7863.2184191855868</v>
      </c>
      <c r="K1075" s="25">
        <f t="shared" si="1044"/>
        <v>20282.026119384056</v>
      </c>
      <c r="L1075" s="25"/>
      <c r="N1075" s="25">
        <f>'Combined Retirement'!$C$18/12</f>
        <v>39153.069999999992</v>
      </c>
      <c r="O1075" s="25">
        <f t="shared" si="1045"/>
        <v>11007.82546143035</v>
      </c>
      <c r="P1075" s="25">
        <f t="shared" si="1046"/>
        <v>28145.244538569641</v>
      </c>
      <c r="Q1075" s="25">
        <f t="array" aca="1" ref="Q1075" ca="1">INDEX('Isaac 401k'!L:L,MATCH('Retirement Calculator'!A1075,'Isaac 401k'!N:N,0),0)</f>
        <v>-8413633.5278792996</v>
      </c>
      <c r="R1075" s="25">
        <f t="array" aca="1" ref="R1075" ca="1">INDEX('Lorri 401b'!L:L,MATCH('Retirement Calculator'!A1075,'Lorri 401b'!N:N,0),0)</f>
        <v>-30574442.933061168</v>
      </c>
      <c r="S1075" s="25">
        <f t="shared" ca="1" si="1047"/>
        <v>-38988076.460940465</v>
      </c>
    </row>
    <row r="1076" spans="1:19" ht="15.75" customHeight="1" x14ac:dyDescent="0.3">
      <c r="A1076" s="37">
        <v>83702</v>
      </c>
      <c r="B1076" s="409">
        <f t="shared" ref="B1076:C1076" si="1092">($A1076-B$9)/365.25</f>
        <v>147.28542094455852</v>
      </c>
      <c r="C1076" s="409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3525.4531757812501</v>
      </c>
      <c r="H1076" s="25">
        <f>IF(B1076&lt;62,0,'Combined Retirement'!$I$14)</f>
        <v>2192</v>
      </c>
      <c r="I1076" s="25">
        <f>IF(C1076&lt;62,0,'Combined Retirement'!$I$13)</f>
        <v>2420</v>
      </c>
      <c r="J1076" s="25">
        <f t="shared" si="1043"/>
        <v>7863.2184191855868</v>
      </c>
      <c r="K1076" s="25">
        <f t="shared" si="1044"/>
        <v>20282.026119384056</v>
      </c>
      <c r="L1076" s="25"/>
      <c r="N1076" s="25">
        <f>'Combined Retirement'!$C$18/12</f>
        <v>39153.069999999992</v>
      </c>
      <c r="O1076" s="25">
        <f t="shared" si="1045"/>
        <v>11007.82546143035</v>
      </c>
      <c r="P1076" s="25">
        <f t="shared" si="1046"/>
        <v>28145.244538569641</v>
      </c>
      <c r="Q1076" s="25">
        <f t="array" aca="1" ref="Q1076" ca="1">INDEX('Isaac 401k'!L:L,MATCH('Retirement Calculator'!A1076,'Isaac 401k'!N:N,0),0)</f>
        <v>-8456586.316074729</v>
      </c>
      <c r="R1076" s="25">
        <f t="array" aca="1" ref="R1076" ca="1">INDEX('Lorri 401b'!L:L,MATCH('Retirement Calculator'!A1076,'Lorri 401b'!N:N,0),0)</f>
        <v>-30722202.979843806</v>
      </c>
      <c r="S1076" s="25">
        <f t="shared" ca="1" si="1047"/>
        <v>-39178789.295918539</v>
      </c>
    </row>
    <row r="1077" spans="1:19" ht="15.75" customHeight="1" x14ac:dyDescent="0.3">
      <c r="A1077" s="37">
        <v>83733</v>
      </c>
      <c r="B1077" s="409">
        <f t="shared" ref="B1077:C1077" si="1093">($A1077-B$9)/365.25</f>
        <v>147.37029431895962</v>
      </c>
      <c r="C1077" s="409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3525.4531757812501</v>
      </c>
      <c r="H1077" s="25">
        <f>IF(B1077&lt;62,0,'Combined Retirement'!$I$14)</f>
        <v>2192</v>
      </c>
      <c r="I1077" s="25">
        <f>IF(C1077&lt;62,0,'Combined Retirement'!$I$13)</f>
        <v>2420</v>
      </c>
      <c r="J1077" s="25">
        <f t="shared" si="1043"/>
        <v>7863.2184191855868</v>
      </c>
      <c r="K1077" s="25">
        <f t="shared" si="1044"/>
        <v>20282.026119384056</v>
      </c>
      <c r="L1077" s="25"/>
      <c r="N1077" s="25">
        <f>'Combined Retirement'!$C$18/12</f>
        <v>39153.069999999992</v>
      </c>
      <c r="O1077" s="25">
        <f t="shared" si="1045"/>
        <v>11007.82546143035</v>
      </c>
      <c r="P1077" s="25">
        <f t="shared" si="1046"/>
        <v>28145.244538569641</v>
      </c>
      <c r="Q1077" s="25">
        <f t="array" aca="1" ref="Q1077" ca="1">INDEX('Isaac 401k'!L:L,MATCH('Retirement Calculator'!A1077,'Isaac 401k'!N:N,0),0)</f>
        <v>-8499718.0742209721</v>
      </c>
      <c r="R1077" s="25">
        <f t="array" aca="1" ref="R1077" ca="1">INDEX('Lorri 401b'!L:L,MATCH('Retirement Calculator'!A1077,'Lorri 401b'!N:N,0),0)</f>
        <v>-30870578.693488039</v>
      </c>
      <c r="S1077" s="25">
        <f t="shared" ca="1" si="1047"/>
        <v>-39370296.767709009</v>
      </c>
    </row>
    <row r="1078" spans="1:19" ht="15.75" customHeight="1" x14ac:dyDescent="0.3">
      <c r="A1078" s="37">
        <v>83763</v>
      </c>
      <c r="B1078" s="409">
        <f t="shared" ref="B1078:C1078" si="1094">($A1078-B$9)/365.25</f>
        <v>147.45242984257359</v>
      </c>
      <c r="C1078" s="409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3525.4531757812501</v>
      </c>
      <c r="H1078" s="25">
        <f>IF(B1078&lt;62,0,'Combined Retirement'!$I$14)</f>
        <v>2192</v>
      </c>
      <c r="I1078" s="25">
        <f>IF(C1078&lt;62,0,'Combined Retirement'!$I$13)</f>
        <v>2420</v>
      </c>
      <c r="J1078" s="25">
        <f t="shared" si="1043"/>
        <v>7863.2184191855868</v>
      </c>
      <c r="K1078" s="25">
        <f t="shared" si="1044"/>
        <v>20282.026119384056</v>
      </c>
      <c r="L1078" s="25"/>
      <c r="N1078" s="25">
        <f>'Combined Retirement'!$C$18/12</f>
        <v>39153.069999999992</v>
      </c>
      <c r="O1078" s="25">
        <f t="shared" si="1045"/>
        <v>11007.82546143035</v>
      </c>
      <c r="P1078" s="25">
        <f t="shared" si="1046"/>
        <v>28145.244538569641</v>
      </c>
      <c r="Q1078" s="25">
        <f t="array" aca="1" ref="Q1078" ca="1">INDEX('Isaac 401k'!L:L,MATCH('Retirement Calculator'!A1078,'Isaac 401k'!N:N,0),0)</f>
        <v>-8543029.5480261575</v>
      </c>
      <c r="R1078" s="25">
        <f t="array" aca="1" ref="R1078" ca="1">INDEX('Lorri 401b'!L:L,MATCH('Retirement Calculator'!A1078,'Lorri 401b'!N:N,0),0)</f>
        <v>-31019572.639272455</v>
      </c>
      <c r="S1078" s="25">
        <f t="shared" ca="1" si="1047"/>
        <v>-39562602.187298611</v>
      </c>
    </row>
    <row r="1079" spans="1:19" ht="15.75" customHeight="1" x14ac:dyDescent="0.3">
      <c r="A1079" s="37">
        <v>83794</v>
      </c>
      <c r="B1079" s="409">
        <f t="shared" ref="B1079:C1079" si="1095">($A1079-B$9)/365.25</f>
        <v>147.53730321697466</v>
      </c>
      <c r="C1079" s="409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3525.4531757812501</v>
      </c>
      <c r="H1079" s="25">
        <f>IF(B1079&lt;62,0,'Combined Retirement'!$I$14)</f>
        <v>2192</v>
      </c>
      <c r="I1079" s="25">
        <f>IF(C1079&lt;62,0,'Combined Retirement'!$I$13)</f>
        <v>2420</v>
      </c>
      <c r="J1079" s="25">
        <f t="shared" si="1043"/>
        <v>7863.2184191855868</v>
      </c>
      <c r="K1079" s="25">
        <f t="shared" si="1044"/>
        <v>20282.026119384056</v>
      </c>
      <c r="L1079" s="25"/>
      <c r="N1079" s="25">
        <f>'Combined Retirement'!$C$18/12</f>
        <v>39153.069999999992</v>
      </c>
      <c r="O1079" s="25">
        <f t="shared" si="1045"/>
        <v>11007.82546143035</v>
      </c>
      <c r="P1079" s="25">
        <f t="shared" si="1046"/>
        <v>28145.244538569641</v>
      </c>
      <c r="Q1079" s="25">
        <f t="array" aca="1" ref="Q1079" ca="1">INDEX('Isaac 401k'!L:L,MATCH('Retirement Calculator'!A1079,'Isaac 401k'!N:N,0),0)</f>
        <v>-8586521.4863055311</v>
      </c>
      <c r="R1079" s="25">
        <f t="array" aca="1" ref="R1079" ca="1">INDEX('Lorri 401b'!L:L,MATCH('Retirement Calculator'!A1079,'Lorri 401b'!N:N,0),0)</f>
        <v>-31169187.393164307</v>
      </c>
      <c r="S1079" s="25">
        <f t="shared" ca="1" si="1047"/>
        <v>-39755708.879469842</v>
      </c>
    </row>
    <row r="1080" spans="1:19" ht="15.75" customHeight="1" x14ac:dyDescent="0.3">
      <c r="A1080" s="37">
        <v>83824</v>
      </c>
      <c r="B1080" s="409">
        <f t="shared" ref="B1080:C1080" si="1096">($A1080-B$9)/365.25</f>
        <v>147.61943874058863</v>
      </c>
      <c r="C1080" s="409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3525.4531757812501</v>
      </c>
      <c r="H1080" s="25">
        <f>IF(B1080&lt;62,0,'Combined Retirement'!$I$14)</f>
        <v>2192</v>
      </c>
      <c r="I1080" s="25">
        <f>IF(C1080&lt;62,0,'Combined Retirement'!$I$13)</f>
        <v>2420</v>
      </c>
      <c r="J1080" s="25">
        <f t="shared" si="1043"/>
        <v>7863.2184191855868</v>
      </c>
      <c r="K1080" s="25">
        <f t="shared" si="1044"/>
        <v>20282.026119384056</v>
      </c>
      <c r="L1080" s="25"/>
      <c r="N1080" s="25">
        <f>'Combined Retirement'!$C$18/12</f>
        <v>39153.069999999992</v>
      </c>
      <c r="O1080" s="25">
        <f t="shared" si="1045"/>
        <v>11007.82546143035</v>
      </c>
      <c r="P1080" s="25">
        <f t="shared" si="1046"/>
        <v>28145.244538569641</v>
      </c>
      <c r="Q1080" s="25">
        <f t="array" aca="1" ref="Q1080" ca="1">INDEX('Isaac 401k'!L:L,MATCH('Retirement Calculator'!A1080,'Isaac 401k'!N:N,0),0)</f>
        <v>-8630194.6409944016</v>
      </c>
      <c r="R1080" s="25">
        <f t="array" aca="1" ref="R1080" ca="1">INDEX('Lorri 401b'!L:L,MATCH('Retirement Calculator'!A1080,'Lorri 401b'!N:N,0),0)</f>
        <v>-31319425.541864041</v>
      </c>
      <c r="S1080" s="25">
        <f t="shared" ca="1" si="1047"/>
        <v>-39949620.182858445</v>
      </c>
    </row>
    <row r="1081" spans="1:19" ht="15.75" customHeight="1" x14ac:dyDescent="0.3">
      <c r="A1081" s="37">
        <v>83855</v>
      </c>
      <c r="B1081" s="409">
        <f t="shared" ref="B1081:C1081" si="1097">($A1081-B$9)/365.25</f>
        <v>147.70431211498973</v>
      </c>
      <c r="C1081" s="409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3525.4531757812501</v>
      </c>
      <c r="H1081" s="25">
        <f>IF(B1081&lt;62,0,'Combined Retirement'!$I$14)</f>
        <v>2192</v>
      </c>
      <c r="I1081" s="25">
        <f>IF(C1081&lt;62,0,'Combined Retirement'!$I$13)</f>
        <v>2420</v>
      </c>
      <c r="J1081" s="25">
        <f t="shared" si="1043"/>
        <v>7863.2184191855868</v>
      </c>
      <c r="K1081" s="25">
        <f t="shared" si="1044"/>
        <v>20282.026119384056</v>
      </c>
      <c r="L1081" s="25"/>
      <c r="N1081" s="25">
        <f>'Combined Retirement'!$C$18/12</f>
        <v>39153.069999999992</v>
      </c>
      <c r="O1081" s="25">
        <f t="shared" si="1045"/>
        <v>11007.82546143035</v>
      </c>
      <c r="P1081" s="25">
        <f t="shared" si="1046"/>
        <v>28145.244538569641</v>
      </c>
      <c r="Q1081" s="25">
        <f t="array" aca="1" ref="Q1081" ca="1">INDEX('Isaac 401k'!L:L,MATCH('Retirement Calculator'!A1081,'Isaac 401k'!N:N,0),0)</f>
        <v>-8674049.7671611439</v>
      </c>
      <c r="R1081" s="25">
        <f t="array" aca="1" ref="R1081" ca="1">INDEX('Lorri 401b'!L:L,MATCH('Retirement Calculator'!A1081,'Lorri 401b'!N:N,0),0)</f>
        <v>-31470289.682850026</v>
      </c>
      <c r="S1081" s="25">
        <f t="shared" ca="1" si="1047"/>
        <v>-40144339.450011171</v>
      </c>
    </row>
    <row r="1082" spans="1:19" ht="15.75" customHeight="1" x14ac:dyDescent="0.3">
      <c r="A1082" s="37">
        <v>83886</v>
      </c>
      <c r="B1082" s="409">
        <f t="shared" ref="B1082:C1082" si="1098">($A1082-B$9)/365.25</f>
        <v>147.78918548939083</v>
      </c>
      <c r="C1082" s="409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3525.4531757812501</v>
      </c>
      <c r="H1082" s="25">
        <f>IF(B1082&lt;62,0,'Combined Retirement'!$I$14)</f>
        <v>2192</v>
      </c>
      <c r="I1082" s="25">
        <f>IF(C1082&lt;62,0,'Combined Retirement'!$I$13)</f>
        <v>2420</v>
      </c>
      <c r="J1082" s="25">
        <f t="shared" si="1043"/>
        <v>7863.2184191855868</v>
      </c>
      <c r="K1082" s="25">
        <f t="shared" si="1044"/>
        <v>20282.026119384056</v>
      </c>
      <c r="L1082" s="25"/>
      <c r="N1082" s="25">
        <f>'Combined Retirement'!$C$18/12</f>
        <v>39153.069999999992</v>
      </c>
      <c r="O1082" s="25">
        <f t="shared" si="1045"/>
        <v>11007.82546143035</v>
      </c>
      <c r="P1082" s="25">
        <f t="shared" si="1046"/>
        <v>28145.244538569641</v>
      </c>
      <c r="Q1082" s="25">
        <f t="array" aca="1" ref="Q1082" ca="1">INDEX('Isaac 401k'!L:L,MATCH('Retirement Calculator'!A1082,'Isaac 401k'!N:N,0),0)</f>
        <v>-8718087.6230202466</v>
      </c>
      <c r="R1082" s="25">
        <f t="array" aca="1" ref="R1082" ca="1">INDEX('Lorri 401b'!L:L,MATCH('Retirement Calculator'!A1082,'Lorri 401b'!N:N,0),0)</f>
        <v>-31621782.424423449</v>
      </c>
      <c r="S1082" s="25">
        <f t="shared" ca="1" si="1047"/>
        <v>-40339870.047443695</v>
      </c>
    </row>
    <row r="1083" spans="1:19" ht="15.75" customHeight="1" x14ac:dyDescent="0.3">
      <c r="A1083" s="37">
        <v>83916</v>
      </c>
      <c r="B1083" s="409">
        <f t="shared" ref="B1083:C1083" si="1099">($A1083-B$9)/365.25</f>
        <v>147.8713210130048</v>
      </c>
      <c r="C1083" s="409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3525.4531757812501</v>
      </c>
      <c r="H1083" s="25">
        <f>IF(B1083&lt;62,0,'Combined Retirement'!$I$14)</f>
        <v>2192</v>
      </c>
      <c r="I1083" s="25">
        <f>IF(C1083&lt;62,0,'Combined Retirement'!$I$13)</f>
        <v>2420</v>
      </c>
      <c r="J1083" s="25">
        <f t="shared" si="1043"/>
        <v>7863.2184191855868</v>
      </c>
      <c r="K1083" s="25">
        <f t="shared" si="1044"/>
        <v>20282.026119384056</v>
      </c>
      <c r="L1083" s="25"/>
      <c r="N1083" s="25">
        <f>'Combined Retirement'!$C$18/12</f>
        <v>39153.069999999992</v>
      </c>
      <c r="O1083" s="25">
        <f t="shared" si="1045"/>
        <v>11007.82546143035</v>
      </c>
      <c r="P1083" s="25">
        <f t="shared" si="1046"/>
        <v>28145.244538569641</v>
      </c>
      <c r="Q1083" s="25">
        <f t="array" aca="1" ref="Q1083" ca="1">INDEX('Isaac 401k'!L:L,MATCH('Retirement Calculator'!A1083,'Isaac 401k'!N:N,0),0)</f>
        <v>-8762308.9699454289</v>
      </c>
      <c r="R1083" s="25">
        <f t="array" aca="1" ref="R1083" ca="1">INDEX('Lorri 401b'!L:L,MATCH('Retirement Calculator'!A1083,'Lorri 401b'!N:N,0),0)</f>
        <v>-31773906.38575343</v>
      </c>
      <c r="S1083" s="25">
        <f t="shared" ca="1" si="1047"/>
        <v>-40536215.355698861</v>
      </c>
    </row>
    <row r="1084" spans="1:19" ht="15.75" customHeight="1" x14ac:dyDescent="0.3">
      <c r="A1084" s="37">
        <v>83947</v>
      </c>
      <c r="B1084" s="409">
        <f t="shared" ref="B1084:C1084" si="1100">($A1084-B$9)/365.25</f>
        <v>147.95619438740587</v>
      </c>
      <c r="C1084" s="409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3525.4531757812501</v>
      </c>
      <c r="H1084" s="25">
        <f>IF(B1084&lt;62,0,'Combined Retirement'!$I$14)</f>
        <v>2192</v>
      </c>
      <c r="I1084" s="25">
        <f>IF(C1084&lt;62,0,'Combined Retirement'!$I$13)</f>
        <v>2420</v>
      </c>
      <c r="J1084" s="25">
        <f t="shared" si="1043"/>
        <v>7863.2184191855868</v>
      </c>
      <c r="K1084" s="25">
        <f t="shared" si="1044"/>
        <v>20282.026119384056</v>
      </c>
      <c r="L1084" s="25"/>
      <c r="N1084" s="25">
        <f>'Combined Retirement'!$C$18/12</f>
        <v>39153.069999999992</v>
      </c>
      <c r="O1084" s="25">
        <f t="shared" si="1045"/>
        <v>11007.82546143035</v>
      </c>
      <c r="P1084" s="25">
        <f t="shared" si="1046"/>
        <v>28145.244538569641</v>
      </c>
      <c r="Q1084" s="25">
        <f t="array" aca="1" ref="Q1084" ca="1">INDEX('Isaac 401k'!L:L,MATCH('Retirement Calculator'!A1084,'Isaac 401k'!N:N,0),0)</f>
        <v>-8806714.5724828001</v>
      </c>
      <c r="R1084" s="25">
        <f t="array" aca="1" ref="R1084" ca="1">INDEX('Lorri 401b'!L:L,MATCH('Retirement Calculator'!A1084,'Lorri 401b'!N:N,0),0)</f>
        <v>-31926664.196922284</v>
      </c>
      <c r="S1084" s="25">
        <f t="shared" ca="1" si="1047"/>
        <v>-40733378.769405082</v>
      </c>
    </row>
    <row r="1085" spans="1:19" ht="15.75" customHeight="1" x14ac:dyDescent="0.3">
      <c r="A1085" s="37">
        <v>83977</v>
      </c>
      <c r="B1085" s="409">
        <f t="shared" ref="B1085:C1085" si="1101">($A1085-B$9)/365.25</f>
        <v>148.03832991101984</v>
      </c>
      <c r="C1085" s="409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3525.4531757812501</v>
      </c>
      <c r="H1085" s="25">
        <f>IF(B1085&lt;62,0,'Combined Retirement'!$I$14)</f>
        <v>2192</v>
      </c>
      <c r="I1085" s="25">
        <f>IF(C1085&lt;62,0,'Combined Retirement'!$I$13)</f>
        <v>2420</v>
      </c>
      <c r="J1085" s="25">
        <f t="shared" si="1043"/>
        <v>7863.2184191855868</v>
      </c>
      <c r="K1085" s="25">
        <f t="shared" si="1044"/>
        <v>20282.026119384056</v>
      </c>
      <c r="L1085" s="25"/>
      <c r="N1085" s="25">
        <f>'Combined Retirement'!$C$18/12</f>
        <v>39153.069999999992</v>
      </c>
      <c r="O1085" s="25">
        <f t="shared" si="1045"/>
        <v>11007.82546143035</v>
      </c>
      <c r="P1085" s="25">
        <f t="shared" si="1046"/>
        <v>28145.244538569641</v>
      </c>
      <c r="Q1085" s="25">
        <f t="array" aca="1" ref="Q1085" ca="1">INDEX('Isaac 401k'!L:L,MATCH('Retirement Calculator'!A1085,'Isaac 401k'!N:N,0),0)</f>
        <v>-8851305.1983640771</v>
      </c>
      <c r="R1085" s="25">
        <f t="array" aca="1" ref="R1085" ca="1">INDEX('Lorri 401b'!L:L,MATCH('Retirement Calculator'!A1085,'Lorri 401b'!N:N,0),0)</f>
        <v>-32080058.498971008</v>
      </c>
      <c r="S1085" s="25">
        <f t="shared" ca="1" si="1047"/>
        <v>-40931363.697335087</v>
      </c>
    </row>
    <row r="1086" spans="1:19" ht="15.75" customHeight="1" x14ac:dyDescent="0.3">
      <c r="A1086" s="37">
        <v>84008</v>
      </c>
      <c r="B1086" s="409">
        <f t="shared" ref="B1086:C1086" si="1102">($A1086-B$9)/365.25</f>
        <v>148.12320328542094</v>
      </c>
      <c r="C1086" s="409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3525.4531757812501</v>
      </c>
      <c r="H1086" s="25">
        <f>IF(B1086&lt;62,0,'Combined Retirement'!$I$14)</f>
        <v>2192</v>
      </c>
      <c r="I1086" s="25">
        <f>IF(C1086&lt;62,0,'Combined Retirement'!$I$13)</f>
        <v>2420</v>
      </c>
      <c r="J1086" s="25">
        <f t="shared" si="1043"/>
        <v>7863.2184191855868</v>
      </c>
      <c r="K1086" s="25">
        <f t="shared" si="1044"/>
        <v>20282.026119384056</v>
      </c>
      <c r="L1086" s="25"/>
      <c r="N1086" s="25">
        <f>'Combined Retirement'!$C$18/12</f>
        <v>39153.069999999992</v>
      </c>
      <c r="O1086" s="25">
        <f t="shared" si="1045"/>
        <v>11007.82546143035</v>
      </c>
      <c r="P1086" s="25">
        <f t="shared" si="1046"/>
        <v>28145.244538569641</v>
      </c>
      <c r="Q1086" s="25">
        <f t="array" aca="1" ref="Q1086" ca="1">INDEX('Isaac 401k'!L:L,MATCH('Retirement Calculator'!A1086,'Isaac 401k'!N:N,0),0)</f>
        <v>-8896081.6185198594</v>
      </c>
      <c r="R1086" s="25">
        <f t="array" aca="1" ref="R1086" ca="1">INDEX('Lorri 401b'!L:L,MATCH('Retirement Calculator'!A1086,'Lorri 401b'!N:N,0),0)</f>
        <v>-32234091.943944935</v>
      </c>
      <c r="S1086" s="25">
        <f t="shared" ca="1" si="1047"/>
        <v>-41130173.562464796</v>
      </c>
    </row>
    <row r="1087" spans="1:19" ht="15.75" customHeight="1" x14ac:dyDescent="0.3">
      <c r="A1087" s="37">
        <v>84039</v>
      </c>
      <c r="B1087" s="409">
        <f t="shared" ref="B1087:C1087" si="1103">($A1087-B$9)/365.25</f>
        <v>148.20807665982204</v>
      </c>
      <c r="C1087" s="409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3525.4531757812501</v>
      </c>
      <c r="H1087" s="25">
        <f>IF(B1087&lt;62,0,'Combined Retirement'!$I$14)</f>
        <v>2192</v>
      </c>
      <c r="I1087" s="25">
        <f>IF(C1087&lt;62,0,'Combined Retirement'!$I$13)</f>
        <v>2420</v>
      </c>
      <c r="J1087" s="25">
        <f t="shared" si="1043"/>
        <v>7863.2184191855868</v>
      </c>
      <c r="K1087" s="25">
        <f t="shared" si="1044"/>
        <v>20282.026119384056</v>
      </c>
      <c r="L1087" s="25"/>
      <c r="N1087" s="25">
        <f>'Combined Retirement'!$C$18/12</f>
        <v>39153.069999999992</v>
      </c>
      <c r="O1087" s="25">
        <f t="shared" si="1045"/>
        <v>11007.82546143035</v>
      </c>
      <c r="P1087" s="25">
        <f t="shared" si="1046"/>
        <v>28145.244538569641</v>
      </c>
      <c r="Q1087" s="25">
        <f t="array" aca="1" ref="Q1087" ca="1">INDEX('Isaac 401k'!L:L,MATCH('Retirement Calculator'!A1087,'Isaac 401k'!N:N,0),0)</f>
        <v>-8941044.6070929561</v>
      </c>
      <c r="R1087" s="25">
        <f t="array" aca="1" ref="R1087" ca="1">INDEX('Lorri 401b'!L:L,MATCH('Retirement Calculator'!A1087,'Lorri 401b'!N:N,0),0)</f>
        <v>-32388767.194939587</v>
      </c>
      <c r="S1087" s="25">
        <f t="shared" ca="1" si="1047"/>
        <v>-41329811.802032545</v>
      </c>
    </row>
    <row r="1088" spans="1:19" ht="15.75" customHeight="1" x14ac:dyDescent="0.3">
      <c r="A1088" s="37">
        <v>84067</v>
      </c>
      <c r="B1088" s="409">
        <f t="shared" ref="B1088:C1088" si="1104">($A1088-B$9)/365.25</f>
        <v>148.28473648186173</v>
      </c>
      <c r="C1088" s="409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3525.4531757812501</v>
      </c>
      <c r="H1088" s="25">
        <f>IF(B1088&lt;62,0,'Combined Retirement'!$I$14)</f>
        <v>2192</v>
      </c>
      <c r="I1088" s="25">
        <f>IF(C1088&lt;62,0,'Combined Retirement'!$I$13)</f>
        <v>2420</v>
      </c>
      <c r="J1088" s="25">
        <f t="shared" si="1043"/>
        <v>7863.2184191855868</v>
      </c>
      <c r="K1088" s="25">
        <f t="shared" si="1044"/>
        <v>20282.026119384056</v>
      </c>
      <c r="L1088" s="25"/>
      <c r="N1088" s="25">
        <f>'Combined Retirement'!$C$18/12</f>
        <v>39153.069999999992</v>
      </c>
      <c r="O1088" s="25">
        <f t="shared" si="1045"/>
        <v>11007.82546143035</v>
      </c>
      <c r="P1088" s="25">
        <f t="shared" si="1046"/>
        <v>28145.244538569641</v>
      </c>
      <c r="Q1088" s="25">
        <f t="array" aca="1" ref="Q1088" ca="1">INDEX('Isaac 401k'!L:L,MATCH('Retirement Calculator'!A1088,'Isaac 401k'!N:N,0),0)</f>
        <v>-8986194.9414517749</v>
      </c>
      <c r="R1088" s="25">
        <f t="array" aca="1" ref="R1088" ca="1">INDEX('Lorri 401b'!L:L,MATCH('Retirement Calculator'!A1088,'Lorri 401b'!N:N,0),0)</f>
        <v>-32544086.92614672</v>
      </c>
      <c r="S1088" s="25">
        <f t="shared" ca="1" si="1047"/>
        <v>-41530281.867598496</v>
      </c>
    </row>
    <row r="1089" spans="1:19" ht="15.75" customHeight="1" x14ac:dyDescent="0.3">
      <c r="A1089" s="37">
        <v>84098</v>
      </c>
      <c r="B1089" s="409">
        <f t="shared" ref="B1089:C1089" si="1105">($A1089-B$9)/365.25</f>
        <v>148.36960985626283</v>
      </c>
      <c r="C1089" s="409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3525.4531757812501</v>
      </c>
      <c r="H1089" s="25">
        <f>IF(B1089&lt;62,0,'Combined Retirement'!$I$14)</f>
        <v>2192</v>
      </c>
      <c r="I1089" s="25">
        <f>IF(C1089&lt;62,0,'Combined Retirement'!$I$13)</f>
        <v>2420</v>
      </c>
      <c r="J1089" s="25">
        <f t="shared" si="1043"/>
        <v>7863.2184191855868</v>
      </c>
      <c r="K1089" s="25">
        <f t="shared" si="1044"/>
        <v>20282.026119384056</v>
      </c>
      <c r="L1089" s="25"/>
      <c r="N1089" s="25">
        <f>'Combined Retirement'!$C$18/12</f>
        <v>39153.069999999992</v>
      </c>
      <c r="O1089" s="25">
        <f t="shared" si="1045"/>
        <v>11007.82546143035</v>
      </c>
      <c r="P1089" s="25">
        <f t="shared" si="1046"/>
        <v>28145.244538569641</v>
      </c>
      <c r="Q1089" s="25">
        <f t="array" aca="1" ref="Q1089" ca="1">INDEX('Isaac 401k'!L:L,MATCH('Retirement Calculator'!A1089,'Isaac 401k'!N:N,0),0)</f>
        <v>-9031533.4022037555</v>
      </c>
      <c r="R1089" s="25">
        <f t="array" aca="1" ref="R1089" ca="1">INDEX('Lorri 401b'!L:L,MATCH('Retirement Calculator'!A1089,'Lorri 401b'!N:N,0),0)</f>
        <v>-32700053.822900545</v>
      </c>
      <c r="S1089" s="25">
        <f t="shared" ca="1" si="1047"/>
        <v>-41731587.225104302</v>
      </c>
    </row>
    <row r="1090" spans="1:19" ht="15.75" customHeight="1" x14ac:dyDescent="0.3">
      <c r="A1090" s="37">
        <v>84128</v>
      </c>
      <c r="B1090" s="409">
        <f t="shared" ref="B1090:C1090" si="1106">($A1090-B$9)/365.25</f>
        <v>148.4517453798768</v>
      </c>
      <c r="C1090" s="409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3525.4531757812501</v>
      </c>
      <c r="H1090" s="25">
        <f>IF(B1090&lt;62,0,'Combined Retirement'!$I$14)</f>
        <v>2192</v>
      </c>
      <c r="I1090" s="25">
        <f>IF(C1090&lt;62,0,'Combined Retirement'!$I$13)</f>
        <v>2420</v>
      </c>
      <c r="J1090" s="25">
        <f t="shared" si="1043"/>
        <v>7863.2184191855868</v>
      </c>
      <c r="K1090" s="25">
        <f t="shared" si="1044"/>
        <v>20282.026119384056</v>
      </c>
      <c r="L1090" s="25"/>
      <c r="N1090" s="25">
        <f>'Combined Retirement'!$C$18/12</f>
        <v>39153.069999999992</v>
      </c>
      <c r="O1090" s="25">
        <f t="shared" si="1045"/>
        <v>11007.82546143035</v>
      </c>
      <c r="P1090" s="25">
        <f t="shared" si="1046"/>
        <v>28145.244538569641</v>
      </c>
      <c r="Q1090" s="25">
        <f t="array" aca="1" ref="Q1090" ca="1">INDEX('Isaac 401k'!L:L,MATCH('Retirement Calculator'!A1090,'Isaac 401k'!N:N,0),0)</f>
        <v>-9077060.7732088696</v>
      </c>
      <c r="R1090" s="25">
        <f t="array" aca="1" ref="R1090" ca="1">INDEX('Lorri 401b'!L:L,MATCH('Retirement Calculator'!A1090,'Lorri 401b'!N:N,0),0)</f>
        <v>-32856670.581724178</v>
      </c>
      <c r="S1090" s="25">
        <f t="shared" ca="1" si="1047"/>
        <v>-41933731.354933046</v>
      </c>
    </row>
    <row r="1091" spans="1:19" ht="15.75" customHeight="1" x14ac:dyDescent="0.3">
      <c r="A1091" s="37">
        <v>84159</v>
      </c>
      <c r="B1091" s="409">
        <f t="shared" ref="B1091:C1091" si="1107">($A1091-B$9)/365.25</f>
        <v>148.5366187542779</v>
      </c>
      <c r="C1091" s="409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3525.4531757812501</v>
      </c>
      <c r="H1091" s="25">
        <f>IF(B1091&lt;62,0,'Combined Retirement'!$I$14)</f>
        <v>2192</v>
      </c>
      <c r="I1091" s="25">
        <f>IF(C1091&lt;62,0,'Combined Retirement'!$I$13)</f>
        <v>2420</v>
      </c>
      <c r="J1091" s="25">
        <f t="shared" si="1043"/>
        <v>7863.2184191855868</v>
      </c>
      <c r="K1091" s="25">
        <f t="shared" si="1044"/>
        <v>20282.026119384056</v>
      </c>
      <c r="L1091" s="25"/>
      <c r="N1091" s="25">
        <f>'Combined Retirement'!$C$18/12</f>
        <v>39153.069999999992</v>
      </c>
      <c r="O1091" s="25">
        <f t="shared" si="1045"/>
        <v>11007.82546143035</v>
      </c>
      <c r="P1091" s="25">
        <f t="shared" si="1046"/>
        <v>28145.244538569641</v>
      </c>
      <c r="Q1091" s="25">
        <f t="array" aca="1" ref="Q1091" ca="1">INDEX('Isaac 401k'!L:L,MATCH('Retirement Calculator'!A1091,'Isaac 401k'!N:N,0),0)</f>
        <v>-9122777.8415931705</v>
      </c>
      <c r="R1091" s="25">
        <f t="array" aca="1" ref="R1091" ca="1">INDEX('Lorri 401b'!L:L,MATCH('Retirement Calculator'!A1091,'Lorri 401b'!N:N,0),0)</f>
        <v>-33013939.910376243</v>
      </c>
      <c r="S1091" s="25">
        <f t="shared" ca="1" si="1047"/>
        <v>-42136717.751969412</v>
      </c>
    </row>
    <row r="1092" spans="1:19" ht="15.75" customHeight="1" x14ac:dyDescent="0.3">
      <c r="A1092" s="37">
        <v>84189</v>
      </c>
      <c r="B1092" s="409">
        <f t="shared" ref="B1092:C1092" si="1108">($A1092-B$9)/365.25</f>
        <v>148.61875427789187</v>
      </c>
      <c r="C1092" s="409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3525.4531757812501</v>
      </c>
      <c r="H1092" s="25">
        <f>IF(B1092&lt;62,0,'Combined Retirement'!$I$14)</f>
        <v>2192</v>
      </c>
      <c r="I1092" s="25">
        <f>IF(C1092&lt;62,0,'Combined Retirement'!$I$13)</f>
        <v>2420</v>
      </c>
      <c r="J1092" s="25">
        <f t="shared" si="1043"/>
        <v>7863.2184191855868</v>
      </c>
      <c r="K1092" s="25">
        <f t="shared" si="1044"/>
        <v>20282.026119384056</v>
      </c>
      <c r="L1092" s="25"/>
      <c r="N1092" s="25">
        <f>'Combined Retirement'!$C$18/12</f>
        <v>39153.069999999992</v>
      </c>
      <c r="O1092" s="25">
        <f t="shared" si="1045"/>
        <v>11007.82546143035</v>
      </c>
      <c r="P1092" s="25">
        <f t="shared" si="1046"/>
        <v>28145.244538569641</v>
      </c>
      <c r="Q1092" s="25">
        <f t="array" aca="1" ref="Q1092" ca="1">INDEX('Isaac 401k'!L:L,MATCH('Retirement Calculator'!A1092,'Isaac 401k'!N:N,0),0)</f>
        <v>-9168685.3977624066</v>
      </c>
      <c r="R1092" s="25">
        <f t="array" aca="1" ref="R1092" ca="1">INDEX('Lorri 401b'!L:L,MATCH('Retirement Calculator'!A1092,'Lorri 401b'!N:N,0),0)</f>
        <v>-33171864.527897693</v>
      </c>
      <c r="S1092" s="25">
        <f t="shared" ca="1" si="1047"/>
        <v>-42340549.925660104</v>
      </c>
    </row>
    <row r="1093" spans="1:19" ht="15.75" customHeight="1" x14ac:dyDescent="0.3">
      <c r="A1093" s="37">
        <v>84220</v>
      </c>
      <c r="B1093" s="409">
        <f t="shared" ref="B1093:C1093" si="1109">($A1093-B$9)/365.25</f>
        <v>148.70362765229294</v>
      </c>
      <c r="C1093" s="409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3525.4531757812501</v>
      </c>
      <c r="H1093" s="25">
        <f>IF(B1093&lt;62,0,'Combined Retirement'!$I$14)</f>
        <v>2192</v>
      </c>
      <c r="I1093" s="25">
        <f>IF(C1093&lt;62,0,'Combined Retirement'!$I$13)</f>
        <v>2420</v>
      </c>
      <c r="J1093" s="25">
        <f t="shared" si="1043"/>
        <v>7863.2184191855868</v>
      </c>
      <c r="K1093" s="25">
        <f t="shared" si="1044"/>
        <v>20282.026119384056</v>
      </c>
      <c r="L1093" s="25"/>
      <c r="N1093" s="25">
        <f>'Combined Retirement'!$C$18/12</f>
        <v>39153.069999999992</v>
      </c>
      <c r="O1093" s="25">
        <f t="shared" si="1045"/>
        <v>11007.82546143035</v>
      </c>
      <c r="P1093" s="25">
        <f t="shared" si="1046"/>
        <v>28145.244538569641</v>
      </c>
      <c r="Q1093" s="25">
        <f t="array" aca="1" ref="Q1093" ca="1">INDEX('Isaac 401k'!L:L,MATCH('Retirement Calculator'!A1093,'Isaac 401k'!N:N,0),0)</f>
        <v>-9214784.2354156822</v>
      </c>
      <c r="R1093" s="25">
        <f t="array" aca="1" ref="R1093" ca="1">INDEX('Lorri 401b'!L:L,MATCH('Retirement Calculator'!A1093,'Lorri 401b'!N:N,0),0)</f>
        <v>-33330447.164658815</v>
      </c>
      <c r="S1093" s="25">
        <f t="shared" ca="1" si="1047"/>
        <v>-42545231.400074497</v>
      </c>
    </row>
    <row r="1094" spans="1:19" ht="15.75" customHeight="1" x14ac:dyDescent="0.3">
      <c r="A1094" s="37">
        <v>84251</v>
      </c>
      <c r="B1094" s="409">
        <f t="shared" ref="B1094:C1094" si="1110">($A1094-B$9)/365.25</f>
        <v>148.78850102669404</v>
      </c>
      <c r="C1094" s="409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3525.4531757812501</v>
      </c>
      <c r="H1094" s="25">
        <f>IF(B1094&lt;62,0,'Combined Retirement'!$I$14)</f>
        <v>2192</v>
      </c>
      <c r="I1094" s="25">
        <f>IF(C1094&lt;62,0,'Combined Retirement'!$I$13)</f>
        <v>2420</v>
      </c>
      <c r="J1094" s="25">
        <f t="shared" si="1043"/>
        <v>7863.2184191855868</v>
      </c>
      <c r="K1094" s="25">
        <f t="shared" si="1044"/>
        <v>20282.026119384056</v>
      </c>
      <c r="L1094" s="25"/>
      <c r="N1094" s="25">
        <f>'Combined Retirement'!$C$18/12</f>
        <v>39153.069999999992</v>
      </c>
      <c r="O1094" s="25">
        <f t="shared" si="1045"/>
        <v>11007.82546143035</v>
      </c>
      <c r="P1094" s="25">
        <f t="shared" si="1046"/>
        <v>28145.244538569641</v>
      </c>
      <c r="Q1094" s="25">
        <f t="array" aca="1" ref="Q1094" ca="1">INDEX('Isaac 401k'!L:L,MATCH('Retirement Calculator'!A1094,'Isaac 401k'!N:N,0),0)</f>
        <v>-9261075.1515591796</v>
      </c>
      <c r="R1094" s="25">
        <f t="array" aca="1" ref="R1094" ca="1">INDEX('Lorri 401b'!L:L,MATCH('Retirement Calculator'!A1094,'Lorri 401b'!N:N,0),0)</f>
        <v>-33489690.562406443</v>
      </c>
      <c r="S1094" s="25">
        <f t="shared" ca="1" si="1047"/>
        <v>-42750765.713965625</v>
      </c>
    </row>
    <row r="1095" spans="1:19" ht="15.75" customHeight="1" x14ac:dyDescent="0.3">
      <c r="A1095" s="37">
        <v>84281</v>
      </c>
      <c r="B1095" s="409">
        <f t="shared" ref="B1095:C1095" si="1111">($A1095-B$9)/365.25</f>
        <v>148.87063655030801</v>
      </c>
      <c r="C1095" s="409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3525.4531757812501</v>
      </c>
      <c r="H1095" s="25">
        <f>IF(B1095&lt;62,0,'Combined Retirement'!$I$14)</f>
        <v>2192</v>
      </c>
      <c r="I1095" s="25">
        <f>IF(C1095&lt;62,0,'Combined Retirement'!$I$13)</f>
        <v>2420</v>
      </c>
      <c r="J1095" s="25">
        <f t="shared" si="1043"/>
        <v>7863.2184191855868</v>
      </c>
      <c r="K1095" s="25">
        <f t="shared" si="1044"/>
        <v>20282.026119384056</v>
      </c>
      <c r="L1095" s="25"/>
      <c r="N1095" s="25">
        <f>'Combined Retirement'!$C$18/12</f>
        <v>39153.069999999992</v>
      </c>
      <c r="O1095" s="25">
        <f t="shared" si="1045"/>
        <v>11007.82546143035</v>
      </c>
      <c r="P1095" s="25">
        <f t="shared" si="1046"/>
        <v>28145.244538569641</v>
      </c>
      <c r="Q1095" s="25">
        <f t="array" aca="1" ref="Q1095" ca="1">INDEX('Isaac 401k'!L:L,MATCH('Retirement Calculator'!A1095,'Isaac 401k'!N:N,0),0)</f>
        <v>-9307558.9465199411</v>
      </c>
      <c r="R1095" s="25">
        <f t="array" aca="1" ref="R1095" ca="1">INDEX('Lorri 401b'!L:L,MATCH('Retirement Calculator'!A1095,'Lorri 401b'!N:N,0),0)</f>
        <v>-33649597.474311352</v>
      </c>
      <c r="S1095" s="25">
        <f t="shared" ca="1" si="1047"/>
        <v>-42957156.420831293</v>
      </c>
    </row>
    <row r="1096" spans="1:19" ht="15.75" customHeight="1" x14ac:dyDescent="0.3">
      <c r="A1096" s="37">
        <v>84312</v>
      </c>
      <c r="B1096" s="409">
        <f t="shared" ref="B1096:C1096" si="1112">($A1096-B$9)/365.25</f>
        <v>148.95550992470911</v>
      </c>
      <c r="C1096" s="409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3525.4531757812501</v>
      </c>
      <c r="H1096" s="25">
        <f>IF(B1096&lt;62,0,'Combined Retirement'!$I$14)</f>
        <v>2192</v>
      </c>
      <c r="I1096" s="25">
        <f>IF(C1096&lt;62,0,'Combined Retirement'!$I$13)</f>
        <v>2420</v>
      </c>
      <c r="J1096" s="25">
        <f t="shared" si="1043"/>
        <v>7863.2184191855868</v>
      </c>
      <c r="K1096" s="25">
        <f t="shared" si="1044"/>
        <v>20282.026119384056</v>
      </c>
      <c r="L1096" s="25"/>
      <c r="N1096" s="25">
        <f>'Combined Retirement'!$C$18/12</f>
        <v>39153.069999999992</v>
      </c>
      <c r="O1096" s="25">
        <f t="shared" si="1045"/>
        <v>11007.82546143035</v>
      </c>
      <c r="P1096" s="25">
        <f t="shared" si="1046"/>
        <v>28145.244538569641</v>
      </c>
      <c r="Q1096" s="25">
        <f t="array" aca="1" ref="Q1096" ca="1">INDEX('Isaac 401k'!L:L,MATCH('Retirement Calculator'!A1096,'Isaac 401k'!N:N,0),0)</f>
        <v>-9354236.423959706</v>
      </c>
      <c r="R1096" s="25">
        <f t="array" aca="1" ref="R1096" ca="1">INDEX('Lorri 401b'!L:L,MATCH('Retirement Calculator'!A1096,'Lorri 401b'!N:N,0),0)</f>
        <v>-33810170.665015861</v>
      </c>
      <c r="S1096" s="25">
        <f t="shared" ca="1" si="1047"/>
        <v>-43164407.088975564</v>
      </c>
    </row>
    <row r="1097" spans="1:19" ht="15.75" customHeight="1" x14ac:dyDescent="0.3">
      <c r="A1097" s="37">
        <v>84342</v>
      </c>
      <c r="B1097" s="409">
        <f t="shared" ref="B1097:C1097" si="1113">($A1097-B$9)/365.25</f>
        <v>149.03764544832308</v>
      </c>
      <c r="C1097" s="409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3525.4531757812501</v>
      </c>
      <c r="H1097" s="25">
        <f>IF(B1097&lt;62,0,'Combined Retirement'!$I$14)</f>
        <v>2192</v>
      </c>
      <c r="I1097" s="25">
        <f>IF(C1097&lt;62,0,'Combined Retirement'!$I$13)</f>
        <v>2420</v>
      </c>
      <c r="J1097" s="25">
        <f t="shared" si="1043"/>
        <v>7863.2184191855868</v>
      </c>
      <c r="K1097" s="25">
        <f t="shared" si="1044"/>
        <v>20282.026119384056</v>
      </c>
      <c r="L1097" s="25"/>
      <c r="N1097" s="25">
        <f>'Combined Retirement'!$C$18/12</f>
        <v>39153.069999999992</v>
      </c>
      <c r="O1097" s="25">
        <f t="shared" si="1045"/>
        <v>11007.82546143035</v>
      </c>
      <c r="P1097" s="25">
        <f t="shared" si="1046"/>
        <v>28145.244538569641</v>
      </c>
      <c r="Q1097" s="25">
        <f t="array" aca="1" ref="Q1097" ca="1">INDEX('Isaac 401k'!L:L,MATCH('Retirement Calculator'!A1097,'Isaac 401k'!N:N,0),0)</f>
        <v>-9401108.3908888027</v>
      </c>
      <c r="R1097" s="25">
        <f t="array" aca="1" ref="R1097" ca="1">INDEX('Lorri 401b'!L:L,MATCH('Retirement Calculator'!A1097,'Lorri 401b'!N:N,0),0)</f>
        <v>-33971412.910681643</v>
      </c>
      <c r="S1097" s="25">
        <f t="shared" ca="1" si="1047"/>
        <v>-43372521.301570445</v>
      </c>
    </row>
    <row r="1098" spans="1:19" ht="15.75" customHeight="1" x14ac:dyDescent="0.3">
      <c r="A1098" s="37">
        <v>84373</v>
      </c>
      <c r="B1098" s="409">
        <f t="shared" ref="B1098:C1098" si="1114">($A1098-B$9)/365.25</f>
        <v>149.12251882272417</v>
      </c>
      <c r="C1098" s="409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3525.4531757812501</v>
      </c>
      <c r="H1098" s="25">
        <f>IF(B1098&lt;62,0,'Combined Retirement'!$I$14)</f>
        <v>2192</v>
      </c>
      <c r="I1098" s="25">
        <f>IF(C1098&lt;62,0,'Combined Retirement'!$I$13)</f>
        <v>2420</v>
      </c>
      <c r="J1098" s="25">
        <f t="shared" si="1043"/>
        <v>7863.2184191855868</v>
      </c>
      <c r="K1098" s="25">
        <f t="shared" si="1044"/>
        <v>20282.026119384056</v>
      </c>
      <c r="L1098" s="25"/>
      <c r="N1098" s="25">
        <f>'Combined Retirement'!$C$18/12</f>
        <v>39153.069999999992</v>
      </c>
      <c r="O1098" s="25">
        <f t="shared" si="1045"/>
        <v>11007.82546143035</v>
      </c>
      <c r="P1098" s="25">
        <f t="shared" si="1046"/>
        <v>28145.244538569641</v>
      </c>
      <c r="Q1098" s="25">
        <f t="array" aca="1" ref="Q1098" ca="1">INDEX('Isaac 401k'!L:L,MATCH('Retirement Calculator'!A1098,'Isaac 401k'!N:N,0),0)</f>
        <v>-9448175.6576801036</v>
      </c>
      <c r="R1098" s="25">
        <f t="array" aca="1" ref="R1098" ca="1">INDEX('Lorri 401b'!L:L,MATCH('Retirement Calculator'!A1098,'Lorri 401b'!N:N,0),0)</f>
        <v>-34133326.999037698</v>
      </c>
      <c r="S1098" s="25">
        <f t="shared" ca="1" si="1047"/>
        <v>-43581502.6567178</v>
      </c>
    </row>
    <row r="1099" spans="1:19" ht="15.75" customHeight="1" x14ac:dyDescent="0.3">
      <c r="A1099" s="37">
        <v>84404</v>
      </c>
      <c r="B1099" s="409">
        <f t="shared" ref="B1099:C1099" si="1115">($A1099-B$9)/365.25</f>
        <v>149.20739219712524</v>
      </c>
      <c r="C1099" s="409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3525.4531757812501</v>
      </c>
      <c r="H1099" s="25">
        <f>IF(B1099&lt;62,0,'Combined Retirement'!$I$14)</f>
        <v>2192</v>
      </c>
      <c r="I1099" s="25">
        <f>IF(C1099&lt;62,0,'Combined Retirement'!$I$13)</f>
        <v>2420</v>
      </c>
      <c r="J1099" s="25">
        <f t="shared" si="1043"/>
        <v>7863.2184191855868</v>
      </c>
      <c r="K1099" s="25">
        <f t="shared" si="1044"/>
        <v>20282.026119384056</v>
      </c>
      <c r="L1099" s="25"/>
      <c r="N1099" s="25">
        <f>'Combined Retirement'!$C$18/12</f>
        <v>39153.069999999992</v>
      </c>
      <c r="O1099" s="25">
        <f t="shared" si="1045"/>
        <v>11007.82546143035</v>
      </c>
      <c r="P1099" s="25">
        <f t="shared" si="1046"/>
        <v>28145.244538569641</v>
      </c>
      <c r="Q1099" s="25">
        <f t="array" aca="1" ref="Q1099" ca="1">INDEX('Isaac 401k'!L:L,MATCH('Retirement Calculator'!A1099,'Isaac 401k'!N:N,0),0)</f>
        <v>-9495439.0380830355</v>
      </c>
      <c r="R1099" s="25">
        <f t="array" aca="1" ref="R1099" ca="1">INDEX('Lorri 401b'!L:L,MATCH('Retirement Calculator'!A1099,'Lorri 401b'!N:N,0),0)</f>
        <v>-34295915.729428567</v>
      </c>
      <c r="S1099" s="25">
        <f t="shared" ca="1" si="1047"/>
        <v>-43791354.767511606</v>
      </c>
    </row>
    <row r="1100" spans="1:19" ht="15.75" customHeight="1" x14ac:dyDescent="0.3">
      <c r="A1100" s="37">
        <v>84432</v>
      </c>
      <c r="B1100" s="409">
        <f t="shared" ref="B1100:C1100" si="1116">($A1100-B$9)/365.25</f>
        <v>149.28405201916496</v>
      </c>
      <c r="C1100" s="409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3525.4531757812501</v>
      </c>
      <c r="H1100" s="25">
        <f>IF(B1100&lt;62,0,'Combined Retirement'!$I$14)</f>
        <v>2192</v>
      </c>
      <c r="I1100" s="25">
        <f>IF(C1100&lt;62,0,'Combined Retirement'!$I$13)</f>
        <v>2420</v>
      </c>
      <c r="J1100" s="25">
        <f t="shared" si="1043"/>
        <v>7863.2184191855868</v>
      </c>
      <c r="K1100" s="25">
        <f t="shared" si="1044"/>
        <v>20282.026119384056</v>
      </c>
      <c r="L1100" s="25"/>
      <c r="N1100" s="25">
        <f>'Combined Retirement'!$C$18/12</f>
        <v>39153.069999999992</v>
      </c>
      <c r="O1100" s="25">
        <f t="shared" si="1045"/>
        <v>11007.82546143035</v>
      </c>
      <c r="P1100" s="25">
        <f t="shared" si="1046"/>
        <v>28145.244538569641</v>
      </c>
      <c r="Q1100" s="25">
        <f t="array" aca="1" ref="Q1100" ca="1">INDEX('Isaac 401k'!L:L,MATCH('Retirement Calculator'!A1100,'Isaac 401k'!N:N,0),0)</f>
        <v>-9542899.3492376469</v>
      </c>
      <c r="R1100" s="25">
        <f t="array" aca="1" ref="R1100" ca="1">INDEX('Lorri 401b'!L:L,MATCH('Retirement Calculator'!A1100,'Lorri 401b'!N:N,0),0)</f>
        <v>-34459181.912862733</v>
      </c>
      <c r="S1100" s="25">
        <f t="shared" ca="1" si="1047"/>
        <v>-44002081.262100384</v>
      </c>
    </row>
    <row r="1101" spans="1:19" ht="15.75" customHeight="1" x14ac:dyDescent="0.3">
      <c r="A1101" s="37">
        <v>84463</v>
      </c>
      <c r="B1101" s="409">
        <f t="shared" ref="B1101:C1101" si="1117">($A1101-B$9)/365.25</f>
        <v>149.36892539356606</v>
      </c>
      <c r="C1101" s="409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3525.4531757812501</v>
      </c>
      <c r="H1101" s="25">
        <f>IF(B1101&lt;62,0,'Combined Retirement'!$I$14)</f>
        <v>2192</v>
      </c>
      <c r="I1101" s="25">
        <f>IF(C1101&lt;62,0,'Combined Retirement'!$I$13)</f>
        <v>2420</v>
      </c>
      <c r="J1101" s="25">
        <f t="shared" si="1043"/>
        <v>7863.2184191855868</v>
      </c>
      <c r="K1101" s="25">
        <f t="shared" si="1044"/>
        <v>20282.026119384056</v>
      </c>
      <c r="L1101" s="25"/>
      <c r="N1101" s="25">
        <f>'Combined Retirement'!$C$18/12</f>
        <v>39153.069999999992</v>
      </c>
      <c r="O1101" s="25">
        <f t="shared" si="1045"/>
        <v>11007.82546143035</v>
      </c>
      <c r="P1101" s="25">
        <f t="shared" si="1046"/>
        <v>28145.244538569641</v>
      </c>
      <c r="Q1101" s="25">
        <f t="array" aca="1" ref="Q1101" ca="1">INDEX('Isaac 401k'!L:L,MATCH('Retirement Calculator'!A1101,'Isaac 401k'!N:N,0),0)</f>
        <v>-9590557.4116887357</v>
      </c>
      <c r="R1101" s="25">
        <f t="array" aca="1" ref="R1101" ca="1">INDEX('Lorri 401b'!L:L,MATCH('Retirement Calculator'!A1101,'Lorri 401b'!N:N,0),0)</f>
        <v>-34623128.372061208</v>
      </c>
      <c r="S1101" s="25">
        <f t="shared" ca="1" si="1047"/>
        <v>-44213685.783749945</v>
      </c>
    </row>
    <row r="1102" spans="1:19" ht="15.75" customHeight="1" x14ac:dyDescent="0.3">
      <c r="A1102" s="37">
        <v>84493</v>
      </c>
      <c r="B1102" s="409">
        <f t="shared" ref="B1102:C1102" si="1118">($A1102-B$9)/365.25</f>
        <v>149.45106091718</v>
      </c>
      <c r="C1102" s="409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3525.4531757812501</v>
      </c>
      <c r="H1102" s="25">
        <f>IF(B1102&lt;62,0,'Combined Retirement'!$I$14)</f>
        <v>2192</v>
      </c>
      <c r="I1102" s="25">
        <f>IF(C1102&lt;62,0,'Combined Retirement'!$I$13)</f>
        <v>2420</v>
      </c>
      <c r="J1102" s="25">
        <f t="shared" si="1043"/>
        <v>7863.2184191855868</v>
      </c>
      <c r="K1102" s="25">
        <f t="shared" si="1044"/>
        <v>20282.026119384056</v>
      </c>
      <c r="L1102" s="25"/>
      <c r="N1102" s="25">
        <f>'Combined Retirement'!$C$18/12</f>
        <v>39153.069999999992</v>
      </c>
      <c r="O1102" s="25">
        <f t="shared" si="1045"/>
        <v>11007.82546143035</v>
      </c>
      <c r="P1102" s="25">
        <f t="shared" si="1046"/>
        <v>28145.244538569641</v>
      </c>
      <c r="Q1102" s="25">
        <f t="array" aca="1" ref="Q1102" ca="1">INDEX('Isaac 401k'!L:L,MATCH('Retirement Calculator'!A1102,'Isaac 401k'!N:N,0),0)</f>
        <v>-9638414.0494000372</v>
      </c>
      <c r="R1102" s="25">
        <f t="array" aca="1" ref="R1102" ca="1">INDEX('Lorri 401b'!L:L,MATCH('Retirement Calculator'!A1102,'Lorri 401b'!N:N,0),0)</f>
        <v>-34787757.941506341</v>
      </c>
      <c r="S1102" s="25">
        <f t="shared" ca="1" si="1047"/>
        <v>-44426171.99090638</v>
      </c>
    </row>
    <row r="1103" spans="1:19" ht="15.75" customHeight="1" x14ac:dyDescent="0.3">
      <c r="A1103" s="37">
        <v>84524</v>
      </c>
      <c r="B1103" s="409">
        <f t="shared" ref="B1103:C1103" si="1119">($A1103-B$9)/365.25</f>
        <v>149.5359342915811</v>
      </c>
      <c r="C1103" s="409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3525.4531757812501</v>
      </c>
      <c r="H1103" s="25">
        <f>IF(B1103&lt;62,0,'Combined Retirement'!$I$14)</f>
        <v>2192</v>
      </c>
      <c r="I1103" s="25">
        <f>IF(C1103&lt;62,0,'Combined Retirement'!$I$13)</f>
        <v>2420</v>
      </c>
      <c r="J1103" s="25">
        <f t="shared" si="1043"/>
        <v>7863.2184191855868</v>
      </c>
      <c r="K1103" s="25">
        <f t="shared" si="1044"/>
        <v>20282.026119384056</v>
      </c>
      <c r="L1103" s="25"/>
      <c r="N1103" s="25">
        <f>'Combined Retirement'!$C$18/12</f>
        <v>39153.069999999992</v>
      </c>
      <c r="O1103" s="25">
        <f t="shared" si="1045"/>
        <v>11007.82546143035</v>
      </c>
      <c r="P1103" s="25">
        <f t="shared" si="1046"/>
        <v>28145.244538569641</v>
      </c>
      <c r="Q1103" s="25">
        <f t="array" aca="1" ref="Q1103" ca="1">INDEX('Isaac 401k'!L:L,MATCH('Retirement Calculator'!A1103,'Isaac 401k'!N:N,0),0)</f>
        <v>-9686470.0897684693</v>
      </c>
      <c r="R1103" s="25">
        <f t="array" aca="1" ref="R1103" ca="1">INDEX('Lorri 401b'!L:L,MATCH('Retirement Calculator'!A1103,'Lorri 401b'!N:N,0),0)</f>
        <v>-34953073.46749083</v>
      </c>
      <c r="S1103" s="25">
        <f t="shared" ca="1" si="1047"/>
        <v>-44639543.557259299</v>
      </c>
    </row>
    <row r="1104" spans="1:19" ht="15.75" customHeight="1" x14ac:dyDescent="0.3">
      <c r="A1104" s="37">
        <v>84554</v>
      </c>
      <c r="B1104" s="409">
        <f t="shared" ref="B1104:C1104" si="1120">($A1104-B$9)/365.25</f>
        <v>149.61806981519507</v>
      </c>
      <c r="C1104" s="409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3525.4531757812501</v>
      </c>
      <c r="H1104" s="25">
        <f>IF(B1104&lt;62,0,'Combined Retirement'!$I$14)</f>
        <v>2192</v>
      </c>
      <c r="I1104" s="25">
        <f>IF(C1104&lt;62,0,'Combined Retirement'!$I$13)</f>
        <v>2420</v>
      </c>
      <c r="J1104" s="25">
        <f t="shared" si="1043"/>
        <v>7863.2184191855868</v>
      </c>
      <c r="K1104" s="25">
        <f t="shared" si="1044"/>
        <v>20282.026119384056</v>
      </c>
      <c r="L1104" s="25"/>
      <c r="N1104" s="25">
        <f>'Combined Retirement'!$C$18/12</f>
        <v>39153.069999999992</v>
      </c>
      <c r="O1104" s="25">
        <f t="shared" si="1045"/>
        <v>11007.82546143035</v>
      </c>
      <c r="P1104" s="25">
        <f t="shared" si="1046"/>
        <v>28145.244538569641</v>
      </c>
      <c r="Q1104" s="25">
        <f t="array" aca="1" ref="Q1104" ca="1">INDEX('Isaac 401k'!L:L,MATCH('Retirement Calculator'!A1104,'Isaac 401k'!N:N,0),0)</f>
        <v>-9734726.3636384364</v>
      </c>
      <c r="R1104" s="25">
        <f t="array" aca="1" ref="R1104" ca="1">INDEX('Lorri 401b'!L:L,MATCH('Retirement Calculator'!A1104,'Lorri 401b'!N:N,0),0)</f>
        <v>-35119077.808166921</v>
      </c>
      <c r="S1104" s="25">
        <f t="shared" ca="1" si="1047"/>
        <v>-44853804.171805359</v>
      </c>
    </row>
    <row r="1105" spans="1:19" ht="15.75" customHeight="1" x14ac:dyDescent="0.3">
      <c r="A1105" s="37">
        <v>84585</v>
      </c>
      <c r="B1105" s="409">
        <f t="shared" ref="B1105:C1105" si="1121">($A1105-B$9)/365.25</f>
        <v>149.70294318959617</v>
      </c>
      <c r="C1105" s="409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3525.4531757812501</v>
      </c>
      <c r="H1105" s="25">
        <f>IF(B1105&lt;62,0,'Combined Retirement'!$I$14)</f>
        <v>2192</v>
      </c>
      <c r="I1105" s="25">
        <f>IF(C1105&lt;62,0,'Combined Retirement'!$I$13)</f>
        <v>2420</v>
      </c>
      <c r="J1105" s="25">
        <f t="shared" si="1043"/>
        <v>7863.2184191855868</v>
      </c>
      <c r="K1105" s="25">
        <f t="shared" si="1044"/>
        <v>20282.026119384056</v>
      </c>
      <c r="L1105" s="25"/>
      <c r="N1105" s="25">
        <f>'Combined Retirement'!$C$18/12</f>
        <v>39153.069999999992</v>
      </c>
      <c r="O1105" s="25">
        <f t="shared" si="1045"/>
        <v>11007.82546143035</v>
      </c>
      <c r="P1105" s="25">
        <f t="shared" si="1046"/>
        <v>28145.244538569641</v>
      </c>
      <c r="Q1105" s="25">
        <f t="array" aca="1" ref="Q1105" ca="1">INDEX('Isaac 401k'!L:L,MATCH('Retirement Calculator'!A1105,'Isaac 401k'!N:N,0),0)</f>
        <v>-9783183.7053161953</v>
      </c>
      <c r="R1105" s="25">
        <f t="array" aca="1" ref="R1105" ca="1">INDEX('Lorri 401b'!L:L,MATCH('Retirement Calculator'!A1105,'Lorri 401b'!N:N,0),0)</f>
        <v>-35285773.833595827</v>
      </c>
      <c r="S1105" s="25">
        <f t="shared" ca="1" si="1047"/>
        <v>-45068957.538912021</v>
      </c>
    </row>
    <row r="1106" spans="1:19" ht="15.75" customHeight="1" x14ac:dyDescent="0.3">
      <c r="A1106" s="37">
        <v>84616</v>
      </c>
      <c r="B1106" s="409">
        <f t="shared" ref="B1106:C1106" si="1122">($A1106-B$9)/365.25</f>
        <v>149.78781656399727</v>
      </c>
      <c r="C1106" s="409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3525.4531757812501</v>
      </c>
      <c r="H1106" s="25">
        <f>IF(B1106&lt;62,0,'Combined Retirement'!$I$14)</f>
        <v>2192</v>
      </c>
      <c r="I1106" s="25">
        <f>IF(C1106&lt;62,0,'Combined Retirement'!$I$13)</f>
        <v>2420</v>
      </c>
      <c r="J1106" s="25">
        <f t="shared" si="1043"/>
        <v>7863.2184191855868</v>
      </c>
      <c r="K1106" s="25">
        <f t="shared" si="1044"/>
        <v>20282.026119384056</v>
      </c>
      <c r="L1106" s="25"/>
      <c r="N1106" s="25">
        <f>'Combined Retirement'!$C$18/12</f>
        <v>39153.069999999992</v>
      </c>
      <c r="O1106" s="25">
        <f t="shared" si="1045"/>
        <v>11007.82546143035</v>
      </c>
      <c r="P1106" s="25">
        <f t="shared" si="1046"/>
        <v>28145.244538569641</v>
      </c>
      <c r="Q1106" s="25">
        <f t="array" aca="1" ref="Q1106" ca="1">INDEX('Isaac 401k'!L:L,MATCH('Retirement Calculator'!A1106,'Isaac 401k'!N:N,0),0)</f>
        <v>-9831842.9525842778</v>
      </c>
      <c r="R1106" s="25">
        <f t="array" aca="1" ref="R1106" ca="1">INDEX('Lorri 401b'!L:L,MATCH('Retirement Calculator'!A1106,'Lorri 401b'!N:N,0),0)</f>
        <v>-35453164.425797358</v>
      </c>
      <c r="S1106" s="25">
        <f t="shared" ca="1" si="1047"/>
        <v>-45285007.37838164</v>
      </c>
    </row>
    <row r="1107" spans="1:19" ht="15.75" customHeight="1" x14ac:dyDescent="0.3">
      <c r="A1107" s="37">
        <v>84646</v>
      </c>
      <c r="B1107" s="409">
        <f t="shared" ref="B1107:C1107" si="1123">($A1107-B$9)/365.25</f>
        <v>149.86995208761124</v>
      </c>
      <c r="C1107" s="409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3525.4531757812501</v>
      </c>
      <c r="H1107" s="25">
        <f>IF(B1107&lt;62,0,'Combined Retirement'!$I$14)</f>
        <v>2192</v>
      </c>
      <c r="I1107" s="25">
        <f>IF(C1107&lt;62,0,'Combined Retirement'!$I$13)</f>
        <v>2420</v>
      </c>
      <c r="J1107" s="25">
        <f t="shared" si="1043"/>
        <v>7863.2184191855868</v>
      </c>
      <c r="K1107" s="25">
        <f t="shared" si="1044"/>
        <v>20282.026119384056</v>
      </c>
      <c r="L1107" s="25"/>
      <c r="N1107" s="25">
        <f>'Combined Retirement'!$C$18/12</f>
        <v>39153.069999999992</v>
      </c>
      <c r="O1107" s="25">
        <f t="shared" si="1045"/>
        <v>11007.82546143035</v>
      </c>
      <c r="P1107" s="25">
        <f t="shared" si="1046"/>
        <v>28145.244538569641</v>
      </c>
      <c r="Q1107" s="25">
        <f t="array" aca="1" ref="Q1107" ca="1">INDEX('Isaac 401k'!L:L,MATCH('Retirement Calculator'!A1107,'Isaac 401k'!N:N,0),0)</f>
        <v>-9880704.946715977</v>
      </c>
      <c r="R1107" s="25">
        <f t="array" aca="1" ref="R1107" ca="1">INDEX('Lorri 401b'!L:L,MATCH('Retirement Calculator'!A1107,'Lorri 401b'!N:N,0),0)</f>
        <v>-35621252.478799723</v>
      </c>
      <c r="S1107" s="25">
        <f t="shared" ca="1" si="1047"/>
        <v>-45501957.425515696</v>
      </c>
    </row>
    <row r="1108" spans="1:19" ht="15.75" customHeight="1" x14ac:dyDescent="0.3">
      <c r="A1108" s="37">
        <v>84677</v>
      </c>
      <c r="B1108" s="409">
        <f t="shared" ref="B1108:C1108" si="1124">($A1108-B$9)/365.25</f>
        <v>149.95482546201231</v>
      </c>
      <c r="C1108" s="409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3525.4531757812501</v>
      </c>
      <c r="H1108" s="25">
        <f>IF(B1108&lt;62,0,'Combined Retirement'!$I$14)</f>
        <v>2192</v>
      </c>
      <c r="I1108" s="25">
        <f>IF(C1108&lt;62,0,'Combined Retirement'!$I$13)</f>
        <v>2420</v>
      </c>
      <c r="J1108" s="25">
        <f t="shared" si="1043"/>
        <v>7863.2184191855868</v>
      </c>
      <c r="K1108" s="25">
        <f t="shared" si="1044"/>
        <v>20282.026119384056</v>
      </c>
      <c r="L1108" s="25"/>
      <c r="N1108" s="25">
        <f>'Combined Retirement'!$C$18/12</f>
        <v>39153.069999999992</v>
      </c>
      <c r="O1108" s="25">
        <f t="shared" si="1045"/>
        <v>11007.82546143035</v>
      </c>
      <c r="P1108" s="25">
        <f t="shared" si="1046"/>
        <v>28145.244538569641</v>
      </c>
      <c r="Q1108" s="25">
        <f t="array" aca="1" ref="Q1108" ca="1">INDEX('Isaac 401k'!L:L,MATCH('Retirement Calculator'!A1108,'Isaac 401k'!N:N,0),0)</f>
        <v>-9929770.5324898921</v>
      </c>
      <c r="R1108" s="25">
        <f t="array" aca="1" ref="R1108" ca="1">INDEX('Lorri 401b'!L:L,MATCH('Retirement Calculator'!A1108,'Lorri 401b'!N:N,0),0)</f>
        <v>-35790040.898689598</v>
      </c>
      <c r="S1108" s="25">
        <f t="shared" ca="1" si="1047"/>
        <v>-45719811.431179494</v>
      </c>
    </row>
    <row r="1109" spans="1:19" ht="15.75" customHeight="1" x14ac:dyDescent="0.3">
      <c r="A1109" s="37">
        <v>84707</v>
      </c>
      <c r="B1109" s="409">
        <f t="shared" ref="B1109:C1109" si="1125">($A1109-B$9)/365.25</f>
        <v>150.03696098562628</v>
      </c>
      <c r="C1109" s="409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3525.4531757812501</v>
      </c>
      <c r="H1109" s="25">
        <f>IF(B1109&lt;62,0,'Combined Retirement'!$I$14)</f>
        <v>2192</v>
      </c>
      <c r="I1109" s="25">
        <f>IF(C1109&lt;62,0,'Combined Retirement'!$I$13)</f>
        <v>2420</v>
      </c>
      <c r="J1109" s="25">
        <f t="shared" si="1043"/>
        <v>7863.2184191855868</v>
      </c>
      <c r="K1109" s="25">
        <f t="shared" si="1044"/>
        <v>20282.026119384056</v>
      </c>
      <c r="L1109" s="25"/>
      <c r="N1109" s="25">
        <f>'Combined Retirement'!$C$18/12</f>
        <v>39153.069999999992</v>
      </c>
      <c r="O1109" s="25">
        <f t="shared" si="1045"/>
        <v>11007.82546143035</v>
      </c>
      <c r="P1109" s="25">
        <f t="shared" si="1046"/>
        <v>28145.244538569641</v>
      </c>
      <c r="Q1109" s="25">
        <f t="array" aca="1" ref="Q1109" ca="1">INDEX('Isaac 401k'!L:L,MATCH('Retirement Calculator'!A1109,'Isaac 401k'!N:N,0),0)</f>
        <v>-9979040.5582045317</v>
      </c>
      <c r="R1109" s="25">
        <f t="array" aca="1" ref="R1109" ca="1">INDEX('Lorri 401b'!L:L,MATCH('Retirement Calculator'!A1109,'Lorri 401b'!N:N,0),0)</f>
        <v>-35959532.603662349</v>
      </c>
      <c r="S1109" s="25">
        <f t="shared" ca="1" si="1047"/>
        <v>-45938573.161866881</v>
      </c>
    </row>
    <row r="1110" spans="1:19" ht="15.75" customHeight="1" x14ac:dyDescent="0.3">
      <c r="A1110" s="37">
        <v>84738</v>
      </c>
      <c r="B1110" s="409">
        <f t="shared" ref="B1110:C1110" si="1126">($A1110-B$9)/365.25</f>
        <v>150.12183436002738</v>
      </c>
      <c r="C1110" s="409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3525.4531757812501</v>
      </c>
      <c r="H1110" s="25">
        <f>IF(B1110&lt;62,0,'Combined Retirement'!$I$14)</f>
        <v>2192</v>
      </c>
      <c r="I1110" s="25">
        <f>IF(C1110&lt;62,0,'Combined Retirement'!$I$13)</f>
        <v>2420</v>
      </c>
      <c r="J1110" s="25">
        <f t="shared" si="1043"/>
        <v>7863.2184191855868</v>
      </c>
      <c r="K1110" s="25">
        <f t="shared" si="1044"/>
        <v>20282.026119384056</v>
      </c>
      <c r="L1110" s="25"/>
      <c r="N1110" s="25">
        <f>'Combined Retirement'!$C$18/12</f>
        <v>39153.069999999992</v>
      </c>
      <c r="O1110" s="25">
        <f t="shared" si="1045"/>
        <v>11007.82546143035</v>
      </c>
      <c r="P1110" s="25">
        <f t="shared" si="1046"/>
        <v>28145.244538569641</v>
      </c>
      <c r="Q1110" s="25">
        <f t="array" aca="1" ref="Q1110" ca="1">INDEX('Isaac 401k'!L:L,MATCH('Retirement Calculator'!A1110,'Isaac 401k'!N:N,0),0)</f>
        <v>-10028515.875692982</v>
      </c>
      <c r="R1110" s="25">
        <f t="array" aca="1" ref="R1110" ca="1">INDEX('Lorri 401b'!L:L,MATCH('Retirement Calculator'!A1110,'Lorri 401b'!N:N,0),0)</f>
        <v>-36129730.524072491</v>
      </c>
      <c r="S1110" s="25">
        <f t="shared" ca="1" si="1047"/>
        <v>-46158246.399765477</v>
      </c>
    </row>
    <row r="1111" spans="1:19" ht="15.75" customHeight="1" x14ac:dyDescent="0.3">
      <c r="A1111" s="37">
        <v>84769</v>
      </c>
      <c r="B1111" s="409">
        <f t="shared" ref="B1111:C1111" si="1127">($A1111-B$9)/365.25</f>
        <v>150.20670773442848</v>
      </c>
      <c r="C1111" s="409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3525.4531757812501</v>
      </c>
      <c r="H1111" s="25">
        <f>IF(B1111&lt;62,0,'Combined Retirement'!$I$14)</f>
        <v>2192</v>
      </c>
      <c r="I1111" s="25">
        <f>IF(C1111&lt;62,0,'Combined Retirement'!$I$13)</f>
        <v>2420</v>
      </c>
      <c r="J1111" s="25">
        <f t="shared" si="1043"/>
        <v>7863.2184191855868</v>
      </c>
      <c r="K1111" s="25">
        <f t="shared" si="1044"/>
        <v>20282.026119384056</v>
      </c>
      <c r="L1111" s="25"/>
      <c r="N1111" s="25">
        <f>'Combined Retirement'!$C$18/12</f>
        <v>39153.069999999992</v>
      </c>
      <c r="O1111" s="25">
        <f t="shared" si="1045"/>
        <v>11007.82546143035</v>
      </c>
      <c r="P1111" s="25">
        <f t="shared" si="1046"/>
        <v>28145.244538569641</v>
      </c>
      <c r="Q1111" s="25">
        <f t="array" aca="1" ref="Q1111" ca="1">INDEX('Isaac 401k'!L:L,MATCH('Retirement Calculator'!A1111,'Isaac 401k'!N:N,0),0)</f>
        <v>-10078197.340337634</v>
      </c>
      <c r="R1111" s="25">
        <f t="array" aca="1" ref="R1111" ca="1">INDEX('Lorri 401b'!L:L,MATCH('Retirement Calculator'!A1111,'Lorri 401b'!N:N,0),0)</f>
        <v>-36300637.602484338</v>
      </c>
      <c r="S1111" s="25">
        <f t="shared" ca="1" si="1047"/>
        <v>-46378834.942821972</v>
      </c>
    </row>
    <row r="1112" spans="1:19" ht="15.75" customHeight="1" x14ac:dyDescent="0.3">
      <c r="A1112" s="37">
        <v>84798</v>
      </c>
      <c r="B1112" s="409">
        <f t="shared" ref="B1112:C1112" si="1128">($A1112-B$9)/365.25</f>
        <v>150.28610540725529</v>
      </c>
      <c r="C1112" s="409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3525.4531757812501</v>
      </c>
      <c r="H1112" s="25">
        <f>IF(B1112&lt;62,0,'Combined Retirement'!$I$14)</f>
        <v>2192</v>
      </c>
      <c r="I1112" s="25">
        <f>IF(C1112&lt;62,0,'Combined Retirement'!$I$13)</f>
        <v>2420</v>
      </c>
      <c r="J1112" s="25">
        <f t="shared" si="1043"/>
        <v>7863.2184191855868</v>
      </c>
      <c r="K1112" s="25">
        <f t="shared" si="1044"/>
        <v>20282.026119384056</v>
      </c>
      <c r="L1112" s="25"/>
      <c r="N1112" s="25">
        <f>'Combined Retirement'!$C$18/12</f>
        <v>39153.069999999992</v>
      </c>
      <c r="O1112" s="25">
        <f t="shared" si="1045"/>
        <v>11007.82546143035</v>
      </c>
      <c r="P1112" s="25">
        <f t="shared" si="1046"/>
        <v>28145.244538569641</v>
      </c>
      <c r="Q1112" s="25">
        <f t="array" aca="1" ref="Q1112" ca="1">INDEX('Isaac 401k'!L:L,MATCH('Retirement Calculator'!A1112,'Isaac 401k'!N:N,0),0)</f>
        <v>-10128085.811084973</v>
      </c>
      <c r="R1112" s="25">
        <f t="array" aca="1" ref="R1112" ca="1">INDEX('Lorri 401b'!L:L,MATCH('Retirement Calculator'!A1112,'Lorri 401b'!N:N,0),0)</f>
        <v>-36472256.793722898</v>
      </c>
      <c r="S1112" s="25">
        <f t="shared" ca="1" si="1047"/>
        <v>-46600342.604807869</v>
      </c>
    </row>
    <row r="1113" spans="1:19" ht="15.75" customHeight="1" x14ac:dyDescent="0.3">
      <c r="A1113" s="37">
        <v>84829</v>
      </c>
      <c r="B1113" s="409">
        <f t="shared" ref="B1113:C1113" si="1129">($A1113-B$9)/365.25</f>
        <v>150.37097878165639</v>
      </c>
      <c r="C1113" s="409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3525.4531757812501</v>
      </c>
      <c r="H1113" s="25">
        <f>IF(B1113&lt;62,0,'Combined Retirement'!$I$14)</f>
        <v>2192</v>
      </c>
      <c r="I1113" s="25">
        <f>IF(C1113&lt;62,0,'Combined Retirement'!$I$13)</f>
        <v>2420</v>
      </c>
      <c r="J1113" s="25">
        <f t="shared" si="1043"/>
        <v>7863.2184191855868</v>
      </c>
      <c r="K1113" s="25">
        <f t="shared" si="1044"/>
        <v>20282.026119384056</v>
      </c>
      <c r="L1113" s="25"/>
      <c r="N1113" s="25">
        <f>'Combined Retirement'!$C$18/12</f>
        <v>39153.069999999992</v>
      </c>
      <c r="O1113" s="25">
        <f t="shared" si="1045"/>
        <v>11007.82546143035</v>
      </c>
      <c r="P1113" s="25">
        <f t="shared" si="1046"/>
        <v>28145.244538569641</v>
      </c>
      <c r="Q1113" s="25">
        <f t="array" aca="1" ref="Q1113" ca="1">INDEX('Isaac 401k'!L:L,MATCH('Retirement Calculator'!A1113,'Isaac 401k'!N:N,0),0)</f>
        <v>-10178182.150460426</v>
      </c>
      <c r="R1113" s="25">
        <f t="array" aca="1" ref="R1113" ca="1">INDEX('Lorri 401b'!L:L,MATCH('Retirement Calculator'!A1113,'Lorri 401b'!N:N,0),0)</f>
        <v>-36644591.064924955</v>
      </c>
      <c r="S1113" s="25">
        <f t="shared" ca="1" si="1047"/>
        <v>-46822773.215385377</v>
      </c>
    </row>
    <row r="1114" spans="1:19" ht="15.75" customHeight="1" x14ac:dyDescent="0.3">
      <c r="A1114" s="37">
        <v>84859</v>
      </c>
      <c r="B1114" s="409">
        <f t="shared" ref="B1114:C1114" si="1130">($A1114-B$9)/365.25</f>
        <v>150.45311430527036</v>
      </c>
      <c r="C1114" s="409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3525.4531757812501</v>
      </c>
      <c r="H1114" s="25">
        <f>IF(B1114&lt;62,0,'Combined Retirement'!$I$14)</f>
        <v>2192</v>
      </c>
      <c r="I1114" s="25">
        <f>IF(C1114&lt;62,0,'Combined Retirement'!$I$13)</f>
        <v>2420</v>
      </c>
      <c r="J1114" s="25">
        <f t="shared" si="1043"/>
        <v>7863.2184191855868</v>
      </c>
      <c r="K1114" s="25">
        <f t="shared" si="1044"/>
        <v>20282.026119384056</v>
      </c>
      <c r="L1114" s="25"/>
      <c r="N1114" s="25">
        <f>'Combined Retirement'!$C$18/12</f>
        <v>39153.069999999992</v>
      </c>
      <c r="O1114" s="25">
        <f t="shared" si="1045"/>
        <v>11007.82546143035</v>
      </c>
      <c r="P1114" s="25">
        <f t="shared" si="1046"/>
        <v>28145.244538569641</v>
      </c>
      <c r="Q1114" s="25">
        <f t="array" aca="1" ref="Q1114" ca="1">INDEX('Isaac 401k'!L:L,MATCH('Retirement Calculator'!A1114,'Isaac 401k'!N:N,0),0)</f>
        <v>-10228487.224583276</v>
      </c>
      <c r="R1114" s="25">
        <f t="array" aca="1" ref="R1114" ca="1">INDEX('Lorri 401b'!L:L,MATCH('Retirement Calculator'!A1114,'Lorri 401b'!N:N,0),0)</f>
        <v>-36817643.395590357</v>
      </c>
      <c r="S1114" s="25">
        <f t="shared" ca="1" si="1047"/>
        <v>-47046130.620173633</v>
      </c>
    </row>
    <row r="1115" spans="1:19" ht="15.75" customHeight="1" x14ac:dyDescent="0.3">
      <c r="A1115" s="37">
        <v>84890</v>
      </c>
      <c r="B1115" s="409">
        <f t="shared" ref="B1115:C1115" si="1131">($A1115-B$9)/365.25</f>
        <v>150.53798767967146</v>
      </c>
      <c r="C1115" s="409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3525.4531757812501</v>
      </c>
      <c r="H1115" s="25">
        <f>IF(B1115&lt;62,0,'Combined Retirement'!$I$14)</f>
        <v>2192</v>
      </c>
      <c r="I1115" s="25">
        <f>IF(C1115&lt;62,0,'Combined Retirement'!$I$13)</f>
        <v>2420</v>
      </c>
      <c r="J1115" s="25">
        <f t="shared" si="1043"/>
        <v>7863.2184191855868</v>
      </c>
      <c r="K1115" s="25">
        <f t="shared" si="1044"/>
        <v>20282.026119384056</v>
      </c>
      <c r="L1115" s="25"/>
      <c r="N1115" s="25">
        <f>'Combined Retirement'!$C$18/12</f>
        <v>39153.069999999992</v>
      </c>
      <c r="O1115" s="25">
        <f t="shared" si="1045"/>
        <v>11007.82546143035</v>
      </c>
      <c r="P1115" s="25">
        <f t="shared" si="1046"/>
        <v>28145.244538569641</v>
      </c>
      <c r="Q1115" s="25">
        <f t="array" aca="1" ref="Q1115" ca="1">INDEX('Isaac 401k'!L:L,MATCH('Retirement Calculator'!A1115,'Isaac 401k'!N:N,0),0)</f>
        <v>-10279001.903181637</v>
      </c>
      <c r="R1115" s="25">
        <f t="array" aca="1" ref="R1115" ca="1">INDEX('Lorri 401b'!L:L,MATCH('Retirement Calculator'!A1115,'Lorri 401b'!N:N,0),0)</f>
        <v>-36991416.777633533</v>
      </c>
      <c r="S1115" s="25">
        <f t="shared" ca="1" si="1047"/>
        <v>-47270418.680815168</v>
      </c>
    </row>
    <row r="1116" spans="1:19" ht="15.75" customHeight="1" x14ac:dyDescent="0.3">
      <c r="A1116" s="37">
        <v>84920</v>
      </c>
      <c r="B1116" s="409">
        <f t="shared" ref="B1116:C1116" si="1132">($A1116-B$9)/365.25</f>
        <v>150.62012320328543</v>
      </c>
      <c r="C1116" s="409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3525.4531757812501</v>
      </c>
      <c r="H1116" s="25">
        <f>IF(B1116&lt;62,0,'Combined Retirement'!$I$14)</f>
        <v>2192</v>
      </c>
      <c r="I1116" s="25">
        <f>IF(C1116&lt;62,0,'Combined Retirement'!$I$13)</f>
        <v>2420</v>
      </c>
      <c r="J1116" s="25">
        <f t="shared" si="1043"/>
        <v>7863.2184191855868</v>
      </c>
      <c r="K1116" s="25">
        <f t="shared" si="1044"/>
        <v>20282.026119384056</v>
      </c>
      <c r="L1116" s="25"/>
      <c r="N1116" s="25">
        <f>'Combined Retirement'!$C$18/12</f>
        <v>39153.069999999992</v>
      </c>
      <c r="O1116" s="25">
        <f t="shared" si="1045"/>
        <v>11007.82546143035</v>
      </c>
      <c r="P1116" s="25">
        <f t="shared" si="1046"/>
        <v>28145.244538569641</v>
      </c>
      <c r="Q1116" s="25">
        <f t="array" aca="1" ref="Q1116" ca="1">INDEX('Isaac 401k'!L:L,MATCH('Retirement Calculator'!A1116,'Isaac 401k'!N:N,0),0)</f>
        <v>-10329727.059607491</v>
      </c>
      <c r="R1116" s="25">
        <f t="array" aca="1" ref="R1116" ca="1">INDEX('Lorri 401b'!L:L,MATCH('Retirement Calculator'!A1116,'Lorri 401b'!N:N,0),0)</f>
        <v>-37165914.215435214</v>
      </c>
      <c r="S1116" s="25">
        <f t="shared" ca="1" si="1047"/>
        <v>-47495641.275042705</v>
      </c>
    </row>
    <row r="1117" spans="1:19" ht="15.75" customHeight="1" x14ac:dyDescent="0.3">
      <c r="A1117" s="37">
        <v>84951</v>
      </c>
      <c r="B1117" s="409">
        <f t="shared" ref="B1117:C1117" si="1133">($A1117-B$9)/365.25</f>
        <v>150.70499657768653</v>
      </c>
      <c r="C1117" s="409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3525.4531757812501</v>
      </c>
      <c r="H1117" s="25">
        <f>IF(B1117&lt;62,0,'Combined Retirement'!$I$14)</f>
        <v>2192</v>
      </c>
      <c r="I1117" s="25">
        <f>IF(C1117&lt;62,0,'Combined Retirement'!$I$13)</f>
        <v>2420</v>
      </c>
      <c r="J1117" s="25">
        <f t="shared" si="1043"/>
        <v>7863.2184191855868</v>
      </c>
      <c r="K1117" s="25">
        <f t="shared" si="1044"/>
        <v>20282.026119384056</v>
      </c>
      <c r="L1117" s="25"/>
      <c r="N1117" s="25">
        <f>'Combined Retirement'!$C$18/12</f>
        <v>39153.069999999992</v>
      </c>
      <c r="O1117" s="25">
        <f t="shared" si="1045"/>
        <v>11007.82546143035</v>
      </c>
      <c r="P1117" s="25">
        <f t="shared" si="1046"/>
        <v>28145.244538569641</v>
      </c>
      <c r="Q1117" s="25">
        <f t="array" aca="1" ref="Q1117" ca="1">INDEX('Isaac 401k'!L:L,MATCH('Retirement Calculator'!A1117,'Isaac 401k'!N:N,0),0)</f>
        <v>-10380663.570851786</v>
      </c>
      <c r="R1117" s="25">
        <f t="array" aca="1" ref="R1117" ca="1">INDEX('Lorri 401b'!L:L,MATCH('Retirement Calculator'!A1117,'Lorri 401b'!N:N,0),0)</f>
        <v>-37341138.725894406</v>
      </c>
      <c r="S1117" s="25">
        <f t="shared" ca="1" si="1047"/>
        <v>-47721802.296746194</v>
      </c>
    </row>
    <row r="1118" spans="1:19" ht="15.75" customHeight="1" x14ac:dyDescent="0.3">
      <c r="A1118" s="37">
        <v>84982</v>
      </c>
      <c r="B1118" s="409">
        <f t="shared" ref="B1118:C1118" si="1134">($A1118-B$9)/365.25</f>
        <v>150.7898699520876</v>
      </c>
      <c r="C1118" s="409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3525.4531757812501</v>
      </c>
      <c r="H1118" s="25">
        <f>IF(B1118&lt;62,0,'Combined Retirement'!$I$14)</f>
        <v>2192</v>
      </c>
      <c r="I1118" s="25">
        <f>IF(C1118&lt;62,0,'Combined Retirement'!$I$13)</f>
        <v>2420</v>
      </c>
      <c r="J1118" s="25">
        <f t="shared" si="1043"/>
        <v>7863.2184191855868</v>
      </c>
      <c r="K1118" s="25">
        <f t="shared" si="1044"/>
        <v>20282.026119384056</v>
      </c>
      <c r="L1118" s="25"/>
      <c r="N1118" s="25">
        <f>'Combined Retirement'!$C$18/12</f>
        <v>39153.069999999992</v>
      </c>
      <c r="O1118" s="25">
        <f t="shared" si="1045"/>
        <v>11007.82546143035</v>
      </c>
      <c r="P1118" s="25">
        <f t="shared" si="1046"/>
        <v>28145.244538569641</v>
      </c>
      <c r="Q1118" s="25">
        <f t="array" aca="1" ref="Q1118" ca="1">INDEX('Isaac 401k'!L:L,MATCH('Retirement Calculator'!A1118,'Isaac 401k'!N:N,0),0)</f>
        <v>-10431812.3175596</v>
      </c>
      <c r="R1118" s="25">
        <f t="array" aca="1" ref="R1118" ca="1">INDEX('Lorri 401b'!L:L,MATCH('Retirement Calculator'!A1118,'Lorri 401b'!N:N,0),0)</f>
        <v>-37517093.33848051</v>
      </c>
      <c r="S1118" s="25">
        <f t="shared" ca="1" si="1047"/>
        <v>-47948905.65604011</v>
      </c>
    </row>
    <row r="1119" spans="1:19" ht="15.75" customHeight="1" x14ac:dyDescent="0.3">
      <c r="A1119" s="37">
        <v>85012</v>
      </c>
      <c r="B1119" s="409">
        <f t="shared" ref="B1119:C1119" si="1135">($A1119-B$9)/365.25</f>
        <v>150.87200547570157</v>
      </c>
      <c r="C1119" s="409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3525.4531757812501</v>
      </c>
      <c r="H1119" s="25">
        <f>IF(B1119&lt;62,0,'Combined Retirement'!$I$14)</f>
        <v>2192</v>
      </c>
      <c r="I1119" s="25">
        <f>IF(C1119&lt;62,0,'Combined Retirement'!$I$13)</f>
        <v>2420</v>
      </c>
      <c r="J1119" s="25">
        <f t="shared" si="1043"/>
        <v>7863.2184191855868</v>
      </c>
      <c r="K1119" s="25">
        <f t="shared" si="1044"/>
        <v>20282.026119384056</v>
      </c>
      <c r="L1119" s="25"/>
      <c r="N1119" s="25">
        <f>'Combined Retirement'!$C$18/12</f>
        <v>39153.069999999992</v>
      </c>
      <c r="O1119" s="25">
        <f t="shared" si="1045"/>
        <v>11007.82546143035</v>
      </c>
      <c r="P1119" s="25">
        <f t="shared" si="1046"/>
        <v>28145.244538569641</v>
      </c>
      <c r="Q1119" s="25">
        <f t="array" aca="1" ref="Q1119" ca="1">INDEX('Isaac 401k'!L:L,MATCH('Retirement Calculator'!A1119,'Isaac 401k'!N:N,0),0)</f>
        <v>-10483174.184045363</v>
      </c>
      <c r="R1119" s="25">
        <f t="array" aca="1" ref="R1119" ca="1">INDEX('Lorri 401b'!L:L,MATCH('Retirement Calculator'!A1119,'Lorri 401b'!N:N,0),0)</f>
        <v>-37693781.095285721</v>
      </c>
      <c r="S1119" s="25">
        <f t="shared" ca="1" si="1047"/>
        <v>-48176955.279331088</v>
      </c>
    </row>
    <row r="1120" spans="1:19" ht="15.75" customHeight="1" x14ac:dyDescent="0.3">
      <c r="A1120" s="37">
        <v>85043</v>
      </c>
      <c r="B1120" s="409">
        <f t="shared" ref="B1120:C1120" si="1136">($A1120-B$9)/365.25</f>
        <v>150.95687885010267</v>
      </c>
      <c r="C1120" s="409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3525.4531757812501</v>
      </c>
      <c r="H1120" s="25">
        <f>IF(B1120&lt;62,0,'Combined Retirement'!$I$14)</f>
        <v>2192</v>
      </c>
      <c r="I1120" s="25">
        <f>IF(C1120&lt;62,0,'Combined Retirement'!$I$13)</f>
        <v>2420</v>
      </c>
      <c r="J1120" s="25">
        <f t="shared" si="1043"/>
        <v>7863.2184191855868</v>
      </c>
      <c r="K1120" s="25">
        <f t="shared" si="1044"/>
        <v>20282.026119384056</v>
      </c>
      <c r="L1120" s="25"/>
      <c r="N1120" s="25">
        <f>'Combined Retirement'!$C$18/12</f>
        <v>39153.069999999992</v>
      </c>
      <c r="O1120" s="25">
        <f t="shared" si="1045"/>
        <v>11007.82546143035</v>
      </c>
      <c r="P1120" s="25">
        <f t="shared" si="1046"/>
        <v>28145.244538569641</v>
      </c>
      <c r="Q1120" s="25">
        <f t="array" aca="1" ref="Q1120" ca="1">INDEX('Isaac 401k'!L:L,MATCH('Retirement Calculator'!A1120,'Isaac 401k'!N:N,0),0)</f>
        <v>-10534750.058308151</v>
      </c>
      <c r="R1120" s="25">
        <f t="array" aca="1" ref="R1120" ca="1">INDEX('Lorri 401b'!L:L,MATCH('Retirement Calculator'!A1120,'Lorri 401b'!N:N,0),0)</f>
        <v>-37871205.051077627</v>
      </c>
      <c r="S1120" s="25">
        <f t="shared" ca="1" si="1047"/>
        <v>-48405955.109385774</v>
      </c>
    </row>
    <row r="1121" spans="1:19" ht="15.75" customHeight="1" x14ac:dyDescent="0.3">
      <c r="A1121" s="37">
        <v>85073</v>
      </c>
      <c r="B1121" s="409">
        <f t="shared" ref="B1121:C1121" si="1137">($A1121-B$9)/365.25</f>
        <v>151.03901437371664</v>
      </c>
      <c r="C1121" s="409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3525.4531757812501</v>
      </c>
      <c r="H1121" s="25">
        <f>IF(B1121&lt;62,0,'Combined Retirement'!$I$14)</f>
        <v>2192</v>
      </c>
      <c r="I1121" s="25">
        <f>IF(C1121&lt;62,0,'Combined Retirement'!$I$13)</f>
        <v>2420</v>
      </c>
      <c r="J1121" s="25">
        <f t="shared" si="1043"/>
        <v>7863.2184191855868</v>
      </c>
      <c r="K1121" s="25">
        <f t="shared" si="1044"/>
        <v>20282.026119384056</v>
      </c>
      <c r="L1121" s="25"/>
      <c r="N1121" s="25">
        <f>'Combined Retirement'!$C$18/12</f>
        <v>39153.069999999992</v>
      </c>
      <c r="O1121" s="25">
        <f t="shared" si="1045"/>
        <v>11007.82546143035</v>
      </c>
      <c r="P1121" s="25">
        <f t="shared" si="1046"/>
        <v>28145.244538569641</v>
      </c>
      <c r="Q1121" s="25">
        <f t="array" aca="1" ref="Q1121" ca="1">INDEX('Isaac 401k'!L:L,MATCH('Retirement Calculator'!A1121,'Isaac 401k'!N:N,0),0)</f>
        <v>-10586540.832047032</v>
      </c>
      <c r="R1121" s="25">
        <f t="array" aca="1" ref="R1121" ca="1">INDEX('Lorri 401b'!L:L,MATCH('Retirement Calculator'!A1121,'Lorri 401b'!N:N,0),0)</f>
        <v>-38049368.273351997</v>
      </c>
      <c r="S1121" s="25">
        <f t="shared" ca="1" si="1047"/>
        <v>-48635909.105399027</v>
      </c>
    </row>
    <row r="1122" spans="1:19" ht="15.75" customHeight="1" x14ac:dyDescent="0.3">
      <c r="A1122" s="37">
        <v>85104</v>
      </c>
      <c r="B1122" s="409">
        <f t="shared" ref="B1122:C1122" si="1138">($A1122-B$9)/365.25</f>
        <v>151.12388774811774</v>
      </c>
      <c r="C1122" s="409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3525.4531757812501</v>
      </c>
      <c r="H1122" s="25">
        <f>IF(B1122&lt;62,0,'Combined Retirement'!$I$14)</f>
        <v>2192</v>
      </c>
      <c r="I1122" s="25">
        <f>IF(C1122&lt;62,0,'Combined Retirement'!$I$13)</f>
        <v>2420</v>
      </c>
      <c r="J1122" s="25">
        <f t="shared" si="1043"/>
        <v>7863.2184191855868</v>
      </c>
      <c r="K1122" s="25">
        <f t="shared" si="1044"/>
        <v>20282.026119384056</v>
      </c>
      <c r="L1122" s="25"/>
      <c r="N1122" s="25">
        <f>'Combined Retirement'!$C$18/12</f>
        <v>39153.069999999992</v>
      </c>
      <c r="O1122" s="25">
        <f t="shared" si="1045"/>
        <v>11007.82546143035</v>
      </c>
      <c r="P1122" s="25">
        <f t="shared" si="1046"/>
        <v>28145.244538569641</v>
      </c>
      <c r="Q1122" s="25">
        <f t="array" aca="1" ref="Q1122" ca="1">INDEX('Isaac 401k'!L:L,MATCH('Retirement Calculator'!A1122,'Isaac 401k'!N:N,0),0)</f>
        <v>-10638547.400676493</v>
      </c>
      <c r="R1122" s="25">
        <f t="array" aca="1" ref="R1122" ca="1">INDEX('Lorri 401b'!L:L,MATCH('Retirement Calculator'!A1122,'Lorri 401b'!N:N,0),0)</f>
        <v>-38228273.842385843</v>
      </c>
      <c r="S1122" s="25">
        <f t="shared" ca="1" si="1047"/>
        <v>-48866821.243062332</v>
      </c>
    </row>
    <row r="1123" spans="1:19" ht="15.75" customHeight="1" x14ac:dyDescent="0.3">
      <c r="A1123" s="37">
        <v>85135</v>
      </c>
      <c r="B1123" s="409">
        <f t="shared" ref="B1123:C1123" si="1139">($A1123-B$9)/365.25</f>
        <v>151.20876112251884</v>
      </c>
      <c r="C1123" s="409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3525.4531757812501</v>
      </c>
      <c r="H1123" s="25">
        <f>IF(B1123&lt;62,0,'Combined Retirement'!$I$14)</f>
        <v>2192</v>
      </c>
      <c r="I1123" s="25">
        <f>IF(C1123&lt;62,0,'Combined Retirement'!$I$13)</f>
        <v>2420</v>
      </c>
      <c r="J1123" s="25">
        <f t="shared" si="1043"/>
        <v>7863.2184191855868</v>
      </c>
      <c r="K1123" s="25">
        <f t="shared" si="1044"/>
        <v>20282.026119384056</v>
      </c>
      <c r="L1123" s="25"/>
      <c r="N1123" s="25">
        <f>'Combined Retirement'!$C$18/12</f>
        <v>39153.069999999992</v>
      </c>
      <c r="O1123" s="25">
        <f t="shared" si="1045"/>
        <v>11007.82546143035</v>
      </c>
      <c r="P1123" s="25">
        <f t="shared" si="1046"/>
        <v>28145.244538569641</v>
      </c>
      <c r="Q1123" s="25">
        <f t="array" aca="1" ref="Q1123" ca="1">INDEX('Isaac 401k'!L:L,MATCH('Retirement Calculator'!A1123,'Isaac 401k'!N:N,0),0)</f>
        <v>-10690770.66334191</v>
      </c>
      <c r="R1123" s="25">
        <f t="array" aca="1" ref="R1123" ca="1">INDEX('Lorri 401b'!L:L,MATCH('Retirement Calculator'!A1123,'Lorri 401b'!N:N,0),0)</f>
        <v>-38407924.851290666</v>
      </c>
      <c r="S1123" s="25">
        <f t="shared" ca="1" si="1047"/>
        <v>-49098695.514632575</v>
      </c>
    </row>
    <row r="1124" spans="1:19" ht="15.75" customHeight="1" x14ac:dyDescent="0.3">
      <c r="A1124" s="37">
        <v>85163</v>
      </c>
      <c r="B1124" s="409">
        <f t="shared" ref="B1124:C1124" si="1140">($A1124-B$9)/365.25</f>
        <v>151.28542094455852</v>
      </c>
      <c r="C1124" s="409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3525.4531757812501</v>
      </c>
      <c r="H1124" s="25">
        <f>IF(B1124&lt;62,0,'Combined Retirement'!$I$14)</f>
        <v>2192</v>
      </c>
      <c r="I1124" s="25">
        <f>IF(C1124&lt;62,0,'Combined Retirement'!$I$13)</f>
        <v>2420</v>
      </c>
      <c r="J1124" s="25">
        <f t="shared" si="1043"/>
        <v>7863.2184191855868</v>
      </c>
      <c r="K1124" s="25">
        <f t="shared" si="1044"/>
        <v>20282.026119384056</v>
      </c>
      <c r="L1124" s="25"/>
      <c r="N1124" s="25">
        <f>'Combined Retirement'!$C$18/12</f>
        <v>39153.069999999992</v>
      </c>
      <c r="O1124" s="25">
        <f t="shared" si="1045"/>
        <v>11007.82546143035</v>
      </c>
      <c r="P1124" s="25">
        <f t="shared" si="1046"/>
        <v>28145.244538569641</v>
      </c>
      <c r="Q1124" s="25">
        <f t="array" aca="1" ref="Q1124" ca="1">INDEX('Isaac 401k'!L:L,MATCH('Retirement Calculator'!A1124,'Isaac 401k'!N:N,0),0)</f>
        <v>-10743211.5229351</v>
      </c>
      <c r="R1124" s="25">
        <f t="array" aca="1" ref="R1124" ca="1">INDEX('Lorri 401b'!L:L,MATCH('Retirement Calculator'!A1124,'Lorri 401b'!N:N,0),0)</f>
        <v>-38588324.406065919</v>
      </c>
      <c r="S1124" s="25">
        <f t="shared" ca="1" si="1047"/>
        <v>-49331535.929001018</v>
      </c>
    </row>
    <row r="1125" spans="1:19" ht="15.75" customHeight="1" x14ac:dyDescent="0.3">
      <c r="A1125" s="37">
        <v>85194</v>
      </c>
      <c r="B1125" s="409">
        <f t="shared" ref="B1125:C1125" si="1141">($A1125-B$9)/365.25</f>
        <v>151.37029431895962</v>
      </c>
      <c r="C1125" s="409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3525.4531757812501</v>
      </c>
      <c r="H1125" s="25">
        <f>IF(B1125&lt;62,0,'Combined Retirement'!$I$14)</f>
        <v>2192</v>
      </c>
      <c r="I1125" s="25">
        <f>IF(C1125&lt;62,0,'Combined Retirement'!$I$13)</f>
        <v>2420</v>
      </c>
      <c r="J1125" s="25">
        <f t="shared" si="1043"/>
        <v>7863.2184191855868</v>
      </c>
      <c r="K1125" s="25">
        <f t="shared" si="1044"/>
        <v>20282.026119384056</v>
      </c>
      <c r="L1125" s="25"/>
      <c r="N1125" s="25">
        <f>'Combined Retirement'!$C$18/12</f>
        <v>39153.069999999992</v>
      </c>
      <c r="O1125" s="25">
        <f t="shared" si="1045"/>
        <v>11007.82546143035</v>
      </c>
      <c r="P1125" s="25">
        <f t="shared" si="1046"/>
        <v>28145.244538569641</v>
      </c>
      <c r="Q1125" s="25">
        <f t="array" aca="1" ref="Q1125" ca="1">INDEX('Isaac 401k'!L:L,MATCH('Retirement Calculator'!A1125,'Isaac 401k'!N:N,0),0)</f>
        <v>-10795870.886109928</v>
      </c>
      <c r="R1125" s="25">
        <f t="array" aca="1" ref="R1125" ca="1">INDEX('Lorri 401b'!L:L,MATCH('Retirement Calculator'!A1125,'Lorri 401b'!N:N,0),0)</f>
        <v>-38769475.625652738</v>
      </c>
      <c r="S1125" s="25">
        <f t="shared" ca="1" si="1047"/>
        <v>-49565346.511762664</v>
      </c>
    </row>
    <row r="1126" spans="1:19" ht="15.75" customHeight="1" x14ac:dyDescent="0.3">
      <c r="A1126" s="37">
        <v>85224</v>
      </c>
      <c r="B1126" s="409">
        <f t="shared" ref="B1126:C1126" si="1142">($A1126-B$9)/365.25</f>
        <v>151.45242984257359</v>
      </c>
      <c r="C1126" s="409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3525.4531757812501</v>
      </c>
      <c r="H1126" s="25">
        <f>IF(B1126&lt;62,0,'Combined Retirement'!$I$14)</f>
        <v>2192</v>
      </c>
      <c r="I1126" s="25">
        <f>IF(C1126&lt;62,0,'Combined Retirement'!$I$13)</f>
        <v>2420</v>
      </c>
      <c r="J1126" s="25">
        <f t="shared" si="1043"/>
        <v>7863.2184191855868</v>
      </c>
      <c r="K1126" s="25">
        <f t="shared" si="1044"/>
        <v>20282.026119384056</v>
      </c>
      <c r="L1126" s="25"/>
      <c r="N1126" s="25">
        <f>'Combined Retirement'!$C$18/12</f>
        <v>39153.069999999992</v>
      </c>
      <c r="O1126" s="25">
        <f t="shared" si="1045"/>
        <v>11007.82546143035</v>
      </c>
      <c r="P1126" s="25">
        <f t="shared" si="1046"/>
        <v>28145.244538569641</v>
      </c>
      <c r="Q1126" s="25">
        <f t="array" aca="1" ref="Q1126" ca="1">INDEX('Isaac 401k'!L:L,MATCH('Retirement Calculator'!A1126,'Isaac 401k'!N:N,0),0)</f>
        <v>-10848749.663297985</v>
      </c>
      <c r="R1126" s="25">
        <f t="array" aca="1" ref="R1126" ca="1">INDEX('Lorri 401b'!L:L,MATCH('Retirement Calculator'!A1126,'Lorri 401b'!N:N,0),0)</f>
        <v>-38951381.641987838</v>
      </c>
      <c r="S1126" s="25">
        <f t="shared" ca="1" si="1047"/>
        <v>-49800131.305285826</v>
      </c>
    </row>
    <row r="1127" spans="1:19" ht="15.75" customHeight="1" x14ac:dyDescent="0.3">
      <c r="A1127" s="37">
        <v>85255</v>
      </c>
      <c r="B1127" s="409">
        <f t="shared" ref="B1127:C1127" si="1143">($A1127-B$9)/365.25</f>
        <v>151.53730321697466</v>
      </c>
      <c r="C1127" s="409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3525.4531757812501</v>
      </c>
      <c r="H1127" s="25">
        <f>IF(B1127&lt;62,0,'Combined Retirement'!$I$14)</f>
        <v>2192</v>
      </c>
      <c r="I1127" s="25">
        <f>IF(C1127&lt;62,0,'Combined Retirement'!$I$13)</f>
        <v>2420</v>
      </c>
      <c r="J1127" s="25">
        <f t="shared" si="1043"/>
        <v>7863.2184191855868</v>
      </c>
      <c r="K1127" s="25">
        <f t="shared" si="1044"/>
        <v>20282.026119384056</v>
      </c>
      <c r="L1127" s="25"/>
      <c r="N1127" s="25">
        <f>'Combined Retirement'!$C$18/12</f>
        <v>39153.069999999992</v>
      </c>
      <c r="O1127" s="25">
        <f t="shared" si="1045"/>
        <v>11007.82546143035</v>
      </c>
      <c r="P1127" s="25">
        <f t="shared" si="1046"/>
        <v>28145.244538569641</v>
      </c>
      <c r="Q1127" s="25">
        <f t="array" aca="1" ref="Q1127" ca="1">INDEX('Isaac 401k'!L:L,MATCH('Retirement Calculator'!A1127,'Isaac 401k'!N:N,0),0)</f>
        <v>-10901848.768724324</v>
      </c>
      <c r="R1127" s="25">
        <f t="array" aca="1" ref="R1127" ca="1">INDEX('Lorri 401b'!L:L,MATCH('Retirement Calculator'!A1127,'Lorri 401b'!N:N,0),0)</f>
        <v>-39134045.600057669</v>
      </c>
      <c r="S1127" s="25">
        <f t="shared" ca="1" si="1047"/>
        <v>-50035894.368781991</v>
      </c>
    </row>
    <row r="1128" spans="1:19" ht="15.75" customHeight="1" x14ac:dyDescent="0.3">
      <c r="A1128" s="37">
        <v>85285</v>
      </c>
      <c r="B1128" s="409">
        <f t="shared" ref="B1128:C1128" si="1144">($A1128-B$9)/365.25</f>
        <v>151.61943874058863</v>
      </c>
      <c r="C1128" s="409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3525.4531757812501</v>
      </c>
      <c r="H1128" s="25">
        <f>IF(B1128&lt;62,0,'Combined Retirement'!$I$14)</f>
        <v>2192</v>
      </c>
      <c r="I1128" s="25">
        <f>IF(C1128&lt;62,0,'Combined Retirement'!$I$13)</f>
        <v>2420</v>
      </c>
      <c r="J1128" s="25">
        <f t="shared" si="1043"/>
        <v>7863.2184191855868</v>
      </c>
      <c r="K1128" s="25">
        <f t="shared" si="1044"/>
        <v>20282.026119384056</v>
      </c>
      <c r="L1128" s="25"/>
      <c r="N1128" s="25">
        <f>'Combined Retirement'!$C$18/12</f>
        <v>39153.069999999992</v>
      </c>
      <c r="O1128" s="25">
        <f t="shared" si="1045"/>
        <v>11007.82546143035</v>
      </c>
      <c r="P1128" s="25">
        <f t="shared" si="1046"/>
        <v>28145.244538569641</v>
      </c>
      <c r="Q1128" s="25">
        <f t="array" aca="1" ref="Q1128" ca="1">INDEX('Isaac 401k'!L:L,MATCH('Retirement Calculator'!A1128,'Isaac 401k'!N:N,0),0)</f>
        <v>-10955169.120423274</v>
      </c>
      <c r="R1128" s="25">
        <f t="array" aca="1" ref="R1128" ca="1">INDEX('Lorri 401b'!L:L,MATCH('Retirement Calculator'!A1128,'Lorri 401b'!N:N,0),0)</f>
        <v>-39317470.657952785</v>
      </c>
      <c r="S1128" s="25">
        <f t="shared" ca="1" si="1047"/>
        <v>-50272639.778376058</v>
      </c>
    </row>
    <row r="1129" spans="1:19" ht="15.75" customHeight="1" x14ac:dyDescent="0.3">
      <c r="A1129" s="37">
        <v>85316</v>
      </c>
      <c r="B1129" s="409">
        <f t="shared" ref="B1129:C1129" si="1145">($A1129-B$9)/365.25</f>
        <v>151.70431211498973</v>
      </c>
      <c r="C1129" s="409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3525.4531757812501</v>
      </c>
      <c r="H1129" s="25">
        <f>IF(B1129&lt;62,0,'Combined Retirement'!$I$14)</f>
        <v>2192</v>
      </c>
      <c r="I1129" s="25">
        <f>IF(C1129&lt;62,0,'Combined Retirement'!$I$13)</f>
        <v>2420</v>
      </c>
      <c r="J1129" s="25">
        <f t="shared" si="1043"/>
        <v>7863.2184191855868</v>
      </c>
      <c r="K1129" s="25">
        <f t="shared" si="1044"/>
        <v>20282.026119384056</v>
      </c>
      <c r="L1129" s="25"/>
      <c r="N1129" s="25">
        <f>'Combined Retirement'!$C$18/12</f>
        <v>39153.069999999992</v>
      </c>
      <c r="O1129" s="25">
        <f t="shared" si="1045"/>
        <v>11007.82546143035</v>
      </c>
      <c r="P1129" s="25">
        <f t="shared" si="1046"/>
        <v>28145.244538569641</v>
      </c>
      <c r="Q1129" s="25">
        <f t="array" aca="1" ref="Q1129" ca="1">INDEX('Isaac 401k'!L:L,MATCH('Retirement Calculator'!A1129,'Isaac 401k'!N:N,0),0)</f>
        <v>-11008711.640254302</v>
      </c>
      <c r="R1129" s="25">
        <f t="array" aca="1" ref="R1129" ca="1">INDEX('Lorri 401b'!L:L,MATCH('Retirement Calculator'!A1129,'Lorri 401b'!N:N,0),0)</f>
        <v>-39501659.986922465</v>
      </c>
      <c r="S1129" s="25">
        <f t="shared" ca="1" si="1047"/>
        <v>-50510371.627176769</v>
      </c>
    </row>
    <row r="1130" spans="1:19" ht="15.75" customHeight="1" x14ac:dyDescent="0.3">
      <c r="A1130" s="37">
        <v>85347</v>
      </c>
      <c r="B1130" s="409">
        <f t="shared" ref="B1130:C1130" si="1146">($A1130-B$9)/365.25</f>
        <v>151.78918548939083</v>
      </c>
      <c r="C1130" s="409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3525.4531757812501</v>
      </c>
      <c r="H1130" s="25">
        <f>IF(B1130&lt;62,0,'Combined Retirement'!$I$14)</f>
        <v>2192</v>
      </c>
      <c r="I1130" s="25">
        <f>IF(C1130&lt;62,0,'Combined Retirement'!$I$13)</f>
        <v>2420</v>
      </c>
      <c r="J1130" s="25">
        <f t="shared" si="1043"/>
        <v>7863.2184191855868</v>
      </c>
      <c r="K1130" s="25">
        <f t="shared" si="1044"/>
        <v>20282.026119384056</v>
      </c>
      <c r="L1130" s="25"/>
      <c r="N1130" s="25">
        <f>'Combined Retirement'!$C$18/12</f>
        <v>39153.069999999992</v>
      </c>
      <c r="O1130" s="25">
        <f t="shared" si="1045"/>
        <v>11007.82546143035</v>
      </c>
      <c r="P1130" s="25">
        <f t="shared" si="1046"/>
        <v>28145.244538569641</v>
      </c>
      <c r="Q1130" s="25">
        <f t="array" aca="1" ref="Q1130" ca="1">INDEX('Isaac 401k'!L:L,MATCH('Retirement Calculator'!A1130,'Isaac 401k'!N:N,0),0)</f>
        <v>-11062477.25391796</v>
      </c>
      <c r="R1130" s="25">
        <f t="array" aca="1" ref="R1130" ca="1">INDEX('Lorri 401b'!L:L,MATCH('Retirement Calculator'!A1130,'Lorri 401b'!N:N,0),0)</f>
        <v>-39686616.771429524</v>
      </c>
      <c r="S1130" s="25">
        <f t="shared" ca="1" si="1047"/>
        <v>-50749094.025347486</v>
      </c>
    </row>
    <row r="1131" spans="1:19" ht="15.75" customHeight="1" x14ac:dyDescent="0.3">
      <c r="A1131" s="37">
        <v>85377</v>
      </c>
      <c r="B1131" s="409">
        <f t="shared" ref="B1131:C1131" si="1147">($A1131-B$9)/365.25</f>
        <v>151.8713210130048</v>
      </c>
      <c r="C1131" s="409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3525.4531757812501</v>
      </c>
      <c r="H1131" s="25">
        <f>IF(B1131&lt;62,0,'Combined Retirement'!$I$14)</f>
        <v>2192</v>
      </c>
      <c r="I1131" s="25">
        <f>IF(C1131&lt;62,0,'Combined Retirement'!$I$13)</f>
        <v>2420</v>
      </c>
      <c r="J1131" s="25">
        <f t="shared" si="1043"/>
        <v>7863.2184191855868</v>
      </c>
      <c r="K1131" s="25">
        <f t="shared" si="1044"/>
        <v>20282.026119384056</v>
      </c>
      <c r="L1131" s="25"/>
      <c r="N1131" s="25">
        <f>'Combined Retirement'!$C$18/12</f>
        <v>39153.069999999992</v>
      </c>
      <c r="O1131" s="25">
        <f t="shared" si="1045"/>
        <v>11007.82546143035</v>
      </c>
      <c r="P1131" s="25">
        <f t="shared" si="1046"/>
        <v>28145.244538569641</v>
      </c>
      <c r="Q1131" s="25">
        <f t="array" aca="1" ref="Q1131" ca="1">INDEX('Isaac 401k'!L:L,MATCH('Retirement Calculator'!A1131,'Isaac 401k'!N:N,0),0)</f>
        <v>-11116466.890971884</v>
      </c>
      <c r="R1131" s="25">
        <f t="array" aca="1" ref="R1131" ca="1">INDEX('Lorri 401b'!L:L,MATCH('Retirement Calculator'!A1131,'Lorri 401b'!N:N,0),0)</f>
        <v>-39872344.209205359</v>
      </c>
      <c r="S1131" s="25">
        <f t="shared" ca="1" si="1047"/>
        <v>-50988811.100177243</v>
      </c>
    </row>
    <row r="1132" spans="1:19" ht="15.75" customHeight="1" x14ac:dyDescent="0.3">
      <c r="A1132" s="37">
        <v>85408</v>
      </c>
      <c r="B1132" s="409">
        <f t="shared" ref="B1132:C1132" si="1148">($A1132-B$9)/365.25</f>
        <v>151.95619438740587</v>
      </c>
      <c r="C1132" s="409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3525.4531757812501</v>
      </c>
      <c r="H1132" s="25">
        <f>IF(B1132&lt;62,0,'Combined Retirement'!$I$14)</f>
        <v>2192</v>
      </c>
      <c r="I1132" s="25">
        <f>IF(C1132&lt;62,0,'Combined Retirement'!$I$13)</f>
        <v>2420</v>
      </c>
      <c r="J1132" s="25">
        <f t="shared" si="1043"/>
        <v>7863.2184191855868</v>
      </c>
      <c r="K1132" s="25">
        <f t="shared" si="1044"/>
        <v>20282.026119384056</v>
      </c>
      <c r="L1132" s="25"/>
      <c r="N1132" s="25">
        <f>'Combined Retirement'!$C$18/12</f>
        <v>39153.069999999992</v>
      </c>
      <c r="O1132" s="25">
        <f t="shared" si="1045"/>
        <v>11007.82546143035</v>
      </c>
      <c r="P1132" s="25">
        <f t="shared" si="1046"/>
        <v>28145.244538569641</v>
      </c>
      <c r="Q1132" s="25">
        <f t="array" aca="1" ref="Q1132" ca="1">INDEX('Isaac 401k'!L:L,MATCH('Retirement Calculator'!A1132,'Isaac 401k'!N:N,0),0)</f>
        <v>-11170681.484846866</v>
      </c>
      <c r="R1132" s="25">
        <f t="array" aca="1" ref="R1132" ca="1">INDEX('Lorri 401b'!L:L,MATCH('Retirement Calculator'!A1132,'Lorri 401b'!N:N,0),0)</f>
        <v>-40058845.511305258</v>
      </c>
      <c r="S1132" s="25">
        <f t="shared" ca="1" si="1047"/>
        <v>-51229526.996152125</v>
      </c>
    </row>
    <row r="1133" spans="1:19" ht="15.75" customHeight="1" x14ac:dyDescent="0.3">
      <c r="A1133" s="37">
        <v>85438</v>
      </c>
      <c r="B1133" s="409">
        <f t="shared" ref="B1133:C1133" si="1149">($A1133-B$9)/365.25</f>
        <v>152.03832991101984</v>
      </c>
      <c r="C1133" s="409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3525.4531757812501</v>
      </c>
      <c r="H1133" s="25">
        <f>IF(B1133&lt;62,0,'Combined Retirement'!$I$14)</f>
        <v>2192</v>
      </c>
      <c r="I1133" s="25">
        <f>IF(C1133&lt;62,0,'Combined Retirement'!$I$13)</f>
        <v>2420</v>
      </c>
      <c r="J1133" s="25">
        <f t="shared" si="1043"/>
        <v>7863.2184191855868</v>
      </c>
      <c r="K1133" s="25">
        <f t="shared" si="1044"/>
        <v>20282.026119384056</v>
      </c>
      <c r="L1133" s="25"/>
      <c r="N1133" s="25">
        <f>'Combined Retirement'!$C$18/12</f>
        <v>39153.069999999992</v>
      </c>
      <c r="O1133" s="25">
        <f t="shared" si="1045"/>
        <v>11007.82546143035</v>
      </c>
      <c r="P1133" s="25">
        <f t="shared" si="1046"/>
        <v>28145.244538569641</v>
      </c>
      <c r="Q1133" s="25">
        <f t="array" aca="1" ref="Q1133" ca="1">INDEX('Isaac 401k'!L:L,MATCH('Retirement Calculator'!A1133,'Isaac 401k'!N:N,0),0)</f>
        <v>-11225121.972862992</v>
      </c>
      <c r="R1133" s="25">
        <f t="array" aca="1" ref="R1133" ca="1">INDEX('Lorri 401b'!L:L,MATCH('Retirement Calculator'!A1133,'Lorri 401b'!N:N,0),0)</f>
        <v>-40246123.902163908</v>
      </c>
      <c r="S1133" s="25">
        <f t="shared" ca="1" si="1047"/>
        <v>-51471245.875026897</v>
      </c>
    </row>
    <row r="1134" spans="1:19" ht="15.75" customHeight="1" x14ac:dyDescent="0.3">
      <c r="A1134" s="37">
        <v>85469</v>
      </c>
      <c r="B1134" s="409">
        <f t="shared" ref="B1134:C1134" si="1150">($A1134-B$9)/365.25</f>
        <v>152.12320328542094</v>
      </c>
      <c r="C1134" s="409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3525.4531757812501</v>
      </c>
      <c r="H1134" s="25">
        <f>IF(B1134&lt;62,0,'Combined Retirement'!$I$14)</f>
        <v>2192</v>
      </c>
      <c r="I1134" s="25">
        <f>IF(C1134&lt;62,0,'Combined Retirement'!$I$13)</f>
        <v>2420</v>
      </c>
      <c r="J1134" s="25">
        <f t="shared" si="1043"/>
        <v>7863.2184191855868</v>
      </c>
      <c r="K1134" s="25">
        <f t="shared" si="1044"/>
        <v>20282.026119384056</v>
      </c>
      <c r="L1134" s="25"/>
      <c r="N1134" s="25">
        <f>'Combined Retirement'!$C$18/12</f>
        <v>39153.069999999992</v>
      </c>
      <c r="O1134" s="25">
        <f t="shared" si="1045"/>
        <v>11007.82546143035</v>
      </c>
      <c r="P1134" s="25">
        <f t="shared" si="1046"/>
        <v>28145.244538569641</v>
      </c>
      <c r="Q1134" s="25">
        <f t="array" aca="1" ref="Q1134" ca="1">INDEX('Isaac 401k'!L:L,MATCH('Retirement Calculator'!A1134,'Isaac 401k'!N:N,0),0)</f>
        <v>-11279789.296245852</v>
      </c>
      <c r="R1134" s="25">
        <f t="array" aca="1" ref="R1134" ca="1">INDEX('Lorri 401b'!L:L,MATCH('Retirement Calculator'!A1134,'Lorri 401b'!N:N,0),0)</f>
        <v>-40434182.619651139</v>
      </c>
      <c r="S1134" s="25">
        <f t="shared" ca="1" si="1047"/>
        <v>-51713971.915896989</v>
      </c>
    </row>
    <row r="1135" spans="1:19" ht="15.75" customHeight="1" x14ac:dyDescent="0.3">
      <c r="A1135" s="37">
        <v>85500</v>
      </c>
      <c r="B1135" s="409">
        <f t="shared" ref="B1135:C1135" si="1151">($A1135-B$9)/365.25</f>
        <v>152.20807665982204</v>
      </c>
      <c r="C1135" s="409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3525.4531757812501</v>
      </c>
      <c r="H1135" s="25">
        <f>IF(B1135&lt;62,0,'Combined Retirement'!$I$14)</f>
        <v>2192</v>
      </c>
      <c r="I1135" s="25">
        <f>IF(C1135&lt;62,0,'Combined Retirement'!$I$13)</f>
        <v>2420</v>
      </c>
      <c r="J1135" s="25">
        <f t="shared" si="1043"/>
        <v>7863.2184191855868</v>
      </c>
      <c r="K1135" s="25">
        <f t="shared" si="1044"/>
        <v>20282.026119384056</v>
      </c>
      <c r="L1135" s="25"/>
      <c r="N1135" s="25">
        <f>'Combined Retirement'!$C$18/12</f>
        <v>39153.069999999992</v>
      </c>
      <c r="O1135" s="25">
        <f t="shared" si="1045"/>
        <v>11007.82546143035</v>
      </c>
      <c r="P1135" s="25">
        <f t="shared" si="1046"/>
        <v>28145.244538569641</v>
      </c>
      <c r="Q1135" s="25">
        <f t="array" aca="1" ref="Q1135" ca="1">INDEX('Isaac 401k'!L:L,MATCH('Retirement Calculator'!A1135,'Isaac 401k'!N:N,0),0)</f>
        <v>-11334684.400142808</v>
      </c>
      <c r="R1135" s="25">
        <f t="array" aca="1" ref="R1135" ca="1">INDEX('Lorri 401b'!L:L,MATCH('Retirement Calculator'!A1135,'Lorri 401b'!N:N,0),0)</f>
        <v>-40623024.915127896</v>
      </c>
      <c r="S1135" s="25">
        <f t="shared" ca="1" si="1047"/>
        <v>-51957709.315270707</v>
      </c>
    </row>
    <row r="1136" spans="1:19" ht="15.75" customHeight="1" x14ac:dyDescent="0.3">
      <c r="A1136" s="37">
        <v>85528</v>
      </c>
      <c r="B1136" s="409">
        <f t="shared" ref="B1136:C1136" si="1152">($A1136-B$9)/365.25</f>
        <v>152.28473648186173</v>
      </c>
      <c r="C1136" s="409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3525.4531757812501</v>
      </c>
      <c r="H1136" s="25">
        <f>IF(B1136&lt;62,0,'Combined Retirement'!$I$14)</f>
        <v>2192</v>
      </c>
      <c r="I1136" s="25">
        <f>IF(C1136&lt;62,0,'Combined Retirement'!$I$13)</f>
        <v>2420</v>
      </c>
      <c r="J1136" s="25">
        <f t="shared" si="1043"/>
        <v>7863.2184191855868</v>
      </c>
      <c r="K1136" s="25">
        <f t="shared" si="1044"/>
        <v>20282.026119384056</v>
      </c>
      <c r="L1136" s="25"/>
      <c r="N1136" s="25">
        <f>'Combined Retirement'!$C$18/12</f>
        <v>39153.069999999992</v>
      </c>
      <c r="O1136" s="25">
        <f t="shared" si="1045"/>
        <v>11007.82546143035</v>
      </c>
      <c r="P1136" s="25">
        <f t="shared" si="1046"/>
        <v>28145.244538569641</v>
      </c>
      <c r="Q1136" s="25">
        <f t="array" aca="1" ref="Q1136" ca="1">INDEX('Isaac 401k'!L:L,MATCH('Retirement Calculator'!A1136,'Isaac 401k'!N:N,0),0)</f>
        <v>-11389808.233639333</v>
      </c>
      <c r="R1136" s="25">
        <f t="array" aca="1" ref="R1136" ca="1">INDEX('Lorri 401b'!L:L,MATCH('Retirement Calculator'!A1136,'Lorri 401b'!N:N,0),0)</f>
        <v>-40812654.05350247</v>
      </c>
      <c r="S1136" s="25">
        <f t="shared" ca="1" si="1047"/>
        <v>-52202462.2871418</v>
      </c>
    </row>
    <row r="1137" spans="1:19" ht="15.75" customHeight="1" x14ac:dyDescent="0.3">
      <c r="A1137" s="37">
        <v>85559</v>
      </c>
      <c r="B1137" s="409">
        <f t="shared" ref="B1137:C1137" si="1153">($A1137-B$9)/365.25</f>
        <v>152.36960985626283</v>
      </c>
      <c r="C1137" s="409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3525.4531757812501</v>
      </c>
      <c r="H1137" s="25">
        <f>IF(B1137&lt;62,0,'Combined Retirement'!$I$14)</f>
        <v>2192</v>
      </c>
      <c r="I1137" s="25">
        <f>IF(C1137&lt;62,0,'Combined Retirement'!$I$13)</f>
        <v>2420</v>
      </c>
      <c r="J1137" s="25">
        <f t="shared" si="1043"/>
        <v>7863.2184191855868</v>
      </c>
      <c r="K1137" s="25">
        <f t="shared" si="1044"/>
        <v>20282.026119384056</v>
      </c>
      <c r="L1137" s="25"/>
      <c r="N1137" s="25">
        <f>'Combined Retirement'!$C$18/12</f>
        <v>39153.069999999992</v>
      </c>
      <c r="O1137" s="25">
        <f t="shared" si="1045"/>
        <v>11007.82546143035</v>
      </c>
      <c r="P1137" s="25">
        <f t="shared" si="1046"/>
        <v>28145.244538569641</v>
      </c>
      <c r="Q1137" s="25">
        <f t="array" aca="1" ref="Q1137" ca="1">INDEX('Isaac 401k'!L:L,MATCH('Retirement Calculator'!A1137,'Isaac 401k'!N:N,0),0)</f>
        <v>-11445161.749775428</v>
      </c>
      <c r="R1137" s="25">
        <f t="array" aca="1" ref="R1137" ca="1">INDEX('Lorri 401b'!L:L,MATCH('Retirement Calculator'!A1137,'Lorri 401b'!N:N,0),0)</f>
        <v>-41003073.313286945</v>
      </c>
      <c r="S1137" s="25">
        <f t="shared" ca="1" si="1047"/>
        <v>-52448235.06306237</v>
      </c>
    </row>
    <row r="1138" spans="1:19" ht="15.75" customHeight="1" x14ac:dyDescent="0.3">
      <c r="A1138" s="37">
        <v>85589</v>
      </c>
      <c r="B1138" s="409">
        <f t="shared" ref="B1138:C1138" si="1154">($A1138-B$9)/365.25</f>
        <v>152.4517453798768</v>
      </c>
      <c r="C1138" s="409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3525.4531757812501</v>
      </c>
      <c r="H1138" s="25">
        <f>IF(B1138&lt;62,0,'Combined Retirement'!$I$14)</f>
        <v>2192</v>
      </c>
      <c r="I1138" s="25">
        <f>IF(C1138&lt;62,0,'Combined Retirement'!$I$13)</f>
        <v>2420</v>
      </c>
      <c r="J1138" s="25">
        <f t="shared" si="1043"/>
        <v>7863.2184191855868</v>
      </c>
      <c r="K1138" s="25">
        <f t="shared" si="1044"/>
        <v>20282.026119384056</v>
      </c>
      <c r="L1138" s="25"/>
      <c r="N1138" s="25">
        <f>'Combined Retirement'!$C$18/12</f>
        <v>39153.069999999992</v>
      </c>
      <c r="O1138" s="25">
        <f t="shared" si="1045"/>
        <v>11007.82546143035</v>
      </c>
      <c r="P1138" s="25">
        <f t="shared" si="1046"/>
        <v>28145.244538569641</v>
      </c>
      <c r="Q1138" s="25">
        <f t="array" aca="1" ref="Q1138" ca="1">INDEX('Isaac 401k'!L:L,MATCH('Retirement Calculator'!A1138,'Isaac 401k'!N:N,0),0)</f>
        <v>-11500745.905562092</v>
      </c>
      <c r="R1138" s="25">
        <f t="array" aca="1" ref="R1138" ca="1">INDEX('Lorri 401b'!L:L,MATCH('Retirement Calculator'!A1138,'Lorri 401b'!N:N,0),0)</f>
        <v>-41194285.986653849</v>
      </c>
      <c r="S1138" s="25">
        <f t="shared" ca="1" si="1047"/>
        <v>-52695031.892215937</v>
      </c>
    </row>
    <row r="1139" spans="1:19" ht="15.75" customHeight="1" x14ac:dyDescent="0.3">
      <c r="A1139" s="37">
        <v>85620</v>
      </c>
      <c r="B1139" s="409">
        <f t="shared" ref="B1139:C1139" si="1155">($A1139-B$9)/365.25</f>
        <v>152.5366187542779</v>
      </c>
      <c r="C1139" s="409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3525.4531757812501</v>
      </c>
      <c r="H1139" s="25">
        <f>IF(B1139&lt;62,0,'Combined Retirement'!$I$14)</f>
        <v>2192</v>
      </c>
      <c r="I1139" s="25">
        <f>IF(C1139&lt;62,0,'Combined Retirement'!$I$13)</f>
        <v>2420</v>
      </c>
      <c r="J1139" s="25">
        <f t="shared" si="1043"/>
        <v>7863.2184191855868</v>
      </c>
      <c r="K1139" s="25">
        <f t="shared" si="1044"/>
        <v>20282.026119384056</v>
      </c>
      <c r="L1139" s="25"/>
      <c r="N1139" s="25">
        <f>'Combined Retirement'!$C$18/12</f>
        <v>39153.069999999992</v>
      </c>
      <c r="O1139" s="25">
        <f t="shared" si="1045"/>
        <v>11007.82546143035</v>
      </c>
      <c r="P1139" s="25">
        <f t="shared" si="1046"/>
        <v>28145.244538569641</v>
      </c>
      <c r="Q1139" s="25">
        <f t="array" aca="1" ref="Q1139" ca="1">INDEX('Isaac 401k'!L:L,MATCH('Retirement Calculator'!A1139,'Isaac 401k'!N:N,0),0)</f>
        <v>-11556561.661997866</v>
      </c>
      <c r="R1139" s="25">
        <f t="array" aca="1" ref="R1139" ca="1">INDEX('Lorri 401b'!L:L,MATCH('Retirement Calculator'!A1139,'Lorri 401b'!N:N,0),0)</f>
        <v>-41386295.379493117</v>
      </c>
      <c r="S1139" s="25">
        <f t="shared" ca="1" si="1047"/>
        <v>-52942857.041490987</v>
      </c>
    </row>
    <row r="1140" spans="1:19" ht="15.75" customHeight="1" x14ac:dyDescent="0.3">
      <c r="A1140" s="37">
        <v>85650</v>
      </c>
      <c r="B1140" s="409">
        <f t="shared" ref="B1140:C1140" si="1156">($A1140-B$9)/365.25</f>
        <v>152.61875427789187</v>
      </c>
      <c r="C1140" s="409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3525.4531757812501</v>
      </c>
      <c r="H1140" s="25">
        <f>IF(B1140&lt;62,0,'Combined Retirement'!$I$14)</f>
        <v>2192</v>
      </c>
      <c r="I1140" s="25">
        <f>IF(C1140&lt;62,0,'Combined Retirement'!$I$13)</f>
        <v>2420</v>
      </c>
      <c r="J1140" s="25">
        <f t="shared" si="1043"/>
        <v>7863.2184191855868</v>
      </c>
      <c r="K1140" s="25">
        <f t="shared" si="1044"/>
        <v>20282.026119384056</v>
      </c>
      <c r="L1140" s="25"/>
      <c r="N1140" s="25">
        <f>'Combined Retirement'!$C$18/12</f>
        <v>39153.069999999992</v>
      </c>
      <c r="O1140" s="25">
        <f t="shared" si="1045"/>
        <v>11007.82546143035</v>
      </c>
      <c r="P1140" s="25">
        <f t="shared" si="1046"/>
        <v>28145.244538569641</v>
      </c>
      <c r="Q1140" s="25">
        <f t="array" aca="1" ref="Q1140" ca="1">INDEX('Isaac 401k'!L:L,MATCH('Retirement Calculator'!A1140,'Isaac 401k'!N:N,0),0)</f>
        <v>-11612609.984085456</v>
      </c>
      <c r="R1140" s="25">
        <f t="array" aca="1" ref="R1140" ca="1">INDEX('Lorri 401b'!L:L,MATCH('Retirement Calculator'!A1140,'Lorri 401b'!N:N,0),0)</f>
        <v>-41579104.81146922</v>
      </c>
      <c r="S1140" s="25">
        <f t="shared" ca="1" si="1047"/>
        <v>-53191714.795554675</v>
      </c>
    </row>
    <row r="1141" spans="1:19" ht="15.75" customHeight="1" x14ac:dyDescent="0.3">
      <c r="A1141" s="37">
        <v>85681</v>
      </c>
      <c r="B1141" s="409">
        <f t="shared" ref="B1141:C1141" si="1157">($A1141-B$9)/365.25</f>
        <v>152.70362765229294</v>
      </c>
      <c r="C1141" s="409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3525.4531757812501</v>
      </c>
      <c r="H1141" s="25">
        <f>IF(B1141&lt;62,0,'Combined Retirement'!$I$14)</f>
        <v>2192</v>
      </c>
      <c r="I1141" s="25">
        <f>IF(C1141&lt;62,0,'Combined Retirement'!$I$13)</f>
        <v>2420</v>
      </c>
      <c r="J1141" s="25">
        <f t="shared" si="1043"/>
        <v>7863.2184191855868</v>
      </c>
      <c r="K1141" s="25">
        <f t="shared" si="1044"/>
        <v>20282.026119384056</v>
      </c>
      <c r="L1141" s="25"/>
      <c r="N1141" s="25">
        <f>'Combined Retirement'!$C$18/12</f>
        <v>39153.069999999992</v>
      </c>
      <c r="O1141" s="25">
        <f t="shared" si="1045"/>
        <v>11007.82546143035</v>
      </c>
      <c r="P1141" s="25">
        <f t="shared" si="1046"/>
        <v>28145.244538569641</v>
      </c>
      <c r="Q1141" s="25">
        <f t="array" aca="1" ref="Q1141" ca="1">INDEX('Isaac 401k'!L:L,MATCH('Retirement Calculator'!A1141,'Isaac 401k'!N:N,0),0)</f>
        <v>-11668891.840848411</v>
      </c>
      <c r="R1141" s="25">
        <f t="array" aca="1" ref="R1141" ca="1">INDEX('Lorri 401b'!L:L,MATCH('Retirement Calculator'!A1141,'Lorri 401b'!N:N,0),0)</f>
        <v>-41772717.616078556</v>
      </c>
      <c r="S1141" s="25">
        <f t="shared" ca="1" si="1047"/>
        <v>-53441609.456926964</v>
      </c>
    </row>
    <row r="1142" spans="1:19" ht="15.75" customHeight="1" x14ac:dyDescent="0.3">
      <c r="A1142" s="37">
        <v>85712</v>
      </c>
      <c r="B1142" s="409">
        <f t="shared" ref="B1142:C1142" si="1158">($A1142-B$9)/365.25</f>
        <v>152.78850102669404</v>
      </c>
      <c r="C1142" s="409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3525.4531757812501</v>
      </c>
      <c r="H1142" s="25">
        <f>IF(B1142&lt;62,0,'Combined Retirement'!$I$14)</f>
        <v>2192</v>
      </c>
      <c r="I1142" s="25">
        <f>IF(C1142&lt;62,0,'Combined Retirement'!$I$13)</f>
        <v>2420</v>
      </c>
      <c r="J1142" s="25">
        <f t="shared" si="1043"/>
        <v>7863.2184191855868</v>
      </c>
      <c r="K1142" s="25">
        <f t="shared" si="1044"/>
        <v>20282.026119384056</v>
      </c>
      <c r="L1142" s="25"/>
      <c r="N1142" s="25">
        <f>'Combined Retirement'!$C$18/12</f>
        <v>39153.069999999992</v>
      </c>
      <c r="O1142" s="25">
        <f t="shared" si="1045"/>
        <v>11007.82546143035</v>
      </c>
      <c r="P1142" s="25">
        <f t="shared" si="1046"/>
        <v>28145.244538569641</v>
      </c>
      <c r="Q1142" s="25">
        <f t="array" aca="1" ref="Q1142" ca="1">INDEX('Isaac 401k'!L:L,MATCH('Retirement Calculator'!A1142,'Isaac 401k'!N:N,0),0)</f>
        <v>-11725408.205347877</v>
      </c>
      <c r="R1142" s="25">
        <f t="array" aca="1" ref="R1142" ca="1">INDEX('Lorri 401b'!L:L,MATCH('Retirement Calculator'!A1142,'Lorri 401b'!N:N,0),0)</f>
        <v>-41967137.140707098</v>
      </c>
      <c r="S1142" s="25">
        <f t="shared" ca="1" si="1047"/>
        <v>-53692545.346054971</v>
      </c>
    </row>
    <row r="1143" spans="1:19" ht="15.75" customHeight="1" x14ac:dyDescent="0.3">
      <c r="A1143" s="37">
        <v>85742</v>
      </c>
      <c r="B1143" s="409">
        <f t="shared" ref="B1143:C1143" si="1159">($A1143-B$9)/365.25</f>
        <v>152.87063655030801</v>
      </c>
      <c r="C1143" s="409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3525.4531757812501</v>
      </c>
      <c r="H1143" s="25">
        <f>IF(B1143&lt;62,0,'Combined Retirement'!$I$14)</f>
        <v>2192</v>
      </c>
      <c r="I1143" s="25">
        <f>IF(C1143&lt;62,0,'Combined Retirement'!$I$13)</f>
        <v>2420</v>
      </c>
      <c r="J1143" s="25">
        <f t="shared" si="1043"/>
        <v>7863.2184191855868</v>
      </c>
      <c r="K1143" s="25">
        <f t="shared" si="1044"/>
        <v>20282.026119384056</v>
      </c>
      <c r="L1143" s="25"/>
      <c r="N1143" s="25">
        <f>'Combined Retirement'!$C$18/12</f>
        <v>39153.069999999992</v>
      </c>
      <c r="O1143" s="25">
        <f t="shared" si="1045"/>
        <v>11007.82546143035</v>
      </c>
      <c r="P1143" s="25">
        <f t="shared" si="1046"/>
        <v>28145.244538569641</v>
      </c>
      <c r="Q1143" s="25">
        <f t="array" aca="1" ref="Q1143" ca="1">INDEX('Isaac 401k'!L:L,MATCH('Retirement Calculator'!A1143,'Isaac 401k'!N:N,0),0)</f>
        <v>-11782160.054699425</v>
      </c>
      <c r="R1143" s="25">
        <f t="array" aca="1" ref="R1143" ca="1">INDEX('Lorri 401b'!L:L,MATCH('Retirement Calculator'!A1143,'Lorri 401b'!N:N,0),0)</f>
        <v>-42162366.746688254</v>
      </c>
      <c r="S1143" s="25">
        <f t="shared" ca="1" si="1047"/>
        <v>-53944526.801387683</v>
      </c>
    </row>
    <row r="1144" spans="1:19" ht="15.75" customHeight="1" x14ac:dyDescent="0.3">
      <c r="A1144" s="37">
        <v>85773</v>
      </c>
      <c r="B1144" s="409">
        <f t="shared" ref="B1144:C1144" si="1160">($A1144-B$9)/365.25</f>
        <v>152.95550992470911</v>
      </c>
      <c r="C1144" s="409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3525.4531757812501</v>
      </c>
      <c r="H1144" s="25">
        <f>IF(B1144&lt;62,0,'Combined Retirement'!$I$14)</f>
        <v>2192</v>
      </c>
      <c r="I1144" s="25">
        <f>IF(C1144&lt;62,0,'Combined Retirement'!$I$13)</f>
        <v>2420</v>
      </c>
      <c r="J1144" s="25">
        <f t="shared" si="1043"/>
        <v>7863.2184191855868</v>
      </c>
      <c r="K1144" s="25">
        <f t="shared" si="1044"/>
        <v>20282.026119384056</v>
      </c>
      <c r="L1144" s="25"/>
      <c r="N1144" s="25">
        <f>'Combined Retirement'!$C$18/12</f>
        <v>39153.069999999992</v>
      </c>
      <c r="O1144" s="25">
        <f t="shared" si="1045"/>
        <v>11007.82546143035</v>
      </c>
      <c r="P1144" s="25">
        <f t="shared" si="1046"/>
        <v>28145.244538569641</v>
      </c>
      <c r="Q1144" s="25">
        <f t="array" aca="1" ref="Q1144" ca="1">INDEX('Isaac 401k'!L:L,MATCH('Retirement Calculator'!A1144,'Isaac 401k'!N:N,0),0)</f>
        <v>-11839148.370089937</v>
      </c>
      <c r="R1144" s="25">
        <f t="array" aca="1" ref="R1144" ca="1">INDEX('Lorri 401b'!L:L,MATCH('Retirement Calculator'!A1144,'Lorri 401b'!N:N,0),0)</f>
        <v>-42358409.809361003</v>
      </c>
      <c r="S1144" s="25">
        <f t="shared" ca="1" si="1047"/>
        <v>-54197558.179450944</v>
      </c>
    </row>
    <row r="1145" spans="1:19" ht="15.75" customHeight="1" x14ac:dyDescent="0.3">
      <c r="A1145" s="37">
        <v>85803</v>
      </c>
      <c r="B1145" s="409">
        <f t="shared" ref="B1145:C1145" si="1161">($A1145-B$9)/365.25</f>
        <v>153.03764544832308</v>
      </c>
      <c r="C1145" s="409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3525.4531757812501</v>
      </c>
      <c r="H1145" s="25">
        <f>IF(B1145&lt;62,0,'Combined Retirement'!$I$14)</f>
        <v>2192</v>
      </c>
      <c r="I1145" s="25">
        <f>IF(C1145&lt;62,0,'Combined Retirement'!$I$13)</f>
        <v>2420</v>
      </c>
      <c r="J1145" s="25">
        <f t="shared" si="1043"/>
        <v>7863.2184191855868</v>
      </c>
      <c r="K1145" s="25">
        <f t="shared" si="1044"/>
        <v>20282.026119384056</v>
      </c>
      <c r="L1145" s="25"/>
      <c r="N1145" s="25">
        <f>'Combined Retirement'!$C$18/12</f>
        <v>39153.069999999992</v>
      </c>
      <c r="O1145" s="25">
        <f t="shared" si="1045"/>
        <v>11007.82546143035</v>
      </c>
      <c r="P1145" s="25">
        <f t="shared" si="1046"/>
        <v>28145.244538569641</v>
      </c>
      <c r="Q1145" s="25">
        <f t="array" aca="1" ref="Q1145" ca="1">INDEX('Isaac 401k'!L:L,MATCH('Retirement Calculator'!A1145,'Isaac 401k'!N:N,0),0)</f>
        <v>-11896374.136794576</v>
      </c>
      <c r="R1145" s="25">
        <f t="array" aca="1" ref="R1145" ca="1">INDEX('Lorri 401b'!L:L,MATCH('Retirement Calculator'!A1145,'Lorri 401b'!N:N,0),0)</f>
        <v>-42555269.718128219</v>
      </c>
      <c r="S1145" s="25">
        <f t="shared" ca="1" si="1047"/>
        <v>-54451643.854922794</v>
      </c>
    </row>
    <row r="1146" spans="1:19" ht="15.75" customHeight="1" x14ac:dyDescent="0.3">
      <c r="A1146" s="37">
        <v>85834</v>
      </c>
      <c r="B1146" s="409">
        <f t="shared" ref="B1146:C1146" si="1162">($A1146-B$9)/365.25</f>
        <v>153.12251882272417</v>
      </c>
      <c r="C1146" s="409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3525.4531757812501</v>
      </c>
      <c r="H1146" s="25">
        <f>IF(B1146&lt;62,0,'Combined Retirement'!$I$14)</f>
        <v>2192</v>
      </c>
      <c r="I1146" s="25">
        <f>IF(C1146&lt;62,0,'Combined Retirement'!$I$13)</f>
        <v>2420</v>
      </c>
      <c r="J1146" s="25">
        <f t="shared" si="1043"/>
        <v>7863.2184191855868</v>
      </c>
      <c r="K1146" s="25">
        <f t="shared" si="1044"/>
        <v>20282.026119384056</v>
      </c>
      <c r="L1146" s="25"/>
      <c r="N1146" s="25">
        <f>'Combined Retirement'!$C$18/12</f>
        <v>39153.069999999992</v>
      </c>
      <c r="O1146" s="25">
        <f t="shared" si="1045"/>
        <v>11007.82546143035</v>
      </c>
      <c r="P1146" s="25">
        <f t="shared" si="1046"/>
        <v>28145.244538569641</v>
      </c>
      <c r="Q1146" s="25">
        <f t="array" aca="1" ref="Q1146" ca="1">INDEX('Isaac 401k'!L:L,MATCH('Retirement Calculator'!A1146,'Isaac 401k'!N:N,0),0)</f>
        <v>-11953838.344193818</v>
      </c>
      <c r="R1146" s="25">
        <f t="array" aca="1" ref="R1146" ca="1">INDEX('Lorri 401b'!L:L,MATCH('Retirement Calculator'!A1146,'Lorri 401b'!N:N,0),0)</f>
        <v>-42752949.876515299</v>
      </c>
      <c r="S1146" s="25">
        <f t="shared" ca="1" si="1047"/>
        <v>-54706788.220709115</v>
      </c>
    </row>
    <row r="1147" spans="1:19" ht="15.75" customHeight="1" x14ac:dyDescent="0.3">
      <c r="A1147" s="37">
        <v>85865</v>
      </c>
      <c r="B1147" s="409">
        <f t="shared" ref="B1147:C1147" si="1163">($A1147-B$9)/365.25</f>
        <v>153.20739219712524</v>
      </c>
      <c r="C1147" s="409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3525.4531757812501</v>
      </c>
      <c r="H1147" s="25">
        <f>IF(B1147&lt;62,0,'Combined Retirement'!$I$14)</f>
        <v>2192</v>
      </c>
      <c r="I1147" s="25">
        <f>IF(C1147&lt;62,0,'Combined Retirement'!$I$13)</f>
        <v>2420</v>
      </c>
      <c r="J1147" s="25">
        <f t="shared" si="1043"/>
        <v>7863.2184191855868</v>
      </c>
      <c r="K1147" s="25">
        <f t="shared" si="1044"/>
        <v>20282.026119384056</v>
      </c>
      <c r="L1147" s="25"/>
      <c r="N1147" s="25">
        <f>'Combined Retirement'!$C$18/12</f>
        <v>39153.069999999992</v>
      </c>
      <c r="O1147" s="25">
        <f t="shared" si="1045"/>
        <v>11007.82546143035</v>
      </c>
      <c r="P1147" s="25">
        <f t="shared" si="1046"/>
        <v>28145.244538569641</v>
      </c>
      <c r="Q1147" s="25">
        <f t="array" aca="1" ref="Q1147" ca="1">INDEX('Isaac 401k'!L:L,MATCH('Retirement Calculator'!A1147,'Isaac 401k'!N:N,0),0)</f>
        <v>-12011541.985790556</v>
      </c>
      <c r="R1147" s="25">
        <f t="array" aca="1" ref="R1147" ca="1">INDEX('Lorri 401b'!L:L,MATCH('Retirement Calculator'!A1147,'Lorri 401b'!N:N,0),0)</f>
        <v>-42951453.702228993</v>
      </c>
      <c r="S1147" s="25">
        <f t="shared" ca="1" si="1047"/>
        <v>-54962995.688019551</v>
      </c>
    </row>
    <row r="1148" spans="1:19" ht="15.75" customHeight="1" x14ac:dyDescent="0.3">
      <c r="A1148" s="37">
        <v>85893</v>
      </c>
      <c r="B1148" s="409">
        <f t="shared" ref="B1148:C1148" si="1164">($A1148-B$9)/365.25</f>
        <v>153.28405201916496</v>
      </c>
      <c r="C1148" s="409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3525.4531757812501</v>
      </c>
      <c r="H1148" s="25">
        <f>IF(B1148&lt;62,0,'Combined Retirement'!$I$14)</f>
        <v>2192</v>
      </c>
      <c r="I1148" s="25">
        <f>IF(C1148&lt;62,0,'Combined Retirement'!$I$13)</f>
        <v>2420</v>
      </c>
      <c r="J1148" s="25">
        <f t="shared" si="1043"/>
        <v>7863.2184191855868</v>
      </c>
      <c r="K1148" s="25">
        <f t="shared" si="1044"/>
        <v>20282.026119384056</v>
      </c>
      <c r="L1148" s="25"/>
      <c r="N1148" s="25">
        <f>'Combined Retirement'!$C$18/12</f>
        <v>39153.069999999992</v>
      </c>
      <c r="O1148" s="25">
        <f t="shared" si="1045"/>
        <v>11007.82546143035</v>
      </c>
      <c r="P1148" s="25">
        <f t="shared" si="1046"/>
        <v>28145.244538569641</v>
      </c>
      <c r="Q1148" s="25">
        <f t="array" aca="1" ref="Q1148" ca="1">INDEX('Isaac 401k'!L:L,MATCH('Retirement Calculator'!A1148,'Isaac 401k'!N:N,0),0)</f>
        <v>-12069486.059227282</v>
      </c>
      <c r="R1148" s="25">
        <f t="array" aca="1" ref="R1148" ca="1">INDEX('Lorri 401b'!L:L,MATCH('Retirement Calculator'!A1148,'Lorri 401b'!N:N,0),0)</f>
        <v>-43150784.627216496</v>
      </c>
      <c r="S1148" s="25">
        <f t="shared" ca="1" si="1047"/>
        <v>-55220270.686443776</v>
      </c>
    </row>
    <row r="1149" spans="1:19" ht="15.75" customHeight="1" x14ac:dyDescent="0.3">
      <c r="A1149" s="37">
        <v>85924</v>
      </c>
      <c r="B1149" s="409">
        <f t="shared" ref="B1149:C1149" si="1165">($A1149-B$9)/365.25</f>
        <v>153.36892539356606</v>
      </c>
      <c r="C1149" s="409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3525.4531757812501</v>
      </c>
      <c r="H1149" s="25">
        <f>IF(B1149&lt;62,0,'Combined Retirement'!$I$14)</f>
        <v>2192</v>
      </c>
      <c r="I1149" s="25">
        <f>IF(C1149&lt;62,0,'Combined Retirement'!$I$13)</f>
        <v>2420</v>
      </c>
      <c r="J1149" s="25">
        <f t="shared" si="1043"/>
        <v>7863.2184191855868</v>
      </c>
      <c r="K1149" s="25">
        <f t="shared" si="1044"/>
        <v>20282.026119384056</v>
      </c>
      <c r="L1149" s="25"/>
      <c r="N1149" s="25">
        <f>'Combined Retirement'!$C$18/12</f>
        <v>39153.069999999992</v>
      </c>
      <c r="O1149" s="25">
        <f t="shared" si="1045"/>
        <v>11007.82546143035</v>
      </c>
      <c r="P1149" s="25">
        <f t="shared" si="1046"/>
        <v>28145.244538569641</v>
      </c>
      <c r="Q1149" s="25">
        <f t="array" aca="1" ref="Q1149" ca="1">INDEX('Isaac 401k'!L:L,MATCH('Retirement Calculator'!A1149,'Isaac 401k'!N:N,0),0)</f>
        <v>-12127671.566303328</v>
      </c>
      <c r="R1149" s="25">
        <f t="array" aca="1" ref="R1149" ca="1">INDEX('Lorri 401b'!L:L,MATCH('Retirement Calculator'!A1149,'Lorri 401b'!N:N,0),0)</f>
        <v>-43350946.097724773</v>
      </c>
      <c r="S1149" s="25">
        <f t="shared" ca="1" si="1047"/>
        <v>-55478617.664028101</v>
      </c>
    </row>
    <row r="1150" spans="1:19" ht="15.75" customHeight="1" x14ac:dyDescent="0.3">
      <c r="A1150" s="37">
        <v>85954</v>
      </c>
      <c r="B1150" s="409">
        <f t="shared" ref="B1150:C1150" si="1166">($A1150-B$9)/365.25</f>
        <v>153.45106091718</v>
      </c>
      <c r="C1150" s="409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3525.4531757812501</v>
      </c>
      <c r="H1150" s="25">
        <f>IF(B1150&lt;62,0,'Combined Retirement'!$I$14)</f>
        <v>2192</v>
      </c>
      <c r="I1150" s="25">
        <f>IF(C1150&lt;62,0,'Combined Retirement'!$I$13)</f>
        <v>2420</v>
      </c>
      <c r="J1150" s="25">
        <f t="shared" si="1043"/>
        <v>7863.2184191855868</v>
      </c>
      <c r="K1150" s="25">
        <f t="shared" si="1044"/>
        <v>20282.026119384056</v>
      </c>
      <c r="L1150" s="25"/>
      <c r="N1150" s="25">
        <f>'Combined Retirement'!$C$18/12</f>
        <v>39153.069999999992</v>
      </c>
      <c r="O1150" s="25">
        <f t="shared" si="1045"/>
        <v>11007.82546143035</v>
      </c>
      <c r="P1150" s="25">
        <f t="shared" si="1046"/>
        <v>28145.244538569641</v>
      </c>
      <c r="Q1150" s="25">
        <f t="array" aca="1" ref="Q1150" ca="1">INDEX('Isaac 401k'!L:L,MATCH('Retirement Calculator'!A1150,'Isaac 401k'!N:N,0),0)</f>
        <v>-12186099.51299219</v>
      </c>
      <c r="R1150" s="25">
        <f t="array" aca="1" ref="R1150" ca="1">INDEX('Lorri 401b'!L:L,MATCH('Retirement Calculator'!A1150,'Lorri 401b'!N:N,0),0)</f>
        <v>-43551941.574360169</v>
      </c>
      <c r="S1150" s="25">
        <f t="shared" ca="1" si="1047"/>
        <v>-55738041.087352358</v>
      </c>
    </row>
    <row r="1151" spans="1:19" ht="15.75" customHeight="1" x14ac:dyDescent="0.3">
      <c r="A1151" s="37">
        <v>85985</v>
      </c>
      <c r="B1151" s="409">
        <f t="shared" ref="B1151:C1151" si="1167">($A1151-B$9)/365.25</f>
        <v>153.5359342915811</v>
      </c>
      <c r="C1151" s="409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3525.4531757812501</v>
      </c>
      <c r="H1151" s="25">
        <f>IF(B1151&lt;62,0,'Combined Retirement'!$I$14)</f>
        <v>2192</v>
      </c>
      <c r="I1151" s="25">
        <f>IF(C1151&lt;62,0,'Combined Retirement'!$I$13)</f>
        <v>2420</v>
      </c>
      <c r="J1151" s="25">
        <f t="shared" si="1043"/>
        <v>7863.2184191855868</v>
      </c>
      <c r="K1151" s="25">
        <f t="shared" si="1044"/>
        <v>20282.026119384056</v>
      </c>
      <c r="L1151" s="25"/>
      <c r="N1151" s="25">
        <f>'Combined Retirement'!$C$18/12</f>
        <v>39153.069999999992</v>
      </c>
      <c r="O1151" s="25">
        <f t="shared" si="1045"/>
        <v>11007.82546143035</v>
      </c>
      <c r="P1151" s="25">
        <f t="shared" si="1046"/>
        <v>28145.244538569641</v>
      </c>
      <c r="Q1151" s="25">
        <f t="array" aca="1" ref="Q1151" ca="1">INDEX('Isaac 401k'!L:L,MATCH('Retirement Calculator'!A1151,'Isaac 401k'!N:N,0),0)</f>
        <v>-12244770.909458922</v>
      </c>
      <c r="R1151" s="25">
        <f t="array" aca="1" ref="R1151" ca="1">INDEX('Lorri 401b'!L:L,MATCH('Retirement Calculator'!A1151,'Lorri 401b'!N:N,0),0)</f>
        <v>-43753774.532148212</v>
      </c>
      <c r="S1151" s="25">
        <f t="shared" ca="1" si="1047"/>
        <v>-55998545.441607133</v>
      </c>
    </row>
    <row r="1152" spans="1:19" ht="15.75" customHeight="1" x14ac:dyDescent="0.3">
      <c r="A1152" s="37">
        <v>86015</v>
      </c>
      <c r="B1152" s="409">
        <f t="shared" ref="B1152:C1152" si="1168">($A1152-B$9)/365.25</f>
        <v>153.61806981519507</v>
      </c>
      <c r="C1152" s="409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3525.4531757812501</v>
      </c>
      <c r="H1152" s="25">
        <f>IF(B1152&lt;62,0,'Combined Retirement'!$I$14)</f>
        <v>2192</v>
      </c>
      <c r="I1152" s="25">
        <f>IF(C1152&lt;62,0,'Combined Retirement'!$I$13)</f>
        <v>2420</v>
      </c>
      <c r="J1152" s="25">
        <f t="shared" si="1043"/>
        <v>7863.2184191855868</v>
      </c>
      <c r="K1152" s="25">
        <f t="shared" si="1044"/>
        <v>20282.026119384056</v>
      </c>
      <c r="L1152" s="25"/>
      <c r="N1152" s="25">
        <f>'Combined Retirement'!$C$18/12</f>
        <v>39153.069999999992</v>
      </c>
      <c r="O1152" s="25">
        <f t="shared" si="1045"/>
        <v>11007.82546143035</v>
      </c>
      <c r="P1152" s="25">
        <f t="shared" si="1046"/>
        <v>28145.244538569641</v>
      </c>
      <c r="Q1152" s="25">
        <f t="array" aca="1" ref="Q1152" ca="1">INDEX('Isaac 401k'!L:L,MATCH('Retirement Calculator'!A1152,'Isaac 401k'!N:N,0),0)</f>
        <v>-12303686.770077599</v>
      </c>
      <c r="R1152" s="25">
        <f t="array" aca="1" ref="R1152" ca="1">INDEX('Lorri 401b'!L:L,MATCH('Retirement Calculator'!A1152,'Lorri 401b'!N:N,0),0)</f>
        <v>-43956448.460593708</v>
      </c>
      <c r="S1152" s="25">
        <f t="shared" ca="1" si="1047"/>
        <v>-56260135.230671309</v>
      </c>
    </row>
    <row r="1153" spans="1:19" ht="15.75" customHeight="1" x14ac:dyDescent="0.3">
      <c r="A1153" s="37">
        <v>86046</v>
      </c>
      <c r="B1153" s="409">
        <f t="shared" ref="B1153:C1153" si="1169">($A1153-B$9)/365.25</f>
        <v>153.70294318959617</v>
      </c>
      <c r="C1153" s="409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3525.4531757812501</v>
      </c>
      <c r="H1153" s="25">
        <f>IF(B1153&lt;62,0,'Combined Retirement'!$I$14)</f>
        <v>2192</v>
      </c>
      <c r="I1153" s="25">
        <f>IF(C1153&lt;62,0,'Combined Retirement'!$I$13)</f>
        <v>2420</v>
      </c>
      <c r="J1153" s="25">
        <f t="shared" si="1043"/>
        <v>7863.2184191855868</v>
      </c>
      <c r="K1153" s="25">
        <f t="shared" si="1044"/>
        <v>20282.026119384056</v>
      </c>
      <c r="L1153" s="25"/>
      <c r="N1153" s="25">
        <f>'Combined Retirement'!$C$18/12</f>
        <v>39153.069999999992</v>
      </c>
      <c r="O1153" s="25">
        <f t="shared" si="1045"/>
        <v>11007.82546143035</v>
      </c>
      <c r="P1153" s="25">
        <f t="shared" si="1046"/>
        <v>28145.244538569641</v>
      </c>
      <c r="Q1153" s="25">
        <f t="array" aca="1" ref="Q1153" ca="1">INDEX('Isaac 401k'!L:L,MATCH('Retirement Calculator'!A1153,'Isaac 401k'!N:N,0),0)</f>
        <v>-12362848.113448855</v>
      </c>
      <c r="R1153" s="25">
        <f t="array" aca="1" ref="R1153" ca="1">INDEX('Lorri 401b'!L:L,MATCH('Retirement Calculator'!A1153,'Lorri 401b'!N:N,0),0)</f>
        <v>-44159966.863741063</v>
      </c>
      <c r="S1153" s="25">
        <f t="shared" ca="1" si="1047"/>
        <v>-56522814.977189913</v>
      </c>
    </row>
    <row r="1154" spans="1:19" ht="15.75" customHeight="1" x14ac:dyDescent="0.3">
      <c r="A1154" s="37">
        <v>86077</v>
      </c>
      <c r="B1154" s="409">
        <f t="shared" ref="B1154:C1154" si="1170">($A1154-B$9)/365.25</f>
        <v>153.78781656399727</v>
      </c>
      <c r="C1154" s="409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3525.4531757812501</v>
      </c>
      <c r="H1154" s="25">
        <f>IF(B1154&lt;62,0,'Combined Retirement'!$I$14)</f>
        <v>2192</v>
      </c>
      <c r="I1154" s="25">
        <f>IF(C1154&lt;62,0,'Combined Retirement'!$I$13)</f>
        <v>2420</v>
      </c>
      <c r="J1154" s="25">
        <f t="shared" si="1043"/>
        <v>7863.2184191855868</v>
      </c>
      <c r="K1154" s="25">
        <f t="shared" si="1044"/>
        <v>20282.026119384056</v>
      </c>
      <c r="L1154" s="25"/>
      <c r="N1154" s="25">
        <f>'Combined Retirement'!$C$18/12</f>
        <v>39153.069999999992</v>
      </c>
      <c r="O1154" s="25">
        <f t="shared" si="1045"/>
        <v>11007.82546143035</v>
      </c>
      <c r="P1154" s="25">
        <f t="shared" si="1046"/>
        <v>28145.244538569641</v>
      </c>
      <c r="Q1154" s="25">
        <f t="array" aca="1" ref="Q1154" ca="1">INDEX('Isaac 401k'!L:L,MATCH('Retirement Calculator'!A1154,'Isaac 401k'!N:N,0),0)</f>
        <v>-12422255.962417489</v>
      </c>
      <c r="R1154" s="25">
        <f t="array" aca="1" ref="R1154" ca="1">INDEX('Lorri 401b'!L:L,MATCH('Retirement Calculator'!A1154,'Lorri 401b'!N:N,0),0)</f>
        <v>-44364333.260234863</v>
      </c>
      <c r="S1154" s="25">
        <f t="shared" ca="1" si="1047"/>
        <v>-56786589.222652353</v>
      </c>
    </row>
    <row r="1155" spans="1:19" ht="15.75" customHeight="1" x14ac:dyDescent="0.3">
      <c r="A1155" s="37">
        <v>86107</v>
      </c>
      <c r="B1155" s="409">
        <f t="shared" ref="B1155:C1155" si="1171">($A1155-B$9)/365.25</f>
        <v>153.86995208761124</v>
      </c>
      <c r="C1155" s="409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3525.4531757812501</v>
      </c>
      <c r="H1155" s="25">
        <f>IF(B1155&lt;62,0,'Combined Retirement'!$I$14)</f>
        <v>2192</v>
      </c>
      <c r="I1155" s="25">
        <f>IF(C1155&lt;62,0,'Combined Retirement'!$I$13)</f>
        <v>2420</v>
      </c>
      <c r="J1155" s="25">
        <f t="shared" si="1043"/>
        <v>7863.2184191855868</v>
      </c>
      <c r="K1155" s="25">
        <f t="shared" si="1044"/>
        <v>20282.026119384056</v>
      </c>
      <c r="L1155" s="25"/>
      <c r="N1155" s="25">
        <f>'Combined Retirement'!$C$18/12</f>
        <v>39153.069999999992</v>
      </c>
      <c r="O1155" s="25">
        <f t="shared" si="1045"/>
        <v>11007.82546143035</v>
      </c>
      <c r="P1155" s="25">
        <f t="shared" si="1046"/>
        <v>28145.244538569641</v>
      </c>
      <c r="Q1155" s="25">
        <f t="array" aca="1" ref="Q1155" ca="1">INDEX('Isaac 401k'!L:L,MATCH('Retirement Calculator'!A1155,'Isaac 401k'!N:N,0),0)</f>
        <v>-12481911.34409016</v>
      </c>
      <c r="R1155" s="25">
        <f t="array" aca="1" ref="R1155" ca="1">INDEX('Lorri 401b'!L:L,MATCH('Retirement Calculator'!A1155,'Lorri 401b'!N:N,0),0)</f>
        <v>-44569551.183380723</v>
      </c>
      <c r="S1155" s="25">
        <f t="shared" ca="1" si="1047"/>
        <v>-57051462.527470887</v>
      </c>
    </row>
    <row r="1156" spans="1:19" ht="15.75" customHeight="1" x14ac:dyDescent="0.3">
      <c r="A1156" s="37">
        <v>86138</v>
      </c>
      <c r="B1156" s="409">
        <f t="shared" ref="B1156:C1156" si="1172">($A1156-B$9)/365.25</f>
        <v>153.95482546201231</v>
      </c>
      <c r="C1156" s="409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3525.4531757812501</v>
      </c>
      <c r="H1156" s="25">
        <f>IF(B1156&lt;62,0,'Combined Retirement'!$I$14)</f>
        <v>2192</v>
      </c>
      <c r="I1156" s="25">
        <f>IF(C1156&lt;62,0,'Combined Retirement'!$I$13)</f>
        <v>2420</v>
      </c>
      <c r="J1156" s="25">
        <f t="shared" si="1043"/>
        <v>7863.2184191855868</v>
      </c>
      <c r="K1156" s="25">
        <f t="shared" si="1044"/>
        <v>20282.026119384056</v>
      </c>
      <c r="L1156" s="25"/>
      <c r="N1156" s="25">
        <f>'Combined Retirement'!$C$18/12</f>
        <v>39153.069999999992</v>
      </c>
      <c r="O1156" s="25">
        <f t="shared" si="1045"/>
        <v>11007.82546143035</v>
      </c>
      <c r="P1156" s="25">
        <f t="shared" si="1046"/>
        <v>28145.244538569641</v>
      </c>
      <c r="Q1156" s="25">
        <f t="array" aca="1" ref="Q1156" ca="1">INDEX('Isaac 401k'!L:L,MATCH('Retirement Calculator'!A1156,'Isaac 401k'!N:N,0),0)</f>
        <v>-12541815.289853133</v>
      </c>
      <c r="R1156" s="25">
        <f t="array" aca="1" ref="R1156" ca="1">INDEX('Lorri 401b'!L:L,MATCH('Retirement Calculator'!A1156,'Lorri 401b'!N:N,0),0)</f>
        <v>-44775624.181206353</v>
      </c>
      <c r="S1156" s="25">
        <f t="shared" ca="1" si="1047"/>
        <v>-57317439.471059486</v>
      </c>
    </row>
    <row r="1157" spans="1:19" ht="15.75" customHeight="1" x14ac:dyDescent="0.3">
      <c r="A1157" s="37">
        <v>86168</v>
      </c>
      <c r="B1157" s="409">
        <f t="shared" ref="B1157:C1157" si="1173">($A1157-B$9)/365.25</f>
        <v>154.03696098562628</v>
      </c>
      <c r="C1157" s="409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3525.4531757812501</v>
      </c>
      <c r="H1157" s="25">
        <f>IF(B1157&lt;62,0,'Combined Retirement'!$I$14)</f>
        <v>2192</v>
      </c>
      <c r="I1157" s="25">
        <f>IF(C1157&lt;62,0,'Combined Retirement'!$I$13)</f>
        <v>2420</v>
      </c>
      <c r="J1157" s="25">
        <f t="shared" si="1043"/>
        <v>7863.2184191855868</v>
      </c>
      <c r="K1157" s="25">
        <f t="shared" si="1044"/>
        <v>20282.026119384056</v>
      </c>
      <c r="L1157" s="25"/>
      <c r="N1157" s="25">
        <f>'Combined Retirement'!$C$18/12</f>
        <v>39153.069999999992</v>
      </c>
      <c r="O1157" s="25">
        <f t="shared" si="1045"/>
        <v>11007.82546143035</v>
      </c>
      <c r="P1157" s="25">
        <f t="shared" si="1046"/>
        <v>28145.244538569641</v>
      </c>
      <c r="Q1157" s="25">
        <f t="array" aca="1" ref="Q1157" ca="1">INDEX('Isaac 401k'!L:L,MATCH('Retirement Calculator'!A1157,'Isaac 401k'!N:N,0),0)</f>
        <v>-12601968.835390119</v>
      </c>
      <c r="R1157" s="25">
        <f t="array" aca="1" ref="R1157" ca="1">INDEX('Lorri 401b'!L:L,MATCH('Retirement Calculator'!A1157,'Lorri 401b'!N:N,0),0)</f>
        <v>-44982555.816522926</v>
      </c>
      <c r="S1157" s="25">
        <f t="shared" ca="1" si="1047"/>
        <v>-57584524.651913047</v>
      </c>
    </row>
    <row r="1158" spans="1:19" ht="15.75" customHeight="1" x14ac:dyDescent="0.3">
      <c r="A1158" s="37">
        <v>86199</v>
      </c>
      <c r="B1158" s="409">
        <f t="shared" ref="B1158:C1158" si="1174">($A1158-B$9)/365.25</f>
        <v>154.12183436002738</v>
      </c>
      <c r="C1158" s="409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3525.4531757812501</v>
      </c>
      <c r="H1158" s="25">
        <f>IF(B1158&lt;62,0,'Combined Retirement'!$I$14)</f>
        <v>2192</v>
      </c>
      <c r="I1158" s="25">
        <f>IF(C1158&lt;62,0,'Combined Retirement'!$I$13)</f>
        <v>2420</v>
      </c>
      <c r="J1158" s="25">
        <f t="shared" si="1043"/>
        <v>7863.2184191855868</v>
      </c>
      <c r="K1158" s="25">
        <f t="shared" si="1044"/>
        <v>20282.026119384056</v>
      </c>
      <c r="L1158" s="25"/>
      <c r="N1158" s="25">
        <f>'Combined Retirement'!$C$18/12</f>
        <v>39153.069999999992</v>
      </c>
      <c r="O1158" s="25">
        <f t="shared" si="1045"/>
        <v>11007.82546143035</v>
      </c>
      <c r="P1158" s="25">
        <f t="shared" si="1046"/>
        <v>28145.244538569641</v>
      </c>
      <c r="Q1158" s="25">
        <f t="array" aca="1" ref="Q1158" ca="1">INDEX('Isaac 401k'!L:L,MATCH('Retirement Calculator'!A1158,'Isaac 401k'!N:N,0),0)</f>
        <v>-12662373.020700175</v>
      </c>
      <c r="R1158" s="25">
        <f t="array" aca="1" ref="R1158" ca="1">INDEX('Lorri 401b'!L:L,MATCH('Retirement Calculator'!A1158,'Lorri 401b'!N:N,0),0)</f>
        <v>-45190349.666986652</v>
      </c>
      <c r="S1158" s="25">
        <f t="shared" ca="1" si="1047"/>
        <v>-57852722.687686831</v>
      </c>
    </row>
    <row r="1159" spans="1:19" ht="15.75" customHeight="1" x14ac:dyDescent="0.3">
      <c r="A1159" s="37">
        <v>86230</v>
      </c>
      <c r="B1159" s="409">
        <f t="shared" ref="B1159:C1159" si="1175">($A1159-B$9)/365.25</f>
        <v>154.20670773442848</v>
      </c>
      <c r="C1159" s="409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3525.4531757812501</v>
      </c>
      <c r="H1159" s="25">
        <f>IF(B1159&lt;62,0,'Combined Retirement'!$I$14)</f>
        <v>2192</v>
      </c>
      <c r="I1159" s="25">
        <f>IF(C1159&lt;62,0,'Combined Retirement'!$I$13)</f>
        <v>2420</v>
      </c>
      <c r="J1159" s="25">
        <f t="shared" si="1043"/>
        <v>7863.2184191855868</v>
      </c>
      <c r="K1159" s="25">
        <f t="shared" si="1044"/>
        <v>20282.026119384056</v>
      </c>
      <c r="L1159" s="25"/>
      <c r="N1159" s="25">
        <f>'Combined Retirement'!$C$18/12</f>
        <v>39153.069999999992</v>
      </c>
      <c r="O1159" s="25">
        <f t="shared" si="1045"/>
        <v>11007.82546143035</v>
      </c>
      <c r="P1159" s="25">
        <f t="shared" si="1046"/>
        <v>28145.244538569641</v>
      </c>
      <c r="Q1159" s="25">
        <f t="array" aca="1" ref="Q1159" ca="1">INDEX('Isaac 401k'!L:L,MATCH('Retirement Calculator'!A1159,'Isaac 401k'!N:N,0),0)</f>
        <v>-12723028.890115691</v>
      </c>
      <c r="R1159" s="25">
        <f t="array" aca="1" ref="R1159" ca="1">INDEX('Lorri 401b'!L:L,MATCH('Retirement Calculator'!A1159,'Lorri 401b'!N:N,0),0)</f>
        <v>-45399009.325160645</v>
      </c>
      <c r="S1159" s="25">
        <f t="shared" ca="1" si="1047"/>
        <v>-58122038.215276338</v>
      </c>
    </row>
    <row r="1160" spans="1:19" ht="15.75" customHeight="1" x14ac:dyDescent="0.3">
      <c r="A1160" s="37">
        <v>86259</v>
      </c>
      <c r="B1160" s="409">
        <f t="shared" ref="B1160:C1160" si="1176">($A1160-B$9)/365.25</f>
        <v>154.28610540725529</v>
      </c>
      <c r="C1160" s="409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3525.4531757812501</v>
      </c>
      <c r="H1160" s="25">
        <f>IF(B1160&lt;62,0,'Combined Retirement'!$I$14)</f>
        <v>2192</v>
      </c>
      <c r="I1160" s="25">
        <f>IF(C1160&lt;62,0,'Combined Retirement'!$I$13)</f>
        <v>2420</v>
      </c>
      <c r="J1160" s="25">
        <f t="shared" si="1043"/>
        <v>7863.2184191855868</v>
      </c>
      <c r="K1160" s="25">
        <f t="shared" si="1044"/>
        <v>20282.026119384056</v>
      </c>
      <c r="L1160" s="25"/>
      <c r="N1160" s="25">
        <f>'Combined Retirement'!$C$18/12</f>
        <v>39153.069999999992</v>
      </c>
      <c r="O1160" s="25">
        <f t="shared" si="1045"/>
        <v>11007.82546143035</v>
      </c>
      <c r="P1160" s="25">
        <f t="shared" si="1046"/>
        <v>28145.244538569641</v>
      </c>
      <c r="Q1160" s="25">
        <f t="array" aca="1" ref="Q1160" ca="1">INDEX('Isaac 401k'!L:L,MATCH('Retirement Calculator'!A1160,'Isaac 401k'!N:N,0),0)</f>
        <v>-12783937.492320439</v>
      </c>
      <c r="R1160" s="25">
        <f t="array" aca="1" ref="R1160" ca="1">INDEX('Lorri 401b'!L:L,MATCH('Retirement Calculator'!A1160,'Lorri 401b'!N:N,0),0)</f>
        <v>-45608538.398577027</v>
      </c>
      <c r="S1160" s="25">
        <f t="shared" ca="1" si="1047"/>
        <v>-58392475.890897468</v>
      </c>
    </row>
    <row r="1161" spans="1:19" ht="15.75" customHeight="1" x14ac:dyDescent="0.3">
      <c r="A1161" s="37">
        <v>86290</v>
      </c>
      <c r="B1161" s="409">
        <f t="shared" ref="B1161:C1161" si="1177">($A1161-B$9)/365.25</f>
        <v>154.37097878165639</v>
      </c>
      <c r="C1161" s="409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3525.4531757812501</v>
      </c>
      <c r="H1161" s="25">
        <f>IF(B1161&lt;62,0,'Combined Retirement'!$I$14)</f>
        <v>2192</v>
      </c>
      <c r="I1161" s="25">
        <f>IF(C1161&lt;62,0,'Combined Retirement'!$I$13)</f>
        <v>2420</v>
      </c>
      <c r="J1161" s="25">
        <f t="shared" si="1043"/>
        <v>7863.2184191855868</v>
      </c>
      <c r="K1161" s="25">
        <f t="shared" si="1044"/>
        <v>20282.026119384056</v>
      </c>
      <c r="L1161" s="25"/>
      <c r="N1161" s="25">
        <f>'Combined Retirement'!$C$18/12</f>
        <v>39153.069999999992</v>
      </c>
      <c r="O1161" s="25">
        <f t="shared" si="1045"/>
        <v>11007.82546143035</v>
      </c>
      <c r="P1161" s="25">
        <f t="shared" si="1046"/>
        <v>28145.244538569641</v>
      </c>
      <c r="Q1161" s="25">
        <f t="array" aca="1" ref="Q1161" ca="1">INDEX('Isaac 401k'!L:L,MATCH('Retirement Calculator'!A1161,'Isaac 401k'!N:N,0),0)</f>
        <v>-12845099.880367706</v>
      </c>
      <c r="R1161" s="25">
        <f t="array" aca="1" ref="R1161" ca="1">INDEX('Lorri 401b'!L:L,MATCH('Retirement Calculator'!A1161,'Lorri 401b'!N:N,0),0)</f>
        <v>-45818940.509799309</v>
      </c>
      <c r="S1161" s="25">
        <f t="shared" ca="1" si="1047"/>
        <v>-58664040.390167013</v>
      </c>
    </row>
    <row r="1162" spans="1:19" ht="15.75" customHeight="1" x14ac:dyDescent="0.3">
      <c r="A1162" s="37">
        <v>86320</v>
      </c>
      <c r="B1162" s="409">
        <f t="shared" ref="B1162:C1162" si="1178">($A1162-B$9)/365.25</f>
        <v>154.45311430527036</v>
      </c>
      <c r="C1162" s="409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3525.4531757812501</v>
      </c>
      <c r="H1162" s="25">
        <f>IF(B1162&lt;62,0,'Combined Retirement'!$I$14)</f>
        <v>2192</v>
      </c>
      <c r="I1162" s="25">
        <f>IF(C1162&lt;62,0,'Combined Retirement'!$I$13)</f>
        <v>2420</v>
      </c>
      <c r="J1162" s="25">
        <f t="shared" si="1043"/>
        <v>7863.2184191855868</v>
      </c>
      <c r="K1162" s="25">
        <f t="shared" si="1044"/>
        <v>20282.026119384056</v>
      </c>
      <c r="L1162" s="25"/>
      <c r="N1162" s="25">
        <f>'Combined Retirement'!$C$18/12</f>
        <v>39153.069999999992</v>
      </c>
      <c r="O1162" s="25">
        <f t="shared" si="1045"/>
        <v>11007.82546143035</v>
      </c>
      <c r="P1162" s="25">
        <f t="shared" si="1046"/>
        <v>28145.244538569641</v>
      </c>
      <c r="Q1162" s="25">
        <f t="array" aca="1" ref="Q1162" ca="1">INDEX('Isaac 401k'!L:L,MATCH('Retirement Calculator'!A1162,'Isaac 401k'!N:N,0),0)</f>
        <v>-12906517.111698503</v>
      </c>
      <c r="R1162" s="25">
        <f t="array" aca="1" ref="R1162" ca="1">INDEX('Lorri 401b'!L:L,MATCH('Retirement Calculator'!A1162,'Lorri 401b'!N:N,0),0)</f>
        <v>-46030219.296485022</v>
      </c>
      <c r="S1162" s="25">
        <f t="shared" ca="1" si="1047"/>
        <v>-58936736.408183523</v>
      </c>
    </row>
    <row r="1163" spans="1:19" ht="15.75" customHeight="1" x14ac:dyDescent="0.3">
      <c r="A1163" s="37">
        <v>86351</v>
      </c>
      <c r="B1163" s="409">
        <f t="shared" ref="B1163:C1163" si="1179">($A1163-B$9)/365.25</f>
        <v>154.53798767967146</v>
      </c>
      <c r="C1163" s="409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3525.4531757812501</v>
      </c>
      <c r="H1163" s="25">
        <f>IF(B1163&lt;62,0,'Combined Retirement'!$I$14)</f>
        <v>2192</v>
      </c>
      <c r="I1163" s="25">
        <f>IF(C1163&lt;62,0,'Combined Retirement'!$I$13)</f>
        <v>2420</v>
      </c>
      <c r="J1163" s="25">
        <f t="shared" si="1043"/>
        <v>7863.2184191855868</v>
      </c>
      <c r="K1163" s="25">
        <f t="shared" si="1044"/>
        <v>20282.026119384056</v>
      </c>
      <c r="L1163" s="25"/>
      <c r="N1163" s="25">
        <f>'Combined Retirement'!$C$18/12</f>
        <v>39153.069999999992</v>
      </c>
      <c r="O1163" s="25">
        <f t="shared" si="1045"/>
        <v>11007.82546143035</v>
      </c>
      <c r="P1163" s="25">
        <f t="shared" si="1046"/>
        <v>28145.244538569641</v>
      </c>
      <c r="Q1163" s="25">
        <f t="array" aca="1" ref="Q1163" ca="1">INDEX('Isaac 401k'!L:L,MATCH('Retirement Calculator'!A1163,'Isaac 401k'!N:N,0),0)</f>
        <v>-12968190.248159844</v>
      </c>
      <c r="R1163" s="25">
        <f t="array" aca="1" ref="R1163" ca="1">INDEX('Lorri 401b'!L:L,MATCH('Retirement Calculator'!A1163,'Lorri 401b'!N:N,0),0)</f>
        <v>-46242378.41144859</v>
      </c>
      <c r="S1163" s="25">
        <f t="shared" ca="1" si="1047"/>
        <v>-59210568.659608439</v>
      </c>
    </row>
    <row r="1164" spans="1:19" ht="15.75" customHeight="1" x14ac:dyDescent="0.3">
      <c r="A1164" s="37">
        <v>86381</v>
      </c>
      <c r="B1164" s="409">
        <f t="shared" ref="B1164:C1164" si="1180">($A1164-B$9)/365.25</f>
        <v>154.62012320328543</v>
      </c>
      <c r="C1164" s="409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3525.4531757812501</v>
      </c>
      <c r="H1164" s="25">
        <f>IF(B1164&lt;62,0,'Combined Retirement'!$I$14)</f>
        <v>2192</v>
      </c>
      <c r="I1164" s="25">
        <f>IF(C1164&lt;62,0,'Combined Retirement'!$I$13)</f>
        <v>2420</v>
      </c>
      <c r="J1164" s="25">
        <f t="shared" si="1043"/>
        <v>7863.2184191855868</v>
      </c>
      <c r="K1164" s="25">
        <f t="shared" si="1044"/>
        <v>20282.026119384056</v>
      </c>
      <c r="L1164" s="25"/>
      <c r="N1164" s="25">
        <f>'Combined Retirement'!$C$18/12</f>
        <v>39153.069999999992</v>
      </c>
      <c r="O1164" s="25">
        <f t="shared" si="1045"/>
        <v>11007.82546143035</v>
      </c>
      <c r="P1164" s="25">
        <f t="shared" si="1046"/>
        <v>28145.244538569641</v>
      </c>
      <c r="Q1164" s="25">
        <f t="array" aca="1" ref="Q1164" ca="1">INDEX('Isaac 401k'!L:L,MATCH('Retirement Calculator'!A1164,'Isaac 401k'!N:N,0),0)</f>
        <v>-13030120.356023109</v>
      </c>
      <c r="R1164" s="25">
        <f t="array" aca="1" ref="R1164" ca="1">INDEX('Lorri 401b'!L:L,MATCH('Retirement Calculator'!A1164,'Lorri 401b'!N:N,0),0)</f>
        <v>-46455421.522724502</v>
      </c>
      <c r="S1164" s="25">
        <f t="shared" ca="1" si="1047"/>
        <v>-59485541.878747612</v>
      </c>
    </row>
    <row r="1165" spans="1:19" ht="15.75" customHeight="1" x14ac:dyDescent="0.3">
      <c r="A1165" s="37">
        <v>86412</v>
      </c>
      <c r="B1165" s="409">
        <f t="shared" ref="B1165:C1165" si="1181">($A1165-B$9)/365.25</f>
        <v>154.70499657768653</v>
      </c>
      <c r="C1165" s="409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3525.4531757812501</v>
      </c>
      <c r="H1165" s="25">
        <f>IF(B1165&lt;62,0,'Combined Retirement'!$I$14)</f>
        <v>2192</v>
      </c>
      <c r="I1165" s="25">
        <f>IF(C1165&lt;62,0,'Combined Retirement'!$I$13)</f>
        <v>2420</v>
      </c>
      <c r="J1165" s="25">
        <f t="shared" si="1043"/>
        <v>7863.2184191855868</v>
      </c>
      <c r="K1165" s="25">
        <f t="shared" si="1044"/>
        <v>20282.026119384056</v>
      </c>
      <c r="L1165" s="25"/>
      <c r="N1165" s="25">
        <f>'Combined Retirement'!$C$18/12</f>
        <v>39153.069999999992</v>
      </c>
      <c r="O1165" s="25">
        <f t="shared" si="1045"/>
        <v>11007.82546143035</v>
      </c>
      <c r="P1165" s="25">
        <f t="shared" si="1046"/>
        <v>28145.244538569641</v>
      </c>
      <c r="Q1165" s="25">
        <f t="array" aca="1" ref="Q1165" ca="1">INDEX('Isaac 401k'!L:L,MATCH('Retirement Calculator'!A1165,'Isaac 401k'!N:N,0),0)</f>
        <v>-13092308.506002469</v>
      </c>
      <c r="R1165" s="25">
        <f t="array" aca="1" ref="R1165" ca="1">INDEX('Lorri 401b'!L:L,MATCH('Retirement Calculator'!A1165,'Lorri 401b'!N:N,0),0)</f>
        <v>-46669352.31363073</v>
      </c>
      <c r="S1165" s="25">
        <f t="shared" ca="1" si="1047"/>
        <v>-59761660.819633201</v>
      </c>
    </row>
    <row r="1166" spans="1:19" ht="15.75" customHeight="1" x14ac:dyDescent="0.3">
      <c r="A1166" s="37">
        <v>86443</v>
      </c>
      <c r="B1166" s="409">
        <f t="shared" ref="B1166:C1166" si="1182">($A1166-B$9)/365.25</f>
        <v>154.7898699520876</v>
      </c>
      <c r="C1166" s="409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3525.4531757812501</v>
      </c>
      <c r="H1166" s="25">
        <f>IF(B1166&lt;62,0,'Combined Retirement'!$I$14)</f>
        <v>2192</v>
      </c>
      <c r="I1166" s="25">
        <f>IF(C1166&lt;62,0,'Combined Retirement'!$I$13)</f>
        <v>2420</v>
      </c>
      <c r="J1166" s="25">
        <f t="shared" si="1043"/>
        <v>7863.2184191855868</v>
      </c>
      <c r="K1166" s="25">
        <f t="shared" si="1044"/>
        <v>20282.026119384056</v>
      </c>
      <c r="L1166" s="25"/>
      <c r="N1166" s="25">
        <f>'Combined Retirement'!$C$18/12</f>
        <v>39153.069999999992</v>
      </c>
      <c r="O1166" s="25">
        <f t="shared" si="1045"/>
        <v>11007.82546143035</v>
      </c>
      <c r="P1166" s="25">
        <f t="shared" si="1046"/>
        <v>28145.244538569641</v>
      </c>
      <c r="Q1166" s="25">
        <f t="array" aca="1" ref="Q1166" ca="1">INDEX('Isaac 401k'!L:L,MATCH('Retirement Calculator'!A1166,'Isaac 401k'!N:N,0),0)</f>
        <v>-13154755.77327341</v>
      </c>
      <c r="R1166" s="25">
        <f t="array" aca="1" ref="R1166" ca="1">INDEX('Lorri 401b'!L:L,MATCH('Retirement Calculator'!A1166,'Lorri 401b'!N:N,0),0)</f>
        <v>-46884174.482832402</v>
      </c>
      <c r="S1166" s="25">
        <f t="shared" ca="1" si="1047"/>
        <v>-60038930.25610581</v>
      </c>
    </row>
    <row r="1167" spans="1:19" ht="15.75" customHeight="1" x14ac:dyDescent="0.3">
      <c r="A1167" s="37">
        <v>86473</v>
      </c>
      <c r="B1167" s="409">
        <f t="shared" ref="B1167:C1167" si="1183">($A1167-B$9)/365.25</f>
        <v>154.87200547570157</v>
      </c>
      <c r="C1167" s="409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3525.4531757812501</v>
      </c>
      <c r="H1167" s="25">
        <f>IF(B1167&lt;62,0,'Combined Retirement'!$I$14)</f>
        <v>2192</v>
      </c>
      <c r="I1167" s="25">
        <f>IF(C1167&lt;62,0,'Combined Retirement'!$I$13)</f>
        <v>2420</v>
      </c>
      <c r="J1167" s="25">
        <f t="shared" si="1043"/>
        <v>7863.2184191855868</v>
      </c>
      <c r="K1167" s="25">
        <f t="shared" si="1044"/>
        <v>20282.026119384056</v>
      </c>
      <c r="L1167" s="25"/>
      <c r="N1167" s="25">
        <f>'Combined Retirement'!$C$18/12</f>
        <v>39153.069999999992</v>
      </c>
      <c r="O1167" s="25">
        <f t="shared" si="1045"/>
        <v>11007.82546143035</v>
      </c>
      <c r="P1167" s="25">
        <f t="shared" si="1046"/>
        <v>28145.244538569641</v>
      </c>
      <c r="Q1167" s="25">
        <f t="array" aca="1" ref="Q1167" ca="1">INDEX('Isaac 401k'!L:L,MATCH('Retirement Calculator'!A1167,'Isaac 401k'!N:N,0),0)</f>
        <v>-13217463.237491315</v>
      </c>
      <c r="R1167" s="25">
        <f t="array" aca="1" ref="R1167" ca="1">INDEX('Lorri 401b'!L:L,MATCH('Retirement Calculator'!A1167,'Lorri 401b'!N:N,0),0)</f>
        <v>-47099891.744405746</v>
      </c>
      <c r="S1167" s="25">
        <f t="shared" ca="1" si="1047"/>
        <v>-60317354.981897064</v>
      </c>
    </row>
    <row r="1168" spans="1:19" ht="15.75" customHeight="1" x14ac:dyDescent="0.3">
      <c r="A1168" s="37">
        <v>86504</v>
      </c>
      <c r="B1168" s="409">
        <f t="shared" ref="B1168:C1168" si="1184">($A1168-B$9)/365.25</f>
        <v>154.95687885010267</v>
      </c>
      <c r="C1168" s="409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3525.4531757812501</v>
      </c>
      <c r="H1168" s="25">
        <f>IF(B1168&lt;62,0,'Combined Retirement'!$I$14)</f>
        <v>2192</v>
      </c>
      <c r="I1168" s="25">
        <f>IF(C1168&lt;62,0,'Combined Retirement'!$I$13)</f>
        <v>2420</v>
      </c>
      <c r="J1168" s="25">
        <f t="shared" si="1043"/>
        <v>7863.2184191855868</v>
      </c>
      <c r="K1168" s="25">
        <f t="shared" si="1044"/>
        <v>20282.026119384056</v>
      </c>
      <c r="L1168" s="25"/>
      <c r="N1168" s="25">
        <f>'Combined Retirement'!$C$18/12</f>
        <v>39153.069999999992</v>
      </c>
      <c r="O1168" s="25">
        <f t="shared" si="1045"/>
        <v>11007.82546143035</v>
      </c>
      <c r="P1168" s="25">
        <f t="shared" si="1046"/>
        <v>28145.244538569641</v>
      </c>
      <c r="Q1168" s="25">
        <f t="array" aca="1" ref="Q1168" ca="1">INDEX('Isaac 401k'!L:L,MATCH('Retirement Calculator'!A1168,'Isaac 401k'!N:N,0),0)</f>
        <v>-13280431.982810127</v>
      </c>
      <c r="R1168" s="25">
        <f t="array" aca="1" ref="R1168" ca="1">INDEX('Lorri 401b'!L:L,MATCH('Retirement Calculator'!A1168,'Lorri 401b'!N:N,0),0)</f>
        <v>-47316507.827902317</v>
      </c>
      <c r="S1168" s="25">
        <f t="shared" ca="1" si="1047"/>
        <v>-60596939.810712442</v>
      </c>
    </row>
    <row r="1169" spans="1:19" ht="15.75" customHeight="1" x14ac:dyDescent="0.3">
      <c r="A1169" s="37">
        <v>86534</v>
      </c>
      <c r="B1169" s="409">
        <f t="shared" ref="B1169:C1169" si="1185">($A1169-B$9)/365.25</f>
        <v>155.03901437371664</v>
      </c>
      <c r="C1169" s="409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3525.4531757812501</v>
      </c>
      <c r="H1169" s="25">
        <f>IF(B1169&lt;62,0,'Combined Retirement'!$I$14)</f>
        <v>2192</v>
      </c>
      <c r="I1169" s="25">
        <f>IF(C1169&lt;62,0,'Combined Retirement'!$I$13)</f>
        <v>2420</v>
      </c>
      <c r="J1169" s="25">
        <f t="shared" si="1043"/>
        <v>7863.2184191855868</v>
      </c>
      <c r="K1169" s="25">
        <f t="shared" si="1044"/>
        <v>20282.026119384056</v>
      </c>
      <c r="L1169" s="25"/>
      <c r="N1169" s="25">
        <f>'Combined Retirement'!$C$18/12</f>
        <v>39153.069999999992</v>
      </c>
      <c r="O1169" s="25">
        <f t="shared" si="1045"/>
        <v>11007.82546143035</v>
      </c>
      <c r="P1169" s="25">
        <f t="shared" si="1046"/>
        <v>28145.244538569641</v>
      </c>
      <c r="Q1169" s="25">
        <f t="array" aca="1" ref="Q1169" ca="1">INDEX('Isaac 401k'!L:L,MATCH('Retirement Calculator'!A1169,'Isaac 401k'!N:N,0),0)</f>
        <v>-13343663.0979011</v>
      </c>
      <c r="R1169" s="25">
        <f t="array" aca="1" ref="R1169" ca="1">INDEX('Lorri 401b'!L:L,MATCH('Retirement Calculator'!A1169,'Lorri 401b'!N:N,0),0)</f>
        <v>-47534026.478413455</v>
      </c>
      <c r="S1169" s="25">
        <f t="shared" ca="1" si="1047"/>
        <v>-60877689.576314554</v>
      </c>
    </row>
    <row r="1170" spans="1:19" ht="15.75" customHeight="1" x14ac:dyDescent="0.3">
      <c r="A1170" s="37">
        <v>86565</v>
      </c>
      <c r="B1170" s="409">
        <f t="shared" ref="B1170:C1170" si="1186">($A1170-B$9)/365.25</f>
        <v>155.12388774811774</v>
      </c>
      <c r="C1170" s="409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3525.4531757812501</v>
      </c>
      <c r="H1170" s="25">
        <f>IF(B1170&lt;62,0,'Combined Retirement'!$I$14)</f>
        <v>2192</v>
      </c>
      <c r="I1170" s="25">
        <f>IF(C1170&lt;62,0,'Combined Retirement'!$I$13)</f>
        <v>2420</v>
      </c>
      <c r="J1170" s="25">
        <f t="shared" si="1043"/>
        <v>7863.2184191855868</v>
      </c>
      <c r="K1170" s="25">
        <f t="shared" si="1044"/>
        <v>20282.026119384056</v>
      </c>
      <c r="L1170" s="25"/>
      <c r="N1170" s="25">
        <f>'Combined Retirement'!$C$18/12</f>
        <v>39153.069999999992</v>
      </c>
      <c r="O1170" s="25">
        <f t="shared" si="1045"/>
        <v>11007.82546143035</v>
      </c>
      <c r="P1170" s="25">
        <f t="shared" si="1046"/>
        <v>28145.244538569641</v>
      </c>
      <c r="Q1170" s="25">
        <f t="array" aca="1" ref="Q1170" ca="1">INDEX('Isaac 401k'!L:L,MATCH('Retirement Calculator'!A1170,'Isaac 401k'!N:N,0),0)</f>
        <v>-13407157.67597162</v>
      </c>
      <c r="R1170" s="25">
        <f t="array" aca="1" ref="R1170" ca="1">INDEX('Lorri 401b'!L:L,MATCH('Retirement Calculator'!A1170,'Lorri 401b'!N:N,0),0)</f>
        <v>-47752451.456635058</v>
      </c>
      <c r="S1170" s="25">
        <f t="shared" ca="1" si="1047"/>
        <v>-61159609.132606678</v>
      </c>
    </row>
    <row r="1171" spans="1:19" ht="15.75" customHeight="1" x14ac:dyDescent="0.3">
      <c r="A1171" s="37">
        <v>86596</v>
      </c>
      <c r="B1171" s="409">
        <f t="shared" ref="B1171:C1171" si="1187">($A1171-B$9)/365.25</f>
        <v>155.20876112251884</v>
      </c>
      <c r="C1171" s="409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3525.4531757812501</v>
      </c>
      <c r="H1171" s="25">
        <f>IF(B1171&lt;62,0,'Combined Retirement'!$I$14)</f>
        <v>2192</v>
      </c>
      <c r="I1171" s="25">
        <f>IF(C1171&lt;62,0,'Combined Retirement'!$I$13)</f>
        <v>2420</v>
      </c>
      <c r="J1171" s="25">
        <f t="shared" si="1043"/>
        <v>7863.2184191855868</v>
      </c>
      <c r="K1171" s="25">
        <f t="shared" si="1044"/>
        <v>20282.026119384056</v>
      </c>
      <c r="L1171" s="25"/>
      <c r="N1171" s="25">
        <f>'Combined Retirement'!$C$18/12</f>
        <v>39153.069999999992</v>
      </c>
      <c r="O1171" s="25">
        <f t="shared" si="1045"/>
        <v>11007.82546143035</v>
      </c>
      <c r="P1171" s="25">
        <f t="shared" si="1046"/>
        <v>28145.244538569641</v>
      </c>
      <c r="Q1171" s="25">
        <f t="array" aca="1" ref="Q1171" ca="1">INDEX('Isaac 401k'!L:L,MATCH('Retirement Calculator'!A1171,'Isaac 401k'!N:N,0),0)</f>
        <v>-13470916.8147841</v>
      </c>
      <c r="R1171" s="25">
        <f t="array" aca="1" ref="R1171" ca="1">INDEX('Lorri 401b'!L:L,MATCH('Retirement Calculator'!A1171,'Lorri 401b'!N:N,0),0)</f>
        <v>-47971786.538932584</v>
      </c>
      <c r="S1171" s="25">
        <f t="shared" ca="1" si="1047"/>
        <v>-61442703.353716686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9" activePane="bottomLeft" state="frozen"/>
      <selection pane="bottomLeft" activeCell="C82" sqref="C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304"/>
      <c r="B1" s="349" t="s">
        <v>592</v>
      </c>
      <c r="C1" s="349" t="s">
        <v>593</v>
      </c>
      <c r="D1" s="410" t="s">
        <v>594</v>
      </c>
      <c r="E1" s="410" t="s">
        <v>595</v>
      </c>
      <c r="F1" s="410" t="s">
        <v>596</v>
      </c>
      <c r="G1" s="410" t="s">
        <v>597</v>
      </c>
      <c r="H1" s="307"/>
      <c r="I1" s="307"/>
      <c r="J1" s="411"/>
      <c r="K1" s="411"/>
      <c r="L1" s="307"/>
      <c r="M1" s="307"/>
      <c r="N1" s="307"/>
      <c r="O1" s="411"/>
      <c r="P1" s="411"/>
      <c r="Q1" s="412">
        <f ca="1">(TODAY()-B18)/365</f>
        <v>15.895890410958904</v>
      </c>
      <c r="R1" s="411"/>
      <c r="S1" s="411"/>
      <c r="T1" s="411"/>
      <c r="U1" s="411"/>
      <c r="V1" s="412">
        <f ca="1">(TODAY()-B16)/365</f>
        <v>16.391780821917809</v>
      </c>
      <c r="W1" s="307"/>
      <c r="X1" s="411"/>
      <c r="Y1" s="307"/>
      <c r="Z1" s="307"/>
    </row>
    <row r="2" spans="1:26" ht="11.25" customHeight="1" x14ac:dyDescent="0.3">
      <c r="A2" s="412">
        <f ca="1">(C2-B2)/365</f>
        <v>18.646575342465752</v>
      </c>
      <c r="B2" s="349">
        <v>39356</v>
      </c>
      <c r="C2" s="349">
        <f ca="1">TODAY()</f>
        <v>46162</v>
      </c>
      <c r="D2" s="410">
        <f>-(SUM(D7:D80))</f>
        <v>-435224.27000000008</v>
      </c>
      <c r="E2" s="410">
        <f>(H82+L82+Q82+V82)*-1</f>
        <v>1074176.7599999998</v>
      </c>
      <c r="F2" s="296">
        <f ca="1">D4</f>
        <v>0.11238083243370056</v>
      </c>
      <c r="G2" s="413">
        <f ca="1">(72/(F2*100))</f>
        <v>6.4067864991547054</v>
      </c>
      <c r="H2" s="412"/>
      <c r="I2" s="307"/>
      <c r="J2" s="411"/>
      <c r="K2" s="411"/>
      <c r="L2" s="307"/>
      <c r="M2" s="307"/>
      <c r="N2" s="307"/>
      <c r="O2" s="411"/>
      <c r="P2" s="411"/>
      <c r="Q2" s="411"/>
      <c r="R2" s="411"/>
      <c r="S2" s="411"/>
      <c r="T2" s="411"/>
      <c r="U2" s="411"/>
      <c r="V2" s="411"/>
      <c r="W2" s="307"/>
      <c r="X2" s="411"/>
      <c r="Y2" s="307"/>
      <c r="Z2" s="307"/>
    </row>
    <row r="3" spans="1:26" ht="11.25" customHeight="1" x14ac:dyDescent="0.3">
      <c r="A3" s="304"/>
      <c r="B3" s="414"/>
      <c r="C3" s="414"/>
      <c r="D3" s="411"/>
      <c r="E3" s="411"/>
      <c r="F3" s="307"/>
      <c r="G3" s="307"/>
      <c r="H3" s="307"/>
      <c r="I3" s="307"/>
      <c r="J3" s="411"/>
      <c r="K3" s="411"/>
      <c r="L3" s="307"/>
      <c r="M3" s="307"/>
      <c r="N3" s="307"/>
      <c r="O3" s="411"/>
      <c r="P3" s="411"/>
      <c r="Q3" s="411"/>
      <c r="R3" s="411"/>
      <c r="S3" s="411"/>
      <c r="T3" s="411"/>
      <c r="U3" s="411"/>
      <c r="V3" s="411"/>
      <c r="W3" s="307"/>
      <c r="X3" s="411"/>
      <c r="Y3" s="307"/>
      <c r="Z3" s="307"/>
    </row>
    <row r="4" spans="1:26" ht="11.25" customHeight="1" x14ac:dyDescent="0.3">
      <c r="A4" s="415"/>
      <c r="B4" s="416"/>
      <c r="C4" s="417"/>
      <c r="D4" s="307">
        <f ca="1">XIRR(D7:D82,B7:B82)</f>
        <v>0.11238083243370056</v>
      </c>
      <c r="E4" s="411"/>
      <c r="F4" s="307"/>
      <c r="G4" s="307"/>
      <c r="H4" s="307"/>
      <c r="I4" s="411"/>
      <c r="J4" s="307">
        <f ca="1">XIRR(H8:H82,B8:B82)</f>
        <v>0.11422588229179384</v>
      </c>
      <c r="K4" s="307"/>
      <c r="L4" s="307"/>
      <c r="M4" s="307"/>
      <c r="N4" s="411"/>
      <c r="O4" s="307">
        <f ca="1">XIRR(L7:L82,B7:B82)</f>
        <v>0.11033309102058411</v>
      </c>
      <c r="P4" s="307"/>
      <c r="Q4" s="307"/>
      <c r="R4" s="411"/>
      <c r="S4" s="411"/>
      <c r="T4" s="307">
        <f ca="1">XIRR(Q18:Q82,B18:B82)</f>
        <v>0.11130375266075135</v>
      </c>
      <c r="U4" s="307"/>
      <c r="V4" s="307"/>
      <c r="W4" s="307"/>
      <c r="X4" s="411"/>
      <c r="Y4" s="307">
        <f ca="1">XIRR(V16:V82,B16:B82)</f>
        <v>0.11145102381706237</v>
      </c>
      <c r="Z4" s="307"/>
    </row>
    <row r="5" spans="1:26" ht="11.25" customHeight="1" x14ac:dyDescent="0.3">
      <c r="A5" s="415"/>
      <c r="B5" s="306"/>
      <c r="C5" s="306"/>
      <c r="D5" s="572" t="s">
        <v>598</v>
      </c>
      <c r="E5" s="565"/>
      <c r="F5" s="565"/>
      <c r="G5" s="564"/>
      <c r="H5" s="573" t="s">
        <v>599</v>
      </c>
      <c r="I5" s="565"/>
      <c r="J5" s="565"/>
      <c r="K5" s="564"/>
      <c r="L5" s="574" t="s">
        <v>600</v>
      </c>
      <c r="M5" s="565"/>
      <c r="N5" s="565"/>
      <c r="O5" s="565"/>
      <c r="P5" s="564"/>
      <c r="Q5" s="573" t="s">
        <v>601</v>
      </c>
      <c r="R5" s="565"/>
      <c r="S5" s="565"/>
      <c r="T5" s="565"/>
      <c r="U5" s="564"/>
      <c r="V5" s="574" t="s">
        <v>602</v>
      </c>
      <c r="W5" s="565"/>
      <c r="X5" s="565"/>
      <c r="Y5" s="565"/>
      <c r="Z5" s="564"/>
    </row>
    <row r="6" spans="1:26" ht="11.25" customHeight="1" x14ac:dyDescent="0.3">
      <c r="A6" s="418" t="s">
        <v>603</v>
      </c>
      <c r="B6" s="418">
        <f ca="1">MAX(A:A)</f>
        <v>75</v>
      </c>
      <c r="C6" s="416"/>
      <c r="D6" s="349" t="s">
        <v>604</v>
      </c>
      <c r="E6" s="296" t="s">
        <v>605</v>
      </c>
      <c r="F6" s="296" t="s">
        <v>606</v>
      </c>
      <c r="G6" s="296" t="s">
        <v>607</v>
      </c>
      <c r="H6" s="419" t="s">
        <v>604</v>
      </c>
      <c r="I6" s="419" t="s">
        <v>605</v>
      </c>
      <c r="J6" s="419" t="s">
        <v>606</v>
      </c>
      <c r="K6" s="419" t="s">
        <v>607</v>
      </c>
      <c r="L6" s="420" t="s">
        <v>604</v>
      </c>
      <c r="M6" s="420" t="s">
        <v>608</v>
      </c>
      <c r="N6" s="420" t="s">
        <v>605</v>
      </c>
      <c r="O6" s="420" t="s">
        <v>606</v>
      </c>
      <c r="P6" s="420" t="s">
        <v>607</v>
      </c>
      <c r="Q6" s="419" t="s">
        <v>609</v>
      </c>
      <c r="R6" s="419" t="s">
        <v>610</v>
      </c>
      <c r="S6" s="419" t="s">
        <v>611</v>
      </c>
      <c r="T6" s="419" t="s">
        <v>606</v>
      </c>
      <c r="U6" s="419" t="s">
        <v>607</v>
      </c>
      <c r="V6" s="420" t="s">
        <v>612</v>
      </c>
      <c r="W6" s="420" t="s">
        <v>610</v>
      </c>
      <c r="X6" s="420" t="s">
        <v>605</v>
      </c>
      <c r="Y6" s="420" t="s">
        <v>606</v>
      </c>
      <c r="Z6" s="420" t="s">
        <v>607</v>
      </c>
    </row>
    <row r="7" spans="1:26" ht="11.25" customHeight="1" x14ac:dyDescent="0.3">
      <c r="A7" s="421">
        <f t="shared" ref="A7:A81" si="0">_xlfn.RANK.EQ(G7,$G$7:$G$81)</f>
        <v>58</v>
      </c>
      <c r="B7" s="422">
        <v>39356</v>
      </c>
      <c r="C7" s="422">
        <v>39447</v>
      </c>
      <c r="D7" s="410">
        <f t="shared" ref="D7:D81" si="1">H7+L7+Q7+V7</f>
        <v>33.119999999999997</v>
      </c>
      <c r="E7" s="352">
        <f t="shared" ref="E7:F7" si="2">I7+N7+S7+X7</f>
        <v>0.05</v>
      </c>
      <c r="F7" s="352">
        <f t="shared" si="2"/>
        <v>33.17</v>
      </c>
      <c r="G7" s="296">
        <f>E7/(0+(D7/2))</f>
        <v>3.0193236714975849E-3</v>
      </c>
      <c r="H7" s="419">
        <v>0</v>
      </c>
      <c r="I7" s="419"/>
      <c r="J7" s="419"/>
      <c r="K7" s="423"/>
      <c r="L7" s="420">
        <v>33.119999999999997</v>
      </c>
      <c r="M7" s="420"/>
      <c r="N7" s="420">
        <v>0.05</v>
      </c>
      <c r="O7" s="420">
        <v>33.17</v>
      </c>
      <c r="P7" s="424">
        <f>N7/(0+(L7/2))</f>
        <v>3.0193236714975849E-3</v>
      </c>
      <c r="Q7" s="419"/>
      <c r="R7" s="419"/>
      <c r="S7" s="419"/>
      <c r="T7" s="419"/>
      <c r="U7" s="419"/>
      <c r="V7" s="420"/>
      <c r="W7" s="420"/>
      <c r="X7" s="420"/>
      <c r="Y7" s="420"/>
      <c r="Z7" s="420"/>
    </row>
    <row r="8" spans="1:26" ht="11.25" customHeight="1" x14ac:dyDescent="0.3">
      <c r="A8" s="421">
        <f t="shared" si="0"/>
        <v>55</v>
      </c>
      <c r="B8" s="422">
        <v>39448</v>
      </c>
      <c r="C8" s="422">
        <v>39538</v>
      </c>
      <c r="D8" s="410">
        <f t="shared" si="1"/>
        <v>616.89</v>
      </c>
      <c r="E8" s="352">
        <f t="shared" ref="E8:F8" si="3">I8+N8+S8+X8</f>
        <v>2.14</v>
      </c>
      <c r="F8" s="352">
        <f t="shared" si="3"/>
        <v>652.20000000000005</v>
      </c>
      <c r="G8" s="296">
        <f t="shared" ref="G8:G81" si="4">E8/(F7+(D8/2))</f>
        <v>6.2643619279012927E-3</v>
      </c>
      <c r="H8" s="419">
        <v>479.8</v>
      </c>
      <c r="I8" s="419">
        <v>1.1200000000000001</v>
      </c>
      <c r="J8" s="419">
        <v>480.92</v>
      </c>
      <c r="K8" s="423">
        <f t="shared" ref="K8:K81" si="5">I8/(J7+(H8/2))</f>
        <v>4.6686119216340144E-3</v>
      </c>
      <c r="L8" s="420">
        <v>137.09</v>
      </c>
      <c r="M8" s="420"/>
      <c r="N8" s="420">
        <v>1.02</v>
      </c>
      <c r="O8" s="420">
        <f t="shared" ref="O8:O75" si="6">O7+L8+N8</f>
        <v>171.28</v>
      </c>
      <c r="P8" s="424">
        <f t="shared" ref="P8:P81" si="7">N8/(O7+(L8/2))</f>
        <v>1.0028019466155435E-2</v>
      </c>
      <c r="Q8" s="419"/>
      <c r="R8" s="419"/>
      <c r="S8" s="419"/>
      <c r="T8" s="419"/>
      <c r="U8" s="419"/>
      <c r="V8" s="420"/>
      <c r="W8" s="420"/>
      <c r="X8" s="420"/>
      <c r="Y8" s="420"/>
      <c r="Z8" s="420"/>
    </row>
    <row r="9" spans="1:26" ht="11.25" customHeight="1" x14ac:dyDescent="0.3">
      <c r="A9" s="421">
        <f t="shared" si="0"/>
        <v>52</v>
      </c>
      <c r="B9" s="422">
        <v>39539</v>
      </c>
      <c r="C9" s="422">
        <v>39629</v>
      </c>
      <c r="D9" s="410">
        <f t="shared" si="1"/>
        <v>1853.77</v>
      </c>
      <c r="E9" s="352">
        <f t="shared" ref="E9:F9" si="8">I9+N9+S9+X9</f>
        <v>12.58</v>
      </c>
      <c r="F9" s="352">
        <f t="shared" si="8"/>
        <v>2518.5500000000002</v>
      </c>
      <c r="G9" s="296">
        <f t="shared" si="4"/>
        <v>7.9666389079751879E-3</v>
      </c>
      <c r="H9" s="419">
        <v>1185.3800000000001</v>
      </c>
      <c r="I9" s="419">
        <v>9.18</v>
      </c>
      <c r="J9" s="419">
        <f t="shared" ref="J9:J81" si="9">J8+H9+I9</f>
        <v>1675.4800000000002</v>
      </c>
      <c r="K9" s="423">
        <f t="shared" si="5"/>
        <v>8.5505909967306549E-3</v>
      </c>
      <c r="L9" s="420">
        <v>668.39</v>
      </c>
      <c r="M9" s="420"/>
      <c r="N9" s="420">
        <v>3.4</v>
      </c>
      <c r="O9" s="420">
        <f t="shared" si="6"/>
        <v>843.06999999999994</v>
      </c>
      <c r="P9" s="424">
        <f t="shared" si="7"/>
        <v>6.7263465057619065E-3</v>
      </c>
      <c r="Q9" s="419"/>
      <c r="R9" s="419"/>
      <c r="S9" s="419"/>
      <c r="T9" s="419"/>
      <c r="U9" s="419"/>
      <c r="V9" s="420"/>
      <c r="W9" s="420"/>
      <c r="X9" s="420"/>
      <c r="Y9" s="420"/>
      <c r="Z9" s="420"/>
    </row>
    <row r="10" spans="1:26" ht="11.25" customHeight="1" x14ac:dyDescent="0.3">
      <c r="A10" s="421">
        <f t="shared" si="0"/>
        <v>49</v>
      </c>
      <c r="B10" s="422">
        <v>39630</v>
      </c>
      <c r="C10" s="422">
        <v>39721</v>
      </c>
      <c r="D10" s="410">
        <f t="shared" si="1"/>
        <v>1317.67</v>
      </c>
      <c r="E10" s="352">
        <f t="shared" ref="E10:F10" si="10">I10+N10+S10+X10</f>
        <v>32.43</v>
      </c>
      <c r="F10" s="352">
        <f t="shared" si="10"/>
        <v>3868.6500000000005</v>
      </c>
      <c r="G10" s="296">
        <f t="shared" si="4"/>
        <v>1.0206506293697489E-2</v>
      </c>
      <c r="H10" s="419">
        <v>1016.04</v>
      </c>
      <c r="I10" s="419">
        <v>22.28</v>
      </c>
      <c r="J10" s="419">
        <f t="shared" si="9"/>
        <v>2713.8000000000006</v>
      </c>
      <c r="K10" s="423">
        <f t="shared" si="5"/>
        <v>1.0203801236546829E-2</v>
      </c>
      <c r="L10" s="420">
        <v>301.63</v>
      </c>
      <c r="M10" s="420"/>
      <c r="N10" s="420">
        <v>10.15</v>
      </c>
      <c r="O10" s="420">
        <f t="shared" si="6"/>
        <v>1154.8499999999999</v>
      </c>
      <c r="P10" s="424">
        <f t="shared" si="7"/>
        <v>1.0212449126407985E-2</v>
      </c>
      <c r="Q10" s="419"/>
      <c r="R10" s="419"/>
      <c r="S10" s="419"/>
      <c r="T10" s="419"/>
      <c r="U10" s="419"/>
      <c r="V10" s="420"/>
      <c r="W10" s="420"/>
      <c r="X10" s="420"/>
      <c r="Y10" s="420"/>
      <c r="Z10" s="420"/>
    </row>
    <row r="11" spans="1:26" ht="11.25" customHeight="1" x14ac:dyDescent="0.3">
      <c r="A11" s="421">
        <f t="shared" si="0"/>
        <v>50</v>
      </c>
      <c r="B11" s="422">
        <v>39722</v>
      </c>
      <c r="C11" s="422">
        <v>39813</v>
      </c>
      <c r="D11" s="410">
        <f t="shared" si="1"/>
        <v>1523.3000000000002</v>
      </c>
      <c r="E11" s="352">
        <f t="shared" ref="E11:F11" si="11">I11+N11+S11+X11</f>
        <v>39.36</v>
      </c>
      <c r="F11" s="352">
        <f t="shared" si="11"/>
        <v>5431.31</v>
      </c>
      <c r="G11" s="296">
        <f t="shared" si="4"/>
        <v>8.5005291233829321E-3</v>
      </c>
      <c r="H11" s="419">
        <v>1255.94</v>
      </c>
      <c r="I11" s="419">
        <v>28.04</v>
      </c>
      <c r="J11" s="419">
        <f t="shared" si="9"/>
        <v>3997.7800000000007</v>
      </c>
      <c r="K11" s="423">
        <f t="shared" si="5"/>
        <v>8.3907629789004012E-3</v>
      </c>
      <c r="L11" s="420">
        <v>267.36</v>
      </c>
      <c r="M11" s="420"/>
      <c r="N11" s="420">
        <v>11.32</v>
      </c>
      <c r="O11" s="420">
        <f t="shared" si="6"/>
        <v>1433.53</v>
      </c>
      <c r="P11" s="424">
        <f t="shared" si="7"/>
        <v>8.7852048458320724E-3</v>
      </c>
      <c r="Q11" s="419"/>
      <c r="R11" s="419"/>
      <c r="S11" s="419"/>
      <c r="T11" s="419"/>
      <c r="U11" s="419"/>
      <c r="V11" s="420"/>
      <c r="W11" s="420"/>
      <c r="X11" s="420"/>
      <c r="Y11" s="420"/>
      <c r="Z11" s="420"/>
    </row>
    <row r="12" spans="1:26" ht="11.25" customHeight="1" x14ac:dyDescent="0.3">
      <c r="A12" s="421">
        <f t="shared" si="0"/>
        <v>63</v>
      </c>
      <c r="B12" s="425">
        <v>39814</v>
      </c>
      <c r="C12" s="425">
        <v>39903</v>
      </c>
      <c r="D12" s="410">
        <f t="shared" si="1"/>
        <v>1580.0299999999997</v>
      </c>
      <c r="E12" s="352">
        <f t="shared" ref="E12:F12" si="12">I12+N12+S12+X12</f>
        <v>-150.55000000000001</v>
      </c>
      <c r="F12" s="352">
        <f t="shared" si="12"/>
        <v>6860.7900000000009</v>
      </c>
      <c r="G12" s="296">
        <f t="shared" si="4"/>
        <v>-2.4199025127283978E-2</v>
      </c>
      <c r="H12" s="419">
        <v>1523.0499999999997</v>
      </c>
      <c r="I12" s="419">
        <v>-105.23</v>
      </c>
      <c r="J12" s="419">
        <f t="shared" si="9"/>
        <v>5415.6</v>
      </c>
      <c r="K12" s="423">
        <f t="shared" si="5"/>
        <v>-2.2110371157133237E-2</v>
      </c>
      <c r="L12" s="420">
        <v>56.98</v>
      </c>
      <c r="M12" s="420"/>
      <c r="N12" s="420">
        <v>-45.32</v>
      </c>
      <c r="O12" s="420">
        <f t="shared" si="6"/>
        <v>1445.19</v>
      </c>
      <c r="P12" s="424">
        <f t="shared" si="7"/>
        <v>-3.0998207958851453E-2</v>
      </c>
      <c r="Q12" s="419"/>
      <c r="R12" s="419"/>
      <c r="S12" s="419"/>
      <c r="T12" s="419"/>
      <c r="U12" s="419"/>
      <c r="V12" s="420"/>
      <c r="W12" s="420"/>
      <c r="X12" s="420"/>
      <c r="Y12" s="420"/>
      <c r="Z12" s="420"/>
    </row>
    <row r="13" spans="1:26" ht="11.25" customHeight="1" x14ac:dyDescent="0.3">
      <c r="A13" s="421">
        <f t="shared" si="0"/>
        <v>2</v>
      </c>
      <c r="B13" s="422">
        <v>39904</v>
      </c>
      <c r="C13" s="422">
        <v>39994</v>
      </c>
      <c r="D13" s="410">
        <f t="shared" si="1"/>
        <v>2024.3000000000002</v>
      </c>
      <c r="E13" s="352">
        <f t="shared" ref="E13:F13" si="13">I13+N13+S13+X13</f>
        <v>1364.23</v>
      </c>
      <c r="F13" s="352">
        <f t="shared" si="13"/>
        <v>10249.32</v>
      </c>
      <c r="G13" s="296">
        <f t="shared" si="4"/>
        <v>0.17328088363432212</v>
      </c>
      <c r="H13" s="419">
        <v>1796.41</v>
      </c>
      <c r="I13" s="419">
        <v>1083.82</v>
      </c>
      <c r="J13" s="419">
        <f t="shared" si="9"/>
        <v>8295.83</v>
      </c>
      <c r="K13" s="423">
        <f t="shared" si="5"/>
        <v>0.17165876994934115</v>
      </c>
      <c r="L13" s="420">
        <v>227.89</v>
      </c>
      <c r="M13" s="420"/>
      <c r="N13" s="420">
        <v>280.41000000000003</v>
      </c>
      <c r="O13" s="420">
        <f t="shared" si="6"/>
        <v>1953.49</v>
      </c>
      <c r="P13" s="424">
        <f t="shared" si="7"/>
        <v>0.17984972436639549</v>
      </c>
      <c r="Q13" s="419"/>
      <c r="R13" s="419"/>
      <c r="S13" s="419"/>
      <c r="T13" s="419"/>
      <c r="U13" s="419"/>
      <c r="V13" s="420"/>
      <c r="W13" s="420"/>
      <c r="X13" s="420"/>
      <c r="Y13" s="420"/>
      <c r="Z13" s="420"/>
    </row>
    <row r="14" spans="1:26" ht="11.25" customHeight="1" x14ac:dyDescent="0.3">
      <c r="A14" s="421">
        <f t="shared" si="0"/>
        <v>3</v>
      </c>
      <c r="B14" s="422">
        <v>39995</v>
      </c>
      <c r="C14" s="422">
        <v>40086</v>
      </c>
      <c r="D14" s="410">
        <f t="shared" si="1"/>
        <v>1150.5</v>
      </c>
      <c r="E14" s="352">
        <f t="shared" ref="E14:F14" si="14">I14+N14+S14+X14</f>
        <v>1817.51</v>
      </c>
      <c r="F14" s="352">
        <f t="shared" si="14"/>
        <v>13217.33</v>
      </c>
      <c r="G14" s="296">
        <f t="shared" si="4"/>
        <v>0.16790597686559375</v>
      </c>
      <c r="H14" s="419">
        <v>256.63</v>
      </c>
      <c r="I14" s="419">
        <v>1434.94</v>
      </c>
      <c r="J14" s="419">
        <f t="shared" si="9"/>
        <v>9987.4</v>
      </c>
      <c r="K14" s="423">
        <f t="shared" si="5"/>
        <v>0.17033657421613707</v>
      </c>
      <c r="L14" s="420">
        <v>893.87</v>
      </c>
      <c r="M14" s="420"/>
      <c r="N14" s="420">
        <v>382.57</v>
      </c>
      <c r="O14" s="420">
        <f t="shared" si="6"/>
        <v>3229.9300000000003</v>
      </c>
      <c r="P14" s="424">
        <f t="shared" si="7"/>
        <v>0.15937594384327775</v>
      </c>
      <c r="Q14" s="419"/>
      <c r="R14" s="419"/>
      <c r="S14" s="419"/>
      <c r="T14" s="419"/>
      <c r="U14" s="419"/>
      <c r="V14" s="420"/>
      <c r="W14" s="420"/>
      <c r="X14" s="420"/>
      <c r="Y14" s="420"/>
      <c r="Z14" s="420"/>
    </row>
    <row r="15" spans="1:26" ht="11.25" customHeight="1" x14ac:dyDescent="0.3">
      <c r="A15" s="421">
        <f t="shared" si="0"/>
        <v>37</v>
      </c>
      <c r="B15" s="422">
        <v>40087</v>
      </c>
      <c r="C15" s="422">
        <v>40178</v>
      </c>
      <c r="D15" s="410">
        <f t="shared" si="1"/>
        <v>1466</v>
      </c>
      <c r="E15" s="352">
        <f t="shared" ref="E15:F15" si="15">I15+N15+S15+X15</f>
        <v>558.29</v>
      </c>
      <c r="F15" s="352">
        <f t="shared" si="15"/>
        <v>15241.619999999999</v>
      </c>
      <c r="G15" s="296">
        <f t="shared" si="4"/>
        <v>4.0019841824530313E-2</v>
      </c>
      <c r="H15" s="419">
        <v>0</v>
      </c>
      <c r="I15" s="419">
        <v>391.74</v>
      </c>
      <c r="J15" s="419">
        <f t="shared" si="9"/>
        <v>10379.14</v>
      </c>
      <c r="K15" s="423">
        <f t="shared" si="5"/>
        <v>3.9223421511103994E-2</v>
      </c>
      <c r="L15" s="420">
        <v>1466</v>
      </c>
      <c r="M15" s="420"/>
      <c r="N15" s="420">
        <v>166.55</v>
      </c>
      <c r="O15" s="420">
        <f t="shared" si="6"/>
        <v>4862.4800000000005</v>
      </c>
      <c r="P15" s="424">
        <f t="shared" si="7"/>
        <v>4.2026985084268456E-2</v>
      </c>
      <c r="Q15" s="419"/>
      <c r="R15" s="419"/>
      <c r="S15" s="419"/>
      <c r="T15" s="419"/>
      <c r="U15" s="419"/>
      <c r="V15" s="420"/>
      <c r="W15" s="420"/>
      <c r="X15" s="420"/>
      <c r="Y15" s="420"/>
      <c r="Z15" s="420"/>
    </row>
    <row r="16" spans="1:26" ht="11.25" customHeight="1" x14ac:dyDescent="0.3">
      <c r="A16" s="421">
        <f t="shared" si="0"/>
        <v>28</v>
      </c>
      <c r="B16" s="422">
        <v>40179</v>
      </c>
      <c r="C16" s="422">
        <v>40268</v>
      </c>
      <c r="D16" s="410">
        <f t="shared" si="1"/>
        <v>1386.53</v>
      </c>
      <c r="E16" s="352">
        <f t="shared" ref="E16:F16" si="16">I16+N16+S16+X16</f>
        <v>828.7700000000001</v>
      </c>
      <c r="F16" s="352">
        <f t="shared" si="16"/>
        <v>17456.920000000002</v>
      </c>
      <c r="G16" s="296">
        <f t="shared" si="4"/>
        <v>5.2009788586488082E-2</v>
      </c>
      <c r="H16" s="419">
        <v>0</v>
      </c>
      <c r="I16" s="419">
        <v>522.48</v>
      </c>
      <c r="J16" s="419">
        <f t="shared" si="9"/>
        <v>10901.619999999999</v>
      </c>
      <c r="K16" s="423">
        <f t="shared" si="5"/>
        <v>5.0339430819894525E-2</v>
      </c>
      <c r="L16" s="420">
        <v>1090</v>
      </c>
      <c r="M16" s="420"/>
      <c r="N16" s="420">
        <v>297.17</v>
      </c>
      <c r="O16" s="420">
        <f t="shared" si="6"/>
        <v>6249.6500000000005</v>
      </c>
      <c r="P16" s="424">
        <f t="shared" si="7"/>
        <v>5.4955358133548342E-2</v>
      </c>
      <c r="Q16" s="419"/>
      <c r="R16" s="419"/>
      <c r="S16" s="419"/>
      <c r="T16" s="419"/>
      <c r="U16" s="419"/>
      <c r="V16" s="420">
        <v>296.52999999999997</v>
      </c>
      <c r="W16" s="420"/>
      <c r="X16" s="420">
        <v>9.1199999999999992</v>
      </c>
      <c r="Y16" s="420">
        <f t="shared" ref="Y16:Y81" si="17">Y15+V16+X16+W16</f>
        <v>305.64999999999998</v>
      </c>
      <c r="Z16" s="424">
        <f t="shared" ref="Z16:Z81" si="18">X16/(Y15+(V16/2))</f>
        <v>6.1511482817927357E-2</v>
      </c>
    </row>
    <row r="17" spans="1:26" ht="11.25" customHeight="1" x14ac:dyDescent="0.3">
      <c r="A17" s="421">
        <f t="shared" si="0"/>
        <v>71</v>
      </c>
      <c r="B17" s="422">
        <v>40269</v>
      </c>
      <c r="C17" s="426">
        <v>40359</v>
      </c>
      <c r="D17" s="410">
        <f t="shared" si="1"/>
        <v>1914.0600000000002</v>
      </c>
      <c r="E17" s="352">
        <f t="shared" ref="E17:F17" si="19">I17+N17+S17+X17</f>
        <v>-1649.6899999999998</v>
      </c>
      <c r="F17" s="352">
        <f t="shared" si="19"/>
        <v>17721.29</v>
      </c>
      <c r="G17" s="296">
        <f t="shared" si="4"/>
        <v>-8.9589143013856329E-2</v>
      </c>
      <c r="H17" s="419">
        <v>269.69</v>
      </c>
      <c r="I17" s="419">
        <v>-964.57</v>
      </c>
      <c r="J17" s="419">
        <f t="shared" si="9"/>
        <v>10206.74</v>
      </c>
      <c r="K17" s="423">
        <f t="shared" si="5"/>
        <v>-8.739845593675151E-2</v>
      </c>
      <c r="L17" s="420">
        <v>1324.91</v>
      </c>
      <c r="M17" s="420"/>
      <c r="N17" s="420">
        <v>-653.51</v>
      </c>
      <c r="O17" s="420">
        <f t="shared" si="6"/>
        <v>6921.05</v>
      </c>
      <c r="P17" s="424">
        <f t="shared" si="7"/>
        <v>-9.4545728110322386E-2</v>
      </c>
      <c r="Q17" s="419"/>
      <c r="R17" s="419"/>
      <c r="S17" s="419"/>
      <c r="T17" s="419"/>
      <c r="U17" s="419"/>
      <c r="V17" s="420">
        <v>319.45999999999998</v>
      </c>
      <c r="W17" s="420"/>
      <c r="X17" s="420">
        <v>-31.61</v>
      </c>
      <c r="Y17" s="420">
        <f t="shared" si="17"/>
        <v>593.49999999999989</v>
      </c>
      <c r="Z17" s="424">
        <f t="shared" si="18"/>
        <v>-6.7922987665993376E-2</v>
      </c>
    </row>
    <row r="18" spans="1:26" ht="11.25" customHeight="1" x14ac:dyDescent="0.3">
      <c r="A18" s="421">
        <f t="shared" si="0"/>
        <v>9</v>
      </c>
      <c r="B18" s="422">
        <v>40360</v>
      </c>
      <c r="C18" s="426">
        <v>40451</v>
      </c>
      <c r="D18" s="410">
        <f t="shared" si="1"/>
        <v>2547.6999999999998</v>
      </c>
      <c r="E18" s="352">
        <f t="shared" ref="E18:F18" si="20">I18+N18+S18+X18</f>
        <v>2062.5700000000002</v>
      </c>
      <c r="F18" s="352">
        <f t="shared" si="20"/>
        <v>22331.559999999998</v>
      </c>
      <c r="G18" s="296">
        <f t="shared" si="4"/>
        <v>0.10858409045682213</v>
      </c>
      <c r="H18" s="419">
        <v>1618.14</v>
      </c>
      <c r="I18" s="419">
        <v>1192.33</v>
      </c>
      <c r="J18" s="419">
        <f t="shared" si="9"/>
        <v>13017.21</v>
      </c>
      <c r="K18" s="423">
        <f t="shared" si="5"/>
        <v>0.10823806873938457</v>
      </c>
      <c r="L18" s="420">
        <v>377.78</v>
      </c>
      <c r="M18" s="420"/>
      <c r="N18" s="420">
        <v>799.23</v>
      </c>
      <c r="O18" s="420">
        <f t="shared" si="6"/>
        <v>8098.0599999999995</v>
      </c>
      <c r="P18" s="424">
        <f t="shared" si="7"/>
        <v>0.11241023130996886</v>
      </c>
      <c r="Q18" s="419">
        <v>273.5</v>
      </c>
      <c r="R18" s="419"/>
      <c r="S18" s="419">
        <v>2.15</v>
      </c>
      <c r="T18" s="419">
        <f t="shared" ref="T18:T81" si="21">T17+Q18+S18+R18</f>
        <v>275.64999999999998</v>
      </c>
      <c r="U18" s="423">
        <f t="shared" ref="U18:U81" si="22">S18/(T17+(Q18/2))</f>
        <v>1.5722120658135282E-2</v>
      </c>
      <c r="V18" s="420">
        <v>278.27999999999997</v>
      </c>
      <c r="W18" s="420"/>
      <c r="X18" s="420">
        <v>68.86</v>
      </c>
      <c r="Y18" s="420">
        <f t="shared" si="17"/>
        <v>940.63999999999987</v>
      </c>
      <c r="Z18" s="424">
        <f t="shared" si="18"/>
        <v>9.3988862196986253E-2</v>
      </c>
    </row>
    <row r="19" spans="1:26" ht="11.25" customHeight="1" x14ac:dyDescent="0.3">
      <c r="A19" s="421">
        <f t="shared" si="0"/>
        <v>11</v>
      </c>
      <c r="B19" s="422">
        <v>40452</v>
      </c>
      <c r="C19" s="426">
        <v>40543</v>
      </c>
      <c r="D19" s="410">
        <f t="shared" si="1"/>
        <v>6533.1900000000005</v>
      </c>
      <c r="E19" s="352">
        <f t="shared" ref="E19:F19" si="23">I19+N19+S19+X19</f>
        <v>2252.0500000000002</v>
      </c>
      <c r="F19" s="352">
        <f t="shared" si="23"/>
        <v>31116.799999999999</v>
      </c>
      <c r="G19" s="296">
        <f t="shared" si="4"/>
        <v>8.7977043658029275E-2</v>
      </c>
      <c r="H19" s="419">
        <v>3863.84</v>
      </c>
      <c r="I19" s="419">
        <v>1331.18</v>
      </c>
      <c r="J19" s="419">
        <f t="shared" si="9"/>
        <v>18212.23</v>
      </c>
      <c r="K19" s="423">
        <f t="shared" si="5"/>
        <v>8.9047322486325298E-2</v>
      </c>
      <c r="L19" s="420">
        <v>283.35000000000002</v>
      </c>
      <c r="M19" s="420"/>
      <c r="N19" s="420">
        <v>687.46</v>
      </c>
      <c r="O19" s="420">
        <f t="shared" si="6"/>
        <v>9068.869999999999</v>
      </c>
      <c r="P19" s="424">
        <f t="shared" si="7"/>
        <v>8.3432294849288255E-2</v>
      </c>
      <c r="Q19" s="419">
        <v>2045.16</v>
      </c>
      <c r="R19" s="419"/>
      <c r="S19" s="419">
        <v>123.52</v>
      </c>
      <c r="T19" s="419">
        <f t="shared" si="21"/>
        <v>2444.33</v>
      </c>
      <c r="U19" s="423">
        <f t="shared" si="22"/>
        <v>9.5144928094405459E-2</v>
      </c>
      <c r="V19" s="420">
        <v>340.84</v>
      </c>
      <c r="W19" s="420"/>
      <c r="X19" s="420">
        <v>109.89</v>
      </c>
      <c r="Y19" s="420">
        <f t="shared" si="17"/>
        <v>1391.37</v>
      </c>
      <c r="Z19" s="424">
        <f t="shared" si="18"/>
        <v>9.8905549655284142E-2</v>
      </c>
    </row>
    <row r="20" spans="1:26" ht="11.25" customHeight="1" x14ac:dyDescent="0.3">
      <c r="A20" s="421">
        <f t="shared" si="0"/>
        <v>31</v>
      </c>
      <c r="B20" s="422">
        <v>40544</v>
      </c>
      <c r="C20" s="426">
        <v>40633</v>
      </c>
      <c r="D20" s="410">
        <f t="shared" si="1"/>
        <v>3746.7000000000007</v>
      </c>
      <c r="E20" s="352">
        <f t="shared" ref="E20:F20" si="24">I20+N20+S20+X20</f>
        <v>1618.06</v>
      </c>
      <c r="F20" s="352">
        <f t="shared" si="24"/>
        <v>36481.56</v>
      </c>
      <c r="G20" s="296">
        <f t="shared" si="4"/>
        <v>4.9046760927125212E-2</v>
      </c>
      <c r="H20" s="419">
        <v>1660.2900000000002</v>
      </c>
      <c r="I20" s="419">
        <v>923.35</v>
      </c>
      <c r="J20" s="419">
        <f t="shared" si="9"/>
        <v>20795.87</v>
      </c>
      <c r="K20" s="423">
        <f t="shared" si="5"/>
        <v>4.8489224689672379E-2</v>
      </c>
      <c r="L20" s="420">
        <v>223.47</v>
      </c>
      <c r="M20" s="420"/>
      <c r="N20" s="420">
        <v>452.46</v>
      </c>
      <c r="O20" s="420">
        <f t="shared" si="6"/>
        <v>9744.7999999999975</v>
      </c>
      <c r="P20" s="424">
        <f t="shared" si="7"/>
        <v>4.9284333657749133E-2</v>
      </c>
      <c r="Q20" s="419">
        <v>1562.47</v>
      </c>
      <c r="R20" s="419"/>
      <c r="S20" s="419">
        <v>163.33000000000001</v>
      </c>
      <c r="T20" s="419">
        <f t="shared" si="21"/>
        <v>4170.13</v>
      </c>
      <c r="U20" s="423">
        <f t="shared" si="22"/>
        <v>5.0636090111344838E-2</v>
      </c>
      <c r="V20" s="420">
        <v>300.47000000000003</v>
      </c>
      <c r="W20" s="420"/>
      <c r="X20" s="420">
        <v>78.92</v>
      </c>
      <c r="Y20" s="420">
        <f t="shared" si="17"/>
        <v>1770.76</v>
      </c>
      <c r="Z20" s="424">
        <f t="shared" si="18"/>
        <v>5.1193399087314843E-2</v>
      </c>
    </row>
    <row r="21" spans="1:26" ht="11.25" customHeight="1" x14ac:dyDescent="0.3">
      <c r="A21" s="421">
        <f t="shared" si="0"/>
        <v>57</v>
      </c>
      <c r="B21" s="422">
        <v>40634</v>
      </c>
      <c r="C21" s="426">
        <v>40724</v>
      </c>
      <c r="D21" s="410">
        <f t="shared" si="1"/>
        <v>4581.7999999999993</v>
      </c>
      <c r="E21" s="352">
        <f t="shared" ref="E21:F21" si="25">I21+N21+S21+X21</f>
        <v>163.54999999999998</v>
      </c>
      <c r="F21" s="352">
        <f t="shared" si="25"/>
        <v>41226.910000000003</v>
      </c>
      <c r="G21" s="296">
        <f t="shared" si="4"/>
        <v>4.2182002380039847E-3</v>
      </c>
      <c r="H21" s="419">
        <v>1946.84</v>
      </c>
      <c r="I21" s="419">
        <v>143.38</v>
      </c>
      <c r="J21" s="419">
        <f t="shared" si="9"/>
        <v>22886.09</v>
      </c>
      <c r="K21" s="423">
        <f t="shared" si="5"/>
        <v>6.5863425035910684E-3</v>
      </c>
      <c r="L21" s="420">
        <v>446.92</v>
      </c>
      <c r="M21" s="420"/>
      <c r="N21" s="420">
        <v>64.150000000000006</v>
      </c>
      <c r="O21" s="420">
        <f t="shared" si="6"/>
        <v>10255.869999999997</v>
      </c>
      <c r="P21" s="424">
        <f t="shared" si="7"/>
        <v>6.4354260422581303E-3</v>
      </c>
      <c r="Q21" s="419">
        <v>1835.14</v>
      </c>
      <c r="R21" s="419"/>
      <c r="S21" s="419">
        <v>-31.3</v>
      </c>
      <c r="T21" s="419">
        <f t="shared" si="21"/>
        <v>5973.97</v>
      </c>
      <c r="U21" s="423">
        <f t="shared" si="22"/>
        <v>-6.1520923010397631E-3</v>
      </c>
      <c r="V21" s="420">
        <v>352.9</v>
      </c>
      <c r="W21" s="420"/>
      <c r="X21" s="420">
        <v>-12.68</v>
      </c>
      <c r="Y21" s="420">
        <f t="shared" si="17"/>
        <v>2110.98</v>
      </c>
      <c r="Z21" s="424">
        <f t="shared" si="18"/>
        <v>-6.5118811016788118E-3</v>
      </c>
    </row>
    <row r="22" spans="1:26" ht="11.25" customHeight="1" x14ac:dyDescent="0.3">
      <c r="A22" s="421">
        <f t="shared" si="0"/>
        <v>74</v>
      </c>
      <c r="B22" s="422">
        <v>40725</v>
      </c>
      <c r="C22" s="426">
        <v>40816</v>
      </c>
      <c r="D22" s="410">
        <f t="shared" si="1"/>
        <v>3774.6600000000008</v>
      </c>
      <c r="E22" s="352">
        <f t="shared" ref="E22:F22" si="26">I22+N22+S22+X22</f>
        <v>-6501.0899999999992</v>
      </c>
      <c r="F22" s="352">
        <f t="shared" si="26"/>
        <v>38500.479999999996</v>
      </c>
      <c r="G22" s="296">
        <f t="shared" si="4"/>
        <v>-0.15078753562628028</v>
      </c>
      <c r="H22" s="419">
        <v>1668.7200000000003</v>
      </c>
      <c r="I22" s="419">
        <v>-3546.62</v>
      </c>
      <c r="J22" s="419">
        <f t="shared" si="9"/>
        <v>21008.190000000002</v>
      </c>
      <c r="K22" s="423">
        <f t="shared" si="5"/>
        <v>-0.14951739954343193</v>
      </c>
      <c r="L22" s="420">
        <v>368.07</v>
      </c>
      <c r="M22" s="420"/>
      <c r="N22" s="420">
        <v>-1548.35</v>
      </c>
      <c r="O22" s="420">
        <f t="shared" si="6"/>
        <v>9075.5899999999965</v>
      </c>
      <c r="P22" s="424">
        <f t="shared" si="7"/>
        <v>-0.14831073654405863</v>
      </c>
      <c r="Q22" s="419">
        <v>1457.5700000000002</v>
      </c>
      <c r="R22" s="419"/>
      <c r="S22" s="419">
        <v>-1054.22</v>
      </c>
      <c r="T22" s="419">
        <f t="shared" si="21"/>
        <v>6377.3200000000006</v>
      </c>
      <c r="U22" s="423">
        <f t="shared" si="22"/>
        <v>-0.15728159540368103</v>
      </c>
      <c r="V22" s="420">
        <v>280.3</v>
      </c>
      <c r="W22" s="420"/>
      <c r="X22" s="420">
        <v>-351.9</v>
      </c>
      <c r="Y22" s="420">
        <f t="shared" si="17"/>
        <v>2039.38</v>
      </c>
      <c r="Z22" s="424">
        <f t="shared" si="18"/>
        <v>-0.15632149187297045</v>
      </c>
    </row>
    <row r="23" spans="1:26" ht="11.25" customHeight="1" x14ac:dyDescent="0.3">
      <c r="A23" s="421">
        <f t="shared" si="0"/>
        <v>12</v>
      </c>
      <c r="B23" s="422">
        <v>40817</v>
      </c>
      <c r="C23" s="426">
        <v>40908</v>
      </c>
      <c r="D23" s="410">
        <f t="shared" si="1"/>
        <v>4156.38</v>
      </c>
      <c r="E23" s="352">
        <f t="shared" ref="E23:F23" si="27">I23+N23+S23+X23</f>
        <v>3470.22</v>
      </c>
      <c r="F23" s="352">
        <f t="shared" si="27"/>
        <v>46127.079999999994</v>
      </c>
      <c r="G23" s="296">
        <f t="shared" si="4"/>
        <v>8.5518327732279048E-2</v>
      </c>
      <c r="H23" s="419">
        <v>2040.26</v>
      </c>
      <c r="I23" s="419">
        <v>1961.05</v>
      </c>
      <c r="J23" s="419">
        <f t="shared" si="9"/>
        <v>25009.5</v>
      </c>
      <c r="K23" s="423">
        <f t="shared" si="5"/>
        <v>8.9024038147257692E-2</v>
      </c>
      <c r="L23" s="420">
        <v>270.62</v>
      </c>
      <c r="M23" s="420"/>
      <c r="N23" s="420">
        <v>824.52</v>
      </c>
      <c r="O23" s="420">
        <f t="shared" si="6"/>
        <v>10170.729999999998</v>
      </c>
      <c r="P23" s="424">
        <f t="shared" si="7"/>
        <v>8.9515682506595487E-2</v>
      </c>
      <c r="Q23" s="419">
        <v>1547.8500000000001</v>
      </c>
      <c r="R23" s="419"/>
      <c r="S23" s="419">
        <v>521.65</v>
      </c>
      <c r="T23" s="419">
        <f t="shared" si="21"/>
        <v>8446.8200000000015</v>
      </c>
      <c r="U23" s="423">
        <f t="shared" si="22"/>
        <v>7.2945340286901084E-2</v>
      </c>
      <c r="V23" s="420">
        <v>297.64999999999998</v>
      </c>
      <c r="W23" s="420"/>
      <c r="X23" s="420">
        <v>163</v>
      </c>
      <c r="Y23" s="420">
        <f t="shared" si="17"/>
        <v>2500.0300000000002</v>
      </c>
      <c r="Z23" s="424">
        <f t="shared" si="18"/>
        <v>7.4490278561652135E-2</v>
      </c>
    </row>
    <row r="24" spans="1:26" ht="11.25" customHeight="1" x14ac:dyDescent="0.3">
      <c r="A24" s="421">
        <f t="shared" si="0"/>
        <v>7</v>
      </c>
      <c r="B24" s="422">
        <v>40909</v>
      </c>
      <c r="C24" s="426">
        <v>40999</v>
      </c>
      <c r="D24" s="410">
        <f t="shared" si="1"/>
        <v>4009.2599999999998</v>
      </c>
      <c r="E24" s="352">
        <f t="shared" ref="E24:F24" si="28">I24+N24+S24+X24</f>
        <v>5260.63</v>
      </c>
      <c r="F24" s="352">
        <f t="shared" si="28"/>
        <v>55396.97</v>
      </c>
      <c r="G24" s="296">
        <f t="shared" si="4"/>
        <v>0.10929655314552508</v>
      </c>
      <c r="H24" s="419">
        <v>1824.4199999999998</v>
      </c>
      <c r="I24" s="419">
        <v>2841.64</v>
      </c>
      <c r="J24" s="419">
        <f t="shared" si="9"/>
        <v>29675.559999999998</v>
      </c>
      <c r="K24" s="423">
        <f t="shared" si="5"/>
        <v>0.10962394070452913</v>
      </c>
      <c r="L24" s="420">
        <v>326.49</v>
      </c>
      <c r="M24" s="420"/>
      <c r="N24" s="420">
        <v>1133.67</v>
      </c>
      <c r="O24" s="420">
        <f t="shared" si="6"/>
        <v>11630.889999999998</v>
      </c>
      <c r="P24" s="424">
        <f t="shared" si="7"/>
        <v>0.10970318778591977</v>
      </c>
      <c r="Q24" s="419">
        <v>1558.6200000000001</v>
      </c>
      <c r="R24" s="419"/>
      <c r="S24" s="419">
        <v>996.22</v>
      </c>
      <c r="T24" s="419">
        <f t="shared" si="21"/>
        <v>11001.660000000002</v>
      </c>
      <c r="U24" s="423">
        <f t="shared" si="22"/>
        <v>0.10797810132742547</v>
      </c>
      <c r="V24" s="420">
        <v>299.73</v>
      </c>
      <c r="W24" s="420"/>
      <c r="X24" s="420">
        <v>289.10000000000002</v>
      </c>
      <c r="Y24" s="420">
        <f t="shared" si="17"/>
        <v>3088.86</v>
      </c>
      <c r="Z24" s="424">
        <f t="shared" si="18"/>
        <v>0.10909866239983093</v>
      </c>
    </row>
    <row r="25" spans="1:26" ht="11.25" customHeight="1" x14ac:dyDescent="0.3">
      <c r="A25" s="421">
        <f t="shared" si="0"/>
        <v>67</v>
      </c>
      <c r="B25" s="422">
        <v>41000</v>
      </c>
      <c r="C25" s="426">
        <v>41090</v>
      </c>
      <c r="D25" s="410">
        <f t="shared" si="1"/>
        <v>4597.21</v>
      </c>
      <c r="E25" s="352">
        <f t="shared" ref="E25:F25" si="29">I25+N25+S25+X25</f>
        <v>-1979.1799999999998</v>
      </c>
      <c r="F25" s="352">
        <f t="shared" si="29"/>
        <v>58014.999999999993</v>
      </c>
      <c r="G25" s="296">
        <f t="shared" si="4"/>
        <v>-3.4303843925639003E-2</v>
      </c>
      <c r="H25" s="419">
        <v>1946.84</v>
      </c>
      <c r="I25" s="419">
        <v>-1067.25</v>
      </c>
      <c r="J25" s="419">
        <f t="shared" si="9"/>
        <v>30555.149999999998</v>
      </c>
      <c r="K25" s="423">
        <f t="shared" si="5"/>
        <v>-3.4821713479535048E-2</v>
      </c>
      <c r="L25" s="420">
        <v>274.95999999999998</v>
      </c>
      <c r="M25" s="420"/>
      <c r="N25" s="420">
        <v>-422.87</v>
      </c>
      <c r="O25" s="420">
        <f t="shared" si="6"/>
        <v>11482.979999999996</v>
      </c>
      <c r="P25" s="424">
        <f t="shared" si="7"/>
        <v>-3.5932758742289725E-2</v>
      </c>
      <c r="Q25" s="419">
        <v>1992.29</v>
      </c>
      <c r="R25" s="419"/>
      <c r="S25" s="419">
        <v>-380.96</v>
      </c>
      <c r="T25" s="419">
        <f t="shared" si="21"/>
        <v>12612.990000000002</v>
      </c>
      <c r="U25" s="423">
        <f t="shared" si="22"/>
        <v>-3.1752474723501498E-2</v>
      </c>
      <c r="V25" s="420">
        <v>383.12</v>
      </c>
      <c r="W25" s="420"/>
      <c r="X25" s="420">
        <v>-108.1</v>
      </c>
      <c r="Y25" s="420">
        <f t="shared" si="17"/>
        <v>3363.88</v>
      </c>
      <c r="Z25" s="424">
        <f t="shared" si="18"/>
        <v>-3.2953097469226499E-2</v>
      </c>
    </row>
    <row r="26" spans="1:26" ht="11.25" customHeight="1" x14ac:dyDescent="0.3">
      <c r="A26" s="421">
        <f t="shared" si="0"/>
        <v>26</v>
      </c>
      <c r="B26" s="422">
        <v>41091</v>
      </c>
      <c r="C26" s="426">
        <v>41182</v>
      </c>
      <c r="D26" s="410">
        <f t="shared" si="1"/>
        <v>3933.5200000000004</v>
      </c>
      <c r="E26" s="352">
        <f t="shared" ref="E26:F26" si="30">I26+N26+S26+X26</f>
        <v>3440.42</v>
      </c>
      <c r="F26" s="352">
        <f t="shared" si="30"/>
        <v>65388.939999999995</v>
      </c>
      <c r="G26" s="296">
        <f t="shared" si="4"/>
        <v>5.7357770095442351E-2</v>
      </c>
      <c r="H26" s="419">
        <v>1529.66</v>
      </c>
      <c r="I26" s="419">
        <v>1808.7</v>
      </c>
      <c r="J26" s="419">
        <f t="shared" si="9"/>
        <v>33893.509999999995</v>
      </c>
      <c r="K26" s="423">
        <f t="shared" si="5"/>
        <v>5.7749079022400403E-2</v>
      </c>
      <c r="L26" s="420">
        <v>532.69000000000005</v>
      </c>
      <c r="M26" s="420"/>
      <c r="N26" s="420">
        <v>676.72</v>
      </c>
      <c r="O26" s="420">
        <f t="shared" si="6"/>
        <v>12692.389999999996</v>
      </c>
      <c r="P26" s="424">
        <f t="shared" si="7"/>
        <v>5.7596500224481005E-2</v>
      </c>
      <c r="Q26" s="419">
        <v>1569.3700000000001</v>
      </c>
      <c r="R26" s="419"/>
      <c r="S26" s="419">
        <v>756.83</v>
      </c>
      <c r="T26" s="419">
        <f t="shared" si="21"/>
        <v>14939.190000000002</v>
      </c>
      <c r="U26" s="423">
        <f t="shared" si="22"/>
        <v>5.6489652122476475E-2</v>
      </c>
      <c r="V26" s="420">
        <v>301.8</v>
      </c>
      <c r="W26" s="420"/>
      <c r="X26" s="420">
        <v>198.17</v>
      </c>
      <c r="Y26" s="420">
        <f t="shared" si="17"/>
        <v>3863.8500000000004</v>
      </c>
      <c r="Z26" s="424">
        <f t="shared" si="18"/>
        <v>5.6381907260198358E-2</v>
      </c>
    </row>
    <row r="27" spans="1:26" ht="11.25" customHeight="1" x14ac:dyDescent="0.3">
      <c r="A27" s="421">
        <f t="shared" si="0"/>
        <v>41</v>
      </c>
      <c r="B27" s="422">
        <v>41183</v>
      </c>
      <c r="C27" s="426">
        <v>41274</v>
      </c>
      <c r="D27" s="410">
        <f t="shared" si="1"/>
        <v>4615.8599999999997</v>
      </c>
      <c r="E27" s="352">
        <f t="shared" ref="E27:F27" si="31">I27+N27+S27+X27</f>
        <v>1640.4599999999998</v>
      </c>
      <c r="F27" s="352">
        <f t="shared" si="31"/>
        <v>71645.25999999998</v>
      </c>
      <c r="G27" s="296">
        <f t="shared" si="4"/>
        <v>2.4232434970774867E-2</v>
      </c>
      <c r="H27" s="419">
        <v>1946.84</v>
      </c>
      <c r="I27" s="419">
        <v>835.2</v>
      </c>
      <c r="J27" s="419">
        <f t="shared" si="9"/>
        <v>36675.549999999988</v>
      </c>
      <c r="K27" s="423">
        <f t="shared" si="5"/>
        <v>2.3953929984658822E-2</v>
      </c>
      <c r="L27" s="420">
        <v>438.25</v>
      </c>
      <c r="M27" s="420"/>
      <c r="N27" s="420">
        <v>307.38</v>
      </c>
      <c r="O27" s="420">
        <f t="shared" si="6"/>
        <v>13438.019999999995</v>
      </c>
      <c r="P27" s="424">
        <f t="shared" si="7"/>
        <v>2.380665630640557E-2</v>
      </c>
      <c r="Q27" s="419">
        <v>1870.98</v>
      </c>
      <c r="R27" s="419"/>
      <c r="S27" s="419">
        <v>398.3</v>
      </c>
      <c r="T27" s="419">
        <f t="shared" si="21"/>
        <v>17208.47</v>
      </c>
      <c r="U27" s="423">
        <f t="shared" si="22"/>
        <v>2.5090269536141827E-2</v>
      </c>
      <c r="V27" s="420">
        <v>359.79</v>
      </c>
      <c r="W27" s="420"/>
      <c r="X27" s="420">
        <v>99.58</v>
      </c>
      <c r="Y27" s="420">
        <f t="shared" si="17"/>
        <v>4323.22</v>
      </c>
      <c r="Z27" s="424">
        <f t="shared" si="18"/>
        <v>2.4625687326970416E-2</v>
      </c>
    </row>
    <row r="28" spans="1:26" ht="11.25" customHeight="1" x14ac:dyDescent="0.3">
      <c r="A28" s="421">
        <f t="shared" si="0"/>
        <v>13</v>
      </c>
      <c r="B28" s="422">
        <v>41275</v>
      </c>
      <c r="C28" s="426">
        <v>41364</v>
      </c>
      <c r="D28" s="410">
        <f t="shared" si="1"/>
        <v>3774.9599999999996</v>
      </c>
      <c r="E28" s="352">
        <f t="shared" ref="E28:F28" si="32">I28+N28+S28+X28</f>
        <v>5662.7</v>
      </c>
      <c r="F28" s="352">
        <f t="shared" si="32"/>
        <v>81082.919999999984</v>
      </c>
      <c r="G28" s="296">
        <f t="shared" si="4"/>
        <v>7.7009234254020745E-2</v>
      </c>
      <c r="H28" s="419">
        <v>1495.97</v>
      </c>
      <c r="I28" s="419">
        <v>3009.58</v>
      </c>
      <c r="J28" s="419">
        <f t="shared" si="9"/>
        <v>41181.099999999991</v>
      </c>
      <c r="K28" s="423">
        <f t="shared" si="5"/>
        <v>8.0419447280969072E-2</v>
      </c>
      <c r="L28" s="420">
        <v>406.95</v>
      </c>
      <c r="M28" s="420"/>
      <c r="N28" s="420">
        <v>1093.82</v>
      </c>
      <c r="O28" s="420">
        <f t="shared" si="6"/>
        <v>14938.789999999995</v>
      </c>
      <c r="P28" s="424">
        <f t="shared" si="7"/>
        <v>8.0183293693249919E-2</v>
      </c>
      <c r="Q28" s="419">
        <v>1570.11</v>
      </c>
      <c r="R28" s="419"/>
      <c r="S28" s="419">
        <v>1248.3</v>
      </c>
      <c r="T28" s="419">
        <f t="shared" si="21"/>
        <v>20026.88</v>
      </c>
      <c r="U28" s="423">
        <f t="shared" si="22"/>
        <v>6.9374955713235723E-2</v>
      </c>
      <c r="V28" s="420">
        <v>301.93</v>
      </c>
      <c r="W28" s="420"/>
      <c r="X28" s="420">
        <v>311</v>
      </c>
      <c r="Y28" s="420">
        <f t="shared" si="17"/>
        <v>4936.1500000000005</v>
      </c>
      <c r="Z28" s="424">
        <f t="shared" si="18"/>
        <v>6.9509866042642393E-2</v>
      </c>
    </row>
    <row r="29" spans="1:26" ht="11.25" customHeight="1" x14ac:dyDescent="0.3">
      <c r="A29" s="421">
        <f t="shared" si="0"/>
        <v>54</v>
      </c>
      <c r="B29" s="422">
        <v>41365</v>
      </c>
      <c r="C29" s="426">
        <v>41455</v>
      </c>
      <c r="D29" s="410">
        <f t="shared" si="1"/>
        <v>4436.24</v>
      </c>
      <c r="E29" s="352">
        <f t="shared" ref="E29:F29" si="33">I29+N29+S29+X29</f>
        <v>607.16</v>
      </c>
      <c r="F29" s="352">
        <f t="shared" si="33"/>
        <v>86126.319999999992</v>
      </c>
      <c r="G29" s="296">
        <f t="shared" si="4"/>
        <v>7.2887445342819266E-3</v>
      </c>
      <c r="H29" s="419">
        <v>501.47</v>
      </c>
      <c r="I29" s="419">
        <v>553.12</v>
      </c>
      <c r="J29" s="419">
        <f t="shared" si="9"/>
        <v>42235.689999999995</v>
      </c>
      <c r="K29" s="423">
        <f t="shared" si="5"/>
        <v>1.3350120746522575E-2</v>
      </c>
      <c r="L29" s="420">
        <v>1453.39</v>
      </c>
      <c r="M29" s="420"/>
      <c r="N29" s="420">
        <v>183.76</v>
      </c>
      <c r="O29" s="420">
        <f t="shared" si="6"/>
        <v>16575.939999999995</v>
      </c>
      <c r="P29" s="424">
        <f t="shared" si="7"/>
        <v>1.1730246462206568E-2</v>
      </c>
      <c r="Q29" s="419">
        <v>2081.16</v>
      </c>
      <c r="R29" s="419"/>
      <c r="S29" s="419">
        <v>-105.6</v>
      </c>
      <c r="T29" s="419">
        <f t="shared" si="21"/>
        <v>22002.440000000002</v>
      </c>
      <c r="U29" s="423">
        <f t="shared" si="22"/>
        <v>-5.0124694671308265E-3</v>
      </c>
      <c r="V29" s="420">
        <v>400.22</v>
      </c>
      <c r="W29" s="420"/>
      <c r="X29" s="420">
        <v>-24.12</v>
      </c>
      <c r="Y29" s="420">
        <f t="shared" si="17"/>
        <v>5312.2500000000009</v>
      </c>
      <c r="Z29" s="424">
        <f t="shared" si="18"/>
        <v>-4.6960239551736092E-3</v>
      </c>
    </row>
    <row r="30" spans="1:26" ht="11.25" customHeight="1" x14ac:dyDescent="0.3">
      <c r="A30" s="421">
        <f t="shared" si="0"/>
        <v>21</v>
      </c>
      <c r="B30" s="422">
        <v>41456</v>
      </c>
      <c r="C30" s="426">
        <v>41547</v>
      </c>
      <c r="D30" s="410">
        <f t="shared" si="1"/>
        <v>3950.57</v>
      </c>
      <c r="E30" s="352">
        <f t="shared" ref="E30:F30" si="34">I30+N30+S30+X30</f>
        <v>5984.2</v>
      </c>
      <c r="F30" s="352">
        <f t="shared" si="34"/>
        <v>96061.090000000011</v>
      </c>
      <c r="G30" s="296">
        <f t="shared" si="4"/>
        <v>6.7923847698347833E-2</v>
      </c>
      <c r="H30" s="419">
        <v>0</v>
      </c>
      <c r="I30" s="419">
        <v>3021.48</v>
      </c>
      <c r="J30" s="419">
        <f t="shared" si="9"/>
        <v>45257.17</v>
      </c>
      <c r="K30" s="423">
        <f t="shared" si="5"/>
        <v>7.1538549506353522E-2</v>
      </c>
      <c r="L30" s="420">
        <v>1744.08</v>
      </c>
      <c r="M30" s="420"/>
      <c r="N30" s="420">
        <v>1238.0899999999999</v>
      </c>
      <c r="O30" s="420">
        <f t="shared" si="6"/>
        <v>19558.109999999997</v>
      </c>
      <c r="P30" s="424">
        <f t="shared" si="7"/>
        <v>7.0958930489374711E-2</v>
      </c>
      <c r="Q30" s="419">
        <v>1850.59</v>
      </c>
      <c r="R30" s="419"/>
      <c r="S30" s="419">
        <v>1390.7</v>
      </c>
      <c r="T30" s="419">
        <f t="shared" si="21"/>
        <v>25243.730000000003</v>
      </c>
      <c r="U30" s="423">
        <f t="shared" si="22"/>
        <v>6.0655795262811611E-2</v>
      </c>
      <c r="V30" s="420">
        <v>355.9</v>
      </c>
      <c r="W30" s="420"/>
      <c r="X30" s="420">
        <v>333.93</v>
      </c>
      <c r="Y30" s="420">
        <f t="shared" si="17"/>
        <v>6002.0800000000008</v>
      </c>
      <c r="Z30" s="424">
        <f t="shared" si="18"/>
        <v>6.0822920840770824E-2</v>
      </c>
    </row>
    <row r="31" spans="1:26" ht="11.25" customHeight="1" x14ac:dyDescent="0.3">
      <c r="A31" s="421">
        <f t="shared" si="0"/>
        <v>17</v>
      </c>
      <c r="B31" s="422">
        <v>41548</v>
      </c>
      <c r="C31" s="426">
        <v>41639</v>
      </c>
      <c r="D31" s="410">
        <f t="shared" si="1"/>
        <v>4145.34</v>
      </c>
      <c r="E31" s="352">
        <f t="shared" ref="E31:F31" si="35">I31+N31+S31+X31</f>
        <v>6997.7899999999991</v>
      </c>
      <c r="F31" s="352">
        <f t="shared" si="35"/>
        <v>107206.51000000001</v>
      </c>
      <c r="G31" s="296">
        <f t="shared" si="4"/>
        <v>7.130869132090728E-2</v>
      </c>
      <c r="H31" s="419">
        <v>0</v>
      </c>
      <c r="I31" s="419">
        <v>3416.72</v>
      </c>
      <c r="J31" s="419">
        <f t="shared" si="9"/>
        <v>48673.89</v>
      </c>
      <c r="K31" s="423">
        <f t="shared" si="5"/>
        <v>7.549566179237456E-2</v>
      </c>
      <c r="L31" s="420">
        <v>2111.1999999999998</v>
      </c>
      <c r="M31" s="420"/>
      <c r="N31" s="420">
        <v>1555.19</v>
      </c>
      <c r="O31" s="420">
        <f t="shared" si="6"/>
        <v>23224.499999999996</v>
      </c>
      <c r="P31" s="424">
        <f t="shared" si="7"/>
        <v>7.5444449349486353E-2</v>
      </c>
      <c r="Q31" s="419">
        <v>1706.06</v>
      </c>
      <c r="R31" s="419">
        <v>2.27</v>
      </c>
      <c r="S31" s="419">
        <v>1638.4</v>
      </c>
      <c r="T31" s="419">
        <f t="shared" si="21"/>
        <v>28590.460000000006</v>
      </c>
      <c r="U31" s="423">
        <f t="shared" si="22"/>
        <v>6.2781739955458077E-2</v>
      </c>
      <c r="V31" s="420">
        <v>328.08</v>
      </c>
      <c r="W31" s="420">
        <v>0.02</v>
      </c>
      <c r="X31" s="420">
        <v>387.48</v>
      </c>
      <c r="Y31" s="420">
        <f t="shared" si="17"/>
        <v>6717.6600000000017</v>
      </c>
      <c r="Z31" s="424">
        <f t="shared" si="18"/>
        <v>6.2840165290328431E-2</v>
      </c>
    </row>
    <row r="32" spans="1:26" ht="11.25" customHeight="1" x14ac:dyDescent="0.3">
      <c r="A32" s="421">
        <f t="shared" si="0"/>
        <v>45</v>
      </c>
      <c r="B32" s="422">
        <v>41640</v>
      </c>
      <c r="C32" s="426">
        <v>41729</v>
      </c>
      <c r="D32" s="410">
        <f t="shared" si="1"/>
        <v>3846.0099999999998</v>
      </c>
      <c r="E32" s="352">
        <f t="shared" ref="E32:F32" si="36">I32+N32+S32+X32</f>
        <v>1931.0800000000002</v>
      </c>
      <c r="F32" s="352">
        <f t="shared" si="36"/>
        <v>112983.6</v>
      </c>
      <c r="G32" s="296">
        <f t="shared" si="4"/>
        <v>1.7695304519588489E-2</v>
      </c>
      <c r="H32" s="419">
        <v>0</v>
      </c>
      <c r="I32" s="419">
        <v>829.61</v>
      </c>
      <c r="J32" s="419">
        <f t="shared" si="9"/>
        <v>49503.5</v>
      </c>
      <c r="K32" s="423">
        <f t="shared" si="5"/>
        <v>1.7044251034795042E-2</v>
      </c>
      <c r="L32" s="420">
        <v>1531.6</v>
      </c>
      <c r="M32" s="420"/>
      <c r="N32" s="420">
        <v>424.27</v>
      </c>
      <c r="O32" s="420">
        <f t="shared" si="6"/>
        <v>25180.369999999995</v>
      </c>
      <c r="P32" s="424">
        <f t="shared" si="7"/>
        <v>1.7685064380186993E-2</v>
      </c>
      <c r="Q32" s="419">
        <v>1823.48</v>
      </c>
      <c r="R32" s="419">
        <v>0</v>
      </c>
      <c r="S32" s="419">
        <v>547.29</v>
      </c>
      <c r="T32" s="419">
        <f t="shared" si="21"/>
        <v>30961.230000000007</v>
      </c>
      <c r="U32" s="423">
        <f t="shared" si="22"/>
        <v>1.8550819938852013E-2</v>
      </c>
      <c r="V32" s="420">
        <v>490.93</v>
      </c>
      <c r="W32" s="420">
        <v>0</v>
      </c>
      <c r="X32" s="420">
        <v>129.91</v>
      </c>
      <c r="Y32" s="420">
        <f t="shared" si="17"/>
        <v>7338.5000000000018</v>
      </c>
      <c r="Z32" s="424">
        <f t="shared" si="18"/>
        <v>1.8656853065254459E-2</v>
      </c>
    </row>
    <row r="33" spans="1:26" ht="11.25" customHeight="1" x14ac:dyDescent="0.3">
      <c r="A33" s="421">
        <f t="shared" si="0"/>
        <v>35</v>
      </c>
      <c r="B33" s="422">
        <v>41730</v>
      </c>
      <c r="C33" s="426">
        <v>41820</v>
      </c>
      <c r="D33" s="410">
        <f t="shared" si="1"/>
        <v>6383.4399999999987</v>
      </c>
      <c r="E33" s="352">
        <f t="shared" ref="E33:F33" si="37">I33+N33+S33+X33</f>
        <v>4965.99</v>
      </c>
      <c r="F33" s="352">
        <f t="shared" si="37"/>
        <v>124333.03</v>
      </c>
      <c r="G33" s="296">
        <f t="shared" si="4"/>
        <v>4.2745653724043965E-2</v>
      </c>
      <c r="H33" s="419">
        <v>3610.98</v>
      </c>
      <c r="I33" s="419">
        <v>2055.4699999999998</v>
      </c>
      <c r="J33" s="419">
        <f t="shared" si="9"/>
        <v>55169.950000000004</v>
      </c>
      <c r="K33" s="423">
        <f t="shared" si="5"/>
        <v>4.0060620955508962E-2</v>
      </c>
      <c r="L33" s="420">
        <v>796.42</v>
      </c>
      <c r="M33" s="420"/>
      <c r="N33" s="420">
        <v>1067.98</v>
      </c>
      <c r="O33" s="420">
        <f t="shared" si="6"/>
        <v>27044.769999999993</v>
      </c>
      <c r="P33" s="424">
        <f t="shared" si="7"/>
        <v>4.1752904187800893E-2</v>
      </c>
      <c r="Q33" s="419">
        <v>1556.8899999999999</v>
      </c>
      <c r="R33" s="419">
        <v>0</v>
      </c>
      <c r="S33" s="419">
        <v>1488.41</v>
      </c>
      <c r="T33" s="419">
        <f t="shared" si="21"/>
        <v>34006.530000000006</v>
      </c>
      <c r="U33" s="423">
        <f t="shared" si="22"/>
        <v>4.6894304998397113E-2</v>
      </c>
      <c r="V33" s="420">
        <v>419.15</v>
      </c>
      <c r="W33" s="420">
        <v>0</v>
      </c>
      <c r="X33" s="420">
        <v>354.13</v>
      </c>
      <c r="Y33" s="420">
        <f t="shared" si="17"/>
        <v>8111.7800000000016</v>
      </c>
      <c r="Z33" s="424">
        <f t="shared" si="18"/>
        <v>4.6916597940534495E-2</v>
      </c>
    </row>
    <row r="34" spans="1:26" ht="11.25" customHeight="1" x14ac:dyDescent="0.3">
      <c r="A34" s="421">
        <f t="shared" si="0"/>
        <v>62</v>
      </c>
      <c r="B34" s="422">
        <v>41821</v>
      </c>
      <c r="C34" s="426">
        <v>41912</v>
      </c>
      <c r="D34" s="410">
        <f t="shared" si="1"/>
        <v>5020.3499999999995</v>
      </c>
      <c r="E34" s="352">
        <f t="shared" ref="E34:F34" si="38">I34+N34+S34+X34</f>
        <v>-2295.38</v>
      </c>
      <c r="F34" s="352">
        <f t="shared" si="38"/>
        <v>127058</v>
      </c>
      <c r="G34" s="296">
        <f t="shared" si="4"/>
        <v>-1.8096199950166824E-2</v>
      </c>
      <c r="H34" s="419">
        <v>2025.8700000000001</v>
      </c>
      <c r="I34" s="419">
        <v>-1025.43</v>
      </c>
      <c r="J34" s="419">
        <f t="shared" si="9"/>
        <v>56170.390000000007</v>
      </c>
      <c r="K34" s="423">
        <f t="shared" si="5"/>
        <v>-1.8251643716765346E-2</v>
      </c>
      <c r="L34" s="420">
        <v>592.21</v>
      </c>
      <c r="M34" s="420"/>
      <c r="N34" s="420">
        <v>-500.96</v>
      </c>
      <c r="O34" s="420">
        <f t="shared" si="6"/>
        <v>27136.019999999993</v>
      </c>
      <c r="P34" s="424">
        <f t="shared" si="7"/>
        <v>-1.8322749363361639E-2</v>
      </c>
      <c r="Q34" s="419">
        <v>1892.7</v>
      </c>
      <c r="R34" s="419">
        <v>0</v>
      </c>
      <c r="S34" s="419">
        <v>-620.16999999999996</v>
      </c>
      <c r="T34" s="419">
        <f t="shared" si="21"/>
        <v>35279.060000000005</v>
      </c>
      <c r="U34" s="423">
        <f t="shared" si="22"/>
        <v>-1.7743030045020609E-2</v>
      </c>
      <c r="V34" s="420">
        <v>509.57</v>
      </c>
      <c r="W34" s="420">
        <v>0</v>
      </c>
      <c r="X34" s="420">
        <v>-148.82</v>
      </c>
      <c r="Y34" s="420">
        <f t="shared" si="17"/>
        <v>8472.5300000000025</v>
      </c>
      <c r="Z34" s="424">
        <f t="shared" si="18"/>
        <v>-1.7787467138544906E-2</v>
      </c>
    </row>
    <row r="35" spans="1:26" ht="11.25" customHeight="1" x14ac:dyDescent="0.3">
      <c r="A35" s="421">
        <f t="shared" si="0"/>
        <v>43</v>
      </c>
      <c r="B35" s="422">
        <v>41913</v>
      </c>
      <c r="C35" s="426">
        <v>42004</v>
      </c>
      <c r="D35" s="410">
        <f t="shared" si="1"/>
        <v>4102.1200000000008</v>
      </c>
      <c r="E35" s="352">
        <f t="shared" ref="E35:F35" si="39">I35+N35+S35+X35</f>
        <v>2984.8799999999997</v>
      </c>
      <c r="F35" s="352">
        <f t="shared" si="39"/>
        <v>134145</v>
      </c>
      <c r="G35" s="296">
        <f t="shared" si="4"/>
        <v>2.3119059189184707E-2</v>
      </c>
      <c r="H35" s="419">
        <v>1736.46</v>
      </c>
      <c r="I35" s="419">
        <v>1319.31</v>
      </c>
      <c r="J35" s="419">
        <f t="shared" si="9"/>
        <v>59226.16</v>
      </c>
      <c r="K35" s="423">
        <f t="shared" si="5"/>
        <v>2.3130117804392877E-2</v>
      </c>
      <c r="L35" s="420">
        <v>326.72000000000003</v>
      </c>
      <c r="M35" s="420"/>
      <c r="N35" s="420">
        <v>634.78</v>
      </c>
      <c r="O35" s="420">
        <f t="shared" si="6"/>
        <v>28097.519999999993</v>
      </c>
      <c r="P35" s="424">
        <f t="shared" si="7"/>
        <v>2.3252542731739701E-2</v>
      </c>
      <c r="Q35" s="419">
        <v>1606.43</v>
      </c>
      <c r="R35" s="419">
        <v>0</v>
      </c>
      <c r="S35" s="419">
        <v>830.77</v>
      </c>
      <c r="T35" s="419">
        <f t="shared" si="21"/>
        <v>37716.26</v>
      </c>
      <c r="U35" s="423">
        <f t="shared" si="22"/>
        <v>2.3024324270019002E-2</v>
      </c>
      <c r="V35" s="420">
        <v>432.51</v>
      </c>
      <c r="W35" s="420">
        <v>0</v>
      </c>
      <c r="X35" s="420">
        <v>200.02</v>
      </c>
      <c r="Y35" s="420">
        <f t="shared" si="17"/>
        <v>9105.0600000000031</v>
      </c>
      <c r="Z35" s="424">
        <f t="shared" si="18"/>
        <v>2.3020479848448312E-2</v>
      </c>
    </row>
    <row r="36" spans="1:26" ht="11.25" customHeight="1" x14ac:dyDescent="0.3">
      <c r="A36" s="421">
        <f t="shared" si="0"/>
        <v>40</v>
      </c>
      <c r="B36" s="422">
        <v>42005</v>
      </c>
      <c r="C36" s="426">
        <v>42094</v>
      </c>
      <c r="D36" s="410">
        <f t="shared" si="1"/>
        <v>4793.9600000000009</v>
      </c>
      <c r="E36" s="352">
        <f t="shared" ref="E36:F36" si="40">I36+N36+S36+X36</f>
        <v>3973.43</v>
      </c>
      <c r="F36" s="352">
        <f t="shared" si="40"/>
        <v>142918.84999999998</v>
      </c>
      <c r="G36" s="296">
        <f t="shared" si="4"/>
        <v>2.910042757546067E-2</v>
      </c>
      <c r="H36" s="419">
        <v>2091.4</v>
      </c>
      <c r="I36" s="419">
        <v>1787.19</v>
      </c>
      <c r="J36" s="419">
        <f t="shared" si="9"/>
        <v>63104.750000000007</v>
      </c>
      <c r="K36" s="423">
        <f t="shared" si="5"/>
        <v>2.9652146125903531E-2</v>
      </c>
      <c r="L36" s="420">
        <v>247.5</v>
      </c>
      <c r="M36" s="420"/>
      <c r="N36" s="420">
        <v>834.13</v>
      </c>
      <c r="O36" s="420">
        <f t="shared" si="6"/>
        <v>29179.149999999994</v>
      </c>
      <c r="P36" s="424">
        <f t="shared" si="7"/>
        <v>2.9556784652143585E-2</v>
      </c>
      <c r="Q36" s="419">
        <v>1934.29</v>
      </c>
      <c r="R36" s="419">
        <v>5.54</v>
      </c>
      <c r="S36" s="419">
        <v>1088.68</v>
      </c>
      <c r="T36" s="419">
        <f t="shared" si="21"/>
        <v>40744.770000000004</v>
      </c>
      <c r="U36" s="423">
        <f t="shared" si="22"/>
        <v>2.8143334331608091E-2</v>
      </c>
      <c r="V36" s="420">
        <v>520.77</v>
      </c>
      <c r="W36" s="420">
        <v>0.92</v>
      </c>
      <c r="X36" s="420">
        <v>263.43</v>
      </c>
      <c r="Y36" s="420">
        <f t="shared" si="17"/>
        <v>9890.1800000000039</v>
      </c>
      <c r="Z36" s="424">
        <f t="shared" si="18"/>
        <v>2.8127867922987101E-2</v>
      </c>
    </row>
    <row r="37" spans="1:26" ht="11.25" customHeight="1" x14ac:dyDescent="0.3">
      <c r="A37" s="421">
        <f t="shared" si="0"/>
        <v>59</v>
      </c>
      <c r="B37" s="422">
        <v>42095</v>
      </c>
      <c r="C37" s="426">
        <v>42185</v>
      </c>
      <c r="D37" s="410">
        <f t="shared" si="1"/>
        <v>4068.3700000000003</v>
      </c>
      <c r="E37" s="352">
        <f t="shared" ref="E37:F37" si="41">I37+N37+S37+X37</f>
        <v>-226.57999999999998</v>
      </c>
      <c r="F37" s="352">
        <f t="shared" si="41"/>
        <v>146760.63999999998</v>
      </c>
      <c r="G37" s="296">
        <f t="shared" si="4"/>
        <v>-1.5631269810942559E-3</v>
      </c>
      <c r="H37" s="419">
        <v>1804.98</v>
      </c>
      <c r="I37" s="419">
        <v>123.14</v>
      </c>
      <c r="J37" s="419">
        <f t="shared" si="9"/>
        <v>65032.87000000001</v>
      </c>
      <c r="K37" s="423">
        <f t="shared" si="5"/>
        <v>1.9238448650496412E-3</v>
      </c>
      <c r="L37" s="420">
        <v>165.03</v>
      </c>
      <c r="M37" s="420"/>
      <c r="N37" s="420">
        <v>69.069999999999993</v>
      </c>
      <c r="O37" s="420">
        <f t="shared" si="6"/>
        <v>29413.249999999993</v>
      </c>
      <c r="P37" s="424">
        <f t="shared" si="7"/>
        <v>2.3604261753389635E-3</v>
      </c>
      <c r="Q37" s="419">
        <v>1653.25</v>
      </c>
      <c r="R37" s="419">
        <v>0</v>
      </c>
      <c r="S37" s="419">
        <v>-336.09</v>
      </c>
      <c r="T37" s="419">
        <f t="shared" si="21"/>
        <v>42061.930000000008</v>
      </c>
      <c r="U37" s="423">
        <f t="shared" si="22"/>
        <v>-8.0846457040953269E-3</v>
      </c>
      <c r="V37" s="420">
        <v>445.11</v>
      </c>
      <c r="W37" s="420">
        <v>0</v>
      </c>
      <c r="X37" s="420">
        <v>-82.7</v>
      </c>
      <c r="Y37" s="420">
        <f t="shared" si="17"/>
        <v>10252.590000000004</v>
      </c>
      <c r="Z37" s="424">
        <f t="shared" si="18"/>
        <v>-8.177807487292011E-3</v>
      </c>
    </row>
    <row r="38" spans="1:26" ht="11.25" customHeight="1" x14ac:dyDescent="0.3">
      <c r="A38" s="421">
        <f t="shared" si="0"/>
        <v>70</v>
      </c>
      <c r="B38" s="422">
        <v>42186</v>
      </c>
      <c r="C38" s="426">
        <v>42277</v>
      </c>
      <c r="D38" s="410">
        <f t="shared" si="1"/>
        <v>5794.38</v>
      </c>
      <c r="E38" s="352">
        <f t="shared" ref="E38:F38" si="42">I38+N38+S38+X38</f>
        <v>-10558.59</v>
      </c>
      <c r="F38" s="352">
        <f t="shared" si="42"/>
        <v>141996.43</v>
      </c>
      <c r="G38" s="296">
        <f t="shared" si="4"/>
        <v>-7.0551537463826655E-2</v>
      </c>
      <c r="H38" s="419">
        <v>2219.66</v>
      </c>
      <c r="I38" s="419">
        <v>-4630.16</v>
      </c>
      <c r="J38" s="419">
        <f t="shared" si="9"/>
        <v>62622.37000000001</v>
      </c>
      <c r="K38" s="423">
        <f t="shared" si="5"/>
        <v>-7.0002585319317162E-2</v>
      </c>
      <c r="L38" s="420">
        <v>845.66</v>
      </c>
      <c r="M38" s="420"/>
      <c r="N38" s="420">
        <v>-2066.1999999999998</v>
      </c>
      <c r="O38" s="420">
        <f t="shared" si="6"/>
        <v>28192.709999999992</v>
      </c>
      <c r="P38" s="424">
        <f t="shared" si="7"/>
        <v>-6.9251724757407818E-2</v>
      </c>
      <c r="Q38" s="419">
        <v>2150.17</v>
      </c>
      <c r="R38" s="419">
        <v>0</v>
      </c>
      <c r="S38" s="419">
        <v>-3103.52</v>
      </c>
      <c r="T38" s="419">
        <f t="shared" si="21"/>
        <v>41108.580000000009</v>
      </c>
      <c r="U38" s="423">
        <f t="shared" si="22"/>
        <v>-7.1945636479482863E-2</v>
      </c>
      <c r="V38" s="420">
        <v>578.89</v>
      </c>
      <c r="W38" s="420">
        <v>0</v>
      </c>
      <c r="X38" s="420">
        <v>-758.71</v>
      </c>
      <c r="Y38" s="420">
        <f t="shared" si="17"/>
        <v>10072.770000000004</v>
      </c>
      <c r="Z38" s="424">
        <f t="shared" si="18"/>
        <v>-7.1969975436431369E-2</v>
      </c>
    </row>
    <row r="39" spans="1:26" ht="11.25" customHeight="1" x14ac:dyDescent="0.3">
      <c r="A39" s="421">
        <f t="shared" si="0"/>
        <v>32</v>
      </c>
      <c r="B39" s="422">
        <v>42278</v>
      </c>
      <c r="C39" s="426">
        <v>42369</v>
      </c>
      <c r="D39" s="410">
        <f t="shared" si="1"/>
        <v>5396.380000000001</v>
      </c>
      <c r="E39" s="352">
        <f t="shared" ref="E39:F39" si="43">I39+N39+S39+X39</f>
        <v>6605.6100000000006</v>
      </c>
      <c r="F39" s="352">
        <f t="shared" si="43"/>
        <v>154009.28</v>
      </c>
      <c r="G39" s="296">
        <f t="shared" si="4"/>
        <v>4.565207745802851E-2</v>
      </c>
      <c r="H39" s="419">
        <v>2032.6799999999998</v>
      </c>
      <c r="I39" s="419">
        <v>2853.65</v>
      </c>
      <c r="J39" s="419">
        <f t="shared" si="9"/>
        <v>67508.700000000012</v>
      </c>
      <c r="K39" s="423">
        <f t="shared" si="5"/>
        <v>4.4841418061428329E-2</v>
      </c>
      <c r="L39" s="420">
        <v>419.55</v>
      </c>
      <c r="M39" s="420"/>
      <c r="N39" s="420">
        <v>1292.8499999999999</v>
      </c>
      <c r="O39" s="420">
        <f t="shared" si="6"/>
        <v>29905.10999999999</v>
      </c>
      <c r="P39" s="424">
        <f t="shared" si="7"/>
        <v>4.5518904419806938E-2</v>
      </c>
      <c r="Q39" s="419">
        <v>2319.63</v>
      </c>
      <c r="R39" s="419">
        <v>8.6199999999999992</v>
      </c>
      <c r="S39" s="419">
        <v>1975.43</v>
      </c>
      <c r="T39" s="419">
        <f t="shared" si="21"/>
        <v>45412.260000000009</v>
      </c>
      <c r="U39" s="423">
        <f t="shared" si="22"/>
        <v>4.6735391774397859E-2</v>
      </c>
      <c r="V39" s="420">
        <v>624.52</v>
      </c>
      <c r="W39" s="420">
        <v>2.2400000000000002</v>
      </c>
      <c r="X39" s="420">
        <v>483.68</v>
      </c>
      <c r="Y39" s="420">
        <f t="shared" si="17"/>
        <v>11183.210000000005</v>
      </c>
      <c r="Z39" s="424">
        <f t="shared" si="18"/>
        <v>4.6574733053250668E-2</v>
      </c>
    </row>
    <row r="40" spans="1:26" ht="11.25" customHeight="1" x14ac:dyDescent="0.3">
      <c r="A40" s="421">
        <f t="shared" si="0"/>
        <v>53</v>
      </c>
      <c r="B40" s="422">
        <v>42370</v>
      </c>
      <c r="C40" s="426">
        <v>42460</v>
      </c>
      <c r="D40" s="410">
        <f t="shared" si="1"/>
        <v>5972.98</v>
      </c>
      <c r="E40" s="352">
        <f t="shared" ref="E40:F40" si="44">I40+N40+S40+X40</f>
        <v>1204.92</v>
      </c>
      <c r="F40" s="352">
        <f t="shared" si="44"/>
        <v>161187.18000000002</v>
      </c>
      <c r="G40" s="296">
        <f t="shared" si="4"/>
        <v>7.6748564626932317E-3</v>
      </c>
      <c r="H40" s="419">
        <v>2391.1600000000003</v>
      </c>
      <c r="I40" s="419">
        <v>216.96</v>
      </c>
      <c r="J40" s="419">
        <f t="shared" si="9"/>
        <v>70116.820000000022</v>
      </c>
      <c r="K40" s="423">
        <f t="shared" si="5"/>
        <v>3.1578818670394328E-3</v>
      </c>
      <c r="L40" s="420">
        <v>257.87</v>
      </c>
      <c r="M40" s="420"/>
      <c r="N40" s="420">
        <v>53.78</v>
      </c>
      <c r="O40" s="420">
        <f t="shared" si="6"/>
        <v>30216.759999999987</v>
      </c>
      <c r="P40" s="424">
        <f t="shared" si="7"/>
        <v>1.7906345948406222E-3</v>
      </c>
      <c r="Q40" s="419">
        <v>2618.87</v>
      </c>
      <c r="R40" s="419">
        <v>0</v>
      </c>
      <c r="S40" s="419">
        <v>746.75</v>
      </c>
      <c r="T40" s="419">
        <f t="shared" si="21"/>
        <v>48777.880000000012</v>
      </c>
      <c r="U40" s="423">
        <f t="shared" si="22"/>
        <v>1.5982938975137778E-2</v>
      </c>
      <c r="V40" s="420">
        <v>705.08</v>
      </c>
      <c r="W40" s="420">
        <v>0</v>
      </c>
      <c r="X40" s="420">
        <v>187.43</v>
      </c>
      <c r="Y40" s="420">
        <f t="shared" si="17"/>
        <v>12075.720000000005</v>
      </c>
      <c r="Z40" s="424">
        <f t="shared" si="18"/>
        <v>1.6247751554948738E-2</v>
      </c>
    </row>
    <row r="41" spans="1:26" ht="11.25" customHeight="1" x14ac:dyDescent="0.3">
      <c r="A41" s="421">
        <f t="shared" si="0"/>
        <v>47</v>
      </c>
      <c r="B41" s="422">
        <v>42461</v>
      </c>
      <c r="C41" s="426">
        <v>42551</v>
      </c>
      <c r="D41" s="410">
        <f t="shared" si="1"/>
        <v>5490.93</v>
      </c>
      <c r="E41" s="352">
        <f t="shared" ref="E41:F41" si="45">I41+N41+S41+X41</f>
        <v>2765.2200000000003</v>
      </c>
      <c r="F41" s="352">
        <f t="shared" si="45"/>
        <v>169443.33000000005</v>
      </c>
      <c r="G41" s="296">
        <f t="shared" si="4"/>
        <v>1.6868025279528673E-2</v>
      </c>
      <c r="H41" s="419">
        <v>2056.3200000000002</v>
      </c>
      <c r="I41" s="419">
        <v>1078.08</v>
      </c>
      <c r="J41" s="419">
        <f t="shared" si="9"/>
        <v>73251.22000000003</v>
      </c>
      <c r="K41" s="423">
        <f t="shared" si="5"/>
        <v>1.5153282775538056E-2</v>
      </c>
      <c r="L41" s="420">
        <v>365.3</v>
      </c>
      <c r="M41" s="420"/>
      <c r="N41" s="420">
        <v>458.99</v>
      </c>
      <c r="O41" s="420">
        <f t="shared" si="6"/>
        <v>31041.049999999988</v>
      </c>
      <c r="P41" s="424">
        <f t="shared" si="7"/>
        <v>1.5098648296134701E-2</v>
      </c>
      <c r="Q41" s="419">
        <v>2418.2399999999998</v>
      </c>
      <c r="R41" s="419">
        <v>0</v>
      </c>
      <c r="S41" s="419">
        <v>984.08</v>
      </c>
      <c r="T41" s="419">
        <f t="shared" si="21"/>
        <v>52180.200000000012</v>
      </c>
      <c r="U41" s="423">
        <f t="shared" si="22"/>
        <v>1.968671854682217E-2</v>
      </c>
      <c r="V41" s="420">
        <v>651.07000000000005</v>
      </c>
      <c r="W41" s="420">
        <v>0</v>
      </c>
      <c r="X41" s="420">
        <v>244.07</v>
      </c>
      <c r="Y41" s="420">
        <f t="shared" si="17"/>
        <v>12970.860000000004</v>
      </c>
      <c r="Z41" s="424">
        <f t="shared" si="18"/>
        <v>1.9681072601119797E-2</v>
      </c>
    </row>
    <row r="42" spans="1:26" ht="11.25" customHeight="1" x14ac:dyDescent="0.3">
      <c r="A42" s="421">
        <f t="shared" si="0"/>
        <v>33</v>
      </c>
      <c r="B42" s="422">
        <v>42552</v>
      </c>
      <c r="C42" s="426">
        <v>42643</v>
      </c>
      <c r="D42" s="410">
        <f t="shared" si="1"/>
        <v>6394.45</v>
      </c>
      <c r="E42" s="352">
        <f t="shared" ref="E42:F42" si="46">I42+N42+S42+X42</f>
        <v>7537.78</v>
      </c>
      <c r="F42" s="352">
        <f t="shared" si="46"/>
        <v>183375.56000000003</v>
      </c>
      <c r="G42" s="296">
        <f t="shared" si="4"/>
        <v>4.3661699303503727E-2</v>
      </c>
      <c r="H42" s="419">
        <v>2432.4899999999998</v>
      </c>
      <c r="I42" s="419">
        <v>3287.43</v>
      </c>
      <c r="J42" s="419">
        <f t="shared" si="9"/>
        <v>78971.140000000029</v>
      </c>
      <c r="K42" s="423">
        <f t="shared" si="5"/>
        <v>4.4145856180279518E-2</v>
      </c>
      <c r="L42" s="420">
        <v>580.16</v>
      </c>
      <c r="M42" s="420"/>
      <c r="N42" s="420">
        <v>1388.59</v>
      </c>
      <c r="O42" s="420">
        <f t="shared" si="6"/>
        <v>33009.799999999988</v>
      </c>
      <c r="P42" s="424">
        <f t="shared" si="7"/>
        <v>4.4319818659588735E-2</v>
      </c>
      <c r="Q42" s="419">
        <v>2664.45</v>
      </c>
      <c r="R42" s="419">
        <v>0</v>
      </c>
      <c r="S42" s="419">
        <v>2291.5500000000002</v>
      </c>
      <c r="T42" s="419">
        <f t="shared" si="21"/>
        <v>57136.200000000012</v>
      </c>
      <c r="U42" s="423">
        <f t="shared" si="22"/>
        <v>4.2822764993363689E-2</v>
      </c>
      <c r="V42" s="420">
        <v>717.35</v>
      </c>
      <c r="W42" s="420">
        <v>0</v>
      </c>
      <c r="X42" s="420">
        <v>570.21</v>
      </c>
      <c r="Y42" s="420">
        <f t="shared" si="17"/>
        <v>14258.420000000006</v>
      </c>
      <c r="Z42" s="424">
        <f t="shared" si="18"/>
        <v>4.2777936364621863E-2</v>
      </c>
    </row>
    <row r="43" spans="1:26" ht="11.25" customHeight="1" x14ac:dyDescent="0.3">
      <c r="A43" s="421">
        <f t="shared" si="0"/>
        <v>48</v>
      </c>
      <c r="B43" s="422">
        <v>42644</v>
      </c>
      <c r="C43" s="426">
        <v>42735</v>
      </c>
      <c r="D43" s="410">
        <f t="shared" si="1"/>
        <v>5352.59</v>
      </c>
      <c r="E43" s="352">
        <f t="shared" ref="E43:F43" si="47">I43+N43+S43+X43</f>
        <v>3018.9100000000003</v>
      </c>
      <c r="F43" s="352">
        <f t="shared" si="47"/>
        <v>191754.43000000002</v>
      </c>
      <c r="G43" s="296">
        <f t="shared" si="4"/>
        <v>1.6226175224106201E-2</v>
      </c>
      <c r="H43" s="419">
        <v>2123.2200000000003</v>
      </c>
      <c r="I43" s="419">
        <v>1866.38</v>
      </c>
      <c r="J43" s="419">
        <f t="shared" si="9"/>
        <v>82960.740000000034</v>
      </c>
      <c r="K43" s="423">
        <f t="shared" si="5"/>
        <v>2.3320203291777423E-2</v>
      </c>
      <c r="L43" s="420">
        <v>257.85000000000002</v>
      </c>
      <c r="M43" s="420"/>
      <c r="N43" s="420">
        <v>769.01</v>
      </c>
      <c r="O43" s="420">
        <f t="shared" si="6"/>
        <v>34036.659999999989</v>
      </c>
      <c r="P43" s="424">
        <f t="shared" si="7"/>
        <v>2.320578115180956E-2</v>
      </c>
      <c r="Q43" s="419">
        <v>2341.19</v>
      </c>
      <c r="R43" s="419">
        <v>6.28</v>
      </c>
      <c r="S43" s="419">
        <v>306.20999999999998</v>
      </c>
      <c r="T43" s="419">
        <f t="shared" si="21"/>
        <v>59789.880000000012</v>
      </c>
      <c r="U43" s="423">
        <f t="shared" si="22"/>
        <v>5.2517035107143154E-3</v>
      </c>
      <c r="V43" s="420">
        <v>630.33000000000004</v>
      </c>
      <c r="W43" s="420">
        <v>1.0900000000000001</v>
      </c>
      <c r="X43" s="420">
        <v>77.31</v>
      </c>
      <c r="Y43" s="420">
        <f t="shared" si="17"/>
        <v>14967.150000000005</v>
      </c>
      <c r="Z43" s="424">
        <f t="shared" si="18"/>
        <v>5.3048031764318781E-3</v>
      </c>
    </row>
    <row r="44" spans="1:26" ht="11.25" customHeight="1" x14ac:dyDescent="0.3">
      <c r="A44" s="421">
        <f t="shared" si="0"/>
        <v>27</v>
      </c>
      <c r="B44" s="422">
        <v>42736</v>
      </c>
      <c r="C44" s="426">
        <v>42825</v>
      </c>
      <c r="D44" s="410">
        <f t="shared" si="1"/>
        <v>6321.97</v>
      </c>
      <c r="E44" s="352">
        <f t="shared" ref="E44:F44" si="48">I44+N44+S44+X44</f>
        <v>10772.96</v>
      </c>
      <c r="F44" s="352">
        <f t="shared" si="48"/>
        <v>208849.36000000004</v>
      </c>
      <c r="G44" s="296">
        <f t="shared" si="4"/>
        <v>5.5269923109980801E-2</v>
      </c>
      <c r="H44" s="419">
        <v>2507.04</v>
      </c>
      <c r="I44" s="419">
        <v>4436.24</v>
      </c>
      <c r="J44" s="419">
        <f t="shared" si="9"/>
        <v>89904.020000000033</v>
      </c>
      <c r="K44" s="423">
        <f t="shared" si="5"/>
        <v>5.2678014388537024E-2</v>
      </c>
      <c r="L44" s="420">
        <v>263.27999999999997</v>
      </c>
      <c r="M44" s="420"/>
      <c r="N44" s="420">
        <v>1801.81</v>
      </c>
      <c r="O44" s="420">
        <f t="shared" si="6"/>
        <v>36101.749999999985</v>
      </c>
      <c r="P44" s="424">
        <f t="shared" si="7"/>
        <v>5.2733381526151452E-2</v>
      </c>
      <c r="Q44" s="419">
        <v>2798.2700000000004</v>
      </c>
      <c r="R44" s="419">
        <v>0</v>
      </c>
      <c r="S44" s="419">
        <v>3626</v>
      </c>
      <c r="T44" s="419">
        <f t="shared" si="21"/>
        <v>66214.150000000009</v>
      </c>
      <c r="U44" s="423">
        <f t="shared" si="22"/>
        <v>5.9259002616727841E-2</v>
      </c>
      <c r="V44" s="420">
        <v>753.38</v>
      </c>
      <c r="W44" s="420">
        <v>0</v>
      </c>
      <c r="X44" s="420">
        <v>908.91</v>
      </c>
      <c r="Y44" s="420">
        <f t="shared" si="17"/>
        <v>16629.440000000006</v>
      </c>
      <c r="Z44" s="424">
        <f t="shared" si="18"/>
        <v>5.9236149490609888E-2</v>
      </c>
    </row>
    <row r="45" spans="1:26" ht="11.25" customHeight="1" x14ac:dyDescent="0.3">
      <c r="A45" s="421">
        <f t="shared" si="0"/>
        <v>38</v>
      </c>
      <c r="B45" s="422">
        <v>42826</v>
      </c>
      <c r="C45" s="422">
        <v>42916</v>
      </c>
      <c r="D45" s="410">
        <f t="shared" si="1"/>
        <v>6130.92</v>
      </c>
      <c r="E45" s="352">
        <f t="shared" ref="E45:F45" si="49">I45+N45+S45+X45</f>
        <v>7656.6699999999992</v>
      </c>
      <c r="F45" s="352">
        <f t="shared" si="49"/>
        <v>222636.95</v>
      </c>
      <c r="G45" s="296">
        <f t="shared" si="4"/>
        <v>3.6130885041452024E-2</v>
      </c>
      <c r="H45" s="419">
        <v>2519.0200000000004</v>
      </c>
      <c r="I45" s="419">
        <v>3138.16</v>
      </c>
      <c r="J45" s="419">
        <f t="shared" si="9"/>
        <v>95561.200000000041</v>
      </c>
      <c r="K45" s="423">
        <f t="shared" si="5"/>
        <v>3.4423414714195459E-2</v>
      </c>
      <c r="L45" s="420">
        <v>329.1</v>
      </c>
      <c r="M45" s="420"/>
      <c r="N45" s="420">
        <v>1254.71</v>
      </c>
      <c r="O45" s="420">
        <f t="shared" si="6"/>
        <v>37685.559999999983</v>
      </c>
      <c r="P45" s="424">
        <f t="shared" si="7"/>
        <v>3.4597132875424305E-2</v>
      </c>
      <c r="Q45" s="419">
        <v>2586.4499999999998</v>
      </c>
      <c r="R45" s="419">
        <v>0</v>
      </c>
      <c r="S45" s="419">
        <v>2608.19</v>
      </c>
      <c r="T45" s="419">
        <f t="shared" si="21"/>
        <v>71408.790000000008</v>
      </c>
      <c r="U45" s="423">
        <f t="shared" si="22"/>
        <v>3.8635630551476778E-2</v>
      </c>
      <c r="V45" s="420">
        <v>696.35</v>
      </c>
      <c r="W45" s="420">
        <v>0</v>
      </c>
      <c r="X45" s="420">
        <v>655.61</v>
      </c>
      <c r="Y45" s="420">
        <f t="shared" si="17"/>
        <v>17981.400000000005</v>
      </c>
      <c r="Z45" s="424">
        <f t="shared" si="18"/>
        <v>3.8616142491156726E-2</v>
      </c>
    </row>
    <row r="46" spans="1:26" ht="11.25" customHeight="1" x14ac:dyDescent="0.3">
      <c r="A46" s="421">
        <f t="shared" si="0"/>
        <v>34</v>
      </c>
      <c r="B46" s="422">
        <v>42917</v>
      </c>
      <c r="C46" s="422">
        <v>43008</v>
      </c>
      <c r="D46" s="410">
        <f t="shared" si="1"/>
        <v>6326.3899999999994</v>
      </c>
      <c r="E46" s="352">
        <f t="shared" ref="E46:F46" si="50">I46+N46+S46+X46</f>
        <v>9681.82</v>
      </c>
      <c r="F46" s="352">
        <f t="shared" si="50"/>
        <v>238645.16</v>
      </c>
      <c r="G46" s="296">
        <f t="shared" si="4"/>
        <v>4.2877828975707695E-2</v>
      </c>
      <c r="H46" s="419">
        <v>2193</v>
      </c>
      <c r="I46" s="419">
        <v>4008.93</v>
      </c>
      <c r="J46" s="419">
        <f t="shared" si="9"/>
        <v>101763.13000000003</v>
      </c>
      <c r="K46" s="423">
        <f t="shared" si="5"/>
        <v>4.1475536868764706E-2</v>
      </c>
      <c r="L46" s="420">
        <v>614.30999999999995</v>
      </c>
      <c r="M46" s="420"/>
      <c r="N46" s="420">
        <v>1571.89</v>
      </c>
      <c r="O46" s="420">
        <f t="shared" si="6"/>
        <v>39871.75999999998</v>
      </c>
      <c r="P46" s="424">
        <f t="shared" si="7"/>
        <v>4.1373458043206461E-2</v>
      </c>
      <c r="Q46" s="419">
        <v>2772.6</v>
      </c>
      <c r="R46" s="419">
        <v>0</v>
      </c>
      <c r="S46" s="419">
        <v>3275.23</v>
      </c>
      <c r="T46" s="419">
        <f t="shared" si="21"/>
        <v>77456.62000000001</v>
      </c>
      <c r="U46" s="423">
        <f t="shared" si="22"/>
        <v>4.4992457595697727E-2</v>
      </c>
      <c r="V46" s="420">
        <v>746.48</v>
      </c>
      <c r="W46" s="420">
        <v>0</v>
      </c>
      <c r="X46" s="420">
        <v>825.77</v>
      </c>
      <c r="Y46" s="420">
        <f t="shared" si="17"/>
        <v>19553.650000000005</v>
      </c>
      <c r="Z46" s="424">
        <f t="shared" si="18"/>
        <v>4.498971377264821E-2</v>
      </c>
    </row>
    <row r="47" spans="1:26" ht="11.25" customHeight="1" x14ac:dyDescent="0.3">
      <c r="A47" s="421">
        <f t="shared" si="0"/>
        <v>30</v>
      </c>
      <c r="B47" s="422">
        <v>43009</v>
      </c>
      <c r="C47" s="422">
        <v>43100</v>
      </c>
      <c r="D47" s="410">
        <f t="shared" si="1"/>
        <v>6272.63</v>
      </c>
      <c r="E47" s="352">
        <f t="shared" ref="E47:F47" si="51">I47+N47+S47+X47</f>
        <v>11946.29</v>
      </c>
      <c r="F47" s="352">
        <f t="shared" si="51"/>
        <v>256868.65000000002</v>
      </c>
      <c r="G47" s="296">
        <f t="shared" si="4"/>
        <v>4.9409451241043179E-2</v>
      </c>
      <c r="H47" s="419">
        <v>2226.84</v>
      </c>
      <c r="I47" s="419">
        <v>4866.43</v>
      </c>
      <c r="J47" s="419">
        <f t="shared" si="9"/>
        <v>108856.40000000002</v>
      </c>
      <c r="K47" s="423">
        <f t="shared" si="5"/>
        <v>4.7303588621507998E-2</v>
      </c>
      <c r="L47" s="420">
        <v>1158.25</v>
      </c>
      <c r="M47" s="420"/>
      <c r="N47" s="420">
        <v>1923.03</v>
      </c>
      <c r="O47" s="420">
        <f t="shared" si="6"/>
        <v>42953.039999999979</v>
      </c>
      <c r="P47" s="424">
        <f t="shared" si="7"/>
        <v>4.7539874591124541E-2</v>
      </c>
      <c r="Q47" s="419">
        <v>2275.04</v>
      </c>
      <c r="R47" s="419">
        <v>4.5599999999999996</v>
      </c>
      <c r="S47" s="419">
        <v>4116.6000000000004</v>
      </c>
      <c r="T47" s="419">
        <f t="shared" si="21"/>
        <v>83852.820000000007</v>
      </c>
      <c r="U47" s="423">
        <f t="shared" si="22"/>
        <v>5.2377950824323539E-2</v>
      </c>
      <c r="V47" s="420">
        <v>612.5</v>
      </c>
      <c r="W47" s="420">
        <v>0.01</v>
      </c>
      <c r="X47" s="420">
        <v>1040.23</v>
      </c>
      <c r="Y47" s="420">
        <f t="shared" si="17"/>
        <v>21206.390000000003</v>
      </c>
      <c r="Z47" s="424">
        <f t="shared" si="18"/>
        <v>5.2378410767425804E-2</v>
      </c>
    </row>
    <row r="48" spans="1:26" ht="11.25" customHeight="1" x14ac:dyDescent="0.3">
      <c r="A48" s="421">
        <f t="shared" si="0"/>
        <v>61</v>
      </c>
      <c r="B48" s="422">
        <v>43101</v>
      </c>
      <c r="C48" s="422">
        <v>43190</v>
      </c>
      <c r="D48" s="410">
        <f t="shared" si="1"/>
        <v>6576.6399999999994</v>
      </c>
      <c r="E48" s="352">
        <f t="shared" ref="E48:F48" si="52">I48+N48+S48+X48</f>
        <v>-1986.06</v>
      </c>
      <c r="F48" s="352">
        <f t="shared" si="52"/>
        <v>261459.23</v>
      </c>
      <c r="G48" s="296">
        <f t="shared" si="4"/>
        <v>-7.634083376662942E-3</v>
      </c>
      <c r="H48" s="419">
        <v>2629.98</v>
      </c>
      <c r="I48" s="419">
        <v>-625.94000000000005</v>
      </c>
      <c r="J48" s="419">
        <f t="shared" si="9"/>
        <v>110860.44000000002</v>
      </c>
      <c r="K48" s="423">
        <f t="shared" si="5"/>
        <v>-5.6815113252179162E-3</v>
      </c>
      <c r="L48" s="420">
        <v>278.63</v>
      </c>
      <c r="M48" s="420"/>
      <c r="N48" s="420">
        <v>-225.64</v>
      </c>
      <c r="O48" s="420">
        <f t="shared" si="6"/>
        <v>43006.029999999977</v>
      </c>
      <c r="P48" s="424">
        <f t="shared" si="7"/>
        <v>-5.2361956082465225E-3</v>
      </c>
      <c r="Q48" s="419">
        <v>2889.97</v>
      </c>
      <c r="R48" s="419">
        <v>0</v>
      </c>
      <c r="S48" s="419">
        <v>-904.56</v>
      </c>
      <c r="T48" s="419">
        <f t="shared" si="21"/>
        <v>85838.23000000001</v>
      </c>
      <c r="U48" s="423">
        <f t="shared" si="22"/>
        <v>-1.0604727753545356E-2</v>
      </c>
      <c r="V48" s="420">
        <v>778.06</v>
      </c>
      <c r="W48" s="420">
        <v>0</v>
      </c>
      <c r="X48" s="420">
        <v>-229.92</v>
      </c>
      <c r="Y48" s="420">
        <f t="shared" si="17"/>
        <v>21754.530000000006</v>
      </c>
      <c r="Z48" s="424">
        <f t="shared" si="18"/>
        <v>-1.0646701939577927E-2</v>
      </c>
    </row>
    <row r="49" spans="1:26" ht="11.25" customHeight="1" x14ac:dyDescent="0.3">
      <c r="A49" s="421">
        <f t="shared" si="0"/>
        <v>44</v>
      </c>
      <c r="B49" s="422">
        <v>43191</v>
      </c>
      <c r="C49" s="422">
        <v>43281</v>
      </c>
      <c r="D49" s="410">
        <f t="shared" si="1"/>
        <v>6412.6500000000005</v>
      </c>
      <c r="E49" s="352">
        <f t="shared" ref="E49:F49" si="53">I49+N49+S49+X49</f>
        <v>4812.1499999999996</v>
      </c>
      <c r="F49" s="352">
        <f t="shared" si="53"/>
        <v>272684.03000000003</v>
      </c>
      <c r="G49" s="296">
        <f t="shared" si="4"/>
        <v>1.8182003321134857E-2</v>
      </c>
      <c r="H49" s="419">
        <v>2454.0100000000002</v>
      </c>
      <c r="I49" s="419">
        <v>2306.91</v>
      </c>
      <c r="J49" s="419">
        <f t="shared" si="9"/>
        <v>115621.36000000002</v>
      </c>
      <c r="K49" s="423">
        <f t="shared" si="5"/>
        <v>2.058134164803203E-2</v>
      </c>
      <c r="L49" s="420">
        <v>633.24</v>
      </c>
      <c r="M49" s="420"/>
      <c r="N49" s="420">
        <v>892.71</v>
      </c>
      <c r="O49" s="420">
        <f t="shared" si="6"/>
        <v>44531.979999999974</v>
      </c>
      <c r="P49" s="424">
        <f t="shared" si="7"/>
        <v>2.0606080191308714E-2</v>
      </c>
      <c r="Q49" s="419">
        <v>2620.0100000000002</v>
      </c>
      <c r="R49" s="419">
        <v>0</v>
      </c>
      <c r="S49" s="419">
        <v>1286.52</v>
      </c>
      <c r="T49" s="419">
        <f t="shared" si="21"/>
        <v>89744.760000000009</v>
      </c>
      <c r="U49" s="423">
        <f t="shared" si="22"/>
        <v>1.4762433226559318E-2</v>
      </c>
      <c r="V49" s="420">
        <v>705.39</v>
      </c>
      <c r="W49" s="420">
        <v>0</v>
      </c>
      <c r="X49" s="420">
        <v>326.01</v>
      </c>
      <c r="Y49" s="420">
        <f t="shared" si="17"/>
        <v>22785.930000000004</v>
      </c>
      <c r="Z49" s="424">
        <f t="shared" si="18"/>
        <v>1.4746762653385936E-2</v>
      </c>
    </row>
    <row r="50" spans="1:26" ht="11.25" customHeight="1" x14ac:dyDescent="0.3">
      <c r="A50" s="421">
        <f t="shared" si="0"/>
        <v>36</v>
      </c>
      <c r="B50" s="422">
        <v>43282</v>
      </c>
      <c r="C50" s="422">
        <v>43373</v>
      </c>
      <c r="D50" s="410">
        <f t="shared" si="1"/>
        <v>5881.42</v>
      </c>
      <c r="E50" s="352">
        <f t="shared" ref="E50:F50" si="54">I50+N50+S50+X50</f>
        <v>11350.779999999999</v>
      </c>
      <c r="F50" s="352">
        <f t="shared" si="54"/>
        <v>289916.23</v>
      </c>
      <c r="G50" s="296">
        <f t="shared" si="4"/>
        <v>4.1182007101394441E-2</v>
      </c>
      <c r="H50" s="419">
        <v>2076.4699999999998</v>
      </c>
      <c r="I50" s="419">
        <v>5094.57</v>
      </c>
      <c r="J50" s="419">
        <f t="shared" si="9"/>
        <v>122792.40000000002</v>
      </c>
      <c r="K50" s="423">
        <f t="shared" si="5"/>
        <v>4.3670389906633904E-2</v>
      </c>
      <c r="L50" s="420">
        <v>303.95999999999998</v>
      </c>
      <c r="M50" s="420"/>
      <c r="N50" s="420">
        <v>1955.79</v>
      </c>
      <c r="O50" s="420">
        <f t="shared" si="6"/>
        <v>46791.729999999974</v>
      </c>
      <c r="P50" s="424">
        <f t="shared" si="7"/>
        <v>4.3769397340790765E-2</v>
      </c>
      <c r="Q50" s="419">
        <v>2758.34</v>
      </c>
      <c r="R50" s="419">
        <v>0</v>
      </c>
      <c r="S50" s="419">
        <v>3429.13</v>
      </c>
      <c r="T50" s="419">
        <f t="shared" si="21"/>
        <v>95932.23000000001</v>
      </c>
      <c r="U50" s="423">
        <f t="shared" si="22"/>
        <v>3.7631498114710372E-2</v>
      </c>
      <c r="V50" s="420">
        <v>742.65</v>
      </c>
      <c r="W50" s="420">
        <v>0</v>
      </c>
      <c r="X50" s="420">
        <v>871.29</v>
      </c>
      <c r="Y50" s="420">
        <f t="shared" si="17"/>
        <v>24399.870000000006</v>
      </c>
      <c r="Z50" s="424">
        <f t="shared" si="18"/>
        <v>3.7624925752210256E-2</v>
      </c>
    </row>
    <row r="51" spans="1:26" ht="11.25" customHeight="1" x14ac:dyDescent="0.3">
      <c r="A51" s="421">
        <f t="shared" si="0"/>
        <v>72</v>
      </c>
      <c r="B51" s="422">
        <v>43374</v>
      </c>
      <c r="C51" s="422">
        <v>43465</v>
      </c>
      <c r="D51" s="410">
        <f t="shared" si="1"/>
        <v>6077.6</v>
      </c>
      <c r="E51" s="352">
        <f t="shared" ref="E51:F51" si="55">I51+N51+S51+X51</f>
        <v>-33155.630000000005</v>
      </c>
      <c r="F51" s="352">
        <f t="shared" si="55"/>
        <v>262846.91000000003</v>
      </c>
      <c r="G51" s="296">
        <f t="shared" si="4"/>
        <v>-0.11317651722859992</v>
      </c>
      <c r="H51" s="419">
        <v>2265.2399999999998</v>
      </c>
      <c r="I51" s="419">
        <v>-14051.78</v>
      </c>
      <c r="J51" s="419">
        <f t="shared" si="9"/>
        <v>111005.86000000003</v>
      </c>
      <c r="K51" s="423">
        <f t="shared" si="5"/>
        <v>-0.11338937044351495</v>
      </c>
      <c r="L51" s="420">
        <v>303.95999999999998</v>
      </c>
      <c r="M51" s="420"/>
      <c r="N51" s="420">
        <v>-5317.24</v>
      </c>
      <c r="O51" s="420">
        <f t="shared" si="6"/>
        <v>41778.449999999975</v>
      </c>
      <c r="P51" s="424">
        <f t="shared" si="7"/>
        <v>-0.11326842296870022</v>
      </c>
      <c r="Q51" s="419">
        <v>2764.1800000000003</v>
      </c>
      <c r="R51" s="419">
        <v>7.98</v>
      </c>
      <c r="S51" s="419">
        <v>-10989.38</v>
      </c>
      <c r="T51" s="419">
        <f t="shared" si="21"/>
        <v>87715.01</v>
      </c>
      <c r="U51" s="423">
        <f t="shared" si="22"/>
        <v>-0.11292664841104576</v>
      </c>
      <c r="V51" s="420">
        <v>744.22</v>
      </c>
      <c r="W51" s="420">
        <v>0.73</v>
      </c>
      <c r="X51" s="420">
        <v>-2797.23</v>
      </c>
      <c r="Y51" s="420">
        <f t="shared" si="17"/>
        <v>22347.590000000007</v>
      </c>
      <c r="Z51" s="424">
        <f t="shared" si="18"/>
        <v>-0.11291911264259051</v>
      </c>
    </row>
    <row r="52" spans="1:26" ht="11.25" customHeight="1" x14ac:dyDescent="0.3">
      <c r="A52" s="421">
        <f t="shared" si="0"/>
        <v>6</v>
      </c>
      <c r="B52" s="422">
        <v>43466</v>
      </c>
      <c r="C52" s="422">
        <v>43555</v>
      </c>
      <c r="D52" s="410">
        <f t="shared" si="1"/>
        <v>6254.04</v>
      </c>
      <c r="E52" s="352">
        <f t="shared" ref="E52:F52" si="56">I52+N52+S52+X52</f>
        <v>30179.269999999997</v>
      </c>
      <c r="F52" s="352">
        <f t="shared" si="56"/>
        <v>299280.21999999997</v>
      </c>
      <c r="G52" s="296">
        <f t="shared" si="4"/>
        <v>0.11346702287701652</v>
      </c>
      <c r="H52" s="419">
        <v>2642.78</v>
      </c>
      <c r="I52" s="419">
        <v>11936.14</v>
      </c>
      <c r="J52" s="419">
        <f t="shared" si="9"/>
        <v>125584.78000000003</v>
      </c>
      <c r="K52" s="423">
        <f t="shared" si="5"/>
        <v>0.10626219372414082</v>
      </c>
      <c r="L52" s="420">
        <v>434.51</v>
      </c>
      <c r="M52" s="420"/>
      <c r="N52" s="420">
        <v>4462.8500000000004</v>
      </c>
      <c r="O52" s="420">
        <f t="shared" si="6"/>
        <v>46675.809999999976</v>
      </c>
      <c r="P52" s="424">
        <f t="shared" si="7"/>
        <v>0.10626920062420676</v>
      </c>
      <c r="Q52" s="419">
        <v>2359.86</v>
      </c>
      <c r="R52" s="419">
        <v>0</v>
      </c>
      <c r="S52" s="419">
        <v>10975.25</v>
      </c>
      <c r="T52" s="419">
        <f t="shared" si="21"/>
        <v>101050.12</v>
      </c>
      <c r="U52" s="423">
        <f t="shared" si="22"/>
        <v>0.12346315774553648</v>
      </c>
      <c r="V52" s="420">
        <v>816.89</v>
      </c>
      <c r="W52" s="420">
        <v>0</v>
      </c>
      <c r="X52" s="420">
        <v>2805.03</v>
      </c>
      <c r="Y52" s="420">
        <f t="shared" si="17"/>
        <v>25969.510000000006</v>
      </c>
      <c r="Z52" s="424">
        <f t="shared" si="18"/>
        <v>0.12326532280337939</v>
      </c>
    </row>
    <row r="53" spans="1:26" ht="11.25" customHeight="1" x14ac:dyDescent="0.3">
      <c r="A53" s="421">
        <f t="shared" si="0"/>
        <v>39</v>
      </c>
      <c r="B53" s="422">
        <v>43556</v>
      </c>
      <c r="C53" s="422">
        <v>43646</v>
      </c>
      <c r="D53" s="410">
        <f t="shared" si="1"/>
        <v>6406.14</v>
      </c>
      <c r="E53" s="352">
        <f t="shared" ref="E53:F53" si="57">I53+N53+S53+X53</f>
        <v>10419.14</v>
      </c>
      <c r="F53" s="352">
        <f t="shared" si="57"/>
        <v>316095.5</v>
      </c>
      <c r="G53" s="296">
        <f t="shared" si="4"/>
        <v>3.4445340765765935E-2</v>
      </c>
      <c r="H53" s="419">
        <v>2720.5</v>
      </c>
      <c r="I53" s="419">
        <v>4541.88</v>
      </c>
      <c r="J53" s="419">
        <f t="shared" si="9"/>
        <v>132847.16000000003</v>
      </c>
      <c r="K53" s="423">
        <f t="shared" si="5"/>
        <v>3.5778320742450485E-2</v>
      </c>
      <c r="L53" s="420">
        <v>276.60000000000002</v>
      </c>
      <c r="M53" s="420"/>
      <c r="N53" s="420">
        <v>1676.71</v>
      </c>
      <c r="O53" s="420">
        <f t="shared" si="6"/>
        <v>48629.119999999974</v>
      </c>
      <c r="P53" s="424">
        <f t="shared" si="7"/>
        <v>3.5816338279206862E-2</v>
      </c>
      <c r="Q53" s="419">
        <v>2532.42</v>
      </c>
      <c r="R53" s="419">
        <v>-5</v>
      </c>
      <c r="S53" s="419">
        <v>3336.74</v>
      </c>
      <c r="T53" s="419">
        <f t="shared" si="21"/>
        <v>106914.28</v>
      </c>
      <c r="U53" s="423">
        <f t="shared" si="22"/>
        <v>3.2611998495254861E-2</v>
      </c>
      <c r="V53" s="420">
        <v>876.62</v>
      </c>
      <c r="W53" s="420">
        <v>-5</v>
      </c>
      <c r="X53" s="420">
        <v>863.81</v>
      </c>
      <c r="Y53" s="420">
        <f t="shared" si="17"/>
        <v>27704.940000000006</v>
      </c>
      <c r="Z53" s="424">
        <f t="shared" si="18"/>
        <v>3.2710386544591706E-2</v>
      </c>
    </row>
    <row r="54" spans="1:26" ht="11.25" customHeight="1" x14ac:dyDescent="0.3">
      <c r="A54" s="421">
        <f t="shared" si="0"/>
        <v>56</v>
      </c>
      <c r="B54" s="422">
        <v>43647</v>
      </c>
      <c r="C54" s="422">
        <v>43738</v>
      </c>
      <c r="D54" s="410">
        <f t="shared" si="1"/>
        <v>7673.9400000000005</v>
      </c>
      <c r="E54" s="352">
        <f t="shared" ref="E54:F54" si="58">I54+N54+S54+X54</f>
        <v>1434.08</v>
      </c>
      <c r="F54" s="352">
        <f t="shared" si="58"/>
        <v>325193.52</v>
      </c>
      <c r="G54" s="296">
        <f t="shared" si="4"/>
        <v>4.4824459361689677E-3</v>
      </c>
      <c r="H54" s="419">
        <v>2338.65</v>
      </c>
      <c r="I54" s="419">
        <v>572.88</v>
      </c>
      <c r="J54" s="419">
        <f t="shared" si="9"/>
        <v>135758.69000000003</v>
      </c>
      <c r="K54" s="423">
        <f t="shared" si="5"/>
        <v>4.2746979970411832E-3</v>
      </c>
      <c r="L54" s="420">
        <v>774.48</v>
      </c>
      <c r="M54" s="420"/>
      <c r="N54" s="420">
        <v>197.29</v>
      </c>
      <c r="O54" s="420">
        <f t="shared" si="6"/>
        <v>49600.889999999978</v>
      </c>
      <c r="P54" s="424">
        <f t="shared" si="7"/>
        <v>4.024982679252399E-3</v>
      </c>
      <c r="Q54" s="419">
        <v>3388.01</v>
      </c>
      <c r="R54" s="419">
        <v>-5</v>
      </c>
      <c r="S54" s="419">
        <v>525.37</v>
      </c>
      <c r="T54" s="419">
        <f t="shared" si="21"/>
        <v>110822.65999999999</v>
      </c>
      <c r="U54" s="423">
        <f t="shared" si="22"/>
        <v>4.8372921089767694E-3</v>
      </c>
      <c r="V54" s="420">
        <v>1172.8</v>
      </c>
      <c r="W54" s="420">
        <v>-5</v>
      </c>
      <c r="X54" s="420">
        <v>138.54</v>
      </c>
      <c r="Y54" s="420">
        <f t="shared" si="17"/>
        <v>29011.280000000006</v>
      </c>
      <c r="Z54" s="424">
        <f t="shared" si="18"/>
        <v>4.8969048479145898E-3</v>
      </c>
    </row>
    <row r="55" spans="1:26" ht="11.25" customHeight="1" x14ac:dyDescent="0.3">
      <c r="A55" s="421">
        <f t="shared" si="0"/>
        <v>14</v>
      </c>
      <c r="B55" s="427">
        <v>43739</v>
      </c>
      <c r="C55" s="427">
        <v>43830</v>
      </c>
      <c r="D55" s="428">
        <f t="shared" si="1"/>
        <v>7170.0499999999993</v>
      </c>
      <c r="E55" s="429">
        <f t="shared" ref="E55:F55" si="59">I55+N55+S55+X55</f>
        <v>25173.34</v>
      </c>
      <c r="F55" s="429">
        <f t="shared" si="59"/>
        <v>357563.51</v>
      </c>
      <c r="G55" s="296">
        <f t="shared" si="4"/>
        <v>7.6566249175413797E-2</v>
      </c>
      <c r="H55" s="430">
        <v>2373.7199999999998</v>
      </c>
      <c r="I55" s="430">
        <v>9824.64</v>
      </c>
      <c r="J55" s="430">
        <f t="shared" si="9"/>
        <v>147957.05000000005</v>
      </c>
      <c r="K55" s="431">
        <f t="shared" si="5"/>
        <v>7.1741213935027442E-2</v>
      </c>
      <c r="L55" s="432">
        <v>342.79</v>
      </c>
      <c r="M55" s="432"/>
      <c r="N55" s="432">
        <v>3566.35</v>
      </c>
      <c r="O55" s="432">
        <f t="shared" si="6"/>
        <v>53510.029999999977</v>
      </c>
      <c r="P55" s="433">
        <f t="shared" si="7"/>
        <v>7.1653330764299888E-2</v>
      </c>
      <c r="Q55" s="430">
        <v>3308.31</v>
      </c>
      <c r="R55" s="430">
        <v>28.77</v>
      </c>
      <c r="S55" s="430">
        <v>9328.2900000000009</v>
      </c>
      <c r="T55" s="430">
        <f t="shared" si="21"/>
        <v>123488.02999999998</v>
      </c>
      <c r="U55" s="431">
        <f t="shared" si="22"/>
        <v>8.2935225361777914E-2</v>
      </c>
      <c r="V55" s="432">
        <v>1145.23</v>
      </c>
      <c r="W55" s="432">
        <v>-2.17</v>
      </c>
      <c r="X55" s="432">
        <v>2454.06</v>
      </c>
      <c r="Y55" s="432">
        <f t="shared" si="17"/>
        <v>32608.400000000009</v>
      </c>
      <c r="Z55" s="424">
        <f t="shared" si="18"/>
        <v>8.2952565914664017E-2</v>
      </c>
    </row>
    <row r="56" spans="1:26" ht="11.25" customHeight="1" x14ac:dyDescent="0.3">
      <c r="A56" s="421">
        <f t="shared" si="0"/>
        <v>75</v>
      </c>
      <c r="B56" s="422">
        <v>43831</v>
      </c>
      <c r="C56" s="422">
        <v>43921</v>
      </c>
      <c r="D56" s="410">
        <f t="shared" si="1"/>
        <v>7742.6099999999988</v>
      </c>
      <c r="E56" s="352">
        <f t="shared" ref="E56:F56" si="60">I56+N56+S56+X56</f>
        <v>-70829.37</v>
      </c>
      <c r="F56" s="352">
        <f t="shared" si="60"/>
        <v>294466.75</v>
      </c>
      <c r="G56" s="296">
        <f t="shared" si="4"/>
        <v>-0.19596720365745618</v>
      </c>
      <c r="H56" s="419">
        <v>2012.79</v>
      </c>
      <c r="I56" s="419">
        <v>-27147.94</v>
      </c>
      <c r="J56" s="419">
        <f t="shared" si="9"/>
        <v>122821.90000000005</v>
      </c>
      <c r="K56" s="423">
        <f t="shared" si="5"/>
        <v>-0.18224565093805392</v>
      </c>
      <c r="L56" s="420">
        <v>1354.74</v>
      </c>
      <c r="M56" s="420"/>
      <c r="N56" s="420">
        <v>-9790.6200000000008</v>
      </c>
      <c r="O56" s="420">
        <f t="shared" si="6"/>
        <v>45074.149999999972</v>
      </c>
      <c r="P56" s="424">
        <f t="shared" si="7"/>
        <v>-0.18068074866112796</v>
      </c>
      <c r="Q56" s="419">
        <v>3250.02</v>
      </c>
      <c r="R56" s="419">
        <v>-5</v>
      </c>
      <c r="S56" s="419">
        <v>-26778.080000000002</v>
      </c>
      <c r="T56" s="419">
        <f t="shared" si="21"/>
        <v>99954.969999999987</v>
      </c>
      <c r="U56" s="423">
        <f t="shared" si="22"/>
        <v>-0.21403108740703611</v>
      </c>
      <c r="V56" s="420">
        <v>1125.06</v>
      </c>
      <c r="W56" s="420">
        <v>-5</v>
      </c>
      <c r="X56" s="420">
        <v>-7112.73</v>
      </c>
      <c r="Y56" s="420">
        <f t="shared" si="17"/>
        <v>26615.730000000007</v>
      </c>
      <c r="Z56" s="424">
        <f t="shared" si="18"/>
        <v>-0.21442660787623374</v>
      </c>
    </row>
    <row r="57" spans="1:26" ht="11.25" customHeight="1" x14ac:dyDescent="0.3">
      <c r="A57" s="421">
        <f t="shared" si="0"/>
        <v>1</v>
      </c>
      <c r="B57" s="422">
        <v>43922</v>
      </c>
      <c r="C57" s="422">
        <v>44012</v>
      </c>
      <c r="D57" s="410">
        <f t="shared" si="1"/>
        <v>7612.45</v>
      </c>
      <c r="E57" s="352">
        <f t="shared" ref="E57:F57" si="61">I57+N57+S57+X57</f>
        <v>52103.11</v>
      </c>
      <c r="F57" s="352">
        <f t="shared" si="61"/>
        <v>354172.31000000006</v>
      </c>
      <c r="G57" s="296">
        <f t="shared" si="4"/>
        <v>0.17468263760737962</v>
      </c>
      <c r="H57" s="419">
        <v>763.49</v>
      </c>
      <c r="I57" s="419">
        <v>20618.64</v>
      </c>
      <c r="J57" s="419">
        <f t="shared" si="9"/>
        <v>144204.03000000006</v>
      </c>
      <c r="K57" s="423">
        <f t="shared" si="5"/>
        <v>0.16735413956299744</v>
      </c>
      <c r="L57" s="420">
        <v>2473.89</v>
      </c>
      <c r="M57" s="420"/>
      <c r="N57" s="420">
        <v>7704.29</v>
      </c>
      <c r="O57" s="420">
        <f t="shared" si="6"/>
        <v>55252.329999999973</v>
      </c>
      <c r="P57" s="424">
        <f t="shared" si="7"/>
        <v>0.1663594868573072</v>
      </c>
      <c r="Q57" s="419">
        <v>3250.02</v>
      </c>
      <c r="R57" s="419">
        <v>-5</v>
      </c>
      <c r="S57" s="419">
        <v>18764.759999999998</v>
      </c>
      <c r="T57" s="419">
        <f t="shared" si="21"/>
        <v>121964.74999999999</v>
      </c>
      <c r="U57" s="423">
        <f t="shared" si="22"/>
        <v>0.18472892000963184</v>
      </c>
      <c r="V57" s="420">
        <v>1125.05</v>
      </c>
      <c r="W57" s="420">
        <v>-5</v>
      </c>
      <c r="X57" s="420">
        <v>5015.42</v>
      </c>
      <c r="Y57" s="420">
        <f t="shared" si="17"/>
        <v>32751.200000000004</v>
      </c>
      <c r="Z57" s="424">
        <f t="shared" si="18"/>
        <v>0.18453796978503581</v>
      </c>
    </row>
    <row r="58" spans="1:26" ht="11.25" customHeight="1" x14ac:dyDescent="0.3">
      <c r="A58" s="421">
        <f t="shared" si="0"/>
        <v>20</v>
      </c>
      <c r="B58" s="422">
        <v>44013</v>
      </c>
      <c r="C58" s="422">
        <v>44104</v>
      </c>
      <c r="D58" s="410">
        <f t="shared" si="1"/>
        <v>7217.0099999999993</v>
      </c>
      <c r="E58" s="352">
        <f t="shared" ref="E58:F58" si="62">I58+N58+S58+X58</f>
        <v>24573.86</v>
      </c>
      <c r="F58" s="352">
        <f t="shared" si="62"/>
        <v>385953.18</v>
      </c>
      <c r="G58" s="296">
        <f t="shared" si="4"/>
        <v>6.8684118794910778E-2</v>
      </c>
      <c r="H58" s="419">
        <v>2341.29</v>
      </c>
      <c r="I58" s="419">
        <v>9153.7999999999993</v>
      </c>
      <c r="J58" s="419">
        <f t="shared" si="9"/>
        <v>155699.12000000005</v>
      </c>
      <c r="K58" s="423">
        <f t="shared" si="5"/>
        <v>6.2966950742968097E-2</v>
      </c>
      <c r="L58" s="420">
        <v>500.66</v>
      </c>
      <c r="M58" s="420"/>
      <c r="N58" s="420">
        <v>3518.08</v>
      </c>
      <c r="O58" s="420">
        <f t="shared" si="6"/>
        <v>59271.069999999978</v>
      </c>
      <c r="P58" s="424">
        <f t="shared" si="7"/>
        <v>6.3385790879211937E-2</v>
      </c>
      <c r="Q58" s="419">
        <v>3250.02</v>
      </c>
      <c r="R58" s="419">
        <v>-5</v>
      </c>
      <c r="S58" s="419">
        <v>9379.41</v>
      </c>
      <c r="T58" s="419">
        <f t="shared" si="21"/>
        <v>134589.18</v>
      </c>
      <c r="U58" s="423">
        <f t="shared" si="22"/>
        <v>7.5891481624367596E-2</v>
      </c>
      <c r="V58" s="420">
        <v>1125.04</v>
      </c>
      <c r="W58" s="420">
        <v>-5</v>
      </c>
      <c r="X58" s="420">
        <v>2522.5700000000002</v>
      </c>
      <c r="Y58" s="420">
        <f t="shared" si="17"/>
        <v>36393.810000000005</v>
      </c>
      <c r="Z58" s="424">
        <f t="shared" si="18"/>
        <v>7.5721654621579343E-2</v>
      </c>
    </row>
    <row r="59" spans="1:26" ht="11.25" customHeight="1" x14ac:dyDescent="0.3">
      <c r="A59" s="421">
        <f t="shared" si="0"/>
        <v>4</v>
      </c>
      <c r="B59" s="422">
        <v>44105</v>
      </c>
      <c r="C59" s="422">
        <v>44196</v>
      </c>
      <c r="D59" s="410">
        <f t="shared" si="1"/>
        <v>7890.2699999999995</v>
      </c>
      <c r="E59" s="352">
        <f t="shared" ref="E59:F59" si="63">I59+N59+S59+X59</f>
        <v>52550.63</v>
      </c>
      <c r="F59" s="352">
        <f t="shared" si="63"/>
        <v>446432.66000000003</v>
      </c>
      <c r="G59" s="296">
        <f t="shared" si="4"/>
        <v>0.13478034651162829</v>
      </c>
      <c r="H59" s="419">
        <v>3043.98</v>
      </c>
      <c r="I59" s="419">
        <v>20324.8</v>
      </c>
      <c r="J59" s="419">
        <f t="shared" si="9"/>
        <v>179067.90000000005</v>
      </c>
      <c r="K59" s="423">
        <f t="shared" si="5"/>
        <v>0.12927526080944216</v>
      </c>
      <c r="L59" s="420">
        <v>471.22</v>
      </c>
      <c r="M59" s="420"/>
      <c r="N59" s="420">
        <v>7727.21</v>
      </c>
      <c r="O59" s="420">
        <f t="shared" si="6"/>
        <v>67469.499999999985</v>
      </c>
      <c r="P59" s="424">
        <f t="shared" si="7"/>
        <v>0.12985449700773094</v>
      </c>
      <c r="Q59" s="419">
        <v>3250.02</v>
      </c>
      <c r="R59" s="419">
        <v>39.450000000000003</v>
      </c>
      <c r="S59" s="419">
        <v>19269.02</v>
      </c>
      <c r="T59" s="419">
        <f t="shared" si="21"/>
        <v>157147.66999999998</v>
      </c>
      <c r="U59" s="423">
        <f t="shared" si="22"/>
        <v>0.14146117963187241</v>
      </c>
      <c r="V59" s="420">
        <v>1125.05</v>
      </c>
      <c r="W59" s="420">
        <v>-0.87</v>
      </c>
      <c r="X59" s="420">
        <v>5229.6000000000004</v>
      </c>
      <c r="Y59" s="420">
        <f t="shared" si="17"/>
        <v>42747.590000000004</v>
      </c>
      <c r="Z59" s="424">
        <f t="shared" si="18"/>
        <v>0.14150753855868012</v>
      </c>
    </row>
    <row r="60" spans="1:26" ht="11.25" customHeight="1" x14ac:dyDescent="0.3">
      <c r="A60" s="421">
        <f t="shared" si="0"/>
        <v>29</v>
      </c>
      <c r="B60" s="422">
        <v>44197</v>
      </c>
      <c r="C60" s="422">
        <v>44286</v>
      </c>
      <c r="D60" s="410">
        <f t="shared" si="1"/>
        <v>7692.97</v>
      </c>
      <c r="E60" s="352">
        <f t="shared" ref="E60:F60" si="64">I60+N60+S60+X60</f>
        <v>23221.300000000003</v>
      </c>
      <c r="F60" s="352">
        <f t="shared" si="64"/>
        <v>477336.93000000005</v>
      </c>
      <c r="G60" s="296">
        <f t="shared" si="4"/>
        <v>5.1570898314644356E-2</v>
      </c>
      <c r="H60" s="419">
        <v>3135.9</v>
      </c>
      <c r="I60" s="419">
        <v>9365.5400000000009</v>
      </c>
      <c r="J60" s="419">
        <f t="shared" si="9"/>
        <v>191569.34000000005</v>
      </c>
      <c r="K60" s="423">
        <f t="shared" si="5"/>
        <v>5.1847626038795717E-2</v>
      </c>
      <c r="L60" s="420">
        <v>182</v>
      </c>
      <c r="M60" s="420"/>
      <c r="N60" s="420">
        <v>3519.58</v>
      </c>
      <c r="O60" s="420">
        <f t="shared" si="6"/>
        <v>71171.079999999987</v>
      </c>
      <c r="P60" s="424">
        <f t="shared" si="7"/>
        <v>5.2095233161388692E-2</v>
      </c>
      <c r="Q60" s="419">
        <v>3250.02</v>
      </c>
      <c r="R60" s="419">
        <v>-5</v>
      </c>
      <c r="S60" s="419">
        <v>8122.69</v>
      </c>
      <c r="T60" s="419">
        <f t="shared" si="21"/>
        <v>168515.37999999998</v>
      </c>
      <c r="U60" s="423">
        <f t="shared" si="22"/>
        <v>5.1159242257547081E-2</v>
      </c>
      <c r="V60" s="420">
        <v>1125.05</v>
      </c>
      <c r="W60" s="420">
        <v>-5</v>
      </c>
      <c r="X60" s="420">
        <v>2213.4899999999998</v>
      </c>
      <c r="Y60" s="420">
        <f t="shared" si="17"/>
        <v>46081.130000000005</v>
      </c>
      <c r="Z60" s="424">
        <f t="shared" si="18"/>
        <v>5.1107922479540852E-2</v>
      </c>
    </row>
    <row r="61" spans="1:26" ht="11.25" customHeight="1" x14ac:dyDescent="0.3">
      <c r="A61" s="421">
        <f t="shared" si="0"/>
        <v>19</v>
      </c>
      <c r="B61" s="422">
        <v>44287</v>
      </c>
      <c r="C61" s="422">
        <v>44377</v>
      </c>
      <c r="D61" s="410">
        <f t="shared" si="1"/>
        <v>9395.75</v>
      </c>
      <c r="E61" s="352">
        <f t="shared" ref="E61:F61" si="65">I61+N61+S61+X61</f>
        <v>33364.39</v>
      </c>
      <c r="F61" s="352">
        <f t="shared" si="65"/>
        <v>520087.07</v>
      </c>
      <c r="G61" s="296">
        <f t="shared" si="4"/>
        <v>6.9215728104944613E-2</v>
      </c>
      <c r="H61" s="419">
        <v>3722.18</v>
      </c>
      <c r="I61" s="419">
        <v>13315.57</v>
      </c>
      <c r="J61" s="419">
        <f t="shared" si="9"/>
        <v>208607.09000000005</v>
      </c>
      <c r="K61" s="423">
        <f t="shared" si="5"/>
        <v>6.8839065290812809E-2</v>
      </c>
      <c r="L61" s="420">
        <v>1152.69</v>
      </c>
      <c r="M61" s="420"/>
      <c r="N61" s="420">
        <v>4935.9399999999996</v>
      </c>
      <c r="O61" s="420">
        <f t="shared" si="6"/>
        <v>77259.709999999992</v>
      </c>
      <c r="P61" s="424">
        <f t="shared" si="7"/>
        <v>6.8796057837615776E-2</v>
      </c>
      <c r="Q61" s="419">
        <v>3358.36</v>
      </c>
      <c r="R61" s="419">
        <v>-5</v>
      </c>
      <c r="S61" s="419">
        <v>11862.74</v>
      </c>
      <c r="T61" s="419">
        <f t="shared" si="21"/>
        <v>183731.47999999995</v>
      </c>
      <c r="U61" s="423">
        <f t="shared" si="22"/>
        <v>6.9701052724599435E-2</v>
      </c>
      <c r="V61" s="420">
        <v>1162.52</v>
      </c>
      <c r="W61" s="420">
        <v>-5</v>
      </c>
      <c r="X61" s="420">
        <v>3250.14</v>
      </c>
      <c r="Y61" s="420">
        <f t="shared" si="17"/>
        <v>50488.79</v>
      </c>
      <c r="Z61" s="424">
        <f t="shared" si="18"/>
        <v>6.9652240273162164E-2</v>
      </c>
    </row>
    <row r="62" spans="1:26" ht="11.25" customHeight="1" x14ac:dyDescent="0.3">
      <c r="A62" s="421">
        <f t="shared" si="0"/>
        <v>60</v>
      </c>
      <c r="B62" s="422">
        <v>44378</v>
      </c>
      <c r="C62" s="422">
        <v>44469</v>
      </c>
      <c r="D62" s="410">
        <f t="shared" si="1"/>
        <v>8662.85</v>
      </c>
      <c r="E62" s="352">
        <f t="shared" ref="E62:F62" si="66">I62+N62+S62+X62</f>
        <v>-2806.3399999999997</v>
      </c>
      <c r="F62" s="352">
        <f t="shared" si="66"/>
        <v>525933.58000000007</v>
      </c>
      <c r="G62" s="296">
        <f t="shared" si="4"/>
        <v>-5.351336817363773E-3</v>
      </c>
      <c r="H62" s="419">
        <v>3263.16</v>
      </c>
      <c r="I62" s="419">
        <v>-830.29</v>
      </c>
      <c r="J62" s="419">
        <f t="shared" si="9"/>
        <v>211039.96000000005</v>
      </c>
      <c r="K62" s="423">
        <f t="shared" si="5"/>
        <v>-3.9492734614426537E-3</v>
      </c>
      <c r="L62" s="420">
        <v>667.35</v>
      </c>
      <c r="M62" s="420"/>
      <c r="N62" s="420">
        <v>-288.94</v>
      </c>
      <c r="O62" s="420">
        <f t="shared" si="6"/>
        <v>77638.12</v>
      </c>
      <c r="P62" s="424">
        <f t="shared" si="7"/>
        <v>-3.7237710405339324E-3</v>
      </c>
      <c r="Q62" s="419">
        <v>3515.44</v>
      </c>
      <c r="R62" s="419">
        <v>-5</v>
      </c>
      <c r="S62" s="419">
        <v>-1319.84</v>
      </c>
      <c r="T62" s="419">
        <f t="shared" si="21"/>
        <v>185922.07999999996</v>
      </c>
      <c r="U62" s="423">
        <f t="shared" si="22"/>
        <v>-7.1154547003275679E-3</v>
      </c>
      <c r="V62" s="420">
        <v>1216.9000000000001</v>
      </c>
      <c r="W62" s="420">
        <v>-5</v>
      </c>
      <c r="X62" s="420">
        <v>-367.27</v>
      </c>
      <c r="Y62" s="420">
        <f t="shared" si="17"/>
        <v>51333.420000000006</v>
      </c>
      <c r="Z62" s="424">
        <f t="shared" si="18"/>
        <v>-7.1876680619148902E-3</v>
      </c>
    </row>
    <row r="63" spans="1:26" ht="11.25" customHeight="1" x14ac:dyDescent="0.3">
      <c r="A63" s="421">
        <f t="shared" si="0"/>
        <v>23</v>
      </c>
      <c r="B63" s="422">
        <v>44470</v>
      </c>
      <c r="C63" s="422">
        <v>44561</v>
      </c>
      <c r="D63" s="410">
        <f t="shared" si="1"/>
        <v>9311.3900000000012</v>
      </c>
      <c r="E63" s="352">
        <f t="shared" ref="E63:F63" si="67">I63+N63+S63+X63</f>
        <v>34528.080000000002</v>
      </c>
      <c r="F63" s="352">
        <f t="shared" si="67"/>
        <v>569814.69000000006</v>
      </c>
      <c r="G63" s="296">
        <f t="shared" si="4"/>
        <v>6.507496782704475E-2</v>
      </c>
      <c r="H63" s="419">
        <v>3879.38</v>
      </c>
      <c r="I63" s="419">
        <v>13905.92</v>
      </c>
      <c r="J63" s="419">
        <f t="shared" si="9"/>
        <v>228825.26000000007</v>
      </c>
      <c r="K63" s="423">
        <f t="shared" si="5"/>
        <v>6.5292247404857673E-2</v>
      </c>
      <c r="L63" s="420">
        <v>371.59</v>
      </c>
      <c r="M63" s="420"/>
      <c r="N63" s="420">
        <v>5097.01</v>
      </c>
      <c r="O63" s="420">
        <f t="shared" si="6"/>
        <v>83106.719999999987</v>
      </c>
      <c r="P63" s="424">
        <f t="shared" si="7"/>
        <v>6.5494135061182679E-2</v>
      </c>
      <c r="Q63" s="419">
        <v>3759.15</v>
      </c>
      <c r="R63" s="419">
        <v>43.2</v>
      </c>
      <c r="S63" s="419">
        <v>12162.04</v>
      </c>
      <c r="T63" s="419">
        <f t="shared" si="21"/>
        <v>201886.46999999997</v>
      </c>
      <c r="U63" s="423">
        <f t="shared" si="22"/>
        <v>6.4760025677090022E-2</v>
      </c>
      <c r="V63" s="420">
        <v>1301.27</v>
      </c>
      <c r="W63" s="420">
        <v>-1.56</v>
      </c>
      <c r="X63" s="420">
        <v>3363.11</v>
      </c>
      <c r="Y63" s="420">
        <f t="shared" si="17"/>
        <v>55996.240000000005</v>
      </c>
      <c r="Z63" s="424">
        <f t="shared" si="18"/>
        <v>6.4695030043346938E-2</v>
      </c>
    </row>
    <row r="64" spans="1:26" ht="11.25" customHeight="1" x14ac:dyDescent="0.3">
      <c r="A64" s="421">
        <f t="shared" si="0"/>
        <v>69</v>
      </c>
      <c r="B64" s="422">
        <v>44562</v>
      </c>
      <c r="C64" s="422">
        <v>44651</v>
      </c>
      <c r="D64" s="410">
        <f t="shared" si="1"/>
        <v>8989.7800000000007</v>
      </c>
      <c r="E64" s="352">
        <f t="shared" ref="E64:F64" si="68">I64+N64+S64+X64</f>
        <v>-33020.32</v>
      </c>
      <c r="F64" s="352">
        <f t="shared" si="68"/>
        <v>545774.14999999991</v>
      </c>
      <c r="G64" s="296">
        <f t="shared" si="4"/>
        <v>-5.7495680291455339E-2</v>
      </c>
      <c r="H64" s="419">
        <v>3295.8</v>
      </c>
      <c r="I64" s="419">
        <v>-13162.7</v>
      </c>
      <c r="J64" s="419">
        <f t="shared" si="9"/>
        <v>218958.36000000004</v>
      </c>
      <c r="K64" s="423">
        <f t="shared" si="5"/>
        <v>-5.7111639377010311E-2</v>
      </c>
      <c r="L64" s="420">
        <v>508.81</v>
      </c>
      <c r="M64" s="420"/>
      <c r="N64" s="420">
        <v>-4788.0200000000004</v>
      </c>
      <c r="O64" s="420">
        <f t="shared" si="6"/>
        <v>78827.50999999998</v>
      </c>
      <c r="P64" s="424">
        <f t="shared" si="7"/>
        <v>-5.7437084732241815E-2</v>
      </c>
      <c r="Q64" s="419">
        <v>3851.81</v>
      </c>
      <c r="R64" s="419">
        <v>-5</v>
      </c>
      <c r="S64" s="419">
        <v>-11799.38</v>
      </c>
      <c r="T64" s="419">
        <f t="shared" si="21"/>
        <v>193933.89999999997</v>
      </c>
      <c r="U64" s="423">
        <f t="shared" si="22"/>
        <v>-5.7893344307478882E-2</v>
      </c>
      <c r="V64" s="420">
        <v>1333.36</v>
      </c>
      <c r="W64" s="420">
        <v>-5</v>
      </c>
      <c r="X64" s="420">
        <v>-3270.22</v>
      </c>
      <c r="Y64" s="420">
        <f t="shared" si="17"/>
        <v>54054.380000000005</v>
      </c>
      <c r="Z64" s="424">
        <f t="shared" si="18"/>
        <v>-5.7713580592034429E-2</v>
      </c>
    </row>
    <row r="65" spans="1:26" ht="11.25" customHeight="1" x14ac:dyDescent="0.3">
      <c r="A65" s="421">
        <f t="shared" si="0"/>
        <v>73</v>
      </c>
      <c r="B65" s="427">
        <v>44652</v>
      </c>
      <c r="C65" s="427">
        <v>44742</v>
      </c>
      <c r="D65" s="428">
        <f t="shared" si="1"/>
        <v>9559.6299999999992</v>
      </c>
      <c r="E65" s="429">
        <f t="shared" ref="E65:F65" si="69">I65+N65+S65+X65</f>
        <v>-81085.710000000006</v>
      </c>
      <c r="F65" s="429">
        <f t="shared" si="69"/>
        <v>474238.07</v>
      </c>
      <c r="G65" s="434">
        <f t="shared" si="4"/>
        <v>-0.14728022165819846</v>
      </c>
      <c r="H65" s="430">
        <v>3845.1</v>
      </c>
      <c r="I65" s="430">
        <v>-32359.85</v>
      </c>
      <c r="J65" s="430">
        <f t="shared" si="9"/>
        <v>190443.61000000004</v>
      </c>
      <c r="K65" s="431">
        <f t="shared" si="5"/>
        <v>-0.14650360685312278</v>
      </c>
      <c r="L65" s="432">
        <v>572.42999999999995</v>
      </c>
      <c r="M65" s="432"/>
      <c r="N65" s="432">
        <v>-11601.04</v>
      </c>
      <c r="O65" s="432">
        <f t="shared" si="6"/>
        <v>67798.899999999965</v>
      </c>
      <c r="P65" s="433">
        <f t="shared" si="7"/>
        <v>-0.14663751453998664</v>
      </c>
      <c r="Q65" s="430">
        <v>3819.84</v>
      </c>
      <c r="R65" s="430">
        <v>-5</v>
      </c>
      <c r="S65" s="430">
        <v>-29017.27</v>
      </c>
      <c r="T65" s="430">
        <f t="shared" si="21"/>
        <v>168731.46999999997</v>
      </c>
      <c r="U65" s="431">
        <f t="shared" si="22"/>
        <v>-0.14816535951964174</v>
      </c>
      <c r="V65" s="432">
        <v>1322.26</v>
      </c>
      <c r="W65" s="432">
        <v>-5</v>
      </c>
      <c r="X65" s="432">
        <v>-8107.55</v>
      </c>
      <c r="Y65" s="432">
        <f t="shared" si="17"/>
        <v>47264.090000000004</v>
      </c>
      <c r="Z65" s="433">
        <f t="shared" si="18"/>
        <v>-0.14817644941991767</v>
      </c>
    </row>
    <row r="66" spans="1:26" ht="11.25" customHeight="1" x14ac:dyDescent="0.3">
      <c r="A66" s="421">
        <f t="shared" si="0"/>
        <v>68</v>
      </c>
      <c r="B66" s="422">
        <v>44743</v>
      </c>
      <c r="C66" s="422">
        <v>44834</v>
      </c>
      <c r="D66" s="410">
        <f t="shared" si="1"/>
        <v>9265.27</v>
      </c>
      <c r="E66" s="352">
        <f t="shared" ref="E66:F66" si="70">I66+N66+S66+X66</f>
        <v>-25104.760000000002</v>
      </c>
      <c r="F66" s="352">
        <f t="shared" si="70"/>
        <v>458388.58</v>
      </c>
      <c r="G66" s="296">
        <f t="shared" si="4"/>
        <v>-5.2424923341259727E-2</v>
      </c>
      <c r="H66" s="419">
        <v>3380.7</v>
      </c>
      <c r="I66" s="419">
        <v>-9909.2900000000009</v>
      </c>
      <c r="J66" s="419">
        <f t="shared" si="9"/>
        <v>183915.02000000005</v>
      </c>
      <c r="K66" s="423">
        <f t="shared" si="5"/>
        <v>-5.1574901178323695E-2</v>
      </c>
      <c r="L66" s="420">
        <v>477.07</v>
      </c>
      <c r="M66" s="420"/>
      <c r="N66" s="420">
        <v>-3445.67</v>
      </c>
      <c r="O66" s="420">
        <f t="shared" si="6"/>
        <v>64830.299999999974</v>
      </c>
      <c r="P66" s="424">
        <f t="shared" si="7"/>
        <v>-5.0643737524790608E-2</v>
      </c>
      <c r="Q66" s="419">
        <v>4017</v>
      </c>
      <c r="R66" s="419">
        <v>-5</v>
      </c>
      <c r="S66" s="419">
        <v>-9161.0300000000007</v>
      </c>
      <c r="T66" s="419">
        <f t="shared" si="21"/>
        <v>163582.43999999997</v>
      </c>
      <c r="U66" s="423">
        <f t="shared" si="22"/>
        <v>-5.3654864763066329E-2</v>
      </c>
      <c r="V66" s="420">
        <v>1390.5</v>
      </c>
      <c r="W66" s="420">
        <v>-5</v>
      </c>
      <c r="X66" s="420">
        <v>-2588.77</v>
      </c>
      <c r="Y66" s="420">
        <f t="shared" si="17"/>
        <v>46060.820000000007</v>
      </c>
      <c r="Z66" s="424">
        <f t="shared" si="18"/>
        <v>-5.3978432563917683E-2</v>
      </c>
    </row>
    <row r="67" spans="1:26" ht="11.25" customHeight="1" x14ac:dyDescent="0.3">
      <c r="A67" s="421">
        <f t="shared" si="0"/>
        <v>16</v>
      </c>
      <c r="B67" s="422">
        <v>44835</v>
      </c>
      <c r="C67" s="422">
        <v>44926</v>
      </c>
      <c r="D67" s="410">
        <f t="shared" si="1"/>
        <v>9930.630000000001</v>
      </c>
      <c r="E67" s="352">
        <f t="shared" ref="E67:F67" si="71">I67+N67+S67+X67</f>
        <v>33263.85</v>
      </c>
      <c r="F67" s="352">
        <f t="shared" si="71"/>
        <v>501614.6</v>
      </c>
      <c r="G67" s="296">
        <f t="shared" si="4"/>
        <v>7.1789296170694752E-2</v>
      </c>
      <c r="H67" s="419">
        <v>4014.32</v>
      </c>
      <c r="I67" s="419">
        <v>13678.97</v>
      </c>
      <c r="J67" s="419">
        <f t="shared" si="9"/>
        <v>201608.31000000006</v>
      </c>
      <c r="K67" s="423">
        <f t="shared" si="5"/>
        <v>7.3573631720540253E-2</v>
      </c>
      <c r="L67" s="420">
        <v>508.81</v>
      </c>
      <c r="M67" s="420"/>
      <c r="N67" s="420">
        <v>4811.8999999999996</v>
      </c>
      <c r="O67" s="420">
        <f t="shared" si="6"/>
        <v>70151.009999999966</v>
      </c>
      <c r="P67" s="424">
        <f t="shared" si="7"/>
        <v>7.3932884845986493E-2</v>
      </c>
      <c r="Q67" s="419">
        <v>4017</v>
      </c>
      <c r="R67" s="419">
        <v>34.32</v>
      </c>
      <c r="S67" s="419">
        <v>11526.26</v>
      </c>
      <c r="T67" s="419">
        <f t="shared" si="21"/>
        <v>179160.02</v>
      </c>
      <c r="U67" s="423">
        <f t="shared" si="22"/>
        <v>6.9606827523293252E-2</v>
      </c>
      <c r="V67" s="420">
        <v>1390.5</v>
      </c>
      <c r="W67" s="420">
        <v>-2.78</v>
      </c>
      <c r="X67" s="420">
        <v>3246.72</v>
      </c>
      <c r="Y67" s="420">
        <f t="shared" si="17"/>
        <v>50695.260000000009</v>
      </c>
      <c r="Z67" s="424">
        <f t="shared" si="18"/>
        <v>6.9439540149546342E-2</v>
      </c>
    </row>
    <row r="68" spans="1:26" ht="11.25" customHeight="1" x14ac:dyDescent="0.3">
      <c r="A68" s="421">
        <f t="shared" si="0"/>
        <v>22</v>
      </c>
      <c r="B68" s="427">
        <v>44927</v>
      </c>
      <c r="C68" s="427">
        <v>45016</v>
      </c>
      <c r="D68" s="428">
        <f t="shared" si="1"/>
        <v>12386.3</v>
      </c>
      <c r="E68" s="429">
        <f t="shared" ref="E68:F68" si="72">I68+N68+S68+X68</f>
        <v>33062.86</v>
      </c>
      <c r="F68" s="429">
        <f t="shared" si="72"/>
        <v>547053.76</v>
      </c>
      <c r="G68" s="434">
        <f t="shared" si="4"/>
        <v>6.5109010250434349E-2</v>
      </c>
      <c r="H68" s="430">
        <v>4901.84</v>
      </c>
      <c r="I68" s="430">
        <v>13482.75</v>
      </c>
      <c r="J68" s="430">
        <f t="shared" si="9"/>
        <v>219992.90000000005</v>
      </c>
      <c r="K68" s="431">
        <f t="shared" si="5"/>
        <v>6.6072728001570893E-2</v>
      </c>
      <c r="L68" s="432">
        <v>531.96</v>
      </c>
      <c r="M68" s="432"/>
      <c r="N68" s="432">
        <v>4673.3</v>
      </c>
      <c r="O68" s="432">
        <f t="shared" si="6"/>
        <v>75356.269999999975</v>
      </c>
      <c r="P68" s="433">
        <f t="shared" si="7"/>
        <v>6.6366085798327965E-2</v>
      </c>
      <c r="Q68" s="430">
        <v>5562</v>
      </c>
      <c r="R68" s="430">
        <v>-5</v>
      </c>
      <c r="S68" s="430">
        <v>11622.05</v>
      </c>
      <c r="T68" s="430">
        <f t="shared" si="21"/>
        <v>196339.06999999998</v>
      </c>
      <c r="U68" s="431">
        <f t="shared" si="22"/>
        <v>6.3878118304492304E-2</v>
      </c>
      <c r="V68" s="432">
        <v>1390.5</v>
      </c>
      <c r="W68" s="432">
        <v>-5</v>
      </c>
      <c r="X68" s="432">
        <v>3284.76</v>
      </c>
      <c r="Y68" s="432">
        <f t="shared" si="17"/>
        <v>55365.520000000011</v>
      </c>
      <c r="Z68" s="433">
        <f t="shared" si="18"/>
        <v>6.3917637711709802E-2</v>
      </c>
    </row>
    <row r="69" spans="1:26" ht="11.25" customHeight="1" x14ac:dyDescent="0.3">
      <c r="A69" s="421">
        <f t="shared" si="0"/>
        <v>25</v>
      </c>
      <c r="B69" s="422">
        <v>45017</v>
      </c>
      <c r="C69" s="422">
        <v>45107</v>
      </c>
      <c r="D69" s="410">
        <f t="shared" si="1"/>
        <v>14328.099999999999</v>
      </c>
      <c r="E69" s="352">
        <f t="shared" ref="E69:F69" si="73">I69+N69+S69+X69</f>
        <v>34397.699999999997</v>
      </c>
      <c r="F69" s="352">
        <f t="shared" si="73"/>
        <v>595769.56000000006</v>
      </c>
      <c r="G69" s="296">
        <f t="shared" si="4"/>
        <v>6.2065309665887483E-2</v>
      </c>
      <c r="H69" s="419">
        <v>6041</v>
      </c>
      <c r="I69" s="419">
        <v>13966.9</v>
      </c>
      <c r="J69" s="419">
        <f t="shared" si="9"/>
        <v>240000.80000000005</v>
      </c>
      <c r="K69" s="423">
        <f t="shared" si="5"/>
        <v>6.2628075263638852E-2</v>
      </c>
      <c r="L69" s="420">
        <v>721.98</v>
      </c>
      <c r="M69" s="420"/>
      <c r="N69" s="420">
        <v>4714.47</v>
      </c>
      <c r="O69" s="420">
        <f t="shared" si="6"/>
        <v>80792.719999999972</v>
      </c>
      <c r="P69" s="424">
        <f t="shared" si="7"/>
        <v>6.2264138982313963E-2</v>
      </c>
      <c r="Q69" s="419">
        <v>6052.07</v>
      </c>
      <c r="R69" s="419">
        <v>-5</v>
      </c>
      <c r="S69" s="419">
        <v>12265.99</v>
      </c>
      <c r="T69" s="419">
        <f t="shared" si="21"/>
        <v>214652.12999999998</v>
      </c>
      <c r="U69" s="423">
        <f t="shared" si="22"/>
        <v>6.1525260401011507E-2</v>
      </c>
      <c r="V69" s="420">
        <v>1513.05</v>
      </c>
      <c r="W69" s="420">
        <v>-5</v>
      </c>
      <c r="X69" s="420">
        <v>3450.34</v>
      </c>
      <c r="Y69" s="420">
        <f t="shared" si="17"/>
        <v>60323.910000000018</v>
      </c>
      <c r="Z69" s="424">
        <f t="shared" si="18"/>
        <v>6.1479227993206577E-2</v>
      </c>
    </row>
    <row r="70" spans="1:26" ht="11.25" customHeight="1" x14ac:dyDescent="0.3">
      <c r="A70" s="421">
        <f t="shared" si="0"/>
        <v>66</v>
      </c>
      <c r="B70" s="427">
        <v>45108</v>
      </c>
      <c r="C70" s="427">
        <v>45199</v>
      </c>
      <c r="D70" s="428">
        <f t="shared" si="1"/>
        <v>8695.1500000000015</v>
      </c>
      <c r="E70" s="429">
        <f t="shared" ref="E70:F70" si="74">I70+N70+S70+X70</f>
        <v>-20377.89</v>
      </c>
      <c r="F70" s="429">
        <f t="shared" si="74"/>
        <v>584076.81999999995</v>
      </c>
      <c r="G70" s="434">
        <f t="shared" si="4"/>
        <v>-3.3956520838219359E-2</v>
      </c>
      <c r="H70" s="430">
        <v>2705.4</v>
      </c>
      <c r="I70" s="430">
        <v>-8220.6</v>
      </c>
      <c r="J70" s="430">
        <f t="shared" si="9"/>
        <v>234485.60000000003</v>
      </c>
      <c r="K70" s="431">
        <f t="shared" si="5"/>
        <v>-3.4060413459924957E-2</v>
      </c>
      <c r="L70" s="432">
        <v>569.95000000000005</v>
      </c>
      <c r="M70" s="432"/>
      <c r="N70" s="432">
        <v>-2746.93</v>
      </c>
      <c r="O70" s="432">
        <f t="shared" si="6"/>
        <v>78615.739999999976</v>
      </c>
      <c r="P70" s="433">
        <f t="shared" si="7"/>
        <v>-3.388021822771356E-2</v>
      </c>
      <c r="Q70" s="430">
        <v>3879.36</v>
      </c>
      <c r="R70" s="430">
        <v>-5</v>
      </c>
      <c r="S70" s="430">
        <v>-7333.51</v>
      </c>
      <c r="T70" s="430">
        <f t="shared" si="21"/>
        <v>211192.97999999995</v>
      </c>
      <c r="U70" s="431">
        <f t="shared" si="22"/>
        <v>-3.3858667139814759E-2</v>
      </c>
      <c r="V70" s="432">
        <v>1540.44</v>
      </c>
      <c r="W70" s="432">
        <v>-5</v>
      </c>
      <c r="X70" s="432">
        <v>-2076.85</v>
      </c>
      <c r="Y70" s="432">
        <f t="shared" si="17"/>
        <v>59782.500000000022</v>
      </c>
      <c r="Z70" s="433">
        <f t="shared" si="18"/>
        <v>-3.3994264260739933E-2</v>
      </c>
    </row>
    <row r="71" spans="1:26" ht="11.25" customHeight="1" x14ac:dyDescent="0.3">
      <c r="A71" s="421">
        <f t="shared" si="0"/>
        <v>5</v>
      </c>
      <c r="B71" s="427">
        <v>45200</v>
      </c>
      <c r="C71" s="427">
        <v>45291</v>
      </c>
      <c r="D71" s="428">
        <f t="shared" si="1"/>
        <v>7745.54</v>
      </c>
      <c r="E71" s="429">
        <f t="shared" ref="E71:F71" si="75">I71+N71+S71+X71</f>
        <v>67381.100000000006</v>
      </c>
      <c r="F71" s="429">
        <f t="shared" si="75"/>
        <v>659246.27</v>
      </c>
      <c r="G71" s="434">
        <f t="shared" si="4"/>
        <v>0.11460353259196934</v>
      </c>
      <c r="H71" s="430">
        <v>2525.04</v>
      </c>
      <c r="I71" s="430">
        <v>26988.77</v>
      </c>
      <c r="J71" s="430">
        <f t="shared" si="9"/>
        <v>263999.41000000003</v>
      </c>
      <c r="K71" s="431">
        <f t="shared" si="5"/>
        <v>0.11448137953337655</v>
      </c>
      <c r="L71" s="432">
        <v>259.39999999999998</v>
      </c>
      <c r="M71" s="432"/>
      <c r="N71" s="432">
        <v>9008.08</v>
      </c>
      <c r="O71" s="432">
        <f t="shared" si="6"/>
        <v>87883.219999999972</v>
      </c>
      <c r="P71" s="433">
        <f t="shared" si="7"/>
        <v>0.11439494147216656</v>
      </c>
      <c r="Q71" s="430">
        <v>3421.44</v>
      </c>
      <c r="R71" s="430">
        <v>43.83</v>
      </c>
      <c r="S71" s="430">
        <v>24426.68</v>
      </c>
      <c r="T71" s="430">
        <f t="shared" si="21"/>
        <v>239084.92999999993</v>
      </c>
      <c r="U71" s="431">
        <f t="shared" si="22"/>
        <v>0.11473112022008075</v>
      </c>
      <c r="V71" s="432">
        <v>1539.66</v>
      </c>
      <c r="W71" s="432">
        <v>-1.02</v>
      </c>
      <c r="X71" s="432">
        <v>6957.57</v>
      </c>
      <c r="Y71" s="432">
        <f t="shared" si="17"/>
        <v>68278.710000000021</v>
      </c>
      <c r="Z71" s="433">
        <f t="shared" si="18"/>
        <v>0.11490177174024513</v>
      </c>
    </row>
    <row r="72" spans="1:26" ht="11.25" customHeight="1" x14ac:dyDescent="0.3">
      <c r="A72" s="421">
        <f t="shared" si="0"/>
        <v>15</v>
      </c>
      <c r="B72" s="427">
        <v>45292</v>
      </c>
      <c r="C72" s="427">
        <v>45382</v>
      </c>
      <c r="D72" s="428">
        <f t="shared" si="1"/>
        <v>7595.43</v>
      </c>
      <c r="E72" s="429">
        <f t="shared" ref="E72:F72" si="76">I72+N72+S72+X72</f>
        <v>49773.11</v>
      </c>
      <c r="F72" s="429">
        <f t="shared" si="76"/>
        <v>716604.80999999994</v>
      </c>
      <c r="G72" s="434">
        <f t="shared" si="4"/>
        <v>7.5067583940151422E-2</v>
      </c>
      <c r="H72" s="430">
        <v>2164.3200000000002</v>
      </c>
      <c r="I72" s="430">
        <v>20180.509999999998</v>
      </c>
      <c r="J72" s="430">
        <f t="shared" si="9"/>
        <v>286344.24000000005</v>
      </c>
      <c r="K72" s="431">
        <f t="shared" si="5"/>
        <v>7.6129434422770315E-2</v>
      </c>
      <c r="L72" s="432">
        <v>327.45999999999998</v>
      </c>
      <c r="M72" s="432"/>
      <c r="N72" s="432">
        <v>6689.22</v>
      </c>
      <c r="O72" s="432">
        <f t="shared" si="6"/>
        <v>94899.89999999998</v>
      </c>
      <c r="P72" s="433">
        <f t="shared" si="7"/>
        <v>7.597333013806841E-2</v>
      </c>
      <c r="Q72" s="430">
        <v>3421.44</v>
      </c>
      <c r="R72" s="430">
        <v>-5</v>
      </c>
      <c r="S72" s="430">
        <v>17786.68</v>
      </c>
      <c r="T72" s="430">
        <f t="shared" si="21"/>
        <v>260288.04999999993</v>
      </c>
      <c r="U72" s="431">
        <f t="shared" si="22"/>
        <v>7.3866284544592084E-2</v>
      </c>
      <c r="V72" s="432">
        <v>1682.21</v>
      </c>
      <c r="W72" s="432">
        <v>-5</v>
      </c>
      <c r="X72" s="432">
        <v>5116.7</v>
      </c>
      <c r="Y72" s="432">
        <f t="shared" si="17"/>
        <v>75072.620000000024</v>
      </c>
      <c r="Z72" s="433">
        <f t="shared" si="18"/>
        <v>7.402652915086648E-2</v>
      </c>
    </row>
    <row r="73" spans="1:26" ht="11.25" customHeight="1" x14ac:dyDescent="0.3">
      <c r="A73" s="421">
        <f t="shared" si="0"/>
        <v>46</v>
      </c>
      <c r="B73" s="422">
        <v>45383</v>
      </c>
      <c r="C73" s="422">
        <v>45473</v>
      </c>
      <c r="D73" s="410">
        <f t="shared" si="1"/>
        <v>8308.86</v>
      </c>
      <c r="E73" s="352">
        <f t="shared" ref="E73:F73" si="77">I73+N73+S73+X73</f>
        <v>12647.249999999998</v>
      </c>
      <c r="F73" s="352">
        <f t="shared" si="77"/>
        <v>737550.92</v>
      </c>
      <c r="G73" s="296">
        <f t="shared" si="4"/>
        <v>1.7547121560314644E-2</v>
      </c>
      <c r="H73" s="419">
        <v>2525.04</v>
      </c>
      <c r="I73" s="419">
        <v>4888.4399999999996</v>
      </c>
      <c r="J73" s="419">
        <f t="shared" si="9"/>
        <v>293757.72000000003</v>
      </c>
      <c r="K73" s="423">
        <f t="shared" si="5"/>
        <v>1.6996957929639758E-2</v>
      </c>
      <c r="L73" s="420">
        <v>600.34</v>
      </c>
      <c r="M73" s="420"/>
      <c r="N73" s="420">
        <v>1614.03</v>
      </c>
      <c r="O73" s="420">
        <f t="shared" si="6"/>
        <v>97114.269999999975</v>
      </c>
      <c r="P73" s="424">
        <f t="shared" si="7"/>
        <v>1.6954084172417103E-2</v>
      </c>
      <c r="Q73" s="419">
        <v>3455.64</v>
      </c>
      <c r="R73" s="419">
        <v>-5</v>
      </c>
      <c r="S73" s="419">
        <v>4756.29</v>
      </c>
      <c r="T73" s="419">
        <f t="shared" si="21"/>
        <v>268494.97999999992</v>
      </c>
      <c r="U73" s="423">
        <f t="shared" si="22"/>
        <v>1.8152679072454662E-2</v>
      </c>
      <c r="V73" s="420">
        <v>1727.84</v>
      </c>
      <c r="W73" s="420">
        <v>-5</v>
      </c>
      <c r="X73" s="420">
        <v>1388.49</v>
      </c>
      <c r="Y73" s="420">
        <f t="shared" si="17"/>
        <v>78183.950000000026</v>
      </c>
      <c r="Z73" s="424">
        <f t="shared" si="18"/>
        <v>1.8284873132223295E-2</v>
      </c>
    </row>
    <row r="74" spans="1:26" ht="11.25" customHeight="1" x14ac:dyDescent="0.3">
      <c r="A74" s="421">
        <f t="shared" si="0"/>
        <v>24</v>
      </c>
      <c r="B74" s="422">
        <v>45474</v>
      </c>
      <c r="C74" s="422">
        <v>45565</v>
      </c>
      <c r="D74" s="410">
        <f t="shared" si="1"/>
        <v>8470.7900000000009</v>
      </c>
      <c r="E74" s="352">
        <f t="shared" ref="E74:F74" si="78">I74+N74+S74+X74</f>
        <v>47123.93</v>
      </c>
      <c r="F74" s="352">
        <f t="shared" si="78"/>
        <v>793135.6399999999</v>
      </c>
      <c r="G74" s="296">
        <f t="shared" si="4"/>
        <v>6.3527634639633374E-2</v>
      </c>
      <c r="H74" s="419">
        <v>2651.04</v>
      </c>
      <c r="I74" s="419">
        <v>18444.8</v>
      </c>
      <c r="J74" s="419">
        <f t="shared" si="9"/>
        <v>314853.56</v>
      </c>
      <c r="K74" s="423">
        <f t="shared" si="5"/>
        <v>6.2507108163784547E-2</v>
      </c>
      <c r="L74" s="420">
        <v>518.47</v>
      </c>
      <c r="M74" s="420"/>
      <c r="N74" s="420">
        <v>6088.4</v>
      </c>
      <c r="O74" s="420">
        <f t="shared" si="6"/>
        <v>103721.13999999997</v>
      </c>
      <c r="P74" s="424">
        <f t="shared" si="7"/>
        <v>6.252624879837694E-2</v>
      </c>
      <c r="Q74" s="419">
        <v>3534.15</v>
      </c>
      <c r="R74" s="419">
        <v>-5</v>
      </c>
      <c r="S74" s="419">
        <v>17468.02</v>
      </c>
      <c r="T74" s="419">
        <f t="shared" si="21"/>
        <v>289492.14999999997</v>
      </c>
      <c r="U74" s="423">
        <f t="shared" si="22"/>
        <v>6.4633638636396831E-2</v>
      </c>
      <c r="V74" s="420">
        <v>1767.13</v>
      </c>
      <c r="W74" s="420">
        <v>-5</v>
      </c>
      <c r="X74" s="420">
        <v>5122.71</v>
      </c>
      <c r="Y74" s="420">
        <f t="shared" si="17"/>
        <v>85068.790000000037</v>
      </c>
      <c r="Z74" s="424">
        <f t="shared" si="18"/>
        <v>6.478906033659966E-2</v>
      </c>
    </row>
    <row r="75" spans="1:26" ht="11.25" customHeight="1" x14ac:dyDescent="0.3">
      <c r="A75" s="421">
        <f t="shared" si="0"/>
        <v>51</v>
      </c>
      <c r="B75" s="427">
        <v>45566</v>
      </c>
      <c r="C75" s="427">
        <v>45657</v>
      </c>
      <c r="D75" s="410">
        <f t="shared" si="1"/>
        <v>7875.74</v>
      </c>
      <c r="E75" s="352">
        <f t="shared" ref="E75:F75" si="79">I75+N75+S75+X75</f>
        <v>6634.9400000000005</v>
      </c>
      <c r="F75" s="352">
        <f t="shared" si="79"/>
        <v>807705.33</v>
      </c>
      <c r="G75" s="296">
        <f t="shared" si="4"/>
        <v>8.3241255878645382E-3</v>
      </c>
      <c r="H75" s="419">
        <v>2316.7199999999998</v>
      </c>
      <c r="I75" s="419">
        <v>2656.75</v>
      </c>
      <c r="J75" s="419">
        <f t="shared" si="9"/>
        <v>319827.02999999997</v>
      </c>
      <c r="K75" s="423">
        <f t="shared" si="5"/>
        <v>8.4071195795399119E-3</v>
      </c>
      <c r="L75" s="420">
        <v>272.89999999999998</v>
      </c>
      <c r="M75" s="420"/>
      <c r="N75" s="420">
        <v>881.97</v>
      </c>
      <c r="O75" s="420">
        <f t="shared" si="6"/>
        <v>104876.00999999997</v>
      </c>
      <c r="P75" s="424">
        <f t="shared" si="7"/>
        <v>8.4921092430509919E-3</v>
      </c>
      <c r="Q75" s="419">
        <v>3524.04</v>
      </c>
      <c r="R75" s="419">
        <v>56.15</v>
      </c>
      <c r="S75" s="419">
        <v>2399.9</v>
      </c>
      <c r="T75" s="419">
        <f t="shared" si="21"/>
        <v>295472.24</v>
      </c>
      <c r="U75" s="423">
        <f t="shared" si="22"/>
        <v>8.2398820246934162E-3</v>
      </c>
      <c r="V75" s="420">
        <v>1762.08</v>
      </c>
      <c r="W75" s="420">
        <v>2.86</v>
      </c>
      <c r="X75" s="420">
        <v>696.32</v>
      </c>
      <c r="Y75" s="420">
        <f t="shared" si="17"/>
        <v>87530.050000000047</v>
      </c>
      <c r="Z75" s="424">
        <f t="shared" si="18"/>
        <v>8.1014703577656846E-3</v>
      </c>
    </row>
    <row r="76" spans="1:26" ht="11.25" customHeight="1" x14ac:dyDescent="0.3">
      <c r="A76" s="421">
        <f t="shared" si="0"/>
        <v>65</v>
      </c>
      <c r="B76" s="422">
        <v>45658</v>
      </c>
      <c r="C76" s="422">
        <v>45747</v>
      </c>
      <c r="D76" s="410">
        <f t="shared" si="1"/>
        <v>8468.5</v>
      </c>
      <c r="E76" s="352">
        <f t="shared" ref="E76:F76" si="80">I76+N76+S76+X76</f>
        <v>-23233.47</v>
      </c>
      <c r="F76" s="352">
        <f t="shared" si="80"/>
        <v>792984.94</v>
      </c>
      <c r="G76" s="296">
        <f t="shared" si="4"/>
        <v>-2.8614776976385363E-2</v>
      </c>
      <c r="H76" s="419">
        <v>2754.64</v>
      </c>
      <c r="I76" s="419">
        <v>-9406.6200000000008</v>
      </c>
      <c r="J76" s="419">
        <f t="shared" si="9"/>
        <v>313175.05</v>
      </c>
      <c r="K76" s="423">
        <f t="shared" si="5"/>
        <v>-2.9285468892311085E-2</v>
      </c>
      <c r="L76" s="420">
        <v>427.74</v>
      </c>
      <c r="M76" s="420">
        <v>54.58</v>
      </c>
      <c r="N76" s="420">
        <v>-3072.99</v>
      </c>
      <c r="O76" s="420">
        <f t="shared" ref="O76:O81" si="81">O75+M76+L76+N76</f>
        <v>102285.33999999997</v>
      </c>
      <c r="P76" s="424">
        <f t="shared" si="7"/>
        <v>-2.9241540669758124E-2</v>
      </c>
      <c r="Q76" s="419">
        <v>3524.04</v>
      </c>
      <c r="R76" s="419">
        <v>-5</v>
      </c>
      <c r="S76" s="419">
        <v>-8273.32</v>
      </c>
      <c r="T76" s="419">
        <f t="shared" si="21"/>
        <v>290717.95999999996</v>
      </c>
      <c r="U76" s="423">
        <f t="shared" si="22"/>
        <v>-2.7834341842020497E-2</v>
      </c>
      <c r="V76" s="420">
        <v>1762.08</v>
      </c>
      <c r="W76" s="420">
        <v>-5</v>
      </c>
      <c r="X76" s="420">
        <v>-2480.54</v>
      </c>
      <c r="Y76" s="420">
        <f t="shared" si="17"/>
        <v>86806.590000000055</v>
      </c>
      <c r="Z76" s="424">
        <f t="shared" si="18"/>
        <v>-2.8056887433465631E-2</v>
      </c>
    </row>
    <row r="77" spans="1:26" ht="11.25" customHeight="1" x14ac:dyDescent="0.3">
      <c r="A77" s="421">
        <f t="shared" si="0"/>
        <v>10</v>
      </c>
      <c r="B77" s="422">
        <v>45748</v>
      </c>
      <c r="C77" s="422">
        <v>45838</v>
      </c>
      <c r="D77" s="410">
        <f t="shared" si="1"/>
        <v>8336.2599999999984</v>
      </c>
      <c r="E77" s="352">
        <f t="shared" ref="E77:F77" si="82">I77+N77+S77+X77</f>
        <v>78804.489999999991</v>
      </c>
      <c r="F77" s="352">
        <f t="shared" si="82"/>
        <v>880115.68999999983</v>
      </c>
      <c r="G77" s="296">
        <f t="shared" si="4"/>
        <v>9.885741266730616E-2</v>
      </c>
      <c r="H77" s="419">
        <v>2361.12</v>
      </c>
      <c r="I77" s="419">
        <v>31230.560000000001</v>
      </c>
      <c r="J77" s="419">
        <f t="shared" si="9"/>
        <v>346766.73</v>
      </c>
      <c r="K77" s="423">
        <f t="shared" si="5"/>
        <v>9.9347869121852173E-2</v>
      </c>
      <c r="L77" s="420">
        <v>627.36</v>
      </c>
      <c r="M77" s="420"/>
      <c r="N77" s="420">
        <v>10189.65</v>
      </c>
      <c r="O77" s="420">
        <f t="shared" si="81"/>
        <v>113102.34999999996</v>
      </c>
      <c r="P77" s="424">
        <f t="shared" si="7"/>
        <v>9.9315276110824482E-2</v>
      </c>
      <c r="Q77" s="419">
        <v>3565.16</v>
      </c>
      <c r="R77" s="419">
        <v>-5</v>
      </c>
      <c r="S77" s="419">
        <v>28737.85</v>
      </c>
      <c r="T77" s="419">
        <f t="shared" si="21"/>
        <v>323015.96999999991</v>
      </c>
      <c r="U77" s="423">
        <f t="shared" si="22"/>
        <v>9.8248878446515003E-2</v>
      </c>
      <c r="V77" s="420">
        <v>1782.62</v>
      </c>
      <c r="W77" s="420">
        <v>-5</v>
      </c>
      <c r="X77" s="420">
        <v>8646.43</v>
      </c>
      <c r="Y77" s="420">
        <f t="shared" si="17"/>
        <v>97230.640000000043</v>
      </c>
      <c r="Z77" s="424">
        <f t="shared" si="18"/>
        <v>9.8593352862497222E-2</v>
      </c>
    </row>
    <row r="78" spans="1:26" ht="11.25" customHeight="1" x14ac:dyDescent="0.3">
      <c r="A78" s="421">
        <f t="shared" si="0"/>
        <v>18</v>
      </c>
      <c r="B78" s="422">
        <v>45839</v>
      </c>
      <c r="C78" s="422">
        <v>45930</v>
      </c>
      <c r="D78" s="410">
        <f t="shared" si="1"/>
        <v>8512.1500000000015</v>
      </c>
      <c r="E78" s="352">
        <f t="shared" ref="E78:F78" si="83">I78+N78+S78+X78</f>
        <v>62574.47</v>
      </c>
      <c r="F78" s="352">
        <f t="shared" si="83"/>
        <v>951192.30999999994</v>
      </c>
      <c r="G78" s="296">
        <f t="shared" si="4"/>
        <v>7.0755843273671251E-2</v>
      </c>
      <c r="H78" s="419">
        <v>2754.64</v>
      </c>
      <c r="I78" s="419">
        <v>24277.07</v>
      </c>
      <c r="J78" s="419">
        <f t="shared" si="9"/>
        <v>373798.44</v>
      </c>
      <c r="K78" s="423">
        <f t="shared" si="5"/>
        <v>6.9732830418902755E-2</v>
      </c>
      <c r="L78" s="420">
        <v>228.13</v>
      </c>
      <c r="M78" s="420"/>
      <c r="N78" s="420">
        <v>7890.03</v>
      </c>
      <c r="O78" s="420">
        <f t="shared" si="81"/>
        <v>121220.50999999997</v>
      </c>
      <c r="P78" s="424">
        <f t="shared" si="7"/>
        <v>6.9689806023269699E-2</v>
      </c>
      <c r="Q78" s="419">
        <v>3686.25</v>
      </c>
      <c r="R78" s="419">
        <v>-5</v>
      </c>
      <c r="S78" s="419">
        <v>23348.720000000001</v>
      </c>
      <c r="T78" s="419">
        <f t="shared" si="21"/>
        <v>350045.93999999994</v>
      </c>
      <c r="U78" s="423">
        <f t="shared" si="22"/>
        <v>7.1873376363373806E-2</v>
      </c>
      <c r="V78" s="420">
        <v>1843.13</v>
      </c>
      <c r="W78" s="420">
        <v>-5</v>
      </c>
      <c r="X78" s="420">
        <v>7058.65</v>
      </c>
      <c r="Y78" s="420">
        <f t="shared" si="17"/>
        <v>106127.42000000004</v>
      </c>
      <c r="Z78" s="424">
        <f t="shared" si="18"/>
        <v>7.191534820842789E-2</v>
      </c>
    </row>
    <row r="79" spans="1:26" ht="11.25" customHeight="1" x14ac:dyDescent="0.3">
      <c r="A79" s="421">
        <f t="shared" si="0"/>
        <v>42</v>
      </c>
      <c r="B79" s="422">
        <v>45931</v>
      </c>
      <c r="C79" s="422">
        <v>46022</v>
      </c>
      <c r="D79" s="410">
        <f t="shared" si="1"/>
        <v>7950.88</v>
      </c>
      <c r="E79" s="352">
        <f t="shared" ref="E79:F79" si="84">I79+N79+S79+X79</f>
        <v>22107.989999999998</v>
      </c>
      <c r="F79" s="352">
        <f t="shared" si="84"/>
        <v>981285.71</v>
      </c>
      <c r="G79" s="296">
        <f t="shared" si="4"/>
        <v>2.3145662110137199E-2</v>
      </c>
      <c r="H79" s="419">
        <v>2362.08</v>
      </c>
      <c r="I79" s="419">
        <v>8987.66</v>
      </c>
      <c r="J79" s="419">
        <f t="shared" si="9"/>
        <v>385148.18</v>
      </c>
      <c r="K79" s="423">
        <f t="shared" si="5"/>
        <v>2.396840488444861E-2</v>
      </c>
      <c r="L79" s="420">
        <v>117.7</v>
      </c>
      <c r="M79" s="420"/>
      <c r="N79" s="420">
        <v>2907.64</v>
      </c>
      <c r="O79" s="420">
        <f t="shared" si="81"/>
        <v>124245.84999999996</v>
      </c>
      <c r="P79" s="424">
        <f t="shared" si="7"/>
        <v>2.3974730737365373E-2</v>
      </c>
      <c r="Q79" s="419">
        <v>3647.4</v>
      </c>
      <c r="R79" s="419">
        <v>33.979999999999997</v>
      </c>
      <c r="S79" s="419">
        <v>7831.87</v>
      </c>
      <c r="T79" s="419">
        <f t="shared" si="21"/>
        <v>361559.18999999994</v>
      </c>
      <c r="U79" s="423">
        <f t="shared" si="22"/>
        <v>2.2257873682992375E-2</v>
      </c>
      <c r="V79" s="420">
        <v>1823.7</v>
      </c>
      <c r="W79" s="420">
        <v>0.55000000000000004</v>
      </c>
      <c r="X79" s="420">
        <v>2380.8200000000002</v>
      </c>
      <c r="Y79" s="420">
        <f t="shared" si="17"/>
        <v>110332.49000000005</v>
      </c>
      <c r="Z79" s="424">
        <f t="shared" si="18"/>
        <v>2.2242491003535422E-2</v>
      </c>
    </row>
    <row r="80" spans="1:26" ht="11.25" customHeight="1" x14ac:dyDescent="0.3">
      <c r="A80" s="421">
        <f t="shared" si="0"/>
        <v>64</v>
      </c>
      <c r="B80" s="422">
        <v>46023</v>
      </c>
      <c r="C80" s="422">
        <v>46112</v>
      </c>
      <c r="D80" s="410">
        <f t="shared" si="1"/>
        <v>9490.0500000000011</v>
      </c>
      <c r="E80" s="352">
        <f t="shared" ref="E80:F80" si="85">I80+N80+S80+X80</f>
        <v>-26205.96</v>
      </c>
      <c r="F80" s="352">
        <f t="shared" si="85"/>
        <v>964559.79999999993</v>
      </c>
      <c r="G80" s="296">
        <f t="shared" si="4"/>
        <v>-2.6577224289058291E-2</v>
      </c>
      <c r="H80" s="419">
        <v>2898.86</v>
      </c>
      <c r="I80" s="419">
        <v>-10534.77</v>
      </c>
      <c r="J80" s="419">
        <f t="shared" si="9"/>
        <v>377512.26999999996</v>
      </c>
      <c r="K80" s="423">
        <f t="shared" si="5"/>
        <v>-2.7249961529767348E-2</v>
      </c>
      <c r="L80" s="420">
        <v>488.67</v>
      </c>
      <c r="M80" s="420"/>
      <c r="N80" s="420">
        <v>-3387.97</v>
      </c>
      <c r="O80" s="420">
        <f t="shared" si="81"/>
        <v>121346.54999999996</v>
      </c>
      <c r="P80" s="424">
        <f t="shared" si="7"/>
        <v>-2.7214755926340706E-2</v>
      </c>
      <c r="Q80" s="419">
        <v>4068.32</v>
      </c>
      <c r="R80" s="419">
        <v>-5</v>
      </c>
      <c r="S80" s="419">
        <v>-9700.08</v>
      </c>
      <c r="T80" s="419">
        <f t="shared" si="21"/>
        <v>355922.42999999993</v>
      </c>
      <c r="U80" s="423">
        <f t="shared" si="22"/>
        <v>-2.6678375718367793E-2</v>
      </c>
      <c r="V80" s="420">
        <v>2034.2</v>
      </c>
      <c r="W80" s="420">
        <v>-5</v>
      </c>
      <c r="X80" s="420">
        <v>-2583.14</v>
      </c>
      <c r="Y80" s="420">
        <f t="shared" si="17"/>
        <v>109778.55000000005</v>
      </c>
      <c r="Z80" s="424">
        <f t="shared" si="18"/>
        <v>-2.3198468894227619E-2</v>
      </c>
    </row>
    <row r="81" spans="1:26" ht="11.25" customHeight="1" x14ac:dyDescent="0.3">
      <c r="A81" s="421">
        <f t="shared" si="0"/>
        <v>8</v>
      </c>
      <c r="B81" s="422">
        <v>46113</v>
      </c>
      <c r="C81" s="422">
        <v>46157</v>
      </c>
      <c r="D81" s="410">
        <f t="shared" si="1"/>
        <v>4493.8099999999995</v>
      </c>
      <c r="E81" s="352">
        <f t="shared" ref="E81:F81" si="86">I81+N81+S81+X81</f>
        <v>105132.65</v>
      </c>
      <c r="F81" s="352">
        <f t="shared" si="86"/>
        <v>1074176.7599999998</v>
      </c>
      <c r="G81" s="296">
        <f t="shared" si="4"/>
        <v>0.10874216061627334</v>
      </c>
      <c r="H81" s="419">
        <v>1202.8800000000001</v>
      </c>
      <c r="I81" s="419">
        <v>43632.28</v>
      </c>
      <c r="J81" s="419">
        <f t="shared" si="9"/>
        <v>422347.42999999993</v>
      </c>
      <c r="K81" s="423">
        <f t="shared" si="5"/>
        <v>0.11539459915378367</v>
      </c>
      <c r="L81" s="420">
        <v>122.16</v>
      </c>
      <c r="M81" s="420">
        <v>0</v>
      </c>
      <c r="N81" s="420">
        <v>12817.11</v>
      </c>
      <c r="O81" s="420">
        <f t="shared" si="81"/>
        <v>134285.81999999995</v>
      </c>
      <c r="P81" s="424">
        <f t="shared" si="7"/>
        <v>0.10557087721751923</v>
      </c>
      <c r="Q81" s="419">
        <v>2112.5</v>
      </c>
      <c r="R81" s="419">
        <v>-4.75</v>
      </c>
      <c r="S81" s="419">
        <v>38472.720000000001</v>
      </c>
      <c r="T81" s="419">
        <f t="shared" si="21"/>
        <v>396502.89999999991</v>
      </c>
      <c r="U81" s="423">
        <f t="shared" si="22"/>
        <v>0.10777315889004914</v>
      </c>
      <c r="V81" s="420">
        <v>1056.27</v>
      </c>
      <c r="W81" s="420">
        <v>-4.75</v>
      </c>
      <c r="X81" s="420">
        <v>10210.540000000001</v>
      </c>
      <c r="Y81" s="420">
        <f t="shared" si="17"/>
        <v>121040.61000000004</v>
      </c>
      <c r="Z81" s="424">
        <f t="shared" si="18"/>
        <v>9.2565015438547504E-2</v>
      </c>
    </row>
    <row r="82" spans="1:26" ht="11.25" customHeight="1" x14ac:dyDescent="0.3">
      <c r="A82" s="435"/>
      <c r="B82" s="422">
        <f ca="1">TODAY()</f>
        <v>46162</v>
      </c>
      <c r="C82" s="436"/>
      <c r="D82" s="437">
        <f>-F81</f>
        <v>-1074176.7599999998</v>
      </c>
      <c r="E82" s="437"/>
      <c r="F82" s="437"/>
      <c r="G82" s="437"/>
      <c r="H82" s="437">
        <f>-J81</f>
        <v>-422347.42999999993</v>
      </c>
      <c r="I82" s="438"/>
      <c r="J82" s="437"/>
      <c r="K82" s="437"/>
      <c r="L82" s="437">
        <f>-O81</f>
        <v>-134285.81999999995</v>
      </c>
      <c r="M82" s="437"/>
      <c r="N82" s="438"/>
      <c r="O82" s="437"/>
      <c r="P82" s="437"/>
      <c r="Q82" s="437">
        <f>-T81</f>
        <v>-396502.89999999991</v>
      </c>
      <c r="R82" s="437"/>
      <c r="S82" s="437"/>
      <c r="T82" s="437"/>
      <c r="U82" s="437"/>
      <c r="V82" s="437">
        <f>-Y81</f>
        <v>-121040.61000000004</v>
      </c>
      <c r="W82" s="439"/>
      <c r="X82" s="439"/>
      <c r="Y82" s="439"/>
      <c r="Z82" s="439"/>
    </row>
    <row r="83" spans="1:26" ht="11.25" customHeight="1" x14ac:dyDescent="0.3">
      <c r="A83" s="415"/>
      <c r="B83" s="306"/>
      <c r="C83" s="417"/>
      <c r="D83" s="411"/>
      <c r="E83" s="411"/>
      <c r="F83" s="411"/>
      <c r="G83" s="411"/>
      <c r="H83" s="411"/>
      <c r="I83" s="411"/>
      <c r="J83" s="411"/>
      <c r="K83" s="411"/>
      <c r="L83" s="411"/>
      <c r="M83" s="411"/>
      <c r="N83" s="411"/>
      <c r="O83" s="411"/>
      <c r="P83" s="411"/>
      <c r="Q83" s="411"/>
      <c r="R83" s="411"/>
      <c r="S83" s="411"/>
      <c r="T83" s="411"/>
      <c r="U83" s="411"/>
      <c r="V83" s="199"/>
      <c r="W83" s="411"/>
      <c r="X83" s="414"/>
      <c r="Y83" s="199"/>
      <c r="Z83" s="199"/>
    </row>
    <row r="84" spans="1:26" ht="11.25" customHeight="1" x14ac:dyDescent="0.3">
      <c r="A84" s="415"/>
      <c r="B84" s="306"/>
      <c r="C84" s="417"/>
      <c r="D84" s="411"/>
      <c r="E84" s="411"/>
      <c r="F84" s="411"/>
      <c r="G84" s="411"/>
      <c r="H84" s="307"/>
      <c r="I84" s="307"/>
      <c r="J84" s="411"/>
      <c r="K84" s="411"/>
      <c r="L84" s="411"/>
      <c r="M84" s="411"/>
      <c r="N84" s="414"/>
      <c r="O84" s="411"/>
      <c r="P84" s="411"/>
      <c r="Q84" s="411"/>
      <c r="R84" s="411"/>
      <c r="S84" s="411"/>
      <c r="T84" s="411"/>
      <c r="U84" s="411"/>
      <c r="V84" s="199"/>
      <c r="W84" s="411"/>
      <c r="X84" s="414"/>
      <c r="Y84" s="199"/>
      <c r="Z84" s="199"/>
    </row>
    <row r="85" spans="1:26" ht="11.25" customHeight="1" x14ac:dyDescent="0.3">
      <c r="A85" s="304" t="s">
        <v>613</v>
      </c>
      <c r="B85" s="306"/>
      <c r="C85" s="417"/>
      <c r="D85" s="411"/>
      <c r="E85" s="411"/>
      <c r="F85" s="411"/>
      <c r="G85" s="411"/>
      <c r="H85" s="412"/>
      <c r="I85" s="307"/>
      <c r="J85" s="411"/>
      <c r="K85" s="411"/>
      <c r="L85" s="411"/>
      <c r="M85" s="411"/>
      <c r="N85" s="411"/>
      <c r="O85" s="411"/>
      <c r="P85" s="411"/>
      <c r="Q85" s="411"/>
      <c r="R85" s="411"/>
      <c r="S85" s="411"/>
      <c r="T85" s="411"/>
      <c r="U85" s="411"/>
      <c r="V85" s="199"/>
      <c r="W85" s="411"/>
      <c r="X85" s="411"/>
      <c r="Y85" s="199"/>
      <c r="Z85" s="199"/>
    </row>
    <row r="86" spans="1:26" ht="11.25" customHeight="1" x14ac:dyDescent="0.3">
      <c r="A86" s="304">
        <f>COUNTIF(E7:E82,"&gt;0")</f>
        <v>58</v>
      </c>
      <c r="B86" s="306"/>
      <c r="C86" s="417"/>
      <c r="D86" s="411"/>
      <c r="E86" s="411"/>
      <c r="F86" s="411"/>
      <c r="G86" s="411"/>
      <c r="H86" s="199"/>
      <c r="I86" s="307"/>
      <c r="J86" s="411"/>
      <c r="K86" s="411"/>
      <c r="L86" s="411"/>
      <c r="M86" s="411"/>
      <c r="N86" s="411"/>
      <c r="O86" s="411"/>
      <c r="P86" s="411"/>
      <c r="Q86" s="411"/>
      <c r="R86" s="411"/>
      <c r="S86" s="411"/>
      <c r="T86" s="411"/>
      <c r="U86" s="411"/>
      <c r="V86" s="199"/>
      <c r="W86" s="411"/>
      <c r="X86" s="411"/>
      <c r="Y86" s="199"/>
      <c r="Z86" s="199"/>
    </row>
    <row r="87" spans="1:26" ht="11.25" customHeight="1" x14ac:dyDescent="0.3">
      <c r="A87" s="304" t="s">
        <v>614</v>
      </c>
      <c r="B87" s="306"/>
      <c r="C87" s="417"/>
      <c r="D87" s="411"/>
      <c r="E87" s="411"/>
      <c r="F87" s="411"/>
      <c r="G87" s="411"/>
      <c r="H87" s="199"/>
      <c r="I87" s="307"/>
      <c r="J87" s="411"/>
      <c r="K87" s="411"/>
      <c r="L87" s="411"/>
      <c r="M87" s="411"/>
      <c r="N87" s="411"/>
      <c r="O87" s="411"/>
      <c r="P87" s="411"/>
      <c r="Q87" s="411"/>
      <c r="R87" s="411"/>
      <c r="S87" s="411"/>
      <c r="T87" s="411"/>
      <c r="U87" s="411"/>
      <c r="V87" s="411"/>
      <c r="W87" s="411"/>
      <c r="X87" s="411"/>
      <c r="Y87" s="199"/>
      <c r="Z87" s="199"/>
    </row>
    <row r="88" spans="1:26" ht="11.25" customHeight="1" x14ac:dyDescent="0.3">
      <c r="A88" s="307">
        <f>(SUMIFS(G7:G82,E7:E82,"&gt;0"))/A86</f>
        <v>5.6504058213500991E-2</v>
      </c>
      <c r="B88" s="306"/>
      <c r="C88" s="417"/>
      <c r="D88" s="411"/>
      <c r="E88" s="411"/>
      <c r="F88" s="411"/>
      <c r="G88" s="411"/>
      <c r="H88" s="307"/>
      <c r="I88" s="307"/>
      <c r="J88" s="411"/>
      <c r="K88" s="411"/>
      <c r="L88" s="411"/>
      <c r="M88" s="411"/>
      <c r="N88" s="307"/>
      <c r="O88" s="411"/>
      <c r="P88" s="411"/>
      <c r="Q88" s="411"/>
      <c r="R88" s="411"/>
      <c r="S88" s="411"/>
      <c r="T88" s="411"/>
      <c r="U88" s="411"/>
      <c r="V88" s="411"/>
      <c r="W88" s="411"/>
      <c r="X88" s="307"/>
      <c r="Y88" s="199"/>
      <c r="Z88" s="199"/>
    </row>
    <row r="89" spans="1:26" ht="11.25" customHeight="1" x14ac:dyDescent="0.3">
      <c r="A89" s="304" t="s">
        <v>615</v>
      </c>
      <c r="B89" s="306"/>
      <c r="C89" s="417"/>
      <c r="D89" s="411"/>
      <c r="E89" s="411"/>
      <c r="F89" s="411"/>
      <c r="G89" s="411"/>
      <c r="H89" s="307"/>
      <c r="I89" s="307"/>
      <c r="J89" s="307"/>
      <c r="K89" s="307"/>
      <c r="L89" s="307"/>
      <c r="M89" s="307"/>
      <c r="N89" s="307"/>
      <c r="O89" s="411"/>
      <c r="P89" s="411"/>
      <c r="Q89" s="411"/>
      <c r="R89" s="411"/>
      <c r="S89" s="411"/>
      <c r="T89" s="411"/>
      <c r="U89" s="411"/>
      <c r="V89" s="199"/>
      <c r="W89" s="199"/>
      <c r="X89" s="199"/>
      <c r="Y89" s="199"/>
      <c r="Z89" s="199"/>
    </row>
    <row r="90" spans="1:26" ht="11.25" customHeight="1" x14ac:dyDescent="0.3">
      <c r="A90" s="304">
        <f>COUNTIF(E7:E82,"&lt;0")</f>
        <v>17</v>
      </c>
    </row>
    <row r="91" spans="1:26" ht="11.25" customHeight="1" x14ac:dyDescent="0.3">
      <c r="A91" s="304" t="s">
        <v>616</v>
      </c>
    </row>
    <row r="92" spans="1:26" ht="11.25" customHeight="1" x14ac:dyDescent="0.3">
      <c r="A92" s="307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40" t="s">
        <v>621</v>
      </c>
      <c r="C1" s="441">
        <f ca="1">TODAY()</f>
        <v>46162</v>
      </c>
      <c r="D1" s="575" t="s">
        <v>622</v>
      </c>
      <c r="E1" s="564"/>
      <c r="F1" s="575" t="s">
        <v>623</v>
      </c>
      <c r="G1" s="564"/>
      <c r="H1" s="575" t="s">
        <v>624</v>
      </c>
      <c r="I1" s="564"/>
      <c r="J1" s="575" t="s">
        <v>625</v>
      </c>
      <c r="K1" s="564"/>
      <c r="L1" s="442"/>
      <c r="M1" s="442"/>
      <c r="N1" s="443">
        <f>R1/Q1</f>
        <v>0.21977797398773583</v>
      </c>
      <c r="O1" s="576" t="s">
        <v>626</v>
      </c>
      <c r="P1" s="558"/>
      <c r="Q1" s="444">
        <f>'Retirement Calculator'!B3</f>
        <v>469836.83999999991</v>
      </c>
      <c r="R1" s="445">
        <f>SUM(R3:R9)</f>
        <v>103259.78879999998</v>
      </c>
    </row>
    <row r="2" spans="2:18" ht="11.25" customHeight="1" x14ac:dyDescent="0.3">
      <c r="B2" s="440" t="s">
        <v>627</v>
      </c>
      <c r="C2" s="441">
        <f>'Retirement Calculator'!D6</f>
        <v>51288</v>
      </c>
      <c r="D2" s="446" t="s">
        <v>548</v>
      </c>
      <c r="E2" s="447">
        <f>B13</f>
        <v>104249.60000000001</v>
      </c>
      <c r="F2" s="446" t="s">
        <v>548</v>
      </c>
      <c r="G2" s="447">
        <f>C13</f>
        <v>18000</v>
      </c>
      <c r="H2" s="446" t="s">
        <v>548</v>
      </c>
      <c r="I2" s="447">
        <f>D13</f>
        <v>162500</v>
      </c>
      <c r="J2" s="446" t="s">
        <v>548</v>
      </c>
      <c r="K2" s="447">
        <f>I2</f>
        <v>162500</v>
      </c>
      <c r="L2" s="442"/>
      <c r="M2" s="442"/>
      <c r="N2" s="448" t="s">
        <v>562</v>
      </c>
      <c r="O2" s="449" t="s">
        <v>628</v>
      </c>
      <c r="P2" s="449" t="s">
        <v>629</v>
      </c>
      <c r="Q2" s="450" t="s">
        <v>630</v>
      </c>
      <c r="R2" s="451" t="s">
        <v>631</v>
      </c>
    </row>
    <row r="3" spans="2:18" ht="11.25" customHeight="1" x14ac:dyDescent="0.3">
      <c r="B3" s="440" t="s">
        <v>632</v>
      </c>
      <c r="C3" s="449">
        <f ca="1">(C2-C1)/365.25</f>
        <v>14.03422313483915</v>
      </c>
      <c r="D3" s="440" t="s">
        <v>633</v>
      </c>
      <c r="E3" s="452">
        <f ca="1">'TSP-401K'!J4</f>
        <v>0.11422588229179384</v>
      </c>
      <c r="F3" s="440" t="s">
        <v>633</v>
      </c>
      <c r="G3" s="452">
        <f ca="1">'TSP-401K'!O4</f>
        <v>0.11033309102058411</v>
      </c>
      <c r="H3" s="440" t="s">
        <v>633</v>
      </c>
      <c r="I3" s="452">
        <f ca="1">'TSP-401K'!T4</f>
        <v>0.11130375266075135</v>
      </c>
      <c r="J3" s="440" t="s">
        <v>633</v>
      </c>
      <c r="K3" s="452">
        <f ca="1">'TSP-401K'!Y4</f>
        <v>0.11145102381706237</v>
      </c>
      <c r="L3" s="442"/>
      <c r="M3" s="442"/>
      <c r="N3" s="453">
        <v>0.1</v>
      </c>
      <c r="O3" s="447">
        <v>0</v>
      </c>
      <c r="P3" s="447">
        <v>24800</v>
      </c>
      <c r="Q3" s="447">
        <f>IF($Q$1&gt;P3,P3,$Q$1-Q3)</f>
        <v>24800</v>
      </c>
      <c r="R3" s="454">
        <f t="shared" ref="R3:R9" si="0">Q3*N3</f>
        <v>2480</v>
      </c>
    </row>
    <row r="4" spans="2:18" ht="11.25" customHeight="1" x14ac:dyDescent="0.3">
      <c r="B4" s="446" t="s">
        <v>634</v>
      </c>
      <c r="C4" s="441">
        <f>'Retirement Calculator'!D7</f>
        <v>51288</v>
      </c>
      <c r="D4" s="440"/>
      <c r="E4" s="452"/>
      <c r="F4" s="440"/>
      <c r="G4" s="452"/>
      <c r="H4" s="440"/>
      <c r="I4" s="452"/>
      <c r="J4" s="440"/>
      <c r="K4" s="452"/>
      <c r="L4" s="442"/>
      <c r="M4" s="442"/>
      <c r="N4" s="453">
        <v>0.12</v>
      </c>
      <c r="O4" s="447">
        <f t="shared" ref="O4:O9" si="1">P3+0.01</f>
        <v>24800.01</v>
      </c>
      <c r="P4" s="447">
        <v>100800</v>
      </c>
      <c r="Q4" s="447">
        <f>IF($Q$1&gt;P4,P4-Q3,$Q$1-Q3)</f>
        <v>76000</v>
      </c>
      <c r="R4" s="454">
        <f t="shared" si="0"/>
        <v>9120</v>
      </c>
    </row>
    <row r="5" spans="2:18" ht="11.25" customHeight="1" x14ac:dyDescent="0.3">
      <c r="B5" s="446" t="s">
        <v>635</v>
      </c>
      <c r="C5" s="449">
        <f ca="1">(C4-C1)/365.25</f>
        <v>14.03422313483915</v>
      </c>
      <c r="D5" s="440"/>
      <c r="E5" s="452"/>
      <c r="F5" s="440"/>
      <c r="G5" s="452"/>
      <c r="H5" s="440"/>
      <c r="I5" s="452"/>
      <c r="J5" s="440"/>
      <c r="K5" s="452"/>
      <c r="L5" s="455"/>
      <c r="M5" s="442"/>
      <c r="N5" s="453">
        <v>0.22</v>
      </c>
      <c r="O5" s="447">
        <f t="shared" si="1"/>
        <v>100800.01</v>
      </c>
      <c r="P5" s="447">
        <v>211400</v>
      </c>
      <c r="Q5" s="447">
        <f>IF($Q$1&gt;P5,P5-Q4-Q3,$Q$1-Q4-Q3)</f>
        <v>110600</v>
      </c>
      <c r="R5" s="454">
        <f t="shared" si="0"/>
        <v>24332</v>
      </c>
    </row>
    <row r="6" spans="2:18" ht="11.25" customHeight="1" x14ac:dyDescent="0.3">
      <c r="B6" s="440" t="s">
        <v>636</v>
      </c>
      <c r="C6" s="456">
        <f>E6+G6+I6+K6</f>
        <v>1074176.7599999998</v>
      </c>
      <c r="D6" s="440" t="s">
        <v>637</v>
      </c>
      <c r="E6" s="456">
        <f>'TSP-401K'!H82*-1</f>
        <v>422347.42999999993</v>
      </c>
      <c r="F6" s="440" t="s">
        <v>637</v>
      </c>
      <c r="G6" s="456">
        <f>'TSP-401K'!L82*-1</f>
        <v>134285.81999999995</v>
      </c>
      <c r="H6" s="440" t="s">
        <v>637</v>
      </c>
      <c r="I6" s="456">
        <f>'TSP-401K'!Q82*-1</f>
        <v>396502.89999999991</v>
      </c>
      <c r="J6" s="440" t="s">
        <v>637</v>
      </c>
      <c r="K6" s="456">
        <f>'TSP-401K'!V82*-1</f>
        <v>121040.61000000004</v>
      </c>
      <c r="L6" s="457"/>
      <c r="M6" s="442"/>
      <c r="N6" s="453">
        <v>0.24</v>
      </c>
      <c r="O6" s="447">
        <f t="shared" si="1"/>
        <v>211400.01</v>
      </c>
      <c r="P6" s="447">
        <v>403550</v>
      </c>
      <c r="Q6" s="447">
        <f>IF($Q$1&gt;P6,P6-Q5-Q4-Q3,$Q$1-Q5-Q4-Q3)</f>
        <v>192150</v>
      </c>
      <c r="R6" s="454">
        <f t="shared" si="0"/>
        <v>46116</v>
      </c>
    </row>
    <row r="7" spans="2:18" ht="11.25" customHeight="1" x14ac:dyDescent="0.3">
      <c r="B7" s="440"/>
      <c r="C7" s="450"/>
      <c r="D7" s="440"/>
      <c r="E7" s="450"/>
      <c r="F7" s="440"/>
      <c r="G7" s="450"/>
      <c r="H7" s="440"/>
      <c r="I7" s="450"/>
      <c r="J7" s="440"/>
      <c r="K7" s="450"/>
      <c r="L7" s="455"/>
      <c r="M7" s="442"/>
      <c r="N7" s="453">
        <v>0.32</v>
      </c>
      <c r="O7" s="447">
        <f t="shared" si="1"/>
        <v>403550.01</v>
      </c>
      <c r="P7" s="447">
        <v>512450</v>
      </c>
      <c r="Q7" s="447">
        <f>IF($Q$1&gt;P7,P7-Q6-Q5-Q4-Q3,$Q$1-Q6-Q5-Q4-Q3)</f>
        <v>66286.839999999909</v>
      </c>
      <c r="R7" s="454">
        <f t="shared" si="0"/>
        <v>21211.788799999973</v>
      </c>
    </row>
    <row r="8" spans="2:18" ht="11.25" customHeight="1" x14ac:dyDescent="0.3">
      <c r="B8" s="440" t="s">
        <v>638</v>
      </c>
      <c r="C8" s="456">
        <f ca="1">E8+G8+I8+K8</f>
        <v>6454359.5385355158</v>
      </c>
      <c r="D8" s="440" t="s">
        <v>639</v>
      </c>
      <c r="E8" s="456">
        <f ca="1">FV(E3/26,C3*26,-(E2*0.1)/26,-E6,1)</f>
        <v>2453144.7745521921</v>
      </c>
      <c r="F8" s="440" t="s">
        <v>639</v>
      </c>
      <c r="G8" s="456">
        <f ca="1">FV(G3/12,12*C3,-(G2*0.1)/12,-G6,1)</f>
        <v>687682.84276009619</v>
      </c>
      <c r="H8" s="440" t="s">
        <v>639</v>
      </c>
      <c r="I8" s="456">
        <f ca="1">FV(I3/24,C5*24,-(I2*0.1)/24,-I6,1)</f>
        <v>2434205.976992805</v>
      </c>
      <c r="J8" s="440" t="s">
        <v>639</v>
      </c>
      <c r="K8" s="456">
        <f ca="1">FV(K3/24,C5*24,-(K2*0.055)/24,-K6,1)</f>
        <v>879325.94423042214</v>
      </c>
      <c r="L8" s="455"/>
      <c r="M8" s="442"/>
      <c r="N8" s="453">
        <v>0.35</v>
      </c>
      <c r="O8" s="447">
        <f t="shared" si="1"/>
        <v>512450.01</v>
      </c>
      <c r="P8" s="447">
        <v>768700</v>
      </c>
      <c r="Q8" s="447">
        <f>IF($Q$1&gt;P8,P8-Q7-Q6-Q5-Q4-Q3,$Q$1-Q7-Q6-Q5-Q4-Q3)</f>
        <v>0</v>
      </c>
      <c r="R8" s="454">
        <f t="shared" si="0"/>
        <v>0</v>
      </c>
    </row>
    <row r="9" spans="2:18" ht="11.25" customHeight="1" x14ac:dyDescent="0.3">
      <c r="B9" s="457"/>
      <c r="C9" s="456"/>
      <c r="D9" s="457"/>
      <c r="E9" s="455"/>
      <c r="F9" s="457"/>
      <c r="G9" s="458"/>
      <c r="H9" s="457"/>
      <c r="I9" s="458"/>
      <c r="J9" s="457"/>
      <c r="K9" s="458"/>
      <c r="L9" s="455"/>
      <c r="M9" s="442"/>
      <c r="N9" s="459">
        <v>0.37</v>
      </c>
      <c r="O9" s="460">
        <f t="shared" si="1"/>
        <v>768700.01</v>
      </c>
      <c r="P9" s="460">
        <v>10000000</v>
      </c>
      <c r="Q9" s="460">
        <f>IF($Q$1&gt;P9,P9-Q8-Q7,$Q$1-Q8-Q7-Q6-Q5-Q4-Q3)</f>
        <v>0</v>
      </c>
      <c r="R9" s="461">
        <f t="shared" si="0"/>
        <v>0</v>
      </c>
    </row>
    <row r="10" spans="2:18" ht="11.25" customHeight="1" x14ac:dyDescent="0.3">
      <c r="B10" s="457"/>
      <c r="C10" s="455"/>
      <c r="D10" s="457"/>
      <c r="E10" s="455"/>
      <c r="F10" s="457"/>
      <c r="G10" s="458"/>
      <c r="H10" s="457"/>
      <c r="I10" s="458"/>
      <c r="J10" s="457"/>
      <c r="K10" s="458"/>
      <c r="L10" s="455"/>
      <c r="M10" s="442"/>
      <c r="N10" s="462"/>
      <c r="O10" s="462"/>
      <c r="P10" s="462"/>
      <c r="Q10" s="463"/>
      <c r="R10" s="455"/>
    </row>
    <row r="11" spans="2:18" ht="11.25" customHeight="1" x14ac:dyDescent="0.3">
      <c r="B11" s="464"/>
      <c r="C11" s="455"/>
      <c r="D11" s="442"/>
      <c r="E11" s="455"/>
      <c r="F11" s="442"/>
      <c r="G11" s="455"/>
      <c r="H11" s="442"/>
      <c r="I11" s="455"/>
      <c r="J11" s="442"/>
      <c r="K11" s="455"/>
      <c r="L11" s="455"/>
      <c r="M11" s="442"/>
      <c r="N11" s="462"/>
      <c r="O11" s="462"/>
      <c r="P11" s="462"/>
      <c r="Q11" s="463"/>
      <c r="R11" s="455"/>
    </row>
    <row r="12" spans="2:18" ht="11.25" customHeight="1" x14ac:dyDescent="0.3">
      <c r="B12" s="457" t="s">
        <v>640</v>
      </c>
      <c r="C12" s="457" t="s">
        <v>564</v>
      </c>
      <c r="D12" s="457" t="s">
        <v>641</v>
      </c>
      <c r="E12" s="465" t="s">
        <v>642</v>
      </c>
      <c r="F12" s="455"/>
      <c r="G12" s="457"/>
      <c r="H12" s="442"/>
      <c r="I12" s="457" t="s">
        <v>551</v>
      </c>
      <c r="J12" s="457" t="s">
        <v>552</v>
      </c>
      <c r="K12" s="457" t="s">
        <v>553</v>
      </c>
      <c r="L12" s="457" t="s">
        <v>554</v>
      </c>
      <c r="M12" s="442"/>
      <c r="N12" s="462"/>
      <c r="O12" s="462"/>
      <c r="P12" s="462"/>
      <c r="Q12" s="463"/>
      <c r="R12" s="455"/>
    </row>
    <row r="13" spans="2:18" ht="11.25" customHeight="1" x14ac:dyDescent="0.3">
      <c r="B13" s="466">
        <f>'Retirement Calculator'!D2</f>
        <v>104249.60000000001</v>
      </c>
      <c r="C13" s="466">
        <f>'Retirement Calculator'!D3</f>
        <v>18000</v>
      </c>
      <c r="D13" s="466">
        <f>'Retirement Calculator'!D1</f>
        <v>162500</v>
      </c>
      <c r="E13" s="463">
        <f>B13+C13+D13</f>
        <v>284749.59999999998</v>
      </c>
      <c r="F13" s="455"/>
      <c r="G13" s="467">
        <v>31590</v>
      </c>
      <c r="H13" s="442" t="s">
        <v>643</v>
      </c>
      <c r="I13" s="468">
        <f>'Retirement Calculator'!F2</f>
        <v>2420</v>
      </c>
      <c r="J13" s="468">
        <f>'Retirement Calculator'!G2</f>
        <v>3519</v>
      </c>
      <c r="K13" s="468">
        <f>'Retirement Calculator'!H2</f>
        <v>4397</v>
      </c>
      <c r="L13" s="468">
        <f>'Retirement Calculator'!I2</f>
        <v>3120</v>
      </c>
      <c r="M13" s="442"/>
      <c r="N13" s="462"/>
      <c r="O13" s="462"/>
      <c r="P13" s="462"/>
      <c r="Q13" s="463"/>
      <c r="R13" s="455"/>
    </row>
    <row r="14" spans="2:18" ht="11.25" customHeight="1" x14ac:dyDescent="0.3">
      <c r="B14" s="466"/>
      <c r="C14" s="468"/>
      <c r="D14" s="468"/>
      <c r="E14" s="463"/>
      <c r="F14" s="455"/>
      <c r="G14" s="467">
        <v>29906</v>
      </c>
      <c r="H14" s="442" t="s">
        <v>644</v>
      </c>
      <c r="I14" s="468">
        <f>'Retirement Calculator'!F3</f>
        <v>2192</v>
      </c>
      <c r="J14" s="468">
        <f>'Retirement Calculator'!G3</f>
        <v>3197</v>
      </c>
      <c r="K14" s="468">
        <f>'Retirement Calculator'!H3</f>
        <v>4019</v>
      </c>
      <c r="L14" s="468">
        <f>'Retirement Calculator'!I3</f>
        <v>2765</v>
      </c>
      <c r="M14" s="442"/>
      <c r="N14" s="462"/>
      <c r="O14" s="462"/>
      <c r="P14" s="462"/>
      <c r="Q14" s="463"/>
      <c r="R14" s="455"/>
    </row>
    <row r="15" spans="2:18" ht="11.25" customHeight="1" x14ac:dyDescent="0.3">
      <c r="B15" s="466"/>
      <c r="C15" s="468"/>
      <c r="D15" s="468"/>
      <c r="E15" s="463"/>
      <c r="F15" s="455"/>
      <c r="G15" s="467"/>
      <c r="H15" s="442"/>
      <c r="I15" s="468"/>
      <c r="J15" s="468"/>
      <c r="K15" s="468"/>
      <c r="L15" s="468"/>
      <c r="M15" s="442"/>
      <c r="N15" s="462"/>
      <c r="O15" s="462"/>
      <c r="P15" s="462"/>
      <c r="Q15" s="463"/>
      <c r="R15" s="455"/>
    </row>
    <row r="16" spans="2:18" ht="11.25" customHeight="1" x14ac:dyDescent="0.3">
      <c r="B16" s="466" t="s">
        <v>645</v>
      </c>
      <c r="C16" s="466" t="s">
        <v>646</v>
      </c>
      <c r="D16" s="468"/>
      <c r="E16" s="463"/>
      <c r="F16" s="455"/>
      <c r="G16" s="442"/>
      <c r="H16" s="455"/>
      <c r="I16" s="442"/>
      <c r="J16" s="442"/>
      <c r="K16" s="455"/>
      <c r="L16" s="455"/>
      <c r="M16" s="442"/>
      <c r="N16" s="462"/>
      <c r="O16" s="462"/>
      <c r="P16" s="462"/>
      <c r="Q16" s="463"/>
      <c r="R16" s="455"/>
    </row>
    <row r="17" spans="2:11" ht="11.25" customHeight="1" x14ac:dyDescent="0.3">
      <c r="B17" s="462">
        <f>(C2-B18)/365.25</f>
        <v>33.040383299110196</v>
      </c>
      <c r="C17" s="469">
        <f>'Retirement Calculator'!B2</f>
        <v>0.65</v>
      </c>
      <c r="D17" s="468"/>
      <c r="E17" s="468"/>
      <c r="F17" s="455"/>
      <c r="G17" s="442"/>
      <c r="H17" s="455"/>
      <c r="I17" s="442"/>
      <c r="J17" s="442"/>
      <c r="K17" s="455"/>
    </row>
    <row r="18" spans="2:11" ht="11.25" customHeight="1" x14ac:dyDescent="0.3">
      <c r="B18" s="467">
        <v>39220</v>
      </c>
      <c r="C18" s="466">
        <f>E13*(1+C17)</f>
        <v>469836.83999999991</v>
      </c>
      <c r="D18" s="468"/>
      <c r="E18" s="468"/>
      <c r="F18" s="455"/>
      <c r="G18" s="442"/>
      <c r="H18" s="457" t="s">
        <v>647</v>
      </c>
      <c r="I18" s="442"/>
      <c r="J18" s="442"/>
      <c r="K18" s="442"/>
    </row>
    <row r="19" spans="2:11" ht="11.25" customHeight="1" x14ac:dyDescent="0.3">
      <c r="B19" s="455"/>
      <c r="C19" s="466"/>
      <c r="D19" s="468"/>
      <c r="E19" s="468"/>
      <c r="F19" s="442"/>
      <c r="G19" s="442"/>
      <c r="H19" s="470">
        <v>71</v>
      </c>
      <c r="I19" s="468">
        <f t="shared" ref="I19:I33" si="2">(I$14*12)*($H19-62)</f>
        <v>236736</v>
      </c>
      <c r="J19" s="468">
        <f t="shared" ref="J19:J33" si="3">(J$14*12)*($H19-67)</f>
        <v>153456</v>
      </c>
      <c r="K19" s="468">
        <f t="shared" ref="K19:K33" si="4">(K$14*12)*($H19-70)</f>
        <v>48228</v>
      </c>
    </row>
    <row r="20" spans="2:11" ht="11.25" customHeight="1" x14ac:dyDescent="0.3">
      <c r="B20" s="455"/>
      <c r="C20" s="466"/>
      <c r="D20" s="468"/>
      <c r="E20" s="468"/>
      <c r="F20" s="442"/>
      <c r="G20" s="442"/>
      <c r="H20" s="470">
        <v>72</v>
      </c>
      <c r="I20" s="468">
        <f t="shared" si="2"/>
        <v>263040</v>
      </c>
      <c r="J20" s="468">
        <f t="shared" si="3"/>
        <v>191820</v>
      </c>
      <c r="K20" s="468">
        <f t="shared" si="4"/>
        <v>96456</v>
      </c>
    </row>
    <row r="21" spans="2:11" ht="11.25" customHeight="1" x14ac:dyDescent="0.3">
      <c r="B21" s="455" t="s">
        <v>648</v>
      </c>
      <c r="C21" s="466" t="s">
        <v>649</v>
      </c>
      <c r="D21" s="466" t="s">
        <v>650</v>
      </c>
      <c r="E21" s="468" t="s">
        <v>651</v>
      </c>
      <c r="F21" s="442"/>
      <c r="G21" s="442"/>
      <c r="H21" s="470">
        <v>73</v>
      </c>
      <c r="I21" s="468">
        <f t="shared" si="2"/>
        <v>289344</v>
      </c>
      <c r="J21" s="468">
        <f t="shared" si="3"/>
        <v>230184</v>
      </c>
      <c r="K21" s="468">
        <f t="shared" si="4"/>
        <v>144684</v>
      </c>
    </row>
    <row r="22" spans="2:11" ht="11.25" customHeight="1" x14ac:dyDescent="0.3">
      <c r="B22" s="455">
        <f>B13*(B17*0.01)</f>
        <v>34444.46742778919</v>
      </c>
      <c r="C22" s="466">
        <f>C24*12</f>
        <v>42305.438109374998</v>
      </c>
      <c r="D22" s="466">
        <f>B22+C22</f>
        <v>76749.905537164188</v>
      </c>
      <c r="E22" s="471">
        <f>D22/(B13+C13)</f>
        <v>0.62781314243289288</v>
      </c>
      <c r="F22" s="442"/>
      <c r="G22" s="442"/>
      <c r="H22" s="470">
        <v>74</v>
      </c>
      <c r="I22" s="468">
        <f t="shared" si="2"/>
        <v>315648</v>
      </c>
      <c r="J22" s="468">
        <f t="shared" si="3"/>
        <v>268548</v>
      </c>
      <c r="K22" s="468">
        <f t="shared" si="4"/>
        <v>192912</v>
      </c>
    </row>
    <row r="23" spans="2:11" ht="11.25" customHeight="1" x14ac:dyDescent="0.3">
      <c r="B23" s="457" t="s">
        <v>652</v>
      </c>
      <c r="C23" s="457" t="s">
        <v>653</v>
      </c>
      <c r="D23" s="457" t="s">
        <v>654</v>
      </c>
      <c r="E23" s="442"/>
      <c r="F23" s="457"/>
      <c r="G23" s="457"/>
      <c r="H23" s="470">
        <v>75</v>
      </c>
      <c r="I23" s="468">
        <f t="shared" si="2"/>
        <v>341952</v>
      </c>
      <c r="J23" s="468">
        <f t="shared" si="3"/>
        <v>306912</v>
      </c>
      <c r="K23" s="468">
        <f t="shared" si="4"/>
        <v>241140</v>
      </c>
    </row>
    <row r="24" spans="2:11" ht="11.25" customHeight="1" x14ac:dyDescent="0.3">
      <c r="B24" s="466">
        <f>B22/12</f>
        <v>2870.372285649099</v>
      </c>
      <c r="C24" s="466">
        <f>AVERAGE('Guard Ret Calc'!I23:I24)</f>
        <v>3525.4531757812501</v>
      </c>
      <c r="D24" s="466">
        <f>B24+C24</f>
        <v>6395.8254614303496</v>
      </c>
      <c r="E24" s="442"/>
      <c r="F24" s="457"/>
      <c r="G24" s="466"/>
      <c r="H24" s="470">
        <v>76</v>
      </c>
      <c r="I24" s="468">
        <f t="shared" si="2"/>
        <v>368256</v>
      </c>
      <c r="J24" s="468">
        <f t="shared" si="3"/>
        <v>345276</v>
      </c>
      <c r="K24" s="468">
        <f t="shared" si="4"/>
        <v>289368</v>
      </c>
    </row>
    <row r="25" spans="2:11" ht="11.25" customHeight="1" x14ac:dyDescent="0.3">
      <c r="B25" s="470"/>
      <c r="C25" s="466"/>
      <c r="D25" s="466"/>
      <c r="E25" s="466"/>
      <c r="F25" s="457"/>
      <c r="G25" s="466"/>
      <c r="H25" s="470">
        <v>77</v>
      </c>
      <c r="I25" s="468">
        <f t="shared" si="2"/>
        <v>394560</v>
      </c>
      <c r="J25" s="468">
        <f t="shared" si="3"/>
        <v>383640</v>
      </c>
      <c r="K25" s="468">
        <f t="shared" si="4"/>
        <v>337596</v>
      </c>
    </row>
    <row r="26" spans="2:11" ht="11.25" customHeight="1" x14ac:dyDescent="0.3">
      <c r="B26" s="470"/>
      <c r="C26" s="466"/>
      <c r="D26" s="466"/>
      <c r="E26" s="466"/>
      <c r="F26" s="457"/>
      <c r="G26" s="466"/>
      <c r="H26" s="470">
        <v>78</v>
      </c>
      <c r="I26" s="468">
        <f t="shared" si="2"/>
        <v>420864</v>
      </c>
      <c r="J26" s="472">
        <f t="shared" si="3"/>
        <v>422004</v>
      </c>
      <c r="K26" s="468">
        <f t="shared" si="4"/>
        <v>385824</v>
      </c>
    </row>
    <row r="27" spans="2:11" ht="11.25" customHeight="1" x14ac:dyDescent="0.3">
      <c r="B27" s="470"/>
      <c r="C27" s="466"/>
      <c r="D27" s="466"/>
      <c r="E27" s="466"/>
      <c r="F27" s="466"/>
      <c r="G27" s="466"/>
      <c r="H27" s="470">
        <v>79</v>
      </c>
      <c r="I27" s="468">
        <f t="shared" si="2"/>
        <v>447168</v>
      </c>
      <c r="J27" s="468">
        <f t="shared" si="3"/>
        <v>460368</v>
      </c>
      <c r="K27" s="468">
        <f t="shared" si="4"/>
        <v>434052</v>
      </c>
    </row>
    <row r="28" spans="2:11" ht="11.25" customHeight="1" x14ac:dyDescent="0.3">
      <c r="B28" s="470" t="s">
        <v>647</v>
      </c>
      <c r="C28" s="466" t="s">
        <v>655</v>
      </c>
      <c r="D28" s="466" t="s">
        <v>656</v>
      </c>
      <c r="E28" s="466" t="s">
        <v>68</v>
      </c>
      <c r="F28" s="466"/>
      <c r="G28" s="466"/>
      <c r="H28" s="470">
        <v>80</v>
      </c>
      <c r="I28" s="468">
        <f t="shared" si="2"/>
        <v>473472</v>
      </c>
      <c r="J28" s="468">
        <f t="shared" si="3"/>
        <v>498732</v>
      </c>
      <c r="K28" s="472">
        <f t="shared" si="4"/>
        <v>482280</v>
      </c>
    </row>
    <row r="29" spans="2:11" ht="11.25" customHeight="1" x14ac:dyDescent="0.3">
      <c r="B29" s="462">
        <v>57</v>
      </c>
      <c r="C29" s="466">
        <v>2185</v>
      </c>
      <c r="D29" s="466">
        <v>1319</v>
      </c>
      <c r="E29" s="466">
        <f>SUM(C29:D29)</f>
        <v>3504</v>
      </c>
      <c r="F29" s="466"/>
      <c r="G29" s="466"/>
      <c r="H29" s="470">
        <v>81</v>
      </c>
      <c r="I29" s="468">
        <f t="shared" si="2"/>
        <v>499776</v>
      </c>
      <c r="J29" s="468">
        <f t="shared" si="3"/>
        <v>537096</v>
      </c>
      <c r="K29" s="468">
        <f t="shared" si="4"/>
        <v>530508</v>
      </c>
    </row>
    <row r="30" spans="2:11" ht="11.25" customHeight="1" x14ac:dyDescent="0.3">
      <c r="B30" s="462">
        <v>57.5</v>
      </c>
      <c r="C30" s="466"/>
      <c r="D30" s="466"/>
      <c r="E30" s="466"/>
      <c r="F30" s="466"/>
      <c r="G30" s="466"/>
      <c r="H30" s="470">
        <v>82</v>
      </c>
      <c r="I30" s="468">
        <f t="shared" si="2"/>
        <v>526080</v>
      </c>
      <c r="J30" s="468">
        <f t="shared" si="3"/>
        <v>575460</v>
      </c>
      <c r="K30" s="468">
        <f t="shared" si="4"/>
        <v>578736</v>
      </c>
    </row>
    <row r="31" spans="2:11" ht="11.25" customHeight="1" x14ac:dyDescent="0.3">
      <c r="B31" s="462">
        <v>58</v>
      </c>
      <c r="C31" s="466"/>
      <c r="D31" s="466"/>
      <c r="E31" s="466"/>
      <c r="F31" s="466"/>
      <c r="G31" s="466"/>
      <c r="H31" s="470">
        <v>83</v>
      </c>
      <c r="I31" s="468">
        <f t="shared" si="2"/>
        <v>552384</v>
      </c>
      <c r="J31" s="468">
        <f t="shared" si="3"/>
        <v>613824</v>
      </c>
      <c r="K31" s="468">
        <f t="shared" si="4"/>
        <v>626964</v>
      </c>
    </row>
    <row r="32" spans="2:11" ht="11.25" customHeight="1" x14ac:dyDescent="0.3">
      <c r="B32" s="462">
        <v>58.5</v>
      </c>
      <c r="C32" s="466">
        <v>2295</v>
      </c>
      <c r="D32" s="466">
        <v>1569</v>
      </c>
      <c r="E32" s="466">
        <f>SUM(C32:D32)</f>
        <v>3864</v>
      </c>
      <c r="F32" s="466"/>
      <c r="G32" s="466"/>
      <c r="H32" s="470">
        <v>84</v>
      </c>
      <c r="I32" s="468">
        <f t="shared" si="2"/>
        <v>578688</v>
      </c>
      <c r="J32" s="468">
        <f t="shared" si="3"/>
        <v>652188</v>
      </c>
      <c r="K32" s="468">
        <f t="shared" si="4"/>
        <v>675192</v>
      </c>
    </row>
    <row r="33" spans="2:11" ht="11.25" customHeight="1" x14ac:dyDescent="0.3">
      <c r="B33" s="462">
        <v>59</v>
      </c>
      <c r="C33" s="466"/>
      <c r="D33" s="466"/>
      <c r="E33" s="466"/>
      <c r="F33" s="466"/>
      <c r="G33" s="466"/>
      <c r="H33" s="470">
        <v>85</v>
      </c>
      <c r="I33" s="468">
        <f t="shared" si="2"/>
        <v>604992</v>
      </c>
      <c r="J33" s="468">
        <f t="shared" si="3"/>
        <v>690552</v>
      </c>
      <c r="K33" s="468">
        <f t="shared" si="4"/>
        <v>723420</v>
      </c>
    </row>
    <row r="34" spans="2:11" ht="11.25" customHeight="1" x14ac:dyDescent="0.3">
      <c r="B34" s="462">
        <v>59.5</v>
      </c>
      <c r="C34" s="466"/>
      <c r="D34" s="466"/>
      <c r="E34" s="466"/>
      <c r="F34" s="466"/>
      <c r="G34" s="466"/>
      <c r="H34" s="466"/>
      <c r="I34" s="466"/>
      <c r="J34" s="466"/>
      <c r="K34" s="466"/>
    </row>
    <row r="35" spans="2:11" ht="11.25" customHeight="1" x14ac:dyDescent="0.3">
      <c r="B35" s="462">
        <v>60</v>
      </c>
      <c r="C35" s="466">
        <v>2393.65</v>
      </c>
      <c r="D35" s="466">
        <v>1467</v>
      </c>
      <c r="E35" s="466">
        <f>SUM(C35:D35)</f>
        <v>3860.65</v>
      </c>
      <c r="F35" s="466"/>
      <c r="G35" s="466"/>
      <c r="H35" s="466"/>
      <c r="I35" s="466"/>
      <c r="J35" s="466"/>
      <c r="K35" s="466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70" t="s">
        <v>657</v>
      </c>
      <c r="B1" s="455">
        <f ca="1">'Combined Retirement'!E8+'Combined Retirement'!G8</f>
        <v>3140827.6173122884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42"/>
    </row>
    <row r="2" spans="1:14" ht="11.25" customHeight="1" x14ac:dyDescent="0.3">
      <c r="A2" s="470" t="s">
        <v>658</v>
      </c>
      <c r="B2" s="471">
        <v>0.05</v>
      </c>
      <c r="C2" s="457" t="s">
        <v>659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42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42"/>
    </row>
    <row r="4" spans="1:14" ht="11.25" customHeight="1" x14ac:dyDescent="0.3">
      <c r="A4" s="470" t="s">
        <v>660</v>
      </c>
      <c r="B4" s="462">
        <f ca="1">(SUMIFS(H:H,I:I,"&gt;0",L:L,"&lt;0"))/12</f>
        <v>54.833333333333336</v>
      </c>
      <c r="C4" s="474">
        <f ca="1">(SUMIFS(H:H,I:I,"&gt;0",L:L,"&lt;0"))</f>
        <v>658</v>
      </c>
      <c r="D4" s="467">
        <f t="array" aca="1" ref="D4" ca="1">INDEX(N:N,MATCH(C4,H:H,0),0)</f>
        <v>71284</v>
      </c>
      <c r="E4" s="457"/>
      <c r="F4" s="457"/>
      <c r="G4" s="470"/>
      <c r="H4" s="470"/>
      <c r="I4" s="457"/>
      <c r="J4" s="442"/>
      <c r="K4" s="442"/>
      <c r="L4" s="442"/>
      <c r="M4" s="473"/>
      <c r="N4" s="442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42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42"/>
    </row>
    <row r="7" spans="1:14" ht="11.25" customHeight="1" x14ac:dyDescent="0.3">
      <c r="A7" s="470" t="s">
        <v>661</v>
      </c>
      <c r="B7" s="457" t="s">
        <v>662</v>
      </c>
      <c r="C7" s="457" t="s">
        <v>663</v>
      </c>
      <c r="D7" s="457" t="s">
        <v>664</v>
      </c>
      <c r="E7" s="457" t="s">
        <v>665</v>
      </c>
      <c r="F7" s="457"/>
      <c r="G7" s="470" t="s">
        <v>666</v>
      </c>
      <c r="H7" s="470" t="s">
        <v>224</v>
      </c>
      <c r="I7" s="457" t="s">
        <v>662</v>
      </c>
      <c r="J7" s="457" t="s">
        <v>663</v>
      </c>
      <c r="K7" s="457" t="s">
        <v>664</v>
      </c>
      <c r="L7" s="457" t="s">
        <v>665</v>
      </c>
      <c r="M7" s="471"/>
      <c r="N7" s="442" t="s">
        <v>592</v>
      </c>
    </row>
    <row r="8" spans="1:14" ht="11.25" customHeight="1" x14ac:dyDescent="0.3">
      <c r="A8" s="470">
        <v>1</v>
      </c>
      <c r="B8" s="458">
        <f ca="1">B1</f>
        <v>3140827.6173122884</v>
      </c>
      <c r="C8" s="458">
        <f t="shared" ref="C8:C136" si="0">SUMIF(G:G,A8,J:J)</f>
        <v>374258.93446283572</v>
      </c>
      <c r="D8" s="458">
        <f ca="1">SUMIF(G:G,1,K:K)</f>
        <v>150398.03877542401</v>
      </c>
      <c r="E8" s="458">
        <f t="shared" ref="E8:E136" ca="1" si="1">B8-C8+D8</f>
        <v>2916966.7216248768</v>
      </c>
      <c r="F8" s="442"/>
      <c r="G8" s="470">
        <v>1</v>
      </c>
      <c r="H8" s="470">
        <v>1</v>
      </c>
      <c r="I8" s="455">
        <f ca="1">B1</f>
        <v>3140827.6173122884</v>
      </c>
      <c r="J8" s="455">
        <f t="array" ref="J8">IFERROR(INDEX('Retirement Calculator'!J:J,MATCH('Isaac 401k'!N8,'Retirement Calculator'!A:A,0),0),0)</f>
        <v>31188.244538569645</v>
      </c>
      <c r="K8" s="455">
        <f t="shared" ref="K8:K262" ca="1" si="2">IPMT(M8/12,1,12,-I8+J8,,0)</f>
        <v>12956.830719890493</v>
      </c>
      <c r="L8" s="455">
        <f t="shared" ref="L8:L262" ca="1" si="3">I8-J8+K8</f>
        <v>3122596.2034936091</v>
      </c>
      <c r="M8" s="471">
        <f>B2</f>
        <v>0.05</v>
      </c>
      <c r="N8" s="475">
        <f>'Retirement Calculator'!D6</f>
        <v>51288</v>
      </c>
    </row>
    <row r="9" spans="1:14" ht="11.25" customHeight="1" x14ac:dyDescent="0.3">
      <c r="A9" s="470">
        <v>2</v>
      </c>
      <c r="B9" s="458">
        <f t="shared" ref="B9:B136" ca="1" si="4">E8</f>
        <v>2916966.7216248768</v>
      </c>
      <c r="C9" s="458">
        <f t="shared" si="0"/>
        <v>374258.93446283572</v>
      </c>
      <c r="D9" s="458">
        <f ca="1">SUMIF(G:G,2,K:K)</f>
        <v>138944.89049055122</v>
      </c>
      <c r="E9" s="458">
        <f t="shared" ca="1" si="1"/>
        <v>2681652.6776525923</v>
      </c>
      <c r="F9" s="442"/>
      <c r="G9" s="470">
        <v>1</v>
      </c>
      <c r="H9" s="470">
        <v>2</v>
      </c>
      <c r="I9" s="455">
        <f t="shared" ref="I9:I263" ca="1" si="5">L8</f>
        <v>3122596.2034936091</v>
      </c>
      <c r="J9" s="455">
        <f t="array" ref="J9">IFERROR(INDEX('Retirement Calculator'!J:J,MATCH('Isaac 401k'!N9,'Retirement Calculator'!A:A,0),0),0)</f>
        <v>31188.244538569645</v>
      </c>
      <c r="K9" s="455">
        <f t="shared" ca="1" si="2"/>
        <v>12880.866495645996</v>
      </c>
      <c r="L9" s="455">
        <f t="shared" ca="1" si="3"/>
        <v>3104288.8254506853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2681652.6776525923</v>
      </c>
      <c r="C10" s="458">
        <f t="shared" si="0"/>
        <v>374258.93446283572</v>
      </c>
      <c r="D10" s="458">
        <f ca="1">SUMIF(G:G,3,K:K)</f>
        <v>126905.7774027034</v>
      </c>
      <c r="E10" s="458">
        <f t="shared" ca="1" si="1"/>
        <v>2434299.5205924599</v>
      </c>
      <c r="F10" s="442"/>
      <c r="G10" s="470">
        <v>1</v>
      </c>
      <c r="H10" s="470">
        <v>3</v>
      </c>
      <c r="I10" s="455">
        <f t="shared" ca="1" si="5"/>
        <v>3104288.8254506853</v>
      </c>
      <c r="J10" s="455">
        <f t="array" ref="J10">IFERROR(INDEX('Retirement Calculator'!J:J,MATCH('Isaac 401k'!N10,'Retirement Calculator'!A:A,0),0),0)</f>
        <v>31188.244538569645</v>
      </c>
      <c r="K10" s="455">
        <f t="shared" ca="1" si="2"/>
        <v>12804.585753800482</v>
      </c>
      <c r="L10" s="455">
        <f t="shared" ca="1" si="3"/>
        <v>3085905.1666659159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2434299.5205924599</v>
      </c>
      <c r="C11" s="458">
        <f t="shared" si="0"/>
        <v>370520.93446283572</v>
      </c>
      <c r="D11" s="458">
        <f ca="1">SUMIF(G:G,4,K:K)</f>
        <v>114305.61308077439</v>
      </c>
      <c r="E11" s="458">
        <f t="shared" ca="1" si="1"/>
        <v>2178084.1992103984</v>
      </c>
      <c r="F11" s="442"/>
      <c r="G11" s="470">
        <v>1</v>
      </c>
      <c r="H11" s="470">
        <v>4</v>
      </c>
      <c r="I11" s="455">
        <f t="shared" ca="1" si="5"/>
        <v>3085905.1666659159</v>
      </c>
      <c r="J11" s="455">
        <f t="array" ref="J11">IFERROR(INDEX('Retirement Calculator'!J:J,MATCH('Isaac 401k'!N11,'Retirement Calculator'!A:A,0),0),0)</f>
        <v>31188.244538569645</v>
      </c>
      <c r="K11" s="455">
        <f t="shared" ca="1" si="2"/>
        <v>12727.987175530609</v>
      </c>
      <c r="L11" s="455">
        <f t="shared" ca="1" si="3"/>
        <v>3067444.9093028768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2178084.1992103984</v>
      </c>
      <c r="C12" s="458">
        <f t="shared" si="0"/>
        <v>366782.93446283572</v>
      </c>
      <c r="D12" s="458">
        <f ca="1">SUMIF(G:G,5,K:K)</f>
        <v>101347.85916584103</v>
      </c>
      <c r="E12" s="458">
        <f t="shared" ca="1" si="1"/>
        <v>1912649.1239134036</v>
      </c>
      <c r="F12" s="442"/>
      <c r="G12" s="470">
        <v>1</v>
      </c>
      <c r="H12" s="470">
        <v>5</v>
      </c>
      <c r="I12" s="455">
        <f t="shared" ca="1" si="5"/>
        <v>3067444.9093028768</v>
      </c>
      <c r="J12" s="455">
        <f t="array" ref="J12">IFERROR(INDEX('Retirement Calculator'!J:J,MATCH('Isaac 401k'!N12,'Retirement Calculator'!A:A,0),0),0)</f>
        <v>31188.244538569645</v>
      </c>
      <c r="K12" s="455">
        <f t="shared" ca="1" si="2"/>
        <v>12651.069436517946</v>
      </c>
      <c r="L12" s="455">
        <f t="shared" ca="1" si="3"/>
        <v>3048907.734200825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1912649.1239134036</v>
      </c>
      <c r="C13" s="458">
        <f t="shared" si="0"/>
        <v>256653.30186591548</v>
      </c>
      <c r="D13" s="458">
        <f ca="1">SUMIF(G:G,6,K:K)</f>
        <v>89151.989187400424</v>
      </c>
      <c r="E13" s="458">
        <f t="shared" ca="1" si="1"/>
        <v>1745147.8112348884</v>
      </c>
      <c r="F13" s="442"/>
      <c r="G13" s="470">
        <v>1</v>
      </c>
      <c r="H13" s="470">
        <v>6</v>
      </c>
      <c r="I13" s="455">
        <f t="shared" ca="1" si="5"/>
        <v>3048907.734200825</v>
      </c>
      <c r="J13" s="455">
        <f t="array" ref="J13">IFERROR(INDEX('Retirement Calculator'!J:J,MATCH('Isaac 401k'!N13,'Retirement Calculator'!A:A,0),0),0)</f>
        <v>31188.244538569645</v>
      </c>
      <c r="K13" s="455">
        <f t="shared" ca="1" si="2"/>
        <v>12573.831206926063</v>
      </c>
      <c r="L13" s="455">
        <f t="shared" ca="1" si="3"/>
        <v>3030293.3208691813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1745147.8112348884</v>
      </c>
      <c r="C14" s="458">
        <f t="shared" si="0"/>
        <v>102471.81623022706</v>
      </c>
      <c r="D14" s="458">
        <f ca="1">SUMIF(G:G,7,K:K)</f>
        <v>86466.950666146877</v>
      </c>
      <c r="E14" s="458">
        <f t="shared" ca="1" si="1"/>
        <v>1729142.9456708082</v>
      </c>
      <c r="F14" s="442"/>
      <c r="G14" s="470">
        <v>1</v>
      </c>
      <c r="H14" s="470">
        <v>7</v>
      </c>
      <c r="I14" s="455">
        <f t="shared" ca="1" si="5"/>
        <v>3030293.3208691813</v>
      </c>
      <c r="J14" s="455">
        <f t="array" ref="J14">IFERROR(INDEX('Retirement Calculator'!J:J,MATCH('Isaac 401k'!N14,'Retirement Calculator'!A:A,0),0),0)</f>
        <v>31188.244538569645</v>
      </c>
      <c r="K14" s="455">
        <f t="shared" ca="1" si="2"/>
        <v>12496.271151377548</v>
      </c>
      <c r="L14" s="455">
        <f t="shared" ca="1" si="3"/>
        <v>3011601.3474819888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1729142.9456708082</v>
      </c>
      <c r="C15" s="458">
        <f t="shared" si="0"/>
        <v>102471.81623022706</v>
      </c>
      <c r="D15" s="458">
        <f ca="1">SUMIF(G:G,8,K:K)</f>
        <v>85648.111368546495</v>
      </c>
      <c r="E15" s="458">
        <f t="shared" ca="1" si="1"/>
        <v>1712319.2408091277</v>
      </c>
      <c r="F15" s="442"/>
      <c r="G15" s="470">
        <v>1</v>
      </c>
      <c r="H15" s="470">
        <v>8</v>
      </c>
      <c r="I15" s="455">
        <f t="shared" ca="1" si="5"/>
        <v>3011601.3474819888</v>
      </c>
      <c r="J15" s="455">
        <f t="array" ref="J15">IFERROR(INDEX('Retirement Calculator'!J:J,MATCH('Isaac 401k'!N15,'Retirement Calculator'!A:A,0),0),0)</f>
        <v>31188.244538569645</v>
      </c>
      <c r="K15" s="455">
        <f t="shared" ca="1" si="2"/>
        <v>12418.387928930912</v>
      </c>
      <c r="L15" s="455">
        <f t="shared" ca="1" si="3"/>
        <v>2992831.4908723501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1712319.2408091277</v>
      </c>
      <c r="C16" s="458">
        <f t="shared" si="0"/>
        <v>95034.72063022705</v>
      </c>
      <c r="D16" s="458">
        <f ca="1">SUMIF(G:G,9,K:K)</f>
        <v>84975.912784760076</v>
      </c>
      <c r="E16" s="458">
        <f t="shared" ca="1" si="1"/>
        <v>1702260.4329636607</v>
      </c>
      <c r="F16" s="442"/>
      <c r="G16" s="470">
        <v>1</v>
      </c>
      <c r="H16" s="470">
        <v>9</v>
      </c>
      <c r="I16" s="455">
        <f t="shared" ca="1" si="5"/>
        <v>2992831.4908723501</v>
      </c>
      <c r="J16" s="455">
        <f t="array" ref="J16">IFERROR(INDEX('Retirement Calculator'!J:J,MATCH('Isaac 401k'!N16,'Retirement Calculator'!A:A,0),0),0)</f>
        <v>31188.244538569645</v>
      </c>
      <c r="K16" s="455">
        <f t="shared" ca="1" si="2"/>
        <v>12340.180193057418</v>
      </c>
      <c r="L16" s="455">
        <f t="shared" ca="1" si="3"/>
        <v>2973983.4265268375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1702260.4329636607</v>
      </c>
      <c r="C17" s="458">
        <f t="shared" si="0"/>
        <v>94358.621030227048</v>
      </c>
      <c r="D17" s="458">
        <f ca="1">SUMIF(G:G,10,K:K)</f>
        <v>84495.875623651402</v>
      </c>
      <c r="E17" s="458">
        <f t="shared" ca="1" si="1"/>
        <v>1692397.687557085</v>
      </c>
      <c r="F17" s="442"/>
      <c r="G17" s="470">
        <v>1</v>
      </c>
      <c r="H17" s="470">
        <v>10</v>
      </c>
      <c r="I17" s="455">
        <f t="shared" ca="1" si="5"/>
        <v>2973983.4265268375</v>
      </c>
      <c r="J17" s="455">
        <f t="array" ref="J17">IFERROR(INDEX('Retirement Calculator'!J:J,MATCH('Isaac 401k'!N17,'Retirement Calculator'!A:A,0),0),0)</f>
        <v>31188.244538569645</v>
      </c>
      <c r="K17" s="455">
        <f t="shared" ca="1" si="2"/>
        <v>12261.646591617782</v>
      </c>
      <c r="L17" s="455">
        <f t="shared" ca="1" si="3"/>
        <v>2955056.8285798854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1692397.687557085</v>
      </c>
      <c r="C18" s="458">
        <f t="shared" si="0"/>
        <v>94358.621030227048</v>
      </c>
      <c r="D18" s="458">
        <f ca="1">SUMIF(G:G,11,K:K)</f>
        <v>83991.278850326635</v>
      </c>
      <c r="E18" s="458">
        <f t="shared" ca="1" si="1"/>
        <v>1682030.3453771845</v>
      </c>
      <c r="F18" s="442"/>
      <c r="G18" s="470">
        <v>1</v>
      </c>
      <c r="H18" s="470">
        <v>11</v>
      </c>
      <c r="I18" s="455">
        <f t="shared" ca="1" si="5"/>
        <v>2955056.8285798854</v>
      </c>
      <c r="J18" s="455">
        <f t="array" ref="J18">IFERROR(INDEX('Retirement Calculator'!J:J,MATCH('Isaac 401k'!N18,'Retirement Calculator'!A:A,0),0),0)</f>
        <v>31188.244538569645</v>
      </c>
      <c r="K18" s="455">
        <f t="shared" ca="1" si="2"/>
        <v>12182.785766838815</v>
      </c>
      <c r="L18" s="455">
        <f t="shared" ca="1" si="3"/>
        <v>2936051.3698081542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1682030.3453771845</v>
      </c>
      <c r="C19" s="458">
        <f t="shared" si="0"/>
        <v>94358.621030227048</v>
      </c>
      <c r="D19" s="458">
        <f ca="1">SUMIF(G:G,12,K:K)</f>
        <v>83460.865948413601</v>
      </c>
      <c r="E19" s="458">
        <f t="shared" ca="1" si="1"/>
        <v>1671132.5902953709</v>
      </c>
      <c r="F19" s="442"/>
      <c r="G19" s="470">
        <v>1</v>
      </c>
      <c r="H19" s="470">
        <v>12</v>
      </c>
      <c r="I19" s="455">
        <f t="shared" ca="1" si="5"/>
        <v>2936051.3698081542</v>
      </c>
      <c r="J19" s="455">
        <f t="array" ref="J19">IFERROR(INDEX('Retirement Calculator'!J:J,MATCH('Isaac 401k'!N19,'Retirement Calculator'!A:A,0),0),0)</f>
        <v>31188.244538569645</v>
      </c>
      <c r="K19" s="455">
        <f t="shared" ca="1" si="2"/>
        <v>12103.596355289934</v>
      </c>
      <c r="L19" s="455">
        <f t="shared" ca="1" si="3"/>
        <v>2916966.7216248745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1671132.5902953709</v>
      </c>
      <c r="C20" s="458">
        <f t="shared" si="0"/>
        <v>94358.621030227048</v>
      </c>
      <c r="D20" s="458">
        <f ca="1">SUMIF(G:G,13,K:K)</f>
        <v>82903.316115777678</v>
      </c>
      <c r="E20" s="458">
        <f t="shared" ca="1" si="1"/>
        <v>1659677.2853809216</v>
      </c>
      <c r="F20" s="442"/>
      <c r="G20" s="470">
        <v>2</v>
      </c>
      <c r="H20" s="470">
        <v>13</v>
      </c>
      <c r="I20" s="455">
        <f t="shared" ca="1" si="5"/>
        <v>2916966.7216248745</v>
      </c>
      <c r="J20" s="455">
        <f t="array" ref="J20">IFERROR(INDEX('Retirement Calculator'!J:J,MATCH('Isaac 401k'!N20,'Retirement Calculator'!A:A,0),0),0)</f>
        <v>31188.244538569645</v>
      </c>
      <c r="K20" s="455">
        <f t="shared" ca="1" si="2"/>
        <v>12024.076987859602</v>
      </c>
      <c r="L20" s="455">
        <f t="shared" ca="1" si="3"/>
        <v>2897802.5540741645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1659677.2853809216</v>
      </c>
      <c r="C21" s="458">
        <f t="shared" si="0"/>
        <v>94358.621030227048</v>
      </c>
      <c r="D21" s="458">
        <f ca="1">SUMIF(G:G,14,K:K)</f>
        <v>82317.24097554051</v>
      </c>
      <c r="E21" s="458">
        <f t="shared" ca="1" si="1"/>
        <v>1647635.9053262351</v>
      </c>
      <c r="F21" s="442"/>
      <c r="G21" s="470">
        <v>2</v>
      </c>
      <c r="H21" s="470">
        <v>14</v>
      </c>
      <c r="I21" s="455">
        <f t="shared" ca="1" si="5"/>
        <v>2897802.5540741645</v>
      </c>
      <c r="J21" s="455">
        <f t="array" ref="J21">IFERROR(INDEX('Retirement Calculator'!J:J,MATCH('Isaac 401k'!N21,'Retirement Calculator'!A:A,0),0),0)</f>
        <v>31188.244538569645</v>
      </c>
      <c r="K21" s="455">
        <f t="shared" ca="1" si="2"/>
        <v>11944.226289731645</v>
      </c>
      <c r="L21" s="455">
        <f t="shared" ca="1" si="3"/>
        <v>2878558.5358253261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1647635.9053262351</v>
      </c>
      <c r="C22" s="458">
        <f t="shared" si="0"/>
        <v>94358.621030227048</v>
      </c>
      <c r="D22" s="458">
        <f ca="1">SUMIF(G:G,15,K:K)</f>
        <v>81701.181118827473</v>
      </c>
      <c r="E22" s="458">
        <f t="shared" ca="1" si="1"/>
        <v>1634978.4654148356</v>
      </c>
      <c r="F22" s="442"/>
      <c r="G22" s="470">
        <v>2</v>
      </c>
      <c r="H22" s="470">
        <v>15</v>
      </c>
      <c r="I22" s="455">
        <f t="shared" ca="1" si="5"/>
        <v>2878558.5358253261</v>
      </c>
      <c r="J22" s="455">
        <f t="array" ref="J22">IFERROR(INDEX('Retirement Calculator'!J:J,MATCH('Isaac 401k'!N22,'Retirement Calculator'!A:A,0),0),0)</f>
        <v>31188.244538569645</v>
      </c>
      <c r="K22" s="455">
        <f t="shared" ca="1" si="2"/>
        <v>11864.042880361485</v>
      </c>
      <c r="L22" s="455">
        <f t="shared" ca="1" si="3"/>
        <v>2859234.3341671177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1634978.4654148356</v>
      </c>
      <c r="C23" s="458">
        <f t="shared" si="0"/>
        <v>94358.621030227048</v>
      </c>
      <c r="D23" s="458">
        <f ca="1">SUMIF(G:G,16,K:K)</f>
        <v>81053.60247063628</v>
      </c>
      <c r="E23" s="458">
        <f t="shared" ca="1" si="1"/>
        <v>1621673.4468552449</v>
      </c>
      <c r="F23" s="442"/>
      <c r="G23" s="470">
        <v>2</v>
      </c>
      <c r="H23" s="470">
        <v>16</v>
      </c>
      <c r="I23" s="455">
        <f t="shared" ca="1" si="5"/>
        <v>2859234.3341671177</v>
      </c>
      <c r="J23" s="455">
        <f t="array" ref="J23">IFERROR(INDEX('Retirement Calculator'!J:J,MATCH('Isaac 401k'!N23,'Retirement Calculator'!A:A,0),0),0)</f>
        <v>31188.244538569645</v>
      </c>
      <c r="K23" s="455">
        <f t="shared" ca="1" si="2"/>
        <v>11783.525373452283</v>
      </c>
      <c r="L23" s="455">
        <f t="shared" ca="1" si="3"/>
        <v>2839829.6150020002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1621673.4468552449</v>
      </c>
      <c r="C24" s="458">
        <f t="shared" si="0"/>
        <v>94358.621030227048</v>
      </c>
      <c r="D24" s="458">
        <f ca="1">SUMIF(G:G,17,K:K)</f>
        <v>80372.892469775921</v>
      </c>
      <c r="E24" s="458">
        <f t="shared" ca="1" si="1"/>
        <v>1607687.7182947937</v>
      </c>
      <c r="F24" s="442"/>
      <c r="G24" s="470">
        <v>2</v>
      </c>
      <c r="H24" s="470">
        <v>17</v>
      </c>
      <c r="I24" s="455">
        <f t="shared" ca="1" si="5"/>
        <v>2839829.6150020002</v>
      </c>
      <c r="J24" s="455">
        <f t="array" ref="J24">IFERROR(INDEX('Retirement Calculator'!J:J,MATCH('Isaac 401k'!N24,'Retirement Calculator'!A:A,0),0),0)</f>
        <v>31188.244538569645</v>
      </c>
      <c r="K24" s="455">
        <f t="shared" ca="1" si="2"/>
        <v>11702.672376930959</v>
      </c>
      <c r="L24" s="455">
        <f t="shared" ca="1" si="3"/>
        <v>2820344.0428403616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1607687.7182947937</v>
      </c>
      <c r="C25" s="458">
        <f t="shared" si="0"/>
        <v>94358.621030227048</v>
      </c>
      <c r="D25" s="458">
        <f ca="1">SUMIF(G:G,18,K:K)</f>
        <v>79657.356053364478</v>
      </c>
      <c r="E25" s="458">
        <f t="shared" ca="1" si="1"/>
        <v>1592986.4533179312</v>
      </c>
      <c r="F25" s="442"/>
      <c r="G25" s="470">
        <v>2</v>
      </c>
      <c r="H25" s="470">
        <v>18</v>
      </c>
      <c r="I25" s="455">
        <f t="shared" ca="1" si="5"/>
        <v>2820344.0428403616</v>
      </c>
      <c r="J25" s="455">
        <f t="array" ref="J25">IFERROR(INDEX('Retirement Calculator'!J:J,MATCH('Isaac 401k'!N25,'Retirement Calculator'!A:A,0),0),0)</f>
        <v>31188.244538569645</v>
      </c>
      <c r="K25" s="455">
        <f t="shared" ca="1" si="2"/>
        <v>11621.482492924133</v>
      </c>
      <c r="L25" s="455">
        <f t="shared" ca="1" si="3"/>
        <v>2800777.280794716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1592986.4533179312</v>
      </c>
      <c r="C26" s="458">
        <f t="shared" si="0"/>
        <v>94358.621030227048</v>
      </c>
      <c r="D26" s="458">
        <f ca="1">SUMIF(G:G,19,K:K)</f>
        <v>78905.211435885911</v>
      </c>
      <c r="E26" s="458">
        <f t="shared" ca="1" si="1"/>
        <v>1577533.04372359</v>
      </c>
      <c r="F26" s="442"/>
      <c r="G26" s="470">
        <v>2</v>
      </c>
      <c r="H26" s="470">
        <v>19</v>
      </c>
      <c r="I26" s="455">
        <f t="shared" ca="1" si="5"/>
        <v>2800777.280794716</v>
      </c>
      <c r="J26" s="455">
        <f t="array" ref="J26">IFERROR(INDEX('Retirement Calculator'!J:J,MATCH('Isaac 401k'!N26,'Retirement Calculator'!A:A,0),0),0)</f>
        <v>31188.244538569645</v>
      </c>
      <c r="K26" s="455">
        <f t="shared" ca="1" si="2"/>
        <v>11539.954317733942</v>
      </c>
      <c r="L26" s="455">
        <f t="shared" ca="1" si="3"/>
        <v>2781128.9905738803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1577533.04372359</v>
      </c>
      <c r="C27" s="458">
        <f t="shared" si="0"/>
        <v>94358.621030227048</v>
      </c>
      <c r="D27" s="458">
        <f ca="1">SUMIF(G:G,20,K:K)</f>
        <v>78114.585672295638</v>
      </c>
      <c r="E27" s="458">
        <f t="shared" ca="1" si="1"/>
        <v>1561289.0083656586</v>
      </c>
      <c r="F27" s="442"/>
      <c r="G27" s="470">
        <v>2</v>
      </c>
      <c r="H27" s="470">
        <v>20</v>
      </c>
      <c r="I27" s="455">
        <f t="shared" ca="1" si="5"/>
        <v>2781128.9905738803</v>
      </c>
      <c r="J27" s="455">
        <f t="array" ref="J27">IFERROR(INDEX('Retirement Calculator'!J:J,MATCH('Isaac 401k'!N27,'Retirement Calculator'!A:A,0),0),0)</f>
        <v>31188.244538569645</v>
      </c>
      <c r="K27" s="455">
        <f t="shared" ca="1" si="2"/>
        <v>11458.086441813793</v>
      </c>
      <c r="L27" s="455">
        <f t="shared" ca="1" si="3"/>
        <v>2761398.8324771244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1561289.0083656586</v>
      </c>
      <c r="C28" s="458">
        <f t="shared" si="0"/>
        <v>94358.621030227048</v>
      </c>
      <c r="D28" s="458">
        <f ca="1">SUMIF(G:G,21,K:K)</f>
        <v>77283.509994125881</v>
      </c>
      <c r="E28" s="458">
        <f t="shared" ca="1" si="1"/>
        <v>1544213.8973295575</v>
      </c>
      <c r="F28" s="442"/>
      <c r="G28" s="470">
        <v>2</v>
      </c>
      <c r="H28" s="470">
        <v>21</v>
      </c>
      <c r="I28" s="455">
        <f t="shared" ca="1" si="5"/>
        <v>2761398.8324771244</v>
      </c>
      <c r="J28" s="455">
        <f t="array" ref="J28">IFERROR(INDEX('Retirement Calculator'!J:J,MATCH('Isaac 401k'!N28,'Retirement Calculator'!A:A,0),0),0)</f>
        <v>31188.244538569645</v>
      </c>
      <c r="K28" s="455">
        <f t="shared" ca="1" si="2"/>
        <v>11375.877449743977</v>
      </c>
      <c r="L28" s="455">
        <f t="shared" ca="1" si="3"/>
        <v>2741586.4653882985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1544213.8973295575</v>
      </c>
      <c r="C29" s="458">
        <f t="shared" si="0"/>
        <v>94358.621030227048</v>
      </c>
      <c r="D29" s="458">
        <f ca="1">SUMIF(G:G,22,K:K)</f>
        <v>76409.914906977603</v>
      </c>
      <c r="E29" s="458">
        <f t="shared" ca="1" si="1"/>
        <v>1526265.1912063081</v>
      </c>
      <c r="F29" s="442"/>
      <c r="G29" s="470">
        <v>2</v>
      </c>
      <c r="H29" s="470">
        <v>22</v>
      </c>
      <c r="I29" s="455">
        <f t="shared" ca="1" si="5"/>
        <v>2741586.4653882985</v>
      </c>
      <c r="J29" s="455">
        <f t="array" ref="J29">IFERROR(INDEX('Retirement Calculator'!J:J,MATCH('Isaac 401k'!N29,'Retirement Calculator'!A:A,0),0),0)</f>
        <v>31188.244538569645</v>
      </c>
      <c r="K29" s="455">
        <f t="shared" ca="1" si="2"/>
        <v>11293.325920207202</v>
      </c>
      <c r="L29" s="455">
        <f t="shared" ca="1" si="3"/>
        <v>2721691.5467699361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1526265.1912063081</v>
      </c>
      <c r="C30" s="458">
        <f t="shared" si="0"/>
        <v>94358.621030227048</v>
      </c>
      <c r="D30" s="458">
        <f ca="1">SUMIF(G:G,23,K:K)</f>
        <v>75491.62503719065</v>
      </c>
      <c r="E30" s="458">
        <f t="shared" ca="1" si="1"/>
        <v>1507398.1952132718</v>
      </c>
      <c r="F30" s="442"/>
      <c r="G30" s="470">
        <v>2</v>
      </c>
      <c r="H30" s="470">
        <v>23</v>
      </c>
      <c r="I30" s="455">
        <f t="shared" ca="1" si="5"/>
        <v>2721691.5467699361</v>
      </c>
      <c r="J30" s="455">
        <f t="array" ref="J30">IFERROR(INDEX('Retirement Calculator'!J:J,MATCH('Isaac 401k'!N30,'Retirement Calculator'!A:A,0),0),0)</f>
        <v>31188.244538569645</v>
      </c>
      <c r="K30" s="455">
        <f t="shared" ca="1" si="2"/>
        <v>11210.430425964027</v>
      </c>
      <c r="L30" s="455">
        <f t="shared" ca="1" si="3"/>
        <v>2701713.7326573301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1507398.1952132718</v>
      </c>
      <c r="C31" s="458">
        <f t="shared" si="0"/>
        <v>94358.621030227048</v>
      </c>
      <c r="D31" s="458">
        <f ca="1">SUMIF(G:G,24,K:K)</f>
        <v>74526.353714859841</v>
      </c>
      <c r="E31" s="458">
        <f t="shared" ca="1" si="1"/>
        <v>1487565.9278979045</v>
      </c>
      <c r="F31" s="442"/>
      <c r="G31" s="470">
        <v>2</v>
      </c>
      <c r="H31" s="470">
        <v>24</v>
      </c>
      <c r="I31" s="455">
        <f t="shared" ca="1" si="5"/>
        <v>2701713.7326573301</v>
      </c>
      <c r="J31" s="455">
        <f t="array" ref="J31">IFERROR(INDEX('Retirement Calculator'!J:J,MATCH('Isaac 401k'!N31,'Retirement Calculator'!A:A,0),0),0)</f>
        <v>31188.244538569645</v>
      </c>
      <c r="K31" s="455">
        <f t="shared" ca="1" si="2"/>
        <v>11127.189533828168</v>
      </c>
      <c r="L31" s="455">
        <f t="shared" ca="1" si="3"/>
        <v>2681652.6776525886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1487565.9278979045</v>
      </c>
      <c r="C32" s="458">
        <f t="shared" si="0"/>
        <v>94358.621030227048</v>
      </c>
      <c r="D32" s="458">
        <f ca="1">SUMIF(G:G,25,K:K)</f>
        <v>73511.697279707761</v>
      </c>
      <c r="E32" s="458">
        <f t="shared" ca="1" si="1"/>
        <v>1466719.0041473852</v>
      </c>
      <c r="F32" s="442"/>
      <c r="G32" s="470">
        <v>3</v>
      </c>
      <c r="H32" s="470">
        <v>25</v>
      </c>
      <c r="I32" s="455">
        <f t="shared" ca="1" si="5"/>
        <v>2681652.6776525886</v>
      </c>
      <c r="J32" s="455">
        <f t="array" ref="J32">IFERROR(INDEX('Retirement Calculator'!J:J,MATCH('Isaac 401k'!N32,'Retirement Calculator'!A:A,0),0),0)</f>
        <v>31188.244538569645</v>
      </c>
      <c r="K32" s="455">
        <f t="shared" ca="1" si="2"/>
        <v>11043.601804641745</v>
      </c>
      <c r="L32" s="455">
        <f t="shared" ca="1" si="3"/>
        <v>2661508.0349186603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1466719.0041473852</v>
      </c>
      <c r="C33" s="458">
        <f t="shared" si="0"/>
        <v>94358.621030227048</v>
      </c>
      <c r="D33" s="458">
        <f ca="1">SUMIF(G:G,26,K:K)</f>
        <v>72445.129095635421</v>
      </c>
      <c r="E33" s="458">
        <f t="shared" ca="1" si="1"/>
        <v>1444805.5122127936</v>
      </c>
      <c r="F33" s="442"/>
      <c r="G33" s="470">
        <v>3</v>
      </c>
      <c r="H33" s="470">
        <v>26</v>
      </c>
      <c r="I33" s="455">
        <f t="shared" ca="1" si="5"/>
        <v>2661508.0349186603</v>
      </c>
      <c r="J33" s="455">
        <f t="array" ref="J33">IFERROR(INDEX('Retirement Calculator'!J:J,MATCH('Isaac 401k'!N33,'Retirement Calculator'!A:A,0),0),0)</f>
        <v>31188.244538569645</v>
      </c>
      <c r="K33" s="455">
        <f t="shared" ca="1" si="2"/>
        <v>10959.665793250377</v>
      </c>
      <c r="L33" s="455">
        <f t="shared" ca="1" si="3"/>
        <v>2641279.4561733408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1444805.5122127936</v>
      </c>
      <c r="C34" s="458">
        <f t="shared" si="0"/>
        <v>94358.621030227048</v>
      </c>
      <c r="D34" s="458">
        <f ca="1">SUMIF(G:G,27,K:K)</f>
        <v>71323.993259045645</v>
      </c>
      <c r="E34" s="458">
        <f t="shared" ca="1" si="1"/>
        <v>1421770.8844416123</v>
      </c>
      <c r="F34" s="442"/>
      <c r="G34" s="470">
        <v>3</v>
      </c>
      <c r="H34" s="470">
        <v>27</v>
      </c>
      <c r="I34" s="455">
        <f t="shared" ca="1" si="5"/>
        <v>2641279.4561733408</v>
      </c>
      <c r="J34" s="455">
        <f t="array" ref="J34">IFERROR(INDEX('Retirement Calculator'!J:J,MATCH('Isaac 401k'!N34,'Retirement Calculator'!A:A,0),0),0)</f>
        <v>31188.244538569645</v>
      </c>
      <c r="K34" s="455">
        <f t="shared" ca="1" si="2"/>
        <v>10875.380048478211</v>
      </c>
      <c r="L34" s="455">
        <f t="shared" ca="1" si="3"/>
        <v>2620966.591683249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1421770.8844416123</v>
      </c>
      <c r="C35" s="458">
        <f t="shared" si="0"/>
        <v>94358.621030227048</v>
      </c>
      <c r="D35" s="458">
        <f ca="1">SUMIF(G:G,28,K:K)</f>
        <v>70145.497985272697</v>
      </c>
      <c r="E35" s="458">
        <f t="shared" ca="1" si="1"/>
        <v>1397557.7613966579</v>
      </c>
      <c r="F35" s="442"/>
      <c r="G35" s="470">
        <v>3</v>
      </c>
      <c r="H35" s="470">
        <v>28</v>
      </c>
      <c r="I35" s="455">
        <f t="shared" ca="1" si="5"/>
        <v>2620966.591683249</v>
      </c>
      <c r="J35" s="455">
        <f t="array" ref="J35">IFERROR(INDEX('Retirement Calculator'!J:J,MATCH('Isaac 401k'!N35,'Retirement Calculator'!A:A,0),0),0)</f>
        <v>31188.244538569645</v>
      </c>
      <c r="K35" s="455">
        <f t="shared" ca="1" si="2"/>
        <v>10790.74311310283</v>
      </c>
      <c r="L35" s="455">
        <f t="shared" ca="1" si="3"/>
        <v>2600569.090257782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1397557.7613966579</v>
      </c>
      <c r="C36" s="458">
        <f t="shared" si="0"/>
        <v>94358.621030227048</v>
      </c>
      <c r="D36" s="458">
        <f ca="1">SUMIF(G:G,29,K:K)</f>
        <v>68906.708656648916</v>
      </c>
      <c r="E36" s="458">
        <f t="shared" ca="1" si="1"/>
        <v>1372105.8490230797</v>
      </c>
      <c r="F36" s="442"/>
      <c r="G36" s="470">
        <v>3</v>
      </c>
      <c r="H36" s="470">
        <v>29</v>
      </c>
      <c r="I36" s="455">
        <f t="shared" ca="1" si="5"/>
        <v>2600569.090257782</v>
      </c>
      <c r="J36" s="455">
        <f t="array" ref="J36">IFERROR(INDEX('Retirement Calculator'!J:J,MATCH('Isaac 401k'!N36,'Retirement Calculator'!A:A,0),0),0)</f>
        <v>31188.244538569645</v>
      </c>
      <c r="K36" s="455">
        <f t="shared" ca="1" si="2"/>
        <v>10705.753523830052</v>
      </c>
      <c r="L36" s="455">
        <f t="shared" ca="1" si="3"/>
        <v>2580086.5992430421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1372105.8490230797</v>
      </c>
      <c r="C37" s="458">
        <f t="shared" si="0"/>
        <v>94358.621030227048</v>
      </c>
      <c r="D37" s="458">
        <f ca="1">SUMIF(G:G,30,K:K)</f>
        <v>67604.54051489706</v>
      </c>
      <c r="E37" s="458">
        <f t="shared" ca="1" si="1"/>
        <v>1345351.7685077498</v>
      </c>
      <c r="F37" s="442"/>
      <c r="G37" s="470">
        <v>3</v>
      </c>
      <c r="H37" s="470">
        <v>30</v>
      </c>
      <c r="I37" s="455">
        <f t="shared" ca="1" si="5"/>
        <v>2580086.5992430421</v>
      </c>
      <c r="J37" s="455">
        <f t="array" ref="J37">IFERROR(INDEX('Retirement Calculator'!J:J,MATCH('Isaac 401k'!N37,'Retirement Calculator'!A:A,0),0),0)</f>
        <v>31188.244538569645</v>
      </c>
      <c r="K37" s="455">
        <f t="shared" ca="1" si="2"/>
        <v>10620.409811268633</v>
      </c>
      <c r="L37" s="455">
        <f t="shared" ca="1" si="3"/>
        <v>2559518.7645157408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1345351.7685077498</v>
      </c>
      <c r="C38" s="458">
        <f t="shared" si="0"/>
        <v>94358.621030227048</v>
      </c>
      <c r="D38" s="458">
        <f ca="1">SUMIF(G:G,31,K:K)</f>
        <v>66235.750979652061</v>
      </c>
      <c r="E38" s="458">
        <f t="shared" ca="1" si="1"/>
        <v>1317228.8984571749</v>
      </c>
      <c r="F38" s="442"/>
      <c r="G38" s="470">
        <v>3</v>
      </c>
      <c r="H38" s="470">
        <v>31</v>
      </c>
      <c r="I38" s="455">
        <f t="shared" ca="1" si="5"/>
        <v>2559518.7645157408</v>
      </c>
      <c r="J38" s="455">
        <f t="array" ref="J38">IFERROR(INDEX('Retirement Calculator'!J:J,MATCH('Isaac 401k'!N38,'Retirement Calculator'!A:A,0),0),0)</f>
        <v>31188.244538569645</v>
      </c>
      <c r="K38" s="455">
        <f t="shared" ca="1" si="2"/>
        <v>10534.710499904879</v>
      </c>
      <c r="L38" s="455">
        <f t="shared" ca="1" si="3"/>
        <v>2538865.230477076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1317228.8984571749</v>
      </c>
      <c r="C39" s="458">
        <f t="shared" si="0"/>
        <v>94358.621030227048</v>
      </c>
      <c r="D39" s="458">
        <f ca="1">SUMIF(G:G,32,K:K)</f>
        <v>64796.931573983275</v>
      </c>
      <c r="E39" s="458">
        <f t="shared" ca="1" si="1"/>
        <v>1287667.2090009311</v>
      </c>
      <c r="F39" s="442"/>
      <c r="G39" s="470">
        <v>3</v>
      </c>
      <c r="H39" s="470">
        <v>32</v>
      </c>
      <c r="I39" s="455">
        <f t="shared" ca="1" si="5"/>
        <v>2538865.230477076</v>
      </c>
      <c r="J39" s="455">
        <f t="array" ref="J39">IFERROR(INDEX('Retirement Calculator'!J:J,MATCH('Isaac 401k'!N39,'Retirement Calculator'!A:A,0),0),0)</f>
        <v>31188.244538569645</v>
      </c>
      <c r="K39" s="455">
        <f t="shared" ca="1" si="2"/>
        <v>10448.654108077109</v>
      </c>
      <c r="L39" s="455">
        <f t="shared" ca="1" si="3"/>
        <v>2518125.6400465835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1287667.2090009311</v>
      </c>
      <c r="C40" s="458">
        <f t="shared" si="0"/>
        <v>94358.621030227048</v>
      </c>
      <c r="D40" s="458">
        <f ca="1">SUMIF(G:G,33,K:K)</f>
        <v>63284.49943681142</v>
      </c>
      <c r="E40" s="458">
        <f t="shared" ca="1" si="1"/>
        <v>1256593.0874075154</v>
      </c>
      <c r="F40" s="442"/>
      <c r="G40" s="470">
        <v>3</v>
      </c>
      <c r="H40" s="470">
        <v>33</v>
      </c>
      <c r="I40" s="455">
        <f t="shared" ca="1" si="5"/>
        <v>2518125.6400465835</v>
      </c>
      <c r="J40" s="455">
        <f t="array" ref="J40">IFERROR(INDEX('Retirement Calculator'!J:J,MATCH('Isaac 401k'!N40,'Retirement Calculator'!A:A,0),0),0)</f>
        <v>31188.244538569645</v>
      </c>
      <c r="K40" s="455">
        <f t="shared" ca="1" si="2"/>
        <v>10362.239147950057</v>
      </c>
      <c r="L40" s="455">
        <f t="shared" ca="1" si="3"/>
        <v>2497299.6346559636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1256593.0874075154</v>
      </c>
      <c r="C41" s="458">
        <f t="shared" si="0"/>
        <v>94358.621030227048</v>
      </c>
      <c r="D41" s="458">
        <f ca="1">SUMIF(G:G,34,K:K)</f>
        <v>61694.688401084502</v>
      </c>
      <c r="E41" s="458">
        <f t="shared" ca="1" si="1"/>
        <v>1223929.1547783727</v>
      </c>
      <c r="F41" s="442"/>
      <c r="G41" s="470">
        <v>3</v>
      </c>
      <c r="H41" s="470">
        <v>34</v>
      </c>
      <c r="I41" s="455">
        <f t="shared" ca="1" si="5"/>
        <v>2497299.6346559636</v>
      </c>
      <c r="J41" s="455">
        <f t="array" ref="J41">IFERROR(INDEX('Retirement Calculator'!J:J,MATCH('Isaac 401k'!N41,'Retirement Calculator'!A:A,0),0),0)</f>
        <v>31188.244538569645</v>
      </c>
      <c r="K41" s="455">
        <f t="shared" ca="1" si="2"/>
        <v>10275.464125489141</v>
      </c>
      <c r="L41" s="455">
        <f t="shared" ca="1" si="3"/>
        <v>2476386.8542428832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1223929.1547783727</v>
      </c>
      <c r="C42" s="458">
        <f t="shared" si="0"/>
        <v>94358.621030227048</v>
      </c>
      <c r="D42" s="458">
        <f ca="1">SUMIF(G:G,35,K:K)</f>
        <v>60023.539615496498</v>
      </c>
      <c r="E42" s="458">
        <f t="shared" ca="1" si="1"/>
        <v>1189594.0733636422</v>
      </c>
      <c r="F42" s="442"/>
      <c r="G42" s="470">
        <v>3</v>
      </c>
      <c r="H42" s="470">
        <v>35</v>
      </c>
      <c r="I42" s="455">
        <f t="shared" ca="1" si="5"/>
        <v>2476386.8542428832</v>
      </c>
      <c r="J42" s="455">
        <f t="array" ref="J42">IFERROR(INDEX('Retirement Calculator'!J:J,MATCH('Isaac 401k'!N42,'Retirement Calculator'!A:A,0),0),0)</f>
        <v>31188.244538569645</v>
      </c>
      <c r="K42" s="455">
        <f t="shared" ca="1" si="2"/>
        <v>10188.327540434639</v>
      </c>
      <c r="L42" s="455">
        <f t="shared" ca="1" si="3"/>
        <v>2455386.9372447478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1189594.0733636422</v>
      </c>
      <c r="C43" s="458">
        <f t="shared" si="0"/>
        <v>94358.621030227048</v>
      </c>
      <c r="D43" s="458">
        <f ca="1">SUMIF(G:G,36,K:K)</f>
        <v>58266.891686395036</v>
      </c>
      <c r="E43" s="458">
        <f t="shared" ca="1" si="1"/>
        <v>1153502.3440198102</v>
      </c>
      <c r="F43" s="442"/>
      <c r="G43" s="470">
        <v>3</v>
      </c>
      <c r="H43" s="470">
        <v>36</v>
      </c>
      <c r="I43" s="455">
        <f t="shared" ca="1" si="5"/>
        <v>2455386.9372447478</v>
      </c>
      <c r="J43" s="455">
        <f t="array" ref="J43">IFERROR(INDEX('Retirement Calculator'!J:J,MATCH('Isaac 401k'!N43,'Retirement Calculator'!A:A,0),0),0)</f>
        <v>31188.244538569645</v>
      </c>
      <c r="K43" s="455">
        <f t="shared" ca="1" si="2"/>
        <v>10100.827886275742</v>
      </c>
      <c r="L43" s="455">
        <f t="shared" ca="1" si="3"/>
        <v>2434299.5205924539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1153502.3440198102</v>
      </c>
      <c r="C44" s="458">
        <f t="shared" si="0"/>
        <v>94358.621030227048</v>
      </c>
      <c r="D44" s="458">
        <f ca="1">SUMIF(G:G,37,K:K)</f>
        <v>56420.370315330729</v>
      </c>
      <c r="E44" s="458">
        <f t="shared" ca="1" si="1"/>
        <v>1115564.093304914</v>
      </c>
      <c r="F44" s="442"/>
      <c r="G44" s="470">
        <v>4</v>
      </c>
      <c r="H44" s="470">
        <v>37</v>
      </c>
      <c r="I44" s="455">
        <f t="shared" ca="1" si="5"/>
        <v>2434299.5205924539</v>
      </c>
      <c r="J44" s="455">
        <f t="array" ref="J44">IFERROR(INDEX('Retirement Calculator'!J:J,MATCH('Isaac 401k'!N44,'Retirement Calculator'!A:A,0),0),0)</f>
        <v>31188.244538569645</v>
      </c>
      <c r="K44" s="455">
        <f t="shared" ca="1" si="2"/>
        <v>10012.963650224518</v>
      </c>
      <c r="L44" s="455">
        <f t="shared" ca="1" si="3"/>
        <v>2413124.2397041088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1115564.093304914</v>
      </c>
      <c r="C45" s="458">
        <f t="shared" si="0"/>
        <v>94358.621030227048</v>
      </c>
      <c r="D45" s="458">
        <f ca="1">SUMIF(G:G,38,K:K)</f>
        <v>54479.377406443607</v>
      </c>
      <c r="E45" s="458">
        <f t="shared" ca="1" si="1"/>
        <v>1075684.8496811306</v>
      </c>
      <c r="F45" s="442"/>
      <c r="G45" s="470">
        <v>4</v>
      </c>
      <c r="H45" s="470">
        <v>38</v>
      </c>
      <c r="I45" s="455">
        <f t="shared" ca="1" si="5"/>
        <v>2413124.2397041088</v>
      </c>
      <c r="J45" s="455">
        <f t="array" ref="J45">IFERROR(INDEX('Retirement Calculator'!J:J,MATCH('Isaac 401k'!N45,'Retirement Calculator'!A:A,0),0),0)</f>
        <v>31188.244538569645</v>
      </c>
      <c r="K45" s="455">
        <f t="shared" ca="1" si="2"/>
        <v>9924.7333131897449</v>
      </c>
      <c r="L45" s="455">
        <f t="shared" ca="1" si="3"/>
        <v>2391860.7284787288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1075684.8496811306</v>
      </c>
      <c r="C46" s="458">
        <f t="shared" si="0"/>
        <v>94358.621030227048</v>
      </c>
      <c r="D46" s="458">
        <f ca="1">SUMIF(G:G,39,K:K)</f>
        <v>52439.07961656282</v>
      </c>
      <c r="E46" s="458">
        <f t="shared" ca="1" si="1"/>
        <v>1033765.3082674664</v>
      </c>
      <c r="F46" s="442"/>
      <c r="G46" s="470">
        <v>4</v>
      </c>
      <c r="H46" s="470">
        <v>39</v>
      </c>
      <c r="I46" s="455">
        <f t="shared" ca="1" si="5"/>
        <v>2391860.7284787288</v>
      </c>
      <c r="J46" s="455">
        <f t="array" ref="J46">IFERROR(INDEX('Retirement Calculator'!J:J,MATCH('Isaac 401k'!N46,'Retirement Calculator'!A:A,0),0),0)</f>
        <v>31188.244538569645</v>
      </c>
      <c r="K46" s="455">
        <f t="shared" ca="1" si="2"/>
        <v>9836.1353497506625</v>
      </c>
      <c r="L46" s="455">
        <f t="shared" ca="1" si="3"/>
        <v>2370508.6192899095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1033765.3082674664</v>
      </c>
      <c r="C47" s="458">
        <f t="shared" si="0"/>
        <v>94358.621030227048</v>
      </c>
      <c r="D47" s="458">
        <f ca="1">SUMIF(G:G,40,K:K)</f>
        <v>50294.396319507825</v>
      </c>
      <c r="E47" s="458">
        <f t="shared" ca="1" si="1"/>
        <v>989701.08355674718</v>
      </c>
      <c r="F47" s="442"/>
      <c r="G47" s="470">
        <v>4</v>
      </c>
      <c r="H47" s="470">
        <v>40</v>
      </c>
      <c r="I47" s="455">
        <f t="shared" ca="1" si="5"/>
        <v>2370508.6192899095</v>
      </c>
      <c r="J47" s="455">
        <f t="array" ref="J47">IFERROR(INDEX('Retirement Calculator'!J:J,MATCH('Isaac 401k'!N47,'Retirement Calculator'!A:A,0),0),0)</f>
        <v>31188.244538569645</v>
      </c>
      <c r="K47" s="455">
        <f t="shared" ca="1" si="2"/>
        <v>9747.1682281305821</v>
      </c>
      <c r="L47" s="455">
        <f t="shared" ca="1" si="3"/>
        <v>2349067.5429794705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989701.08355674718</v>
      </c>
      <c r="C48" s="458">
        <f t="shared" si="0"/>
        <v>94358.621030227048</v>
      </c>
      <c r="D48" s="458">
        <f ca="1">SUMIF(G:G,41,K:K)</f>
        <v>48039.986954620254</v>
      </c>
      <c r="E48" s="458">
        <f t="shared" ca="1" si="1"/>
        <v>943382.44948114036</v>
      </c>
      <c r="F48" s="442"/>
      <c r="G48" s="470">
        <v>4</v>
      </c>
      <c r="H48" s="470">
        <v>41</v>
      </c>
      <c r="I48" s="455">
        <f t="shared" ca="1" si="5"/>
        <v>2349067.5429794705</v>
      </c>
      <c r="J48" s="455">
        <f t="array" ref="J48">IFERROR(INDEX('Retirement Calculator'!J:J,MATCH('Isaac 401k'!N48,'Retirement Calculator'!A:A,0),0),0)</f>
        <v>31188.244538569645</v>
      </c>
      <c r="K48" s="455">
        <f t="shared" ca="1" si="2"/>
        <v>9657.8304101704198</v>
      </c>
      <c r="L48" s="455">
        <f t="shared" ca="1" si="3"/>
        <v>2327537.128851071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943382.44948114036</v>
      </c>
      <c r="C49" s="458">
        <f t="shared" si="0"/>
        <v>94358.621030227048</v>
      </c>
      <c r="D49" s="458">
        <f ca="1">SUMIF(G:G,42,K:K)</f>
        <v>45670.237728022694</v>
      </c>
      <c r="E49" s="458">
        <f t="shared" ca="1" si="1"/>
        <v>894694.06617893605</v>
      </c>
      <c r="F49" s="442"/>
      <c r="G49" s="470">
        <v>4</v>
      </c>
      <c r="H49" s="470">
        <v>42</v>
      </c>
      <c r="I49" s="455">
        <f t="shared" ca="1" si="5"/>
        <v>2327537.128851071</v>
      </c>
      <c r="J49" s="455">
        <f t="array" ref="J49">IFERROR(INDEX('Retirement Calculator'!J:J,MATCH('Isaac 401k'!N49,'Retirement Calculator'!A:A,0),0),0)</f>
        <v>31188.244538569645</v>
      </c>
      <c r="K49" s="455">
        <f t="shared" ca="1" si="2"/>
        <v>9568.1203513020882</v>
      </c>
      <c r="L49" s="455">
        <f t="shared" ca="1" si="3"/>
        <v>2305917.0046638031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894694.06617893605</v>
      </c>
      <c r="C50" s="458">
        <f t="shared" si="0"/>
        <v>94358.621030227048</v>
      </c>
      <c r="D50" s="458">
        <f ca="1">SUMIF(G:G,43,K:K)</f>
        <v>43179.247633488616</v>
      </c>
      <c r="E50" s="458">
        <f t="shared" ca="1" si="1"/>
        <v>843514.69278219761</v>
      </c>
      <c r="F50" s="442"/>
      <c r="G50" s="470">
        <v>4</v>
      </c>
      <c r="H50" s="470">
        <v>43</v>
      </c>
      <c r="I50" s="455">
        <f t="shared" ca="1" si="5"/>
        <v>2305917.0046638031</v>
      </c>
      <c r="J50" s="455">
        <f t="array" ref="J50">IFERROR(INDEX('Retirement Calculator'!J:J,MATCH('Isaac 401k'!N50,'Retirement Calculator'!A:A,0),0),0)</f>
        <v>30565.244538569641</v>
      </c>
      <c r="K50" s="455">
        <f t="shared" ca="1" si="2"/>
        <v>9480.6323338551392</v>
      </c>
      <c r="L50" s="455">
        <f t="shared" ca="1" si="3"/>
        <v>2284832.3924590885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843514.69278219761</v>
      </c>
      <c r="C51" s="458">
        <f t="shared" si="0"/>
        <v>94358.621030227048</v>
      </c>
      <c r="D51" s="458">
        <f ca="1">SUMIF(G:G,44,K:K)</f>
        <v>40560.81375811356</v>
      </c>
      <c r="E51" s="458">
        <f t="shared" ca="1" si="1"/>
        <v>789716.8855100841</v>
      </c>
      <c r="F51" s="442"/>
      <c r="G51" s="470">
        <v>4</v>
      </c>
      <c r="H51" s="470">
        <v>44</v>
      </c>
      <c r="I51" s="455">
        <f t="shared" ca="1" si="5"/>
        <v>2284832.3924590885</v>
      </c>
      <c r="J51" s="455">
        <f t="array" ref="J51">IFERROR(INDEX('Retirement Calculator'!J:J,MATCH('Isaac 401k'!N51,'Retirement Calculator'!A:A,0),0),0)</f>
        <v>30565.244538569641</v>
      </c>
      <c r="K51" s="455">
        <f t="shared" ca="1" si="2"/>
        <v>9392.7797830021609</v>
      </c>
      <c r="L51" s="455">
        <f t="shared" ca="1" si="3"/>
        <v>2263659.9277035207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789716.8855100841</v>
      </c>
      <c r="C52" s="458">
        <f t="shared" si="0"/>
        <v>94358.621030227048</v>
      </c>
      <c r="D52" s="458">
        <f ca="1">SUMIF(G:G,45,K:K)</f>
        <v>37808.415836196531</v>
      </c>
      <c r="E52" s="458">
        <f t="shared" ca="1" si="1"/>
        <v>733166.68031605356</v>
      </c>
      <c r="F52" s="442"/>
      <c r="G52" s="470">
        <v>4</v>
      </c>
      <c r="H52" s="470">
        <v>45</v>
      </c>
      <c r="I52" s="455">
        <f t="shared" ca="1" si="5"/>
        <v>2263659.9277035207</v>
      </c>
      <c r="J52" s="455">
        <f t="array" ref="J52">IFERROR(INDEX('Retirement Calculator'!J:J,MATCH('Isaac 401k'!N52,'Retirement Calculator'!A:A,0),0),0)</f>
        <v>30565.244538569641</v>
      </c>
      <c r="K52" s="455">
        <f t="shared" ca="1" si="2"/>
        <v>9304.5611798539612</v>
      </c>
      <c r="L52" s="455">
        <f t="shared" ca="1" si="3"/>
        <v>2242399.2443448049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733166.68031605356</v>
      </c>
      <c r="C53" s="458">
        <f t="shared" si="0"/>
        <v>94358.621030227048</v>
      </c>
      <c r="D53" s="458">
        <f ca="1">SUMIF(G:G,46,K:K)</f>
        <v>34915.200012868474</v>
      </c>
      <c r="E53" s="458">
        <f t="shared" ca="1" si="1"/>
        <v>673723.25929869502</v>
      </c>
      <c r="F53" s="442"/>
      <c r="G53" s="470">
        <v>4</v>
      </c>
      <c r="H53" s="470">
        <v>46</v>
      </c>
      <c r="I53" s="455">
        <f t="shared" ca="1" si="5"/>
        <v>2242399.2443448049</v>
      </c>
      <c r="J53" s="455">
        <f t="array" ref="J53">IFERROR(INDEX('Retirement Calculator'!J:J,MATCH('Isaac 401k'!N53,'Retirement Calculator'!A:A,0),0),0)</f>
        <v>30565.244538569641</v>
      </c>
      <c r="K53" s="455">
        <f t="shared" ca="1" si="2"/>
        <v>9215.9749991926456</v>
      </c>
      <c r="L53" s="455">
        <f t="shared" ca="1" si="3"/>
        <v>2221049.9748054277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673723.25929869502</v>
      </c>
      <c r="C54" s="458">
        <f t="shared" si="0"/>
        <v>94358.621030227048</v>
      </c>
      <c r="D54" s="458">
        <f ca="1">SUMIF(G:G,47,K:K)</f>
        <v>31873.961777037486</v>
      </c>
      <c r="E54" s="458">
        <f t="shared" ca="1" si="1"/>
        <v>611238.60004550545</v>
      </c>
      <c r="F54" s="442"/>
      <c r="G54" s="470">
        <v>4</v>
      </c>
      <c r="H54" s="470">
        <v>47</v>
      </c>
      <c r="I54" s="455">
        <f t="shared" ca="1" si="5"/>
        <v>2221049.9748054277</v>
      </c>
      <c r="J54" s="455">
        <f t="array" ref="J54">IFERROR(INDEX('Retirement Calculator'!J:J,MATCH('Isaac 401k'!N54,'Retirement Calculator'!A:A,0),0),0)</f>
        <v>30565.244538569641</v>
      </c>
      <c r="K54" s="455">
        <f t="shared" ca="1" si="2"/>
        <v>9127.0197094452415</v>
      </c>
      <c r="L54" s="455">
        <f t="shared" ca="1" si="3"/>
        <v>2199611.749976303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611238.60004550545</v>
      </c>
      <c r="C55" s="458">
        <f t="shared" si="0"/>
        <v>94358.621030227048</v>
      </c>
      <c r="D55" s="458">
        <f ca="1">SUMIF(G:G,48,K:K)</f>
        <v>28677.128021150886</v>
      </c>
      <c r="E55" s="458">
        <f t="shared" ca="1" si="1"/>
        <v>545557.10703642922</v>
      </c>
      <c r="F55" s="442"/>
      <c r="G55" s="470">
        <v>4</v>
      </c>
      <c r="H55" s="470">
        <v>48</v>
      </c>
      <c r="I55" s="455">
        <f t="shared" ca="1" si="5"/>
        <v>2199611.749976303</v>
      </c>
      <c r="J55" s="455">
        <f t="array" ref="J55">IFERROR(INDEX('Retirement Calculator'!J:J,MATCH('Isaac 401k'!N55,'Retirement Calculator'!A:A,0),0),0)</f>
        <v>30565.244538569641</v>
      </c>
      <c r="K55" s="455">
        <f t="shared" ca="1" si="2"/>
        <v>9037.6937726572214</v>
      </c>
      <c r="L55" s="455">
        <f t="shared" ca="1" si="3"/>
        <v>2178084.1992103904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545557.10703642922</v>
      </c>
      <c r="C56" s="458">
        <f t="shared" si="0"/>
        <v>94358.621030227048</v>
      </c>
      <c r="D56" s="458">
        <f ca="1">SUMIF(G:G,49,K:K)</f>
        <v>25316.738183100751</v>
      </c>
      <c r="E56" s="458">
        <f t="shared" ca="1" si="1"/>
        <v>476515.22418930294</v>
      </c>
      <c r="F56" s="442"/>
      <c r="G56" s="470">
        <f>G55+1</f>
        <v>5</v>
      </c>
      <c r="H56" s="470">
        <v>49</v>
      </c>
      <c r="I56" s="455">
        <f t="shared" ca="1" si="5"/>
        <v>2178084.1992103904</v>
      </c>
      <c r="J56" s="455">
        <f t="array" ref="J56">IFERROR(INDEX('Retirement Calculator'!J:J,MATCH('Isaac 401k'!N56,'Retirement Calculator'!A:A,0),0),0)</f>
        <v>30565.244538569641</v>
      </c>
      <c r="K56" s="455">
        <f t="shared" ca="1" si="2"/>
        <v>8947.9956444659183</v>
      </c>
      <c r="L56" s="455">
        <f t="shared" ca="1" si="3"/>
        <v>2156466.9503162866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476515.22418930294</v>
      </c>
      <c r="C57" s="458">
        <f t="shared" si="0"/>
        <v>94358.621030227048</v>
      </c>
      <c r="D57" s="458">
        <f ca="1">SUMIF(G:G,50,K:K)</f>
        <v>21784.424423313478</v>
      </c>
      <c r="E57" s="458">
        <f t="shared" ca="1" si="1"/>
        <v>403941.02758238936</v>
      </c>
      <c r="F57" s="442"/>
      <c r="G57" s="470">
        <f t="shared" ref="G57:G67" si="8">G56</f>
        <v>5</v>
      </c>
      <c r="H57" s="470">
        <v>50</v>
      </c>
      <c r="I57" s="455">
        <f t="shared" ca="1" si="5"/>
        <v>2156466.9503162866</v>
      </c>
      <c r="J57" s="455">
        <f t="array" ref="J57">IFERROR(INDEX('Retirement Calculator'!J:J,MATCH('Isaac 401k'!N57,'Retirement Calculator'!A:A,0),0),0)</f>
        <v>30565.244538569641</v>
      </c>
      <c r="K57" s="455">
        <f t="shared" ca="1" si="2"/>
        <v>8857.9237740738208</v>
      </c>
      <c r="L57" s="455">
        <f t="shared" ca="1" si="3"/>
        <v>2134759.6295517907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403941.02758238936</v>
      </c>
      <c r="C58" s="458">
        <f t="shared" si="0"/>
        <v>94358.621030227048</v>
      </c>
      <c r="D58" s="458">
        <f ca="1">SUMIF(G:G,51,K:K)</f>
        <v>18071.390787661727</v>
      </c>
      <c r="E58" s="458">
        <f t="shared" ca="1" si="1"/>
        <v>327653.79733982403</v>
      </c>
      <c r="F58" s="442"/>
      <c r="G58" s="470">
        <f t="shared" si="8"/>
        <v>5</v>
      </c>
      <c r="H58" s="470">
        <v>51</v>
      </c>
      <c r="I58" s="455">
        <f t="shared" ca="1" si="5"/>
        <v>2134759.6295517907</v>
      </c>
      <c r="J58" s="455">
        <f t="array" ref="J58">IFERROR(INDEX('Retirement Calculator'!J:J,MATCH('Isaac 401k'!N58,'Retirement Calculator'!A:A,0),0),0)</f>
        <v>30565.244538569641</v>
      </c>
      <c r="K58" s="455">
        <f t="shared" ca="1" si="2"/>
        <v>8767.4766042217525</v>
      </c>
      <c r="L58" s="455">
        <f t="shared" ca="1" si="3"/>
        <v>2112961.8616174427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327653.79733982403</v>
      </c>
      <c r="C59" s="458">
        <f t="shared" si="0"/>
        <v>94358.621030227048</v>
      </c>
      <c r="D59" s="458">
        <f ca="1">SUMIF(G:G,52,K:K)</f>
        <v>14168.391304311321</v>
      </c>
      <c r="E59" s="458">
        <f t="shared" ca="1" si="1"/>
        <v>247463.56761390829</v>
      </c>
      <c r="F59" s="442"/>
      <c r="G59" s="470">
        <f t="shared" si="8"/>
        <v>5</v>
      </c>
      <c r="H59" s="470">
        <v>52</v>
      </c>
      <c r="I59" s="455">
        <f t="shared" ca="1" si="5"/>
        <v>2112961.8616174427</v>
      </c>
      <c r="J59" s="455">
        <f t="array" ref="J59">IFERROR(INDEX('Retirement Calculator'!J:J,MATCH('Isaac 401k'!N59,'Retirement Calculator'!A:A,0),0),0)</f>
        <v>30565.244538569641</v>
      </c>
      <c r="K59" s="455">
        <f t="shared" ca="1" si="2"/>
        <v>8676.6525711619706</v>
      </c>
      <c r="L59" s="455">
        <f t="shared" ca="1" si="3"/>
        <v>2091073.2696500351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247463.56761390829</v>
      </c>
      <c r="C60" s="458">
        <f t="shared" si="0"/>
        <v>94358.621030227048</v>
      </c>
      <c r="D60" s="458">
        <f ca="1">SUMIF(G:G,53,K:K)</f>
        <v>10065.706959961299</v>
      </c>
      <c r="E60" s="458">
        <f t="shared" ca="1" si="1"/>
        <v>163170.65354364255</v>
      </c>
      <c r="F60" s="442"/>
      <c r="G60" s="470">
        <f t="shared" si="8"/>
        <v>5</v>
      </c>
      <c r="H60" s="470">
        <v>53</v>
      </c>
      <c r="I60" s="455">
        <f t="shared" ca="1" si="5"/>
        <v>2091073.2696500351</v>
      </c>
      <c r="J60" s="455">
        <f t="array" ref="J60">IFERROR(INDEX('Retirement Calculator'!J:J,MATCH('Isaac 401k'!N60,'Retirement Calculator'!A:A,0),0),0)</f>
        <v>30565.244538569641</v>
      </c>
      <c r="K60" s="455">
        <f t="shared" ca="1" si="2"/>
        <v>8585.4501046311052</v>
      </c>
      <c r="L60" s="455">
        <f t="shared" ca="1" si="3"/>
        <v>2069093.4752160965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163170.65354364255</v>
      </c>
      <c r="C61" s="458">
        <f t="shared" si="0"/>
        <v>94358.621030227048</v>
      </c>
      <c r="D61" s="458">
        <f ca="1">SUMIF(G:G,54,K:K)</f>
        <v>5753.1214981446565</v>
      </c>
      <c r="E61" s="458">
        <f t="shared" ca="1" si="1"/>
        <v>74565.154011560153</v>
      </c>
      <c r="F61" s="442"/>
      <c r="G61" s="470">
        <f t="shared" si="8"/>
        <v>5</v>
      </c>
      <c r="H61" s="470">
        <v>54</v>
      </c>
      <c r="I61" s="455">
        <f t="shared" ca="1" si="5"/>
        <v>2069093.4752160965</v>
      </c>
      <c r="J61" s="455">
        <f t="array" ref="J61">IFERROR(INDEX('Retirement Calculator'!J:J,MATCH('Isaac 401k'!N61,'Retirement Calculator'!A:A,0),0),0)</f>
        <v>30565.244538569641</v>
      </c>
      <c r="K61" s="455">
        <f t="shared" ca="1" si="2"/>
        <v>8493.8676278230287</v>
      </c>
      <c r="L61" s="455">
        <f t="shared" ca="1" si="3"/>
        <v>2047022.0983053499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74565.154011560153</v>
      </c>
      <c r="C62" s="458">
        <f t="shared" si="0"/>
        <v>94358.621030227048</v>
      </c>
      <c r="D62" s="458">
        <f ca="1">SUMIF(G:G,55,K:K)</f>
        <v>1219.8959793242982</v>
      </c>
      <c r="E62" s="458">
        <f t="shared" ca="1" si="1"/>
        <v>-18573.571039342598</v>
      </c>
      <c r="F62" s="442"/>
      <c r="G62" s="470">
        <f t="shared" si="8"/>
        <v>5</v>
      </c>
      <c r="H62" s="470">
        <v>55</v>
      </c>
      <c r="I62" s="455">
        <f t="shared" ca="1" si="5"/>
        <v>2047022.0983053499</v>
      </c>
      <c r="J62" s="455">
        <f t="array" ref="J62">IFERROR(INDEX('Retirement Calculator'!J:J,MATCH('Isaac 401k'!N62,'Retirement Calculator'!A:A,0),0),0)</f>
        <v>30565.244538569641</v>
      </c>
      <c r="K62" s="455">
        <f t="shared" ca="1" si="2"/>
        <v>8401.9035573615838</v>
      </c>
      <c r="L62" s="455">
        <f t="shared" ca="1" si="3"/>
        <v>2024858.7573241419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-18573.571039342598</v>
      </c>
      <c r="C63" s="458">
        <f t="shared" si="0"/>
        <v>94358.621030227048</v>
      </c>
      <c r="D63" s="458">
        <f ca="1">SUMIF(G:G,56,K:K)</f>
        <v>-3545.2579605648134</v>
      </c>
      <c r="E63" s="458">
        <f t="shared" ca="1" si="1"/>
        <v>-116477.45003013447</v>
      </c>
      <c r="F63" s="442"/>
      <c r="G63" s="470">
        <f t="shared" si="8"/>
        <v>5</v>
      </c>
      <c r="H63" s="470">
        <v>56</v>
      </c>
      <c r="I63" s="455">
        <f t="shared" ca="1" si="5"/>
        <v>2024858.7573241419</v>
      </c>
      <c r="J63" s="455">
        <f t="array" ref="J63">IFERROR(INDEX('Retirement Calculator'!J:J,MATCH('Isaac 401k'!N63,'Retirement Calculator'!A:A,0),0),0)</f>
        <v>30565.244538569641</v>
      </c>
      <c r="K63" s="455">
        <f t="shared" ca="1" si="2"/>
        <v>8309.5563032732189</v>
      </c>
      <c r="L63" s="455">
        <f t="shared" ca="1" si="3"/>
        <v>2002603.0690888455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-116477.45003013447</v>
      </c>
      <c r="C64" s="458">
        <f t="shared" si="0"/>
        <v>94358.621030227048</v>
      </c>
      <c r="D64" s="458">
        <f ca="1">SUMIF(G:G,57,K:K)</f>
        <v>-8554.2062197172691</v>
      </c>
      <c r="E64" s="458">
        <f t="shared" ca="1" si="1"/>
        <v>-219390.27728007879</v>
      </c>
      <c r="F64" s="442"/>
      <c r="G64" s="470">
        <f t="shared" si="8"/>
        <v>5</v>
      </c>
      <c r="H64" s="470">
        <v>57</v>
      </c>
      <c r="I64" s="455">
        <f t="shared" ca="1" si="5"/>
        <v>2002603.0690888455</v>
      </c>
      <c r="J64" s="455">
        <f t="array" ref="J64">IFERROR(INDEX('Retirement Calculator'!J:J,MATCH('Isaac 401k'!N64,'Retirement Calculator'!A:A,0),0),0)</f>
        <v>30565.244538569641</v>
      </c>
      <c r="K64" s="455">
        <f t="shared" ca="1" si="2"/>
        <v>8216.8242689594827</v>
      </c>
      <c r="L64" s="455">
        <f t="shared" ca="1" si="3"/>
        <v>1980254.6488192354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-219390.27728007879</v>
      </c>
      <c r="C65" s="458">
        <f t="shared" si="0"/>
        <v>94358.621030227048</v>
      </c>
      <c r="D65" s="458">
        <f ca="1">SUMIF(G:G,58,K:K)</f>
        <v>-13819.421778199365</v>
      </c>
      <c r="E65" s="458">
        <f t="shared" ca="1" si="1"/>
        <v>-327568.32008850522</v>
      </c>
      <c r="F65" s="442"/>
      <c r="G65" s="470">
        <f t="shared" si="8"/>
        <v>5</v>
      </c>
      <c r="H65" s="470">
        <v>58</v>
      </c>
      <c r="I65" s="455">
        <f t="shared" ca="1" si="5"/>
        <v>1980254.6488192354</v>
      </c>
      <c r="J65" s="455">
        <f t="array" ref="J65">IFERROR(INDEX('Retirement Calculator'!J:J,MATCH('Isaac 401k'!N65,'Retirement Calculator'!A:A,0),0),0)</f>
        <v>30565.244538569641</v>
      </c>
      <c r="K65" s="455">
        <f t="shared" ca="1" si="2"/>
        <v>8123.7058511694404</v>
      </c>
      <c r="L65" s="455">
        <f t="shared" ca="1" si="3"/>
        <v>1957813.1101318353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-327568.32008850522</v>
      </c>
      <c r="C66" s="458">
        <f t="shared" si="0"/>
        <v>94358.621030227048</v>
      </c>
      <c r="D66" s="458">
        <f ca="1">SUMIF(G:G,59,K:K)</f>
        <v>-19354.015757409852</v>
      </c>
      <c r="E66" s="458">
        <f t="shared" ca="1" si="1"/>
        <v>-441280.95687614213</v>
      </c>
      <c r="F66" s="442"/>
      <c r="G66" s="470">
        <f t="shared" si="8"/>
        <v>5</v>
      </c>
      <c r="H66" s="470">
        <v>59</v>
      </c>
      <c r="I66" s="455">
        <f t="shared" ca="1" si="5"/>
        <v>1957813.1101318353</v>
      </c>
      <c r="J66" s="455">
        <f t="array" ref="J66">IFERROR(INDEX('Retirement Calculator'!J:J,MATCH('Isaac 401k'!N66,'Retirement Calculator'!A:A,0),0),0)</f>
        <v>30565.244538569641</v>
      </c>
      <c r="K66" s="455">
        <f t="shared" ca="1" si="2"/>
        <v>8030.1994399719406</v>
      </c>
      <c r="L66" s="455">
        <f t="shared" ca="1" si="3"/>
        <v>1935278.0650332377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-441280.95687614213</v>
      </c>
      <c r="C67" s="458">
        <f t="shared" si="0"/>
        <v>94358.621030227048</v>
      </c>
      <c r="D67" s="458">
        <f t="shared" ref="D67:D136" ca="1" si="9">SUMIF(G:G,60,K:K)</f>
        <v>-25171.770068601556</v>
      </c>
      <c r="E67" s="458">
        <f t="shared" ca="1" si="1"/>
        <v>-560811.34797497082</v>
      </c>
      <c r="F67" s="442"/>
      <c r="G67" s="470">
        <f t="shared" si="8"/>
        <v>5</v>
      </c>
      <c r="H67" s="470">
        <v>60</v>
      </c>
      <c r="I67" s="455">
        <f t="shared" ca="1" si="5"/>
        <v>1935278.0650332377</v>
      </c>
      <c r="J67" s="455">
        <f t="array" ref="J67">IFERROR(INDEX('Retirement Calculator'!J:J,MATCH('Isaac 401k'!N67,'Retirement Calculator'!A:A,0),0),0)</f>
        <v>30565.244538569641</v>
      </c>
      <c r="K67" s="455">
        <f t="shared" ca="1" si="2"/>
        <v>7936.3034187277835</v>
      </c>
      <c r="L67" s="455">
        <f t="shared" ca="1" si="3"/>
        <v>1912649.1239133959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-560811.34797497082</v>
      </c>
      <c r="C68" s="458">
        <f t="shared" si="0"/>
        <v>94358.621030227048</v>
      </c>
      <c r="D68" s="458">
        <f t="shared" ca="1" si="9"/>
        <v>-25171.770068601556</v>
      </c>
      <c r="E68" s="458">
        <f t="shared" ca="1" si="1"/>
        <v>-680341.73907379946</v>
      </c>
      <c r="F68" s="442"/>
      <c r="G68" s="470">
        <f>G67+1</f>
        <v>6</v>
      </c>
      <c r="H68" s="470">
        <v>61</v>
      </c>
      <c r="I68" s="455">
        <f t="shared" ca="1" si="5"/>
        <v>1912649.1239133959</v>
      </c>
      <c r="J68" s="455">
        <f t="array" ref="J68">IFERROR(INDEX('Retirement Calculator'!J:J,MATCH('Isaac 401k'!N68,'Retirement Calculator'!A:A,0),0),0)</f>
        <v>30565.244538569641</v>
      </c>
      <c r="K68" s="455">
        <f t="shared" ca="1" si="2"/>
        <v>7842.0161640617762</v>
      </c>
      <c r="L68" s="455">
        <f t="shared" ca="1" si="3"/>
        <v>1889925.8955388882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-680341.73907379946</v>
      </c>
      <c r="C69" s="458">
        <f t="shared" si="0"/>
        <v>94358.621030227048</v>
      </c>
      <c r="D69" s="458">
        <f t="shared" ca="1" si="9"/>
        <v>-25171.770068601556</v>
      </c>
      <c r="E69" s="458">
        <f t="shared" ca="1" si="1"/>
        <v>-799872.13017262809</v>
      </c>
      <c r="F69" s="442"/>
      <c r="G69" s="470">
        <f t="shared" ref="G69:G79" si="10">G68</f>
        <v>6</v>
      </c>
      <c r="H69" s="470">
        <v>62</v>
      </c>
      <c r="I69" s="455">
        <f t="shared" ca="1" si="5"/>
        <v>1889925.8955388882</v>
      </c>
      <c r="J69" s="455">
        <f t="array" ref="J69">IFERROR(INDEX('Retirement Calculator'!J:J,MATCH('Isaac 401k'!N69,'Retirement Calculator'!A:A,0),0),0)</f>
        <v>30565.244538569641</v>
      </c>
      <c r="K69" s="455">
        <f t="shared" ca="1" si="2"/>
        <v>7747.3360458346606</v>
      </c>
      <c r="L69" s="455">
        <f t="shared" ca="1" si="3"/>
        <v>1867107.9870461533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-799872.13017262809</v>
      </c>
      <c r="C70" s="458">
        <f t="shared" si="0"/>
        <v>94358.621030227048</v>
      </c>
      <c r="D70" s="458">
        <f t="shared" ca="1" si="9"/>
        <v>-25171.770068601556</v>
      </c>
      <c r="E70" s="458">
        <f t="shared" ca="1" si="1"/>
        <v>-919402.52127145673</v>
      </c>
      <c r="F70" s="442"/>
      <c r="G70" s="470">
        <f t="shared" si="10"/>
        <v>6</v>
      </c>
      <c r="H70" s="470">
        <v>63</v>
      </c>
      <c r="I70" s="455">
        <f t="shared" ca="1" si="5"/>
        <v>1867107.9870461533</v>
      </c>
      <c r="J70" s="455">
        <f t="array" ref="J70">IFERROR(INDEX('Retirement Calculator'!J:J,MATCH('Isaac 401k'!N70,'Retirement Calculator'!A:A,0),0),0)</f>
        <v>30565.244538569641</v>
      </c>
      <c r="K70" s="455">
        <f t="shared" ca="1" si="2"/>
        <v>7652.2614271149332</v>
      </c>
      <c r="L70" s="455">
        <f t="shared" ca="1" si="3"/>
        <v>1844195.0039346986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-919402.52127145673</v>
      </c>
      <c r="C71" s="458">
        <f t="shared" si="0"/>
        <v>94358.621030227048</v>
      </c>
      <c r="D71" s="458">
        <f t="shared" ca="1" si="9"/>
        <v>-25171.770068601556</v>
      </c>
      <c r="E71" s="458">
        <f t="shared" ca="1" si="1"/>
        <v>-1038932.9123702854</v>
      </c>
      <c r="F71" s="442"/>
      <c r="G71" s="470">
        <f t="shared" si="10"/>
        <v>6</v>
      </c>
      <c r="H71" s="470">
        <v>64</v>
      </c>
      <c r="I71" s="455">
        <f t="shared" ca="1" si="5"/>
        <v>1844195.0039346986</v>
      </c>
      <c r="J71" s="455">
        <f t="array" ref="J71">IFERROR(INDEX('Retirement Calculator'!J:J,MATCH('Isaac 401k'!N71,'Retirement Calculator'!A:A,0),0),0)</f>
        <v>30565.244538569641</v>
      </c>
      <c r="K71" s="455">
        <f t="shared" ca="1" si="2"/>
        <v>7556.7906641505379</v>
      </c>
      <c r="L71" s="455">
        <f t="shared" ca="1" si="3"/>
        <v>1821186.5500602797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58">
        <f t="shared" ca="1" si="4"/>
        <v>-1038932.9123702854</v>
      </c>
      <c r="C72" s="458">
        <f t="shared" si="0"/>
        <v>94358.621030227048</v>
      </c>
      <c r="D72" s="458">
        <f t="shared" ca="1" si="9"/>
        <v>-25171.770068601556</v>
      </c>
      <c r="E72" s="458">
        <f t="shared" ca="1" si="1"/>
        <v>-1158463.3034691138</v>
      </c>
      <c r="F72" s="442"/>
      <c r="G72" s="470">
        <f t="shared" si="10"/>
        <v>6</v>
      </c>
      <c r="H72" s="470">
        <v>65</v>
      </c>
      <c r="I72" s="455">
        <f t="shared" ca="1" si="5"/>
        <v>1821186.5500602797</v>
      </c>
      <c r="J72" s="455">
        <f t="array" ref="J72">IFERROR(INDEX('Retirement Calculator'!J:J,MATCH('Isaac 401k'!N72,'Retirement Calculator'!A:A,0),0),0)</f>
        <v>30565.244538569641</v>
      </c>
      <c r="K72" s="455">
        <f t="shared" ca="1" si="2"/>
        <v>7460.9221063404584</v>
      </c>
      <c r="L72" s="455">
        <f t="shared" ca="1" si="3"/>
        <v>1798082.2276280506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58">
        <f t="shared" ca="1" si="4"/>
        <v>-1158463.3034691138</v>
      </c>
      <c r="C73" s="458">
        <f t="shared" si="0"/>
        <v>94358.621030227048</v>
      </c>
      <c r="D73" s="458">
        <f t="shared" ca="1" si="9"/>
        <v>-25171.770068601556</v>
      </c>
      <c r="E73" s="458">
        <f t="shared" ca="1" si="1"/>
        <v>-1277993.6945679423</v>
      </c>
      <c r="F73" s="442"/>
      <c r="G73" s="470">
        <f t="shared" si="10"/>
        <v>6</v>
      </c>
      <c r="H73" s="470">
        <v>66</v>
      </c>
      <c r="I73" s="455">
        <f t="shared" ca="1" si="5"/>
        <v>1798082.2276280506</v>
      </c>
      <c r="J73" s="455">
        <f t="array" ref="J73">IFERROR(INDEX('Retirement Calculator'!J:J,MATCH('Isaac 401k'!N73,'Retirement Calculator'!A:A,0),0),0)</f>
        <v>30565.244538569641</v>
      </c>
      <c r="K73" s="455">
        <f t="shared" ca="1" si="2"/>
        <v>7364.6540962061708</v>
      </c>
      <c r="L73" s="455">
        <f t="shared" ca="1" si="3"/>
        <v>1774881.6371856872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58">
        <f t="shared" ca="1" si="4"/>
        <v>-1277993.6945679423</v>
      </c>
      <c r="C74" s="458">
        <f t="shared" si="0"/>
        <v>94358.621030227048</v>
      </c>
      <c r="D74" s="458">
        <f t="shared" ca="1" si="9"/>
        <v>-25171.770068601556</v>
      </c>
      <c r="E74" s="458">
        <f t="shared" ca="1" si="1"/>
        <v>-1397524.0856667708</v>
      </c>
      <c r="F74" s="442"/>
      <c r="G74" s="470">
        <f t="shared" si="10"/>
        <v>6</v>
      </c>
      <c r="H74" s="470">
        <v>67</v>
      </c>
      <c r="I74" s="455">
        <f t="shared" ca="1" si="5"/>
        <v>1774881.6371856872</v>
      </c>
      <c r="J74" s="455">
        <f t="array" ref="J74">IFERROR(INDEX('Retirement Calculator'!J:J,MATCH('Isaac 401k'!N74,'Retirement Calculator'!A:A,0),0),0)</f>
        <v>30565.244538569641</v>
      </c>
      <c r="K74" s="455">
        <f t="shared" ca="1" si="2"/>
        <v>7267.9849693629885</v>
      </c>
      <c r="L74" s="455">
        <f t="shared" ca="1" si="3"/>
        <v>1751584.3776164807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58">
        <f t="shared" ca="1" si="4"/>
        <v>-1397524.0856667708</v>
      </c>
      <c r="C75" s="458">
        <f t="shared" si="0"/>
        <v>94358.621030227048</v>
      </c>
      <c r="D75" s="458">
        <f t="shared" ca="1" si="9"/>
        <v>-25171.770068601556</v>
      </c>
      <c r="E75" s="458">
        <f t="shared" ca="1" si="1"/>
        <v>-1517054.4767655993</v>
      </c>
      <c r="F75" s="442"/>
      <c r="G75" s="470">
        <f t="shared" si="10"/>
        <v>6</v>
      </c>
      <c r="H75" s="470">
        <v>68</v>
      </c>
      <c r="I75" s="455">
        <f t="shared" ca="1" si="5"/>
        <v>1751584.3776164807</v>
      </c>
      <c r="J75" s="455">
        <f t="array" ref="J75">IFERROR(INDEX('Retirement Calculator'!J:J,MATCH('Isaac 401k'!N75,'Retirement Calculator'!A:A,0),0),0)</f>
        <v>8539.3180191855863</v>
      </c>
      <c r="K75" s="455">
        <f t="shared" ca="1" si="2"/>
        <v>7262.6877483220633</v>
      </c>
      <c r="L75" s="455">
        <f t="shared" ca="1" si="3"/>
        <v>1750307.747345617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58">
        <f t="shared" ca="1" si="4"/>
        <v>-1517054.4767655993</v>
      </c>
      <c r="C76" s="458">
        <f t="shared" si="0"/>
        <v>94358.621030227048</v>
      </c>
      <c r="D76" s="458">
        <f t="shared" ca="1" si="9"/>
        <v>-25171.770068601556</v>
      </c>
      <c r="E76" s="458">
        <f t="shared" ca="1" si="1"/>
        <v>-1636584.8678644279</v>
      </c>
      <c r="F76" s="442"/>
      <c r="G76" s="470">
        <f t="shared" si="10"/>
        <v>6</v>
      </c>
      <c r="H76" s="470">
        <v>69</v>
      </c>
      <c r="I76" s="455">
        <f t="shared" ca="1" si="5"/>
        <v>1750307.747345617</v>
      </c>
      <c r="J76" s="455">
        <f t="array" ref="J76">IFERROR(INDEX('Retirement Calculator'!J:J,MATCH('Isaac 401k'!N76,'Retirement Calculator'!A:A,0),0),0)</f>
        <v>8539.3180191855863</v>
      </c>
      <c r="K76" s="455">
        <f t="shared" ca="1" si="2"/>
        <v>7257.3684555267982</v>
      </c>
      <c r="L76" s="455">
        <f t="shared" ca="1" si="3"/>
        <v>1749025.7977819582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58">
        <f t="shared" ca="1" si="4"/>
        <v>-1636584.8678644279</v>
      </c>
      <c r="C77" s="458">
        <f t="shared" si="0"/>
        <v>94358.621030227048</v>
      </c>
      <c r="D77" s="458">
        <f t="shared" ca="1" si="9"/>
        <v>-25171.770068601556</v>
      </c>
      <c r="E77" s="458">
        <f t="shared" ca="1" si="1"/>
        <v>-1756115.2589632564</v>
      </c>
      <c r="F77" s="442"/>
      <c r="G77" s="470">
        <f t="shared" si="10"/>
        <v>6</v>
      </c>
      <c r="H77" s="470">
        <v>70</v>
      </c>
      <c r="I77" s="455">
        <f t="shared" ca="1" si="5"/>
        <v>1749025.7977819582</v>
      </c>
      <c r="J77" s="455">
        <f t="array" ref="J77">IFERROR(INDEX('Retirement Calculator'!J:J,MATCH('Isaac 401k'!N77,'Retirement Calculator'!A:A,0),0),0)</f>
        <v>8539.3180191855863</v>
      </c>
      <c r="K77" s="455">
        <f t="shared" ca="1" si="2"/>
        <v>7252.0269990115521</v>
      </c>
      <c r="L77" s="455">
        <f t="shared" ca="1" si="3"/>
        <v>1747738.5067617842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58">
        <f t="shared" ca="1" si="4"/>
        <v>-1756115.2589632564</v>
      </c>
      <c r="C78" s="458">
        <f t="shared" si="0"/>
        <v>94358.621030227048</v>
      </c>
      <c r="D78" s="458">
        <f t="shared" ca="1" si="9"/>
        <v>-25171.770068601556</v>
      </c>
      <c r="E78" s="458">
        <f t="shared" ca="1" si="1"/>
        <v>-1875645.6500620849</v>
      </c>
      <c r="F78" s="442"/>
      <c r="G78" s="470">
        <f t="shared" si="10"/>
        <v>6</v>
      </c>
      <c r="H78" s="470">
        <v>71</v>
      </c>
      <c r="I78" s="455">
        <f t="shared" ca="1" si="5"/>
        <v>1747738.5067617842</v>
      </c>
      <c r="J78" s="455">
        <f t="array" ref="J78">IFERROR(INDEX('Retirement Calculator'!J:J,MATCH('Isaac 401k'!N78,'Retirement Calculator'!A:A,0),0),0)</f>
        <v>8539.3180191855863</v>
      </c>
      <c r="K78" s="455">
        <f t="shared" ca="1" si="2"/>
        <v>7246.6632864274934</v>
      </c>
      <c r="L78" s="455">
        <f t="shared" ca="1" si="3"/>
        <v>1746445.852029026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58">
        <f t="shared" ca="1" si="4"/>
        <v>-1875645.6500620849</v>
      </c>
      <c r="C79" s="458">
        <f t="shared" si="0"/>
        <v>94358.621030227048</v>
      </c>
      <c r="D79" s="458">
        <f t="shared" ca="1" si="9"/>
        <v>-25171.770068601556</v>
      </c>
      <c r="E79" s="458">
        <f t="shared" ca="1" si="1"/>
        <v>-1995176.0411609134</v>
      </c>
      <c r="F79" s="442"/>
      <c r="G79" s="470">
        <f t="shared" si="10"/>
        <v>6</v>
      </c>
      <c r="H79" s="470">
        <v>72</v>
      </c>
      <c r="I79" s="455">
        <f t="shared" ca="1" si="5"/>
        <v>1746445.852029026</v>
      </c>
      <c r="J79" s="455">
        <f t="array" ref="J79">IFERROR(INDEX('Retirement Calculator'!J:J,MATCH('Isaac 401k'!N79,'Retirement Calculator'!A:A,0),0),0)</f>
        <v>8539.3180191855863</v>
      </c>
      <c r="K79" s="455">
        <f t="shared" ca="1" si="2"/>
        <v>7241.2772250410017</v>
      </c>
      <c r="L79" s="455">
        <f t="shared" ca="1" si="3"/>
        <v>1745147.8112348814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58">
        <f t="shared" ca="1" si="4"/>
        <v>-1995176.0411609134</v>
      </c>
      <c r="C80" s="458">
        <f t="shared" si="0"/>
        <v>94358.621030227048</v>
      </c>
      <c r="D80" s="458">
        <f t="shared" ca="1" si="9"/>
        <v>-25171.770068601556</v>
      </c>
      <c r="E80" s="458">
        <f t="shared" ca="1" si="1"/>
        <v>-2114706.4322597422</v>
      </c>
      <c r="F80" s="442"/>
      <c r="G80" s="470">
        <f>G79+1</f>
        <v>7</v>
      </c>
      <c r="H80" s="470">
        <v>73</v>
      </c>
      <c r="I80" s="455">
        <f t="shared" ca="1" si="5"/>
        <v>1745147.8112348814</v>
      </c>
      <c r="J80" s="455">
        <f t="array" ref="J80">IFERROR(INDEX('Retirement Calculator'!J:J,MATCH('Isaac 401k'!N80,'Retirement Calculator'!A:A,0),0),0)</f>
        <v>8539.3180191855863</v>
      </c>
      <c r="K80" s="455">
        <f t="shared" ca="1" si="2"/>
        <v>7235.8687217320658</v>
      </c>
      <c r="L80" s="455">
        <f t="shared" ca="1" si="3"/>
        <v>1743844.3619374279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58">
        <f t="shared" ca="1" si="4"/>
        <v>-2114706.4322597422</v>
      </c>
      <c r="C81" s="458">
        <f t="shared" si="0"/>
        <v>94358.621030227048</v>
      </c>
      <c r="D81" s="458">
        <f t="shared" ca="1" si="9"/>
        <v>-25171.770068601556</v>
      </c>
      <c r="E81" s="458">
        <f t="shared" ca="1" si="1"/>
        <v>-2234236.8233585712</v>
      </c>
      <c r="F81" s="442"/>
      <c r="G81" s="470">
        <f t="shared" ref="G81:G91" si="11">G80</f>
        <v>7</v>
      </c>
      <c r="H81" s="470">
        <v>74</v>
      </c>
      <c r="I81" s="455">
        <f t="shared" ca="1" si="5"/>
        <v>1743844.3619374279</v>
      </c>
      <c r="J81" s="455">
        <f t="array" ref="J81">IFERROR(INDEX('Retirement Calculator'!J:J,MATCH('Isaac 401k'!N81,'Retirement Calculator'!A:A,0),0),0)</f>
        <v>8539.3180191855863</v>
      </c>
      <c r="K81" s="455">
        <f t="shared" ca="1" si="2"/>
        <v>7230.4376829926759</v>
      </c>
      <c r="L81" s="455">
        <f t="shared" ca="1" si="3"/>
        <v>1742535.481601235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58">
        <f t="shared" ca="1" si="4"/>
        <v>-2234236.8233585712</v>
      </c>
      <c r="C82" s="458">
        <f t="shared" si="0"/>
        <v>94358.621030227048</v>
      </c>
      <c r="D82" s="458">
        <f t="shared" ca="1" si="9"/>
        <v>-25171.770068601556</v>
      </c>
      <c r="E82" s="458">
        <f t="shared" ca="1" si="1"/>
        <v>-2353767.2144574001</v>
      </c>
      <c r="F82" s="442"/>
      <c r="G82" s="470">
        <f t="shared" si="11"/>
        <v>7</v>
      </c>
      <c r="H82" s="470">
        <v>75</v>
      </c>
      <c r="I82" s="455">
        <f t="shared" ca="1" si="5"/>
        <v>1742535.481601235</v>
      </c>
      <c r="J82" s="455">
        <f t="array" ref="J82">IFERROR(INDEX('Retirement Calculator'!J:J,MATCH('Isaac 401k'!N82,'Retirement Calculator'!A:A,0),0),0)</f>
        <v>8539.3180191855863</v>
      </c>
      <c r="K82" s="455">
        <f t="shared" ca="1" si="2"/>
        <v>7224.984014925205</v>
      </c>
      <c r="L82" s="455">
        <f t="shared" ca="1" si="3"/>
        <v>1741221.1475969746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58">
        <f t="shared" ca="1" si="4"/>
        <v>-2353767.2144574001</v>
      </c>
      <c r="C83" s="458">
        <f t="shared" si="0"/>
        <v>94358.621030227048</v>
      </c>
      <c r="D83" s="458">
        <f t="shared" ca="1" si="9"/>
        <v>-25171.770068601556</v>
      </c>
      <c r="E83" s="458">
        <f t="shared" ca="1" si="1"/>
        <v>-2473297.6055562291</v>
      </c>
      <c r="F83" s="442"/>
      <c r="G83" s="470">
        <f t="shared" si="11"/>
        <v>7</v>
      </c>
      <c r="H83" s="470">
        <v>76</v>
      </c>
      <c r="I83" s="455">
        <f t="shared" ca="1" si="5"/>
        <v>1741221.1475969746</v>
      </c>
      <c r="J83" s="455">
        <f t="array" ref="J83">IFERROR(INDEX('Retirement Calculator'!J:J,MATCH('Isaac 401k'!N83,'Retirement Calculator'!A:A,0),0),0)</f>
        <v>8539.3180191855863</v>
      </c>
      <c r="K83" s="455">
        <f t="shared" ca="1" si="2"/>
        <v>7219.5076232407873</v>
      </c>
      <c r="L83" s="455">
        <f t="shared" ca="1" si="3"/>
        <v>1739901.3372010298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58">
        <f t="shared" ca="1" si="4"/>
        <v>-2473297.6055562291</v>
      </c>
      <c r="C84" s="458">
        <f t="shared" si="0"/>
        <v>94358.621030227048</v>
      </c>
      <c r="D84" s="458">
        <f t="shared" ca="1" si="9"/>
        <v>-25171.770068601556</v>
      </c>
      <c r="E84" s="458">
        <f t="shared" ca="1" si="1"/>
        <v>-2592827.9966550581</v>
      </c>
      <c r="F84" s="442"/>
      <c r="G84" s="470">
        <f t="shared" si="11"/>
        <v>7</v>
      </c>
      <c r="H84" s="470">
        <v>77</v>
      </c>
      <c r="I84" s="455">
        <f t="shared" ca="1" si="5"/>
        <v>1739901.3372010298</v>
      </c>
      <c r="J84" s="455">
        <f t="array" ref="J84">IFERROR(INDEX('Retirement Calculator'!J:J,MATCH('Isaac 401k'!N84,'Retirement Calculator'!A:A,0),0),0)</f>
        <v>8539.3180191855863</v>
      </c>
      <c r="K84" s="455">
        <f t="shared" ca="1" si="2"/>
        <v>7214.008413257684</v>
      </c>
      <c r="L84" s="455">
        <f t="shared" ca="1" si="3"/>
        <v>1738576.0275951019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58">
        <f t="shared" ca="1" si="4"/>
        <v>-2592827.9966550581</v>
      </c>
      <c r="C85" s="458">
        <f t="shared" si="0"/>
        <v>94358.621030227048</v>
      </c>
      <c r="D85" s="458">
        <f t="shared" ca="1" si="9"/>
        <v>-25171.770068601556</v>
      </c>
      <c r="E85" s="458">
        <f t="shared" ca="1" si="1"/>
        <v>-2712358.3877538871</v>
      </c>
      <c r="F85" s="442"/>
      <c r="G85" s="470">
        <f t="shared" si="11"/>
        <v>7</v>
      </c>
      <c r="H85" s="470">
        <v>78</v>
      </c>
      <c r="I85" s="455">
        <f t="shared" ca="1" si="5"/>
        <v>1738576.0275951019</v>
      </c>
      <c r="J85" s="455">
        <f t="array" ref="J85">IFERROR(INDEX('Retirement Calculator'!J:J,MATCH('Isaac 401k'!N85,'Retirement Calculator'!A:A,0),0),0)</f>
        <v>8539.3180191855863</v>
      </c>
      <c r="K85" s="455">
        <f t="shared" ca="1" si="2"/>
        <v>7208.4862898996507</v>
      </c>
      <c r="L85" s="455">
        <f t="shared" ca="1" si="3"/>
        <v>1737245.1958658157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58">
        <f t="shared" ca="1" si="4"/>
        <v>-2712358.3877538871</v>
      </c>
      <c r="C86" s="458">
        <f t="shared" si="0"/>
        <v>94358.621030227048</v>
      </c>
      <c r="D86" s="458">
        <f t="shared" ca="1" si="9"/>
        <v>-25171.770068601556</v>
      </c>
      <c r="E86" s="458">
        <f t="shared" ca="1" si="1"/>
        <v>-2831888.7788527161</v>
      </c>
      <c r="F86" s="442"/>
      <c r="G86" s="470">
        <f t="shared" si="11"/>
        <v>7</v>
      </c>
      <c r="H86" s="470">
        <v>79</v>
      </c>
      <c r="I86" s="455">
        <f t="shared" ca="1" si="5"/>
        <v>1737245.1958658157</v>
      </c>
      <c r="J86" s="455">
        <f t="array" ref="J86">IFERROR(INDEX('Retirement Calculator'!J:J,MATCH('Isaac 401k'!N86,'Retirement Calculator'!A:A,0),0),0)</f>
        <v>8539.3180191855863</v>
      </c>
      <c r="K86" s="455">
        <f t="shared" ca="1" si="2"/>
        <v>7202.9411576942921</v>
      </c>
      <c r="L86" s="455">
        <f t="shared" ca="1" si="3"/>
        <v>1735908.8190043243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58">
        <f t="shared" ca="1" si="4"/>
        <v>-2831888.7788527161</v>
      </c>
      <c r="C87" s="458">
        <f t="shared" si="0"/>
        <v>94358.621030227048</v>
      </c>
      <c r="D87" s="458">
        <f t="shared" ca="1" si="9"/>
        <v>-25171.770068601556</v>
      </c>
      <c r="E87" s="458">
        <f t="shared" ca="1" si="1"/>
        <v>-2951419.1699515451</v>
      </c>
      <c r="F87" s="442"/>
      <c r="G87" s="470">
        <f t="shared" si="11"/>
        <v>7</v>
      </c>
      <c r="H87" s="470">
        <v>80</v>
      </c>
      <c r="I87" s="455">
        <f t="shared" ca="1" si="5"/>
        <v>1735908.8190043243</v>
      </c>
      <c r="J87" s="455">
        <f t="array" ref="J87">IFERROR(INDEX('Retirement Calculator'!J:J,MATCH('Isaac 401k'!N87,'Retirement Calculator'!A:A,0),0),0)</f>
        <v>8539.3180191855863</v>
      </c>
      <c r="K87" s="455">
        <f t="shared" ca="1" si="2"/>
        <v>7197.3729207714105</v>
      </c>
      <c r="L87" s="455">
        <f t="shared" ca="1" si="3"/>
        <v>1734566.8739059099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58">
        <f t="shared" ca="1" si="4"/>
        <v>-2951419.1699515451</v>
      </c>
      <c r="C88" s="458">
        <f t="shared" si="0"/>
        <v>94358.621030227048</v>
      </c>
      <c r="D88" s="458">
        <f t="shared" ca="1" si="9"/>
        <v>-25171.770068601556</v>
      </c>
      <c r="E88" s="458">
        <f t="shared" ca="1" si="1"/>
        <v>-3070949.5610503741</v>
      </c>
      <c r="F88" s="442"/>
      <c r="G88" s="470">
        <f t="shared" si="11"/>
        <v>7</v>
      </c>
      <c r="H88" s="470">
        <v>81</v>
      </c>
      <c r="I88" s="455">
        <f t="shared" ca="1" si="5"/>
        <v>1734566.8739059099</v>
      </c>
      <c r="J88" s="455">
        <f t="array" ref="J88">IFERROR(INDEX('Retirement Calculator'!J:J,MATCH('Isaac 401k'!N88,'Retirement Calculator'!A:A,0),0),0)</f>
        <v>8539.3180191855863</v>
      </c>
      <c r="K88" s="455">
        <f t="shared" ca="1" si="2"/>
        <v>7191.7814828613509</v>
      </c>
      <c r="L88" s="455">
        <f t="shared" ca="1" si="3"/>
        <v>1733219.3373695856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58">
        <f t="shared" ca="1" si="4"/>
        <v>-3070949.5610503741</v>
      </c>
      <c r="C89" s="458">
        <f t="shared" si="0"/>
        <v>94358.621030227048</v>
      </c>
      <c r="D89" s="458">
        <f t="shared" ca="1" si="9"/>
        <v>-25171.770068601556</v>
      </c>
      <c r="E89" s="458">
        <f t="shared" ca="1" si="1"/>
        <v>-3190479.952149203</v>
      </c>
      <c r="F89" s="442"/>
      <c r="G89" s="470">
        <f t="shared" si="11"/>
        <v>7</v>
      </c>
      <c r="H89" s="470">
        <v>82</v>
      </c>
      <c r="I89" s="455">
        <f t="shared" ca="1" si="5"/>
        <v>1733219.3373695856</v>
      </c>
      <c r="J89" s="455">
        <f t="array" ref="J89">IFERROR(INDEX('Retirement Calculator'!J:J,MATCH('Isaac 401k'!N89,'Retirement Calculator'!A:A,0),0),0)</f>
        <v>8539.3180191855863</v>
      </c>
      <c r="K89" s="455">
        <f t="shared" ca="1" si="2"/>
        <v>7186.1667472933332</v>
      </c>
      <c r="L89" s="455">
        <f t="shared" ca="1" si="3"/>
        <v>1731866.1860976934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58">
        <f t="shared" ca="1" si="4"/>
        <v>-3190479.952149203</v>
      </c>
      <c r="C90" s="458">
        <f t="shared" si="0"/>
        <v>94358.621030227048</v>
      </c>
      <c r="D90" s="458">
        <f t="shared" ca="1" si="9"/>
        <v>-25171.770068601556</v>
      </c>
      <c r="E90" s="458">
        <f t="shared" ca="1" si="1"/>
        <v>-3310010.343248032</v>
      </c>
      <c r="F90" s="442"/>
      <c r="G90" s="470">
        <f t="shared" si="11"/>
        <v>7</v>
      </c>
      <c r="H90" s="470">
        <v>83</v>
      </c>
      <c r="I90" s="455">
        <f t="shared" ca="1" si="5"/>
        <v>1731866.1860976934</v>
      </c>
      <c r="J90" s="455">
        <f t="array" ref="J90">IFERROR(INDEX('Retirement Calculator'!J:J,MATCH('Isaac 401k'!N90,'Retirement Calculator'!A:A,0),0),0)</f>
        <v>8539.3180191855863</v>
      </c>
      <c r="K90" s="455">
        <f t="shared" ca="1" si="2"/>
        <v>7180.5286169937808</v>
      </c>
      <c r="L90" s="455">
        <f t="shared" ca="1" si="3"/>
        <v>1730507.3966955014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58">
        <f t="shared" ca="1" si="4"/>
        <v>-3310010.343248032</v>
      </c>
      <c r="C91" s="458">
        <f t="shared" si="0"/>
        <v>94358.621030227048</v>
      </c>
      <c r="D91" s="458">
        <f t="shared" ca="1" si="9"/>
        <v>-25171.770068601556</v>
      </c>
      <c r="E91" s="458">
        <f t="shared" ca="1" si="1"/>
        <v>-3429540.734346861</v>
      </c>
      <c r="F91" s="442"/>
      <c r="G91" s="470">
        <f t="shared" si="11"/>
        <v>7</v>
      </c>
      <c r="H91" s="470">
        <v>84</v>
      </c>
      <c r="I91" s="455">
        <f t="shared" ca="1" si="5"/>
        <v>1730507.3966955014</v>
      </c>
      <c r="J91" s="455">
        <f t="array" ref="J91">IFERROR(INDEX('Retirement Calculator'!J:J,MATCH('Isaac 401k'!N91,'Retirement Calculator'!A:A,0),0),0)</f>
        <v>8539.3180191855863</v>
      </c>
      <c r="K91" s="455">
        <f t="shared" ca="1" si="2"/>
        <v>7174.8669944846488</v>
      </c>
      <c r="L91" s="455">
        <f t="shared" ca="1" si="3"/>
        <v>1729142.9456708003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58">
        <f t="shared" ca="1" si="4"/>
        <v>-3429540.734346861</v>
      </c>
      <c r="C92" s="458">
        <f t="shared" si="0"/>
        <v>94358.621030227048</v>
      </c>
      <c r="D92" s="458">
        <f t="shared" ca="1" si="9"/>
        <v>-25171.770068601556</v>
      </c>
      <c r="E92" s="458">
        <f t="shared" ca="1" si="1"/>
        <v>-3549071.12544569</v>
      </c>
      <c r="F92" s="442"/>
      <c r="G92" s="470">
        <f>G91+1</f>
        <v>8</v>
      </c>
      <c r="H92" s="470">
        <v>85</v>
      </c>
      <c r="I92" s="455">
        <f t="shared" ca="1" si="5"/>
        <v>1729142.9456708003</v>
      </c>
      <c r="J92" s="455">
        <f t="array" ref="J92">IFERROR(INDEX('Retirement Calculator'!J:J,MATCH('Isaac 401k'!N92,'Retirement Calculator'!A:A,0),0),0)</f>
        <v>8539.3180191855863</v>
      </c>
      <c r="K92" s="455">
        <f t="shared" ca="1" si="2"/>
        <v>7169.1817818817271</v>
      </c>
      <c r="L92" s="455">
        <f t="shared" ca="1" si="3"/>
        <v>1727772.8094334963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58">
        <f t="shared" ca="1" si="4"/>
        <v>-3549071.12544569</v>
      </c>
      <c r="C93" s="458">
        <f t="shared" si="0"/>
        <v>94358.621030227048</v>
      </c>
      <c r="D93" s="458">
        <f t="shared" ca="1" si="9"/>
        <v>-25171.770068601556</v>
      </c>
      <c r="E93" s="458">
        <f t="shared" ca="1" si="1"/>
        <v>-3668601.516544519</v>
      </c>
      <c r="F93" s="442"/>
      <c r="G93" s="470">
        <f t="shared" ref="G93:G103" si="12">G92</f>
        <v>8</v>
      </c>
      <c r="H93" s="470">
        <v>86</v>
      </c>
      <c r="I93" s="455">
        <f t="shared" ca="1" si="5"/>
        <v>1727772.8094334963</v>
      </c>
      <c r="J93" s="455">
        <f t="array" ref="J93">IFERROR(INDEX('Retirement Calculator'!J:J,MATCH('Isaac 401k'!N93,'Retirement Calculator'!A:A,0),0),0)</f>
        <v>8539.3180191855863</v>
      </c>
      <c r="K93" s="455">
        <f t="shared" ca="1" si="2"/>
        <v>7163.4728808929613</v>
      </c>
      <c r="L93" s="455">
        <f t="shared" ca="1" si="3"/>
        <v>1726396.9642952036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58">
        <f t="shared" ca="1" si="4"/>
        <v>-3668601.516544519</v>
      </c>
      <c r="C94" s="458">
        <f t="shared" si="0"/>
        <v>94358.621030227048</v>
      </c>
      <c r="D94" s="458">
        <f t="shared" ca="1" si="9"/>
        <v>-25171.770068601556</v>
      </c>
      <c r="E94" s="458">
        <f t="shared" ca="1" si="1"/>
        <v>-3788131.907643348</v>
      </c>
      <c r="F94" s="442"/>
      <c r="G94" s="470">
        <f t="shared" si="12"/>
        <v>8</v>
      </c>
      <c r="H94" s="470">
        <v>87</v>
      </c>
      <c r="I94" s="455">
        <f t="shared" ca="1" si="5"/>
        <v>1726396.9642952036</v>
      </c>
      <c r="J94" s="455">
        <f t="array" ref="J94">IFERROR(INDEX('Retirement Calculator'!J:J,MATCH('Isaac 401k'!N94,'Retirement Calculator'!A:A,0),0),0)</f>
        <v>8539.3180191855863</v>
      </c>
      <c r="K94" s="455">
        <f t="shared" ca="1" si="2"/>
        <v>7157.7401928167419</v>
      </c>
      <c r="L94" s="455">
        <f t="shared" ca="1" si="3"/>
        <v>1725015.3864688347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58">
        <f t="shared" ca="1" si="4"/>
        <v>-3788131.907643348</v>
      </c>
      <c r="C95" s="458">
        <f t="shared" si="0"/>
        <v>94358.621030227048</v>
      </c>
      <c r="D95" s="458">
        <f t="shared" ca="1" si="9"/>
        <v>-25171.770068601556</v>
      </c>
      <c r="E95" s="458">
        <f t="shared" ca="1" si="1"/>
        <v>-3907662.298742177</v>
      </c>
      <c r="F95" s="442"/>
      <c r="G95" s="470">
        <f t="shared" si="12"/>
        <v>8</v>
      </c>
      <c r="H95" s="470">
        <v>88</v>
      </c>
      <c r="I95" s="455">
        <f t="shared" ca="1" si="5"/>
        <v>1725015.3864688347</v>
      </c>
      <c r="J95" s="455">
        <f t="array" ref="J95">IFERROR(INDEX('Retirement Calculator'!J:J,MATCH('Isaac 401k'!N95,'Retirement Calculator'!A:A,0),0),0)</f>
        <v>8539.3180191855863</v>
      </c>
      <c r="K95" s="455">
        <f t="shared" ca="1" si="2"/>
        <v>7151.9836185402046</v>
      </c>
      <c r="L95" s="455">
        <f t="shared" ca="1" si="3"/>
        <v>1723628.0520681893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58">
        <f t="shared" ca="1" si="4"/>
        <v>-3907662.298742177</v>
      </c>
      <c r="C96" s="458">
        <f t="shared" si="0"/>
        <v>94358.621030227048</v>
      </c>
      <c r="D96" s="458">
        <f t="shared" ca="1" si="9"/>
        <v>-25171.770068601556</v>
      </c>
      <c r="E96" s="458">
        <f t="shared" ca="1" si="1"/>
        <v>-4027192.689841006</v>
      </c>
      <c r="F96" s="442"/>
      <c r="G96" s="470">
        <f t="shared" si="12"/>
        <v>8</v>
      </c>
      <c r="H96" s="470">
        <v>89</v>
      </c>
      <c r="I96" s="455">
        <f t="shared" ca="1" si="5"/>
        <v>1723628.0520681893</v>
      </c>
      <c r="J96" s="455">
        <f t="array" ref="J96">IFERROR(INDEX('Retirement Calculator'!J:J,MATCH('Isaac 401k'!N96,'Retirement Calculator'!A:A,0),0),0)</f>
        <v>8539.3180191855863</v>
      </c>
      <c r="K96" s="455">
        <f t="shared" ca="1" si="2"/>
        <v>7146.2030585375151</v>
      </c>
      <c r="L96" s="455">
        <f t="shared" ca="1" si="3"/>
        <v>1722234.9371075411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58">
        <f t="shared" ca="1" si="4"/>
        <v>-4027192.689841006</v>
      </c>
      <c r="C97" s="458">
        <f t="shared" si="0"/>
        <v>94358.621030227048</v>
      </c>
      <c r="D97" s="458">
        <f t="shared" ca="1" si="9"/>
        <v>-25171.770068601556</v>
      </c>
      <c r="E97" s="458">
        <f t="shared" ca="1" si="1"/>
        <v>-4146723.0809398349</v>
      </c>
      <c r="F97" s="442"/>
      <c r="G97" s="470">
        <f t="shared" si="12"/>
        <v>8</v>
      </c>
      <c r="H97" s="470">
        <v>90</v>
      </c>
      <c r="I97" s="455">
        <f t="shared" ca="1" si="5"/>
        <v>1722234.9371075411</v>
      </c>
      <c r="J97" s="455">
        <f t="array" ref="J97">IFERROR(INDEX('Retirement Calculator'!J:J,MATCH('Isaac 401k'!N97,'Retirement Calculator'!A:A,0),0),0)</f>
        <v>8539.3180191855863</v>
      </c>
      <c r="K97" s="455">
        <f t="shared" ca="1" si="2"/>
        <v>7140.3984128681477</v>
      </c>
      <c r="L97" s="455">
        <f t="shared" ca="1" si="3"/>
        <v>1720836.0175012236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58">
        <f t="shared" ca="1" si="4"/>
        <v>-4146723.0809398349</v>
      </c>
      <c r="C98" s="458">
        <f t="shared" si="0"/>
        <v>94358.621030227048</v>
      </c>
      <c r="D98" s="458">
        <f t="shared" ca="1" si="9"/>
        <v>-25171.770068601556</v>
      </c>
      <c r="E98" s="458">
        <f t="shared" ca="1" si="1"/>
        <v>-4266253.4720386639</v>
      </c>
      <c r="F98" s="442"/>
      <c r="G98" s="470">
        <f t="shared" si="12"/>
        <v>8</v>
      </c>
      <c r="H98" s="470">
        <v>91</v>
      </c>
      <c r="I98" s="455">
        <f t="shared" ca="1" si="5"/>
        <v>1720836.0175012236</v>
      </c>
      <c r="J98" s="455">
        <f t="array" ref="J98">IFERROR(INDEX('Retirement Calculator'!J:J,MATCH('Isaac 401k'!N98,'Retirement Calculator'!A:A,0),0),0)</f>
        <v>8539.3180191855863</v>
      </c>
      <c r="K98" s="455">
        <f t="shared" ca="1" si="2"/>
        <v>7134.5695811751575</v>
      </c>
      <c r="L98" s="455">
        <f t="shared" ca="1" si="3"/>
        <v>1719431.2690632131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58">
        <f t="shared" ca="1" si="4"/>
        <v>-4266253.4720386639</v>
      </c>
      <c r="C99" s="458">
        <f t="shared" si="0"/>
        <v>94358.621030227048</v>
      </c>
      <c r="D99" s="458">
        <f t="shared" ca="1" si="9"/>
        <v>-25171.770068601556</v>
      </c>
      <c r="E99" s="458">
        <f t="shared" ca="1" si="1"/>
        <v>-4385783.8631374929</v>
      </c>
      <c r="F99" s="442"/>
      <c r="G99" s="470">
        <f t="shared" si="12"/>
        <v>8</v>
      </c>
      <c r="H99" s="470">
        <v>92</v>
      </c>
      <c r="I99" s="455">
        <f t="shared" ca="1" si="5"/>
        <v>1719431.2690632131</v>
      </c>
      <c r="J99" s="455">
        <f t="array" ref="J99">IFERROR(INDEX('Retirement Calculator'!J:J,MATCH('Isaac 401k'!N99,'Retirement Calculator'!A:A,0),0),0)</f>
        <v>8539.3180191855863</v>
      </c>
      <c r="K99" s="455">
        <f t="shared" ca="1" si="2"/>
        <v>7128.7164626834474</v>
      </c>
      <c r="L99" s="455">
        <f t="shared" ca="1" si="3"/>
        <v>1718020.6675067109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58">
        <f t="shared" ca="1" si="4"/>
        <v>-4385783.8631374929</v>
      </c>
      <c r="C100" s="458">
        <f t="shared" si="0"/>
        <v>94358.621030227048</v>
      </c>
      <c r="D100" s="458">
        <f t="shared" ca="1" si="9"/>
        <v>-25171.770068601556</v>
      </c>
      <c r="E100" s="458">
        <f t="shared" ca="1" si="1"/>
        <v>-4505314.2542363219</v>
      </c>
      <c r="F100" s="442"/>
      <c r="G100" s="470">
        <f t="shared" si="12"/>
        <v>8</v>
      </c>
      <c r="H100" s="470">
        <v>93</v>
      </c>
      <c r="I100" s="455">
        <f t="shared" ca="1" si="5"/>
        <v>1718020.6675067109</v>
      </c>
      <c r="J100" s="455">
        <f t="array" ref="J100">IFERROR(INDEX('Retirement Calculator'!J:J,MATCH('Isaac 401k'!N100,'Retirement Calculator'!A:A,0),0),0)</f>
        <v>8539.3180191855863</v>
      </c>
      <c r="K100" s="455">
        <f t="shared" ca="1" si="2"/>
        <v>7122.8389561980212</v>
      </c>
      <c r="L100" s="455">
        <f t="shared" ca="1" si="3"/>
        <v>1716604.1884437231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58">
        <f t="shared" ca="1" si="4"/>
        <v>-4505314.2542363219</v>
      </c>
      <c r="C101" s="458">
        <f t="shared" si="0"/>
        <v>94358.621030227048</v>
      </c>
      <c r="D101" s="458">
        <f t="shared" ca="1" si="9"/>
        <v>-25171.770068601556</v>
      </c>
      <c r="E101" s="458">
        <f t="shared" ca="1" si="1"/>
        <v>-4624844.6453351509</v>
      </c>
      <c r="F101" s="442"/>
      <c r="G101" s="470">
        <f t="shared" si="12"/>
        <v>8</v>
      </c>
      <c r="H101" s="470">
        <v>94</v>
      </c>
      <c r="I101" s="455">
        <f t="shared" ca="1" si="5"/>
        <v>1716604.1884437231</v>
      </c>
      <c r="J101" s="455">
        <f t="array" ref="J101">IFERROR(INDEX('Retirement Calculator'!J:J,MATCH('Isaac 401k'!N101,'Retirement Calculator'!A:A,0),0),0)</f>
        <v>8539.3180191855863</v>
      </c>
      <c r="K101" s="455">
        <f t="shared" ca="1" si="2"/>
        <v>7116.936960102239</v>
      </c>
      <c r="L101" s="455">
        <f t="shared" ca="1" si="3"/>
        <v>1715181.8073846397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58">
        <f t="shared" ca="1" si="4"/>
        <v>-4624844.6453351509</v>
      </c>
      <c r="C102" s="458">
        <f t="shared" si="0"/>
        <v>94358.621030227048</v>
      </c>
      <c r="D102" s="458">
        <f t="shared" ca="1" si="9"/>
        <v>-25171.770068601556</v>
      </c>
      <c r="E102" s="458">
        <f t="shared" ca="1" si="1"/>
        <v>-4744375.0364339799</v>
      </c>
      <c r="F102" s="442"/>
      <c r="G102" s="470">
        <f t="shared" si="12"/>
        <v>8</v>
      </c>
      <c r="H102" s="470">
        <v>95</v>
      </c>
      <c r="I102" s="455">
        <f t="shared" ca="1" si="5"/>
        <v>1715181.8073846397</v>
      </c>
      <c r="J102" s="455">
        <f t="array" ref="J102">IFERROR(INDEX('Retirement Calculator'!J:J,MATCH('Isaac 401k'!N102,'Retirement Calculator'!A:A,0),0),0)</f>
        <v>8539.3180191855863</v>
      </c>
      <c r="K102" s="455">
        <f t="shared" ca="1" si="2"/>
        <v>7111.0103723560596</v>
      </c>
      <c r="L102" s="455">
        <f t="shared" ca="1" si="3"/>
        <v>1713753.4997378101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58">
        <f t="shared" ca="1" si="4"/>
        <v>-4744375.0364339799</v>
      </c>
      <c r="C103" s="458">
        <f t="shared" si="0"/>
        <v>94358.621030227048</v>
      </c>
      <c r="D103" s="458">
        <f t="shared" ca="1" si="9"/>
        <v>-25171.770068601556</v>
      </c>
      <c r="E103" s="458">
        <f t="shared" ca="1" si="1"/>
        <v>-4863905.4275328089</v>
      </c>
      <c r="F103" s="442"/>
      <c r="G103" s="470">
        <f t="shared" si="12"/>
        <v>8</v>
      </c>
      <c r="H103" s="470">
        <v>96</v>
      </c>
      <c r="I103" s="455">
        <f t="shared" ca="1" si="5"/>
        <v>1713753.4997378101</v>
      </c>
      <c r="J103" s="455">
        <f t="array" ref="J103">IFERROR(INDEX('Retirement Calculator'!J:J,MATCH('Isaac 401k'!N103,'Retirement Calculator'!A:A,0),0),0)</f>
        <v>8539.3180191855863</v>
      </c>
      <c r="K103" s="455">
        <f t="shared" ca="1" si="2"/>
        <v>7105.0590904942683</v>
      </c>
      <c r="L103" s="455">
        <f t="shared" ca="1" si="3"/>
        <v>1712319.2408091186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58">
        <f t="shared" ca="1" si="4"/>
        <v>-4863905.4275328089</v>
      </c>
      <c r="C104" s="458">
        <f t="shared" si="0"/>
        <v>70768.965772670272</v>
      </c>
      <c r="D104" s="458">
        <f t="shared" ca="1" si="9"/>
        <v>-25171.770068601556</v>
      </c>
      <c r="E104" s="458">
        <f t="shared" ca="1" si="1"/>
        <v>-4959846.1633740813</v>
      </c>
      <c r="F104" s="442"/>
      <c r="G104" s="470">
        <f>G103+1</f>
        <v>9</v>
      </c>
      <c r="H104" s="470">
        <v>97</v>
      </c>
      <c r="I104" s="455">
        <f t="shared" ca="1" si="5"/>
        <v>1712319.2408091186</v>
      </c>
      <c r="J104" s="455">
        <f t="array" ref="J104">IFERROR(INDEX('Retirement Calculator'!J:J,MATCH('Isaac 401k'!N104,'Retirement Calculator'!A:A,0),0),0)</f>
        <v>8539.3180191855863</v>
      </c>
      <c r="K104" s="455">
        <f t="shared" ca="1" si="2"/>
        <v>7099.0830116247207</v>
      </c>
      <c r="L104" s="455">
        <f t="shared" ca="1" si="3"/>
        <v>1710879.0058015576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58">
        <f t="shared" ca="1" si="4"/>
        <v>-4959846.1633740813</v>
      </c>
      <c r="C105" s="458">
        <f t="shared" si="0"/>
        <v>0</v>
      </c>
      <c r="D105" s="458">
        <f t="shared" ca="1" si="9"/>
        <v>-25171.770068601556</v>
      </c>
      <c r="E105" s="458">
        <f t="shared" ca="1" si="1"/>
        <v>-4985017.933442683</v>
      </c>
      <c r="F105" s="442"/>
      <c r="G105" s="470">
        <f t="shared" ref="G105:G115" si="13">G104</f>
        <v>9</v>
      </c>
      <c r="H105" s="470">
        <v>98</v>
      </c>
      <c r="I105" s="455">
        <f t="shared" ca="1" si="5"/>
        <v>1710879.0058015576</v>
      </c>
      <c r="J105" s="455">
        <f t="array" ref="J105">IFERROR(INDEX('Retirement Calculator'!J:J,MATCH('Isaac 401k'!N105,'Retirement Calculator'!A:A,0),0),0)</f>
        <v>7863.2184191855868</v>
      </c>
      <c r="K105" s="455">
        <f t="shared" ca="1" si="2"/>
        <v>7095.8991140932176</v>
      </c>
      <c r="L105" s="455">
        <f t="shared" ca="1" si="3"/>
        <v>1710111.6864964652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58">
        <f t="shared" ca="1" si="4"/>
        <v>-4985017.933442683</v>
      </c>
      <c r="C106" s="458">
        <f t="shared" si="0"/>
        <v>0</v>
      </c>
      <c r="D106" s="458">
        <f t="shared" ca="1" si="9"/>
        <v>-25171.770068601556</v>
      </c>
      <c r="E106" s="458">
        <f t="shared" ca="1" si="1"/>
        <v>-5010189.7035112847</v>
      </c>
      <c r="F106" s="442"/>
      <c r="G106" s="470">
        <f t="shared" si="13"/>
        <v>9</v>
      </c>
      <c r="H106" s="470">
        <v>99</v>
      </c>
      <c r="I106" s="455">
        <f t="shared" ca="1" si="5"/>
        <v>1710111.6864964652</v>
      </c>
      <c r="J106" s="455">
        <f t="array" ref="J106">IFERROR(INDEX('Retirement Calculator'!J:J,MATCH('Isaac 401k'!N106,'Retirement Calculator'!A:A,0),0),0)</f>
        <v>7863.2184191855868</v>
      </c>
      <c r="K106" s="455">
        <f t="shared" ca="1" si="2"/>
        <v>7092.7019503219981</v>
      </c>
      <c r="L106" s="455">
        <f t="shared" ca="1" si="3"/>
        <v>1709341.1700276015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58">
        <f t="shared" ca="1" si="4"/>
        <v>-5010189.7035112847</v>
      </c>
      <c r="C107" s="458">
        <f t="shared" si="0"/>
        <v>0</v>
      </c>
      <c r="D107" s="458">
        <f t="shared" ca="1" si="9"/>
        <v>-25171.770068601556</v>
      </c>
      <c r="E107" s="458">
        <f t="shared" ca="1" si="1"/>
        <v>-5035361.4735798864</v>
      </c>
      <c r="F107" s="442"/>
      <c r="G107" s="470">
        <f t="shared" si="13"/>
        <v>9</v>
      </c>
      <c r="H107" s="470">
        <v>100</v>
      </c>
      <c r="I107" s="455">
        <f t="shared" ca="1" si="5"/>
        <v>1709341.1700276015</v>
      </c>
      <c r="J107" s="455">
        <f t="array" ref="J107">IFERROR(INDEX('Retirement Calculator'!J:J,MATCH('Isaac 401k'!N107,'Retirement Calculator'!A:A,0),0),0)</f>
        <v>7863.2184191855868</v>
      </c>
      <c r="K107" s="455">
        <f t="shared" ca="1" si="2"/>
        <v>7089.4914650350665</v>
      </c>
      <c r="L107" s="455">
        <f t="shared" ca="1" si="3"/>
        <v>1708567.4430734511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58">
        <f t="shared" ca="1" si="4"/>
        <v>-5035361.4735798864</v>
      </c>
      <c r="C108" s="458">
        <f t="shared" si="0"/>
        <v>0</v>
      </c>
      <c r="D108" s="458">
        <f t="shared" ca="1" si="9"/>
        <v>-25171.770068601556</v>
      </c>
      <c r="E108" s="458">
        <f t="shared" ca="1" si="1"/>
        <v>-5060533.2436484881</v>
      </c>
      <c r="F108" s="442"/>
      <c r="G108" s="470">
        <f t="shared" si="13"/>
        <v>9</v>
      </c>
      <c r="H108" s="470">
        <v>101</v>
      </c>
      <c r="I108" s="455">
        <f t="shared" ca="1" si="5"/>
        <v>1708567.4430734511</v>
      </c>
      <c r="J108" s="455">
        <f t="array" ref="J108">IFERROR(INDEX('Retirement Calculator'!J:J,MATCH('Isaac 401k'!N108,'Retirement Calculator'!A:A,0),0),0)</f>
        <v>7863.2184191855868</v>
      </c>
      <c r="K108" s="455">
        <f t="shared" ca="1" si="2"/>
        <v>7086.2676027261059</v>
      </c>
      <c r="L108" s="455">
        <f t="shared" ca="1" si="3"/>
        <v>1707790.4922569916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58">
        <f t="shared" ca="1" si="4"/>
        <v>-5060533.2436484881</v>
      </c>
      <c r="C109" s="458">
        <f t="shared" si="0"/>
        <v>0</v>
      </c>
      <c r="D109" s="458">
        <f t="shared" ca="1" si="9"/>
        <v>-25171.770068601556</v>
      </c>
      <c r="E109" s="458">
        <f t="shared" ca="1" si="1"/>
        <v>-5085705.0137170898</v>
      </c>
      <c r="F109" s="442"/>
      <c r="G109" s="470">
        <f t="shared" si="13"/>
        <v>9</v>
      </c>
      <c r="H109" s="470">
        <v>102</v>
      </c>
      <c r="I109" s="455">
        <f t="shared" ca="1" si="5"/>
        <v>1707790.4922569916</v>
      </c>
      <c r="J109" s="455">
        <f t="array" ref="J109">IFERROR(INDEX('Retirement Calculator'!J:J,MATCH('Isaac 401k'!N109,'Retirement Calculator'!A:A,0),0),0)</f>
        <v>7863.2184191855868</v>
      </c>
      <c r="K109" s="455">
        <f t="shared" ca="1" si="2"/>
        <v>7083.0303076575256</v>
      </c>
      <c r="L109" s="455">
        <f t="shared" ca="1" si="3"/>
        <v>1707010.3041454635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58">
        <f t="shared" ca="1" si="4"/>
        <v>-5085705.0137170898</v>
      </c>
      <c r="C110" s="458">
        <f t="shared" si="0"/>
        <v>0</v>
      </c>
      <c r="D110" s="458">
        <f t="shared" ca="1" si="9"/>
        <v>-25171.770068601556</v>
      </c>
      <c r="E110" s="458">
        <f t="shared" ca="1" si="1"/>
        <v>-5110876.7837856915</v>
      </c>
      <c r="F110" s="442"/>
      <c r="G110" s="470">
        <f t="shared" si="13"/>
        <v>9</v>
      </c>
      <c r="H110" s="470">
        <v>103</v>
      </c>
      <c r="I110" s="455">
        <f t="shared" ca="1" si="5"/>
        <v>1707010.3041454635</v>
      </c>
      <c r="J110" s="455">
        <f t="array" ref="J110">IFERROR(INDEX('Retirement Calculator'!J:J,MATCH('Isaac 401k'!N110,'Retirement Calculator'!A:A,0),0),0)</f>
        <v>7863.2184191855868</v>
      </c>
      <c r="K110" s="455">
        <f t="shared" ca="1" si="2"/>
        <v>7079.7795238594908</v>
      </c>
      <c r="L110" s="455">
        <f t="shared" ca="1" si="3"/>
        <v>1706226.8652501374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58">
        <f t="shared" ca="1" si="4"/>
        <v>-5110876.7837856915</v>
      </c>
      <c r="C111" s="458">
        <f t="shared" si="0"/>
        <v>0</v>
      </c>
      <c r="D111" s="458">
        <f t="shared" ca="1" si="9"/>
        <v>-25171.770068601556</v>
      </c>
      <c r="E111" s="458">
        <f t="shared" ca="1" si="1"/>
        <v>-5136048.5538542932</v>
      </c>
      <c r="F111" s="442"/>
      <c r="G111" s="470">
        <f t="shared" si="13"/>
        <v>9</v>
      </c>
      <c r="H111" s="470">
        <v>104</v>
      </c>
      <c r="I111" s="455">
        <f t="shared" ca="1" si="5"/>
        <v>1706226.8652501374</v>
      </c>
      <c r="J111" s="455">
        <f t="array" ref="J111">IFERROR(INDEX('Retirement Calculator'!J:J,MATCH('Isaac 401k'!N111,'Retirement Calculator'!A:A,0),0),0)</f>
        <v>7863.2184191855868</v>
      </c>
      <c r="K111" s="455">
        <f t="shared" ca="1" si="2"/>
        <v>7076.5151951289645</v>
      </c>
      <c r="L111" s="455">
        <f t="shared" ca="1" si="3"/>
        <v>1705440.1620260808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58">
        <f t="shared" ca="1" si="4"/>
        <v>-5136048.5538542932</v>
      </c>
      <c r="C112" s="458">
        <f t="shared" si="0"/>
        <v>0</v>
      </c>
      <c r="D112" s="458">
        <f t="shared" ca="1" si="9"/>
        <v>-25171.770068601556</v>
      </c>
      <c r="E112" s="458">
        <f t="shared" ca="1" si="1"/>
        <v>-5161220.3239228949</v>
      </c>
      <c r="F112" s="442"/>
      <c r="G112" s="470">
        <f t="shared" si="13"/>
        <v>9</v>
      </c>
      <c r="H112" s="470">
        <v>105</v>
      </c>
      <c r="I112" s="455">
        <f t="shared" ca="1" si="5"/>
        <v>1705440.1620260808</v>
      </c>
      <c r="J112" s="455">
        <f t="array" ref="J112">IFERROR(INDEX('Retirement Calculator'!J:J,MATCH('Isaac 401k'!N112,'Retirement Calculator'!A:A,0),0),0)</f>
        <v>7863.2184191855868</v>
      </c>
      <c r="K112" s="455">
        <f t="shared" ca="1" si="2"/>
        <v>7073.2372650287298</v>
      </c>
      <c r="L112" s="455">
        <f t="shared" ca="1" si="3"/>
        <v>1704650.1808719239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58">
        <f t="shared" ca="1" si="4"/>
        <v>-5161220.3239228949</v>
      </c>
      <c r="C113" s="458">
        <f t="shared" si="0"/>
        <v>0</v>
      </c>
      <c r="D113" s="458">
        <f t="shared" ca="1" si="9"/>
        <v>-25171.770068601556</v>
      </c>
      <c r="E113" s="458">
        <f t="shared" ca="1" si="1"/>
        <v>-5186392.0939914966</v>
      </c>
      <c r="F113" s="442"/>
      <c r="G113" s="470">
        <f t="shared" si="13"/>
        <v>9</v>
      </c>
      <c r="H113" s="470">
        <v>106</v>
      </c>
      <c r="I113" s="455">
        <f t="shared" ca="1" si="5"/>
        <v>1704650.1808719239</v>
      </c>
      <c r="J113" s="455">
        <f t="array" ref="J113">IFERROR(INDEX('Retirement Calculator'!J:J,MATCH('Isaac 401k'!N113,'Retirement Calculator'!A:A,0),0),0)</f>
        <v>7863.2184191855868</v>
      </c>
      <c r="K113" s="455">
        <f t="shared" ca="1" si="2"/>
        <v>7069.9456768864102</v>
      </c>
      <c r="L113" s="455">
        <f t="shared" ca="1" si="3"/>
        <v>1703856.9081296248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58">
        <f t="shared" ca="1" si="4"/>
        <v>-5186392.0939914966</v>
      </c>
      <c r="C114" s="458">
        <f t="shared" si="0"/>
        <v>0</v>
      </c>
      <c r="D114" s="458">
        <f t="shared" ca="1" si="9"/>
        <v>-25171.770068601556</v>
      </c>
      <c r="E114" s="458">
        <f t="shared" ca="1" si="1"/>
        <v>-5211563.8640600983</v>
      </c>
      <c r="F114" s="442"/>
      <c r="G114" s="470">
        <f t="shared" si="13"/>
        <v>9</v>
      </c>
      <c r="H114" s="470">
        <v>107</v>
      </c>
      <c r="I114" s="455">
        <f t="shared" ca="1" si="5"/>
        <v>1703856.9081296248</v>
      </c>
      <c r="J114" s="455">
        <f t="array" ref="J114">IFERROR(INDEX('Retirement Calculator'!J:J,MATCH('Isaac 401k'!N114,'Retirement Calculator'!A:A,0),0),0)</f>
        <v>7863.2184191855868</v>
      </c>
      <c r="K114" s="455">
        <f t="shared" ca="1" si="2"/>
        <v>7066.6403737934952</v>
      </c>
      <c r="L114" s="455">
        <f t="shared" ca="1" si="3"/>
        <v>1703060.3300842326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58">
        <f t="shared" ca="1" si="4"/>
        <v>-5211563.8640600983</v>
      </c>
      <c r="C115" s="458">
        <f t="shared" si="0"/>
        <v>0</v>
      </c>
      <c r="D115" s="458">
        <f t="shared" ca="1" si="9"/>
        <v>-25171.770068601556</v>
      </c>
      <c r="E115" s="458">
        <f t="shared" ca="1" si="1"/>
        <v>-5236735.6341287</v>
      </c>
      <c r="F115" s="442"/>
      <c r="G115" s="470">
        <f t="shared" si="13"/>
        <v>9</v>
      </c>
      <c r="H115" s="470">
        <v>108</v>
      </c>
      <c r="I115" s="455">
        <f t="shared" ca="1" si="5"/>
        <v>1703060.3300842326</v>
      </c>
      <c r="J115" s="455">
        <f t="array" ref="J115">IFERROR(INDEX('Retirement Calculator'!J:J,MATCH('Isaac 401k'!N115,'Retirement Calculator'!A:A,0),0),0)</f>
        <v>7863.2184191855868</v>
      </c>
      <c r="K115" s="455">
        <f t="shared" ca="1" si="2"/>
        <v>7063.3212986043627</v>
      </c>
      <c r="L115" s="455">
        <f t="shared" ca="1" si="3"/>
        <v>1702260.4329636514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58">
        <f t="shared" ca="1" si="4"/>
        <v>-5236735.6341287</v>
      </c>
      <c r="C116" s="458">
        <f t="shared" si="0"/>
        <v>0</v>
      </c>
      <c r="D116" s="458">
        <f t="shared" ca="1" si="9"/>
        <v>-25171.770068601556</v>
      </c>
      <c r="E116" s="458">
        <f t="shared" ca="1" si="1"/>
        <v>-5261907.4041973017</v>
      </c>
      <c r="F116" s="442"/>
      <c r="G116" s="470">
        <f>G115+1</f>
        <v>10</v>
      </c>
      <c r="H116" s="470">
        <v>109</v>
      </c>
      <c r="I116" s="455">
        <f t="shared" ca="1" si="5"/>
        <v>1702260.4329636514</v>
      </c>
      <c r="J116" s="455">
        <f t="array" ref="J116">IFERROR(INDEX('Retirement Calculator'!J:J,MATCH('Isaac 401k'!N116,'Retirement Calculator'!A:A,0),0),0)</f>
        <v>7863.2184191855868</v>
      </c>
      <c r="K116" s="455">
        <f t="shared" ca="1" si="2"/>
        <v>7059.9883939352749</v>
      </c>
      <c r="L116" s="455">
        <f t="shared" ca="1" si="3"/>
        <v>1701457.2029384011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58">
        <f t="shared" ca="1" si="4"/>
        <v>-5261907.4041973017</v>
      </c>
      <c r="C117" s="458">
        <f t="shared" si="0"/>
        <v>0</v>
      </c>
      <c r="D117" s="458">
        <f t="shared" ca="1" si="9"/>
        <v>-25171.770068601556</v>
      </c>
      <c r="E117" s="458">
        <f t="shared" ca="1" si="1"/>
        <v>-5287079.1742659034</v>
      </c>
      <c r="F117" s="442"/>
      <c r="G117" s="470">
        <f t="shared" ref="G117:G127" si="14">G116</f>
        <v>10</v>
      </c>
      <c r="H117" s="470">
        <v>110</v>
      </c>
      <c r="I117" s="455">
        <f t="shared" ca="1" si="5"/>
        <v>1701457.2029384011</v>
      </c>
      <c r="J117" s="455">
        <f t="array" ref="J117">IFERROR(INDEX('Retirement Calculator'!J:J,MATCH('Isaac 401k'!N117,'Retirement Calculator'!A:A,0),0),0)</f>
        <v>7863.2184191855868</v>
      </c>
      <c r="K117" s="455">
        <f t="shared" ca="1" si="2"/>
        <v>7056.6416021633977</v>
      </c>
      <c r="L117" s="455">
        <f t="shared" ca="1" si="3"/>
        <v>1700650.626121379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58">
        <f t="shared" ca="1" si="4"/>
        <v>-5287079.1742659034</v>
      </c>
      <c r="C118" s="458">
        <f t="shared" si="0"/>
        <v>0</v>
      </c>
      <c r="D118" s="458">
        <f t="shared" ca="1" si="9"/>
        <v>-25171.770068601556</v>
      </c>
      <c r="E118" s="458">
        <f t="shared" ca="1" si="1"/>
        <v>-5312250.9443345051</v>
      </c>
      <c r="F118" s="442"/>
      <c r="G118" s="470">
        <f t="shared" si="14"/>
        <v>10</v>
      </c>
      <c r="H118" s="470">
        <v>111</v>
      </c>
      <c r="I118" s="455">
        <f t="shared" ca="1" si="5"/>
        <v>1700650.626121379</v>
      </c>
      <c r="J118" s="455">
        <f t="array" ref="J118">IFERROR(INDEX('Retirement Calculator'!J:J,MATCH('Isaac 401k'!N118,'Retirement Calculator'!A:A,0),0),0)</f>
        <v>7863.2184191855868</v>
      </c>
      <c r="K118" s="455">
        <f t="shared" ca="1" si="2"/>
        <v>7053.2808654258051</v>
      </c>
      <c r="L118" s="455">
        <f t="shared" ca="1" si="3"/>
        <v>1699840.6885676191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58">
        <f t="shared" ca="1" si="4"/>
        <v>-5312250.9443345051</v>
      </c>
      <c r="C119" s="458">
        <f t="shared" si="0"/>
        <v>0</v>
      </c>
      <c r="D119" s="458">
        <f t="shared" ca="1" si="9"/>
        <v>-25171.770068601556</v>
      </c>
      <c r="E119" s="458">
        <f t="shared" ca="1" si="1"/>
        <v>-5337422.7144031068</v>
      </c>
      <c r="F119" s="442"/>
      <c r="G119" s="470">
        <f t="shared" si="14"/>
        <v>10</v>
      </c>
      <c r="H119" s="470">
        <v>112</v>
      </c>
      <c r="I119" s="455">
        <f t="shared" ca="1" si="5"/>
        <v>1699840.6885676191</v>
      </c>
      <c r="J119" s="455">
        <f t="array" ref="J119">IFERROR(INDEX('Retirement Calculator'!J:J,MATCH('Isaac 401k'!N119,'Retirement Calculator'!A:A,0),0),0)</f>
        <v>7863.2184191855868</v>
      </c>
      <c r="K119" s="455">
        <f t="shared" ca="1" si="2"/>
        <v>7049.9061256184714</v>
      </c>
      <c r="L119" s="455">
        <f t="shared" ca="1" si="3"/>
        <v>1699027.3762740518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58">
        <f t="shared" ca="1" si="4"/>
        <v>-5337422.7144031068</v>
      </c>
      <c r="C120" s="458">
        <f t="shared" si="0"/>
        <v>0</v>
      </c>
      <c r="D120" s="458">
        <f t="shared" ca="1" si="9"/>
        <v>-25171.770068601556</v>
      </c>
      <c r="E120" s="458">
        <f t="shared" ca="1" si="1"/>
        <v>-5362594.4844717085</v>
      </c>
      <c r="F120" s="442"/>
      <c r="G120" s="470">
        <f t="shared" si="14"/>
        <v>10</v>
      </c>
      <c r="H120" s="470">
        <v>113</v>
      </c>
      <c r="I120" s="455">
        <f t="shared" ca="1" si="5"/>
        <v>1699027.3762740518</v>
      </c>
      <c r="J120" s="455">
        <f t="array" ref="J120">IFERROR(INDEX('Retirement Calculator'!J:J,MATCH('Isaac 401k'!N120,'Retirement Calculator'!A:A,0),0),0)</f>
        <v>7863.2184191855868</v>
      </c>
      <c r="K120" s="455">
        <f t="shared" ca="1" si="2"/>
        <v>7046.5173243952759</v>
      </c>
      <c r="L120" s="455">
        <f t="shared" ca="1" si="3"/>
        <v>1698210.6751792615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58">
        <f t="shared" ca="1" si="4"/>
        <v>-5362594.4844717085</v>
      </c>
      <c r="C121" s="458">
        <f t="shared" si="0"/>
        <v>0</v>
      </c>
      <c r="D121" s="458">
        <f t="shared" ca="1" si="9"/>
        <v>-25171.770068601556</v>
      </c>
      <c r="E121" s="458">
        <f t="shared" ca="1" si="1"/>
        <v>-5387766.2545403102</v>
      </c>
      <c r="F121" s="442"/>
      <c r="G121" s="470">
        <f t="shared" si="14"/>
        <v>10</v>
      </c>
      <c r="H121" s="470">
        <v>114</v>
      </c>
      <c r="I121" s="455">
        <f t="shared" ca="1" si="5"/>
        <v>1698210.6751792615</v>
      </c>
      <c r="J121" s="455">
        <f t="array" ref="J121">IFERROR(INDEX('Retirement Calculator'!J:J,MATCH('Isaac 401k'!N121,'Retirement Calculator'!A:A,0),0),0)</f>
        <v>7863.2184191855868</v>
      </c>
      <c r="K121" s="455">
        <f t="shared" ca="1" si="2"/>
        <v>7043.1144031669837</v>
      </c>
      <c r="L121" s="455">
        <f t="shared" ca="1" si="3"/>
        <v>1697390.5711632429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58">
        <f t="shared" ca="1" si="4"/>
        <v>-5387766.2545403102</v>
      </c>
      <c r="C122" s="458">
        <f t="shared" si="0"/>
        <v>0</v>
      </c>
      <c r="D122" s="458">
        <f t="shared" ca="1" si="9"/>
        <v>-25171.770068601556</v>
      </c>
      <c r="E122" s="458">
        <f t="shared" ca="1" si="1"/>
        <v>-5412938.0246089119</v>
      </c>
      <c r="F122" s="442"/>
      <c r="G122" s="470">
        <f t="shared" si="14"/>
        <v>10</v>
      </c>
      <c r="H122" s="470">
        <v>115</v>
      </c>
      <c r="I122" s="455">
        <f t="shared" ca="1" si="5"/>
        <v>1697390.5711632429</v>
      </c>
      <c r="J122" s="455">
        <f t="array" ref="J122">IFERROR(INDEX('Retirement Calculator'!J:J,MATCH('Isaac 401k'!N122,'Retirement Calculator'!A:A,0),0),0)</f>
        <v>7863.2184191855868</v>
      </c>
      <c r="K122" s="455">
        <f t="shared" ca="1" si="2"/>
        <v>7039.697303100239</v>
      </c>
      <c r="L122" s="455">
        <f t="shared" ca="1" si="3"/>
        <v>1696567.0500471576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58">
        <f t="shared" ca="1" si="4"/>
        <v>-5412938.0246089119</v>
      </c>
      <c r="C123" s="458">
        <f t="shared" si="0"/>
        <v>0</v>
      </c>
      <c r="D123" s="458">
        <f t="shared" ca="1" si="9"/>
        <v>-25171.770068601556</v>
      </c>
      <c r="E123" s="458">
        <f t="shared" ca="1" si="1"/>
        <v>-5438109.7946775137</v>
      </c>
      <c r="F123" s="442"/>
      <c r="G123" s="470">
        <f t="shared" si="14"/>
        <v>10</v>
      </c>
      <c r="H123" s="470">
        <v>116</v>
      </c>
      <c r="I123" s="455">
        <f t="shared" ca="1" si="5"/>
        <v>1696567.0500471576</v>
      </c>
      <c r="J123" s="455">
        <f t="array" ref="J123">IFERROR(INDEX('Retirement Calculator'!J:J,MATCH('Isaac 401k'!N123,'Retirement Calculator'!A:A,0),0),0)</f>
        <v>7863.2184191855868</v>
      </c>
      <c r="K123" s="455">
        <f t="shared" ca="1" si="2"/>
        <v>7036.2659651165495</v>
      </c>
      <c r="L123" s="455">
        <f t="shared" ca="1" si="3"/>
        <v>1695740.0975930884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58">
        <f t="shared" ca="1" si="4"/>
        <v>-5438109.7946775137</v>
      </c>
      <c r="C124" s="458">
        <f t="shared" si="0"/>
        <v>0</v>
      </c>
      <c r="D124" s="458">
        <f t="shared" ca="1" si="9"/>
        <v>-25171.770068601556</v>
      </c>
      <c r="E124" s="458">
        <f t="shared" ca="1" si="1"/>
        <v>-5463281.5647461154</v>
      </c>
      <c r="F124" s="442"/>
      <c r="G124" s="470">
        <f t="shared" si="14"/>
        <v>10</v>
      </c>
      <c r="H124" s="470">
        <v>117</v>
      </c>
      <c r="I124" s="455">
        <f t="shared" ca="1" si="5"/>
        <v>1695740.0975930884</v>
      </c>
      <c r="J124" s="455">
        <f t="array" ref="J124">IFERROR(INDEX('Retirement Calculator'!J:J,MATCH('Isaac 401k'!N124,'Retirement Calculator'!A:A,0),0),0)</f>
        <v>7863.2184191855868</v>
      </c>
      <c r="K124" s="455">
        <f t="shared" ca="1" si="2"/>
        <v>7032.8203298912613</v>
      </c>
      <c r="L124" s="455">
        <f t="shared" ca="1" si="3"/>
        <v>1694909.6995037941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58">
        <f t="shared" ca="1" si="4"/>
        <v>-5463281.5647461154</v>
      </c>
      <c r="C125" s="458">
        <f t="shared" si="0"/>
        <v>0</v>
      </c>
      <c r="D125" s="458">
        <f t="shared" ca="1" si="9"/>
        <v>-25171.770068601556</v>
      </c>
      <c r="E125" s="458">
        <f t="shared" ca="1" si="1"/>
        <v>-5488453.3348147171</v>
      </c>
      <c r="F125" s="442"/>
      <c r="G125" s="470">
        <f t="shared" si="14"/>
        <v>10</v>
      </c>
      <c r="H125" s="470">
        <v>118</v>
      </c>
      <c r="I125" s="455">
        <f t="shared" ca="1" si="5"/>
        <v>1694909.6995037941</v>
      </c>
      <c r="J125" s="455">
        <f t="array" ref="J125">IFERROR(INDEX('Retirement Calculator'!J:J,MATCH('Isaac 401k'!N125,'Retirement Calculator'!A:A,0),0),0)</f>
        <v>7863.2184191855868</v>
      </c>
      <c r="K125" s="455">
        <f t="shared" ca="1" si="2"/>
        <v>7029.3603378525349</v>
      </c>
      <c r="L125" s="455">
        <f t="shared" ca="1" si="3"/>
        <v>1694075.841422461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58">
        <f t="shared" ca="1" si="4"/>
        <v>-5488453.3348147171</v>
      </c>
      <c r="C126" s="458">
        <f t="shared" si="0"/>
        <v>0</v>
      </c>
      <c r="D126" s="458">
        <f t="shared" ca="1" si="9"/>
        <v>-25171.770068601556</v>
      </c>
      <c r="E126" s="458">
        <f t="shared" ca="1" si="1"/>
        <v>-5513625.1048833188</v>
      </c>
      <c r="F126" s="442"/>
      <c r="G126" s="470">
        <f t="shared" si="14"/>
        <v>10</v>
      </c>
      <c r="H126" s="470">
        <v>119</v>
      </c>
      <c r="I126" s="455">
        <f t="shared" ca="1" si="5"/>
        <v>1694075.841422461</v>
      </c>
      <c r="J126" s="455">
        <f t="array" ref="J126">IFERROR(INDEX('Retirement Calculator'!J:J,MATCH('Isaac 401k'!N126,'Retirement Calculator'!A:A,0),0),0)</f>
        <v>7863.2184191855868</v>
      </c>
      <c r="K126" s="455">
        <f t="shared" ca="1" si="2"/>
        <v>7025.8859291803146</v>
      </c>
      <c r="L126" s="455">
        <f t="shared" ca="1" si="3"/>
        <v>1693238.5089324557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58">
        <f t="shared" ca="1" si="4"/>
        <v>-5513625.1048833188</v>
      </c>
      <c r="C127" s="458">
        <f t="shared" si="0"/>
        <v>0</v>
      </c>
      <c r="D127" s="458">
        <f t="shared" ca="1" si="9"/>
        <v>-25171.770068601556</v>
      </c>
      <c r="E127" s="458">
        <f t="shared" ca="1" si="1"/>
        <v>-5538796.8749519205</v>
      </c>
      <c r="F127" s="442"/>
      <c r="G127" s="470">
        <f t="shared" si="14"/>
        <v>10</v>
      </c>
      <c r="H127" s="470">
        <v>120</v>
      </c>
      <c r="I127" s="455">
        <f t="shared" ca="1" si="5"/>
        <v>1693238.5089324557</v>
      </c>
      <c r="J127" s="455">
        <f t="array" ref="J127">IFERROR(INDEX('Retirement Calculator'!J:J,MATCH('Isaac 401k'!N127,'Retirement Calculator'!A:A,0),0),0)</f>
        <v>7863.2184191855868</v>
      </c>
      <c r="K127" s="455">
        <f t="shared" ca="1" si="2"/>
        <v>7022.397043805292</v>
      </c>
      <c r="L127" s="455">
        <f t="shared" ca="1" si="3"/>
        <v>1692397.6875570754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58">
        <f t="shared" ca="1" si="4"/>
        <v>-5538796.8749519205</v>
      </c>
      <c r="C128" s="458">
        <f t="shared" si="0"/>
        <v>0</v>
      </c>
      <c r="D128" s="458">
        <f t="shared" ca="1" si="9"/>
        <v>-25171.770068601556</v>
      </c>
      <c r="E128" s="458">
        <f t="shared" ca="1" si="1"/>
        <v>-5563968.6450205222</v>
      </c>
      <c r="F128" s="442"/>
      <c r="G128" s="470">
        <f>G127+1</f>
        <v>11</v>
      </c>
      <c r="H128" s="470">
        <v>121</v>
      </c>
      <c r="I128" s="455">
        <f t="shared" ca="1" si="5"/>
        <v>1692397.6875570754</v>
      </c>
      <c r="J128" s="455">
        <f t="array" ref="J128">IFERROR(INDEX('Retirement Calculator'!J:J,MATCH('Isaac 401k'!N128,'Retirement Calculator'!A:A,0),0),0)</f>
        <v>7863.2184191855868</v>
      </c>
      <c r="K128" s="455">
        <f t="shared" ca="1" si="2"/>
        <v>7018.8936214078749</v>
      </c>
      <c r="L128" s="455">
        <f t="shared" ca="1" si="3"/>
        <v>1691553.3627592977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58">
        <f t="shared" ca="1" si="4"/>
        <v>-5563968.6450205222</v>
      </c>
      <c r="C129" s="458">
        <f t="shared" si="0"/>
        <v>0</v>
      </c>
      <c r="D129" s="458">
        <f t="shared" ca="1" si="9"/>
        <v>-25171.770068601556</v>
      </c>
      <c r="E129" s="458">
        <f t="shared" ca="1" si="1"/>
        <v>-5589140.4150891239</v>
      </c>
      <c r="F129" s="442"/>
      <c r="G129" s="470">
        <f t="shared" ref="G129:G139" si="15">G128</f>
        <v>11</v>
      </c>
      <c r="H129" s="470">
        <v>122</v>
      </c>
      <c r="I129" s="455">
        <f t="shared" ca="1" si="5"/>
        <v>1691553.3627592977</v>
      </c>
      <c r="J129" s="455">
        <f t="array" ref="J129">IFERROR(INDEX('Retirement Calculator'!J:J,MATCH('Isaac 401k'!N129,'Retirement Calculator'!A:A,0),0),0)</f>
        <v>7863.2184191855868</v>
      </c>
      <c r="K129" s="455">
        <f t="shared" ca="1" si="2"/>
        <v>7015.375601417134</v>
      </c>
      <c r="L129" s="455">
        <f t="shared" ca="1" si="3"/>
        <v>1690705.5199415293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58">
        <f t="shared" ca="1" si="4"/>
        <v>-5589140.4150891239</v>
      </c>
      <c r="C130" s="458">
        <f t="shared" si="0"/>
        <v>0</v>
      </c>
      <c r="D130" s="458">
        <f t="shared" ca="1" si="9"/>
        <v>-25171.770068601556</v>
      </c>
      <c r="E130" s="458">
        <f t="shared" ca="1" si="1"/>
        <v>-5614312.1851577256</v>
      </c>
      <c r="F130" s="442"/>
      <c r="G130" s="470">
        <f t="shared" si="15"/>
        <v>11</v>
      </c>
      <c r="H130" s="470">
        <v>123</v>
      </c>
      <c r="I130" s="455">
        <f t="shared" ca="1" si="5"/>
        <v>1690705.5199415293</v>
      </c>
      <c r="J130" s="455">
        <f t="array" ref="J130">IFERROR(INDEX('Retirement Calculator'!J:J,MATCH('Isaac 401k'!N130,'Retirement Calculator'!A:A,0),0),0)</f>
        <v>7863.2184191855868</v>
      </c>
      <c r="K130" s="455">
        <f t="shared" ca="1" si="2"/>
        <v>7011.8429230097654</v>
      </c>
      <c r="L130" s="455">
        <f t="shared" ca="1" si="3"/>
        <v>1689854.1444453534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58">
        <f t="shared" ca="1" si="4"/>
        <v>-5614312.1851577256</v>
      </c>
      <c r="C131" s="458">
        <f t="shared" si="0"/>
        <v>0</v>
      </c>
      <c r="D131" s="458">
        <f t="shared" ca="1" si="9"/>
        <v>-25171.770068601556</v>
      </c>
      <c r="E131" s="458">
        <f t="shared" ca="1" si="1"/>
        <v>-5639483.9552263273</v>
      </c>
      <c r="F131" s="442"/>
      <c r="G131" s="470">
        <f t="shared" si="15"/>
        <v>11</v>
      </c>
      <c r="H131" s="470">
        <v>124</v>
      </c>
      <c r="I131" s="455">
        <f t="shared" ca="1" si="5"/>
        <v>1689854.1444453534</v>
      </c>
      <c r="J131" s="455">
        <f t="array" ref="J131">IFERROR(INDEX('Retirement Calculator'!J:J,MATCH('Isaac 401k'!N131,'Retirement Calculator'!A:A,0),0),0)</f>
        <v>7863.2184191855868</v>
      </c>
      <c r="K131" s="455">
        <f t="shared" ca="1" si="2"/>
        <v>7008.2955251090325</v>
      </c>
      <c r="L131" s="455">
        <f t="shared" ca="1" si="3"/>
        <v>1688999.2215512767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58">
        <f t="shared" ca="1" si="4"/>
        <v>-5639483.9552263273</v>
      </c>
      <c r="C132" s="458">
        <f t="shared" si="0"/>
        <v>0</v>
      </c>
      <c r="D132" s="458">
        <f t="shared" ca="1" si="9"/>
        <v>-25171.770068601556</v>
      </c>
      <c r="E132" s="458">
        <f t="shared" ca="1" si="1"/>
        <v>-5664655.725294929</v>
      </c>
      <c r="F132" s="442"/>
      <c r="G132" s="470">
        <f t="shared" si="15"/>
        <v>11</v>
      </c>
      <c r="H132" s="470">
        <v>125</v>
      </c>
      <c r="I132" s="455">
        <f t="shared" ca="1" si="5"/>
        <v>1688999.2215512767</v>
      </c>
      <c r="J132" s="455">
        <f t="array" ref="J132">IFERROR(INDEX('Retirement Calculator'!J:J,MATCH('Isaac 401k'!N132,'Retirement Calculator'!A:A,0),0),0)</f>
        <v>7863.2184191855868</v>
      </c>
      <c r="K132" s="455">
        <f t="shared" ca="1" si="2"/>
        <v>7004.7333463837131</v>
      </c>
      <c r="L132" s="455">
        <f t="shared" ca="1" si="3"/>
        <v>1688140.7364784749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58">
        <f t="shared" ca="1" si="4"/>
        <v>-5664655.725294929</v>
      </c>
      <c r="C133" s="458">
        <f t="shared" si="0"/>
        <v>0</v>
      </c>
      <c r="D133" s="458">
        <f t="shared" ca="1" si="9"/>
        <v>-25171.770068601556</v>
      </c>
      <c r="E133" s="458">
        <f t="shared" ca="1" si="1"/>
        <v>-5689827.4953635307</v>
      </c>
      <c r="F133" s="442"/>
      <c r="G133" s="470">
        <f t="shared" si="15"/>
        <v>11</v>
      </c>
      <c r="H133" s="470">
        <v>126</v>
      </c>
      <c r="I133" s="455">
        <f t="shared" ca="1" si="5"/>
        <v>1688140.7364784749</v>
      </c>
      <c r="J133" s="455">
        <f t="array" ref="J133">IFERROR(INDEX('Retirement Calculator'!J:J,MATCH('Isaac 401k'!N133,'Retirement Calculator'!A:A,0),0),0)</f>
        <v>7863.2184191855868</v>
      </c>
      <c r="K133" s="455">
        <f t="shared" ca="1" si="2"/>
        <v>7001.1563252470387</v>
      </c>
      <c r="L133" s="455">
        <f t="shared" ca="1" si="3"/>
        <v>1687278.6743845365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58">
        <f t="shared" ca="1" si="4"/>
        <v>-5689827.4953635307</v>
      </c>
      <c r="C134" s="458">
        <f t="shared" si="0"/>
        <v>0</v>
      </c>
      <c r="D134" s="458">
        <f t="shared" ca="1" si="9"/>
        <v>-25171.770068601556</v>
      </c>
      <c r="E134" s="458">
        <f t="shared" ca="1" si="1"/>
        <v>-5714999.2654321324</v>
      </c>
      <c r="F134" s="442"/>
      <c r="G134" s="470">
        <f t="shared" si="15"/>
        <v>11</v>
      </c>
      <c r="H134" s="470">
        <v>127</v>
      </c>
      <c r="I134" s="455">
        <f t="shared" ca="1" si="5"/>
        <v>1687278.6743845365</v>
      </c>
      <c r="J134" s="455">
        <f t="array" ref="J134">IFERROR(INDEX('Retirement Calculator'!J:J,MATCH('Isaac 401k'!N134,'Retirement Calculator'!A:A,0),0),0)</f>
        <v>7863.2184191855868</v>
      </c>
      <c r="K134" s="455">
        <f t="shared" ca="1" si="2"/>
        <v>6997.564399855627</v>
      </c>
      <c r="L134" s="455">
        <f t="shared" ca="1" si="3"/>
        <v>1686413.0203652065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58">
        <f t="shared" ca="1" si="4"/>
        <v>-5714999.2654321324</v>
      </c>
      <c r="C135" s="458">
        <f t="shared" si="0"/>
        <v>0</v>
      </c>
      <c r="D135" s="458">
        <f t="shared" ca="1" si="9"/>
        <v>-25171.770068601556</v>
      </c>
      <c r="E135" s="458">
        <f t="shared" ca="1" si="1"/>
        <v>-5740171.0355007341</v>
      </c>
      <c r="F135" s="442"/>
      <c r="G135" s="470">
        <f t="shared" si="15"/>
        <v>11</v>
      </c>
      <c r="H135" s="470">
        <v>128</v>
      </c>
      <c r="I135" s="455">
        <f t="shared" ca="1" si="5"/>
        <v>1686413.0203652065</v>
      </c>
      <c r="J135" s="455">
        <f t="array" ref="J135">IFERROR(INDEX('Retirement Calculator'!J:J,MATCH('Isaac 401k'!N135,'Retirement Calculator'!A:A,0),0),0)</f>
        <v>7863.2184191855868</v>
      </c>
      <c r="K135" s="455">
        <f t="shared" ca="1" si="2"/>
        <v>6993.9575081084213</v>
      </c>
      <c r="L135" s="455">
        <f t="shared" ca="1" si="3"/>
        <v>1685543.7594541293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58">
        <f t="shared" ca="1" si="4"/>
        <v>-5740171.0355007341</v>
      </c>
      <c r="C136" s="458">
        <f t="shared" si="0"/>
        <v>0</v>
      </c>
      <c r="D136" s="458">
        <f t="shared" ca="1" si="9"/>
        <v>-25171.770068601556</v>
      </c>
      <c r="E136" s="458">
        <f t="shared" ca="1" si="1"/>
        <v>-5765342.8055693358</v>
      </c>
      <c r="F136" s="442"/>
      <c r="G136" s="470">
        <f t="shared" si="15"/>
        <v>11</v>
      </c>
      <c r="H136" s="470">
        <v>129</v>
      </c>
      <c r="I136" s="455">
        <f t="shared" ca="1" si="5"/>
        <v>1685543.7594541293</v>
      </c>
      <c r="J136" s="455">
        <f t="array" ref="J136">IFERROR(INDEX('Retirement Calculator'!J:J,MATCH('Isaac 401k'!N136,'Retirement Calculator'!A:A,0),0),0)</f>
        <v>7863.2184191855868</v>
      </c>
      <c r="K136" s="455">
        <f t="shared" ca="1" si="2"/>
        <v>6990.335587645598</v>
      </c>
      <c r="L136" s="455">
        <f t="shared" ca="1" si="3"/>
        <v>1684670.8766225893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1684670.8766225893</v>
      </c>
      <c r="J137" s="455">
        <f t="array" ref="J137">IFERROR(INDEX('Retirement Calculator'!J:J,MATCH('Isaac 401k'!N137,'Retirement Calculator'!A:A,0),0),0)</f>
        <v>7863.2184191855868</v>
      </c>
      <c r="K137" s="455">
        <f t="shared" ca="1" si="2"/>
        <v>6986.6985758475157</v>
      </c>
      <c r="L137" s="455">
        <f t="shared" ca="1" si="3"/>
        <v>1683794.3567792512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1683794.3567792512</v>
      </c>
      <c r="J138" s="455">
        <f t="array" ref="J138">IFERROR(INDEX('Retirement Calculator'!J:J,MATCH('Isaac 401k'!N138,'Retirement Calculator'!A:A,0),0),0)</f>
        <v>7863.2184191855868</v>
      </c>
      <c r="K138" s="455">
        <f t="shared" ca="1" si="2"/>
        <v>6983.046409833607</v>
      </c>
      <c r="L138" s="455">
        <f t="shared" ca="1" si="3"/>
        <v>1682914.1847698994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1682914.1847698994</v>
      </c>
      <c r="J139" s="455">
        <f t="array" ref="J139">IFERROR(INDEX('Retirement Calculator'!J:J,MATCH('Isaac 401k'!N139,'Retirement Calculator'!A:A,0),0),0)</f>
        <v>7863.2184191855868</v>
      </c>
      <c r="K139" s="455">
        <f t="shared" ca="1" si="2"/>
        <v>6979.3790264613071</v>
      </c>
      <c r="L139" s="455">
        <f t="shared" ca="1" si="3"/>
        <v>1682030.3453771751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1682030.3453771751</v>
      </c>
      <c r="J140" s="455">
        <f t="array" ref="J140">IFERROR(INDEX('Retirement Calculator'!J:J,MATCH('Isaac 401k'!N140,'Retirement Calculator'!A:A,0),0),0)</f>
        <v>7863.2184191855868</v>
      </c>
      <c r="K140" s="455">
        <f t="shared" ca="1" si="2"/>
        <v>6975.6963623249567</v>
      </c>
      <c r="L140" s="455">
        <f t="shared" ca="1" si="3"/>
        <v>1681142.8233203145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1681142.8233203145</v>
      </c>
      <c r="J141" s="455">
        <f t="array" ref="J141">IFERROR(INDEX('Retirement Calculator'!J:J,MATCH('Isaac 401k'!N141,'Retirement Calculator'!A:A,0),0),0)</f>
        <v>7863.2184191855868</v>
      </c>
      <c r="K141" s="455">
        <f t="shared" ca="1" si="2"/>
        <v>6971.998353754705</v>
      </c>
      <c r="L141" s="455">
        <f t="shared" ca="1" si="3"/>
        <v>1680251.6032548836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1680251.6032548836</v>
      </c>
      <c r="J142" s="455">
        <f t="array" ref="J142">IFERROR(INDEX('Retirement Calculator'!J:J,MATCH('Isaac 401k'!N142,'Retirement Calculator'!A:A,0),0),0)</f>
        <v>7863.2184191855868</v>
      </c>
      <c r="K142" s="455">
        <f t="shared" ca="1" si="2"/>
        <v>6968.2849368154084</v>
      </c>
      <c r="L142" s="455">
        <f t="shared" ca="1" si="3"/>
        <v>1679356.6697725134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1679356.6697725134</v>
      </c>
      <c r="J143" s="455">
        <f t="array" ref="J143">IFERROR(INDEX('Retirement Calculator'!J:J,MATCH('Isaac 401k'!N143,'Retirement Calculator'!A:A,0),0),0)</f>
        <v>7863.2184191855868</v>
      </c>
      <c r="K143" s="455">
        <f t="shared" ca="1" si="2"/>
        <v>6964.5560473055339</v>
      </c>
      <c r="L143" s="455">
        <f t="shared" ca="1" si="3"/>
        <v>1678458.0074006333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1678458.0074006333</v>
      </c>
      <c r="J144" s="455">
        <f t="array" ref="J144">IFERROR(INDEX('Retirement Calculator'!J:J,MATCH('Isaac 401k'!N144,'Retirement Calculator'!A:A,0),0),0)</f>
        <v>7863.2184191855868</v>
      </c>
      <c r="K144" s="455">
        <f t="shared" ca="1" si="2"/>
        <v>6960.8116207560333</v>
      </c>
      <c r="L144" s="455">
        <f t="shared" ca="1" si="3"/>
        <v>1677555.6006022037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1677555.6006022037</v>
      </c>
      <c r="J145" s="455">
        <f t="array" ref="J145">IFERROR(INDEX('Retirement Calculator'!J:J,MATCH('Isaac 401k'!N145,'Retirement Calculator'!A:A,0),0),0)</f>
        <v>7863.2184191855868</v>
      </c>
      <c r="K145" s="455">
        <f t="shared" ca="1" si="2"/>
        <v>6957.0515924292422</v>
      </c>
      <c r="L145" s="455">
        <f t="shared" ca="1" si="3"/>
        <v>1676649.4337754473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1676649.4337754473</v>
      </c>
      <c r="J146" s="455">
        <f t="array" ref="J146">IFERROR(INDEX('Retirement Calculator'!J:J,MATCH('Isaac 401k'!N146,'Retirement Calculator'!A:A,0),0),0)</f>
        <v>7863.2184191855868</v>
      </c>
      <c r="K146" s="455">
        <f t="shared" ca="1" si="2"/>
        <v>6953.2758973177579</v>
      </c>
      <c r="L146" s="455">
        <f t="shared" ca="1" si="3"/>
        <v>1675739.4912535795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1675739.4912535795</v>
      </c>
      <c r="J147" s="455">
        <f t="array" ref="J147">IFERROR(INDEX('Retirement Calculator'!J:J,MATCH('Isaac 401k'!N147,'Retirement Calculator'!A:A,0),0),0)</f>
        <v>7863.2184191855868</v>
      </c>
      <c r="K147" s="455">
        <f t="shared" ca="1" si="2"/>
        <v>6949.4844701433076</v>
      </c>
      <c r="L147" s="455">
        <f t="shared" ca="1" si="3"/>
        <v>1674825.7573045371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1674825.7573045371</v>
      </c>
      <c r="J148" s="455">
        <f t="array" ref="J148">IFERROR(INDEX('Retirement Calculator'!J:J,MATCH('Isaac 401k'!N148,'Retirement Calculator'!A:A,0),0),0)</f>
        <v>7863.2184191855868</v>
      </c>
      <c r="K148" s="455">
        <f t="shared" ca="1" si="2"/>
        <v>6945.6772453556314</v>
      </c>
      <c r="L148" s="455">
        <f t="shared" ca="1" si="3"/>
        <v>1673908.2161307072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1673908.2161307072</v>
      </c>
      <c r="J149" s="455">
        <f t="array" ref="J149">IFERROR(INDEX('Retirement Calculator'!J:J,MATCH('Isaac 401k'!N149,'Retirement Calculator'!A:A,0),0),0)</f>
        <v>7863.2184191855868</v>
      </c>
      <c r="K149" s="455">
        <f t="shared" ca="1" si="2"/>
        <v>6941.8541571313399</v>
      </c>
      <c r="L149" s="455">
        <f t="shared" ca="1" si="3"/>
        <v>1672986.851868653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1672986.851868653</v>
      </c>
      <c r="J150" s="455">
        <f t="array" ref="J150">IFERROR(INDEX('Retirement Calculator'!J:J,MATCH('Isaac 401k'!N150,'Retirement Calculator'!A:A,0),0),0)</f>
        <v>7863.2184191855868</v>
      </c>
      <c r="K150" s="455">
        <f t="shared" ca="1" si="2"/>
        <v>6938.015139372782</v>
      </c>
      <c r="L150" s="455">
        <f t="shared" ca="1" si="3"/>
        <v>1672061.6485888402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1672061.6485888402</v>
      </c>
      <c r="J151" s="455">
        <f t="array" ref="J151">IFERROR(INDEX('Retirement Calculator'!J:J,MATCH('Isaac 401k'!N151,'Retirement Calculator'!A:A,0),0),0)</f>
        <v>7863.2184191855868</v>
      </c>
      <c r="K151" s="455">
        <f t="shared" ca="1" si="2"/>
        <v>6934.1601257068942</v>
      </c>
      <c r="L151" s="455">
        <f t="shared" ca="1" si="3"/>
        <v>1671132.5902953614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1671132.5902953614</v>
      </c>
      <c r="J152" s="455">
        <f t="array" ref="J152">IFERROR(INDEX('Retirement Calculator'!J:J,MATCH('Isaac 401k'!N152,'Retirement Calculator'!A:A,0),0),0)</f>
        <v>7863.2184191855868</v>
      </c>
      <c r="K152" s="455">
        <f t="shared" ca="1" si="2"/>
        <v>6930.2890494840667</v>
      </c>
      <c r="L152" s="455">
        <f t="shared" ca="1" si="3"/>
        <v>1670199.6609256598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1670199.6609256598</v>
      </c>
      <c r="J153" s="455">
        <f t="array" ref="J153">IFERROR(INDEX('Retirement Calculator'!J:J,MATCH('Isaac 401k'!N153,'Retirement Calculator'!A:A,0),0),0)</f>
        <v>7863.2184191855868</v>
      </c>
      <c r="K153" s="455">
        <f t="shared" ca="1" si="2"/>
        <v>6926.4018437769746</v>
      </c>
      <c r="L153" s="455">
        <f t="shared" ca="1" si="3"/>
        <v>1669262.8443502511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1669262.8443502511</v>
      </c>
      <c r="J154" s="455">
        <f t="array" ref="J154">IFERROR(INDEX('Retirement Calculator'!J:J,MATCH('Isaac 401k'!N154,'Retirement Calculator'!A:A,0),0),0)</f>
        <v>7863.2184191855868</v>
      </c>
      <c r="K154" s="455">
        <f t="shared" ca="1" si="2"/>
        <v>6922.49844137944</v>
      </c>
      <c r="L154" s="455">
        <f t="shared" ca="1" si="3"/>
        <v>1668322.124372445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1668322.124372445</v>
      </c>
      <c r="J155" s="455">
        <f t="array" ref="J155">IFERROR(INDEX('Retirement Calculator'!J:J,MATCH('Isaac 401k'!N155,'Retirement Calculator'!A:A,0),0),0)</f>
        <v>7863.2184191855868</v>
      </c>
      <c r="K155" s="455">
        <f t="shared" ca="1" si="2"/>
        <v>6918.5787748052471</v>
      </c>
      <c r="L155" s="455">
        <f t="shared" ca="1" si="3"/>
        <v>1667377.4847280646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1667377.4847280646</v>
      </c>
      <c r="J156" s="455">
        <f t="array" ref="J156">IFERROR(INDEX('Retirement Calculator'!J:J,MATCH('Isaac 401k'!N156,'Retirement Calculator'!A:A,0),0),0)</f>
        <v>7863.2184191855868</v>
      </c>
      <c r="K156" s="455">
        <f t="shared" ca="1" si="2"/>
        <v>6914.6427762869971</v>
      </c>
      <c r="L156" s="455">
        <f t="shared" ca="1" si="3"/>
        <v>1666428.9090851659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1666428.9090851659</v>
      </c>
      <c r="J157" s="455">
        <f t="array" ref="J157">IFERROR(INDEX('Retirement Calculator'!J:J,MATCH('Isaac 401k'!N157,'Retirement Calculator'!A:A,0),0),0)</f>
        <v>7863.2184191855868</v>
      </c>
      <c r="K157" s="455">
        <f t="shared" ca="1" si="2"/>
        <v>6910.6903777749167</v>
      </c>
      <c r="L157" s="455">
        <f t="shared" ca="1" si="3"/>
        <v>1665476.3810437552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1665476.3810437552</v>
      </c>
      <c r="J158" s="455">
        <f t="array" ref="J158">IFERROR(INDEX('Retirement Calculator'!J:J,MATCH('Isaac 401k'!N158,'Retirement Calculator'!A:A,0),0),0)</f>
        <v>7863.2184191855868</v>
      </c>
      <c r="K158" s="455">
        <f t="shared" ca="1" si="2"/>
        <v>6906.7215109357066</v>
      </c>
      <c r="L158" s="455">
        <f t="shared" ca="1" si="3"/>
        <v>1664519.8841355054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1664519.8841355054</v>
      </c>
      <c r="J159" s="455">
        <f t="array" ref="J159">IFERROR(INDEX('Retirement Calculator'!J:J,MATCH('Isaac 401k'!N159,'Retirement Calculator'!A:A,0),0),0)</f>
        <v>7863.2184191855868</v>
      </c>
      <c r="K159" s="455">
        <f t="shared" ca="1" si="2"/>
        <v>6902.7361071513324</v>
      </c>
      <c r="L159" s="455">
        <f t="shared" ca="1" si="3"/>
        <v>1663559.4018234711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1663559.4018234711</v>
      </c>
      <c r="J160" s="455">
        <f t="array" ref="J160">IFERROR(INDEX('Retirement Calculator'!J:J,MATCH('Isaac 401k'!N160,'Retirement Calculator'!A:A,0),0),0)</f>
        <v>7863.2184191855868</v>
      </c>
      <c r="K160" s="455">
        <f t="shared" ca="1" si="2"/>
        <v>6898.7340975178558</v>
      </c>
      <c r="L160" s="455">
        <f t="shared" ca="1" si="3"/>
        <v>1662594.9175018033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1662594.9175018033</v>
      </c>
      <c r="J161" s="455">
        <f t="array" ref="J161">IFERROR(INDEX('Retirement Calculator'!J:J,MATCH('Isaac 401k'!N161,'Retirement Calculator'!A:A,0),0),0)</f>
        <v>7863.2184191855868</v>
      </c>
      <c r="K161" s="455">
        <f t="shared" ca="1" si="2"/>
        <v>6894.7154128442389</v>
      </c>
      <c r="L161" s="455">
        <f t="shared" ca="1" si="3"/>
        <v>1661626.4144954619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1661626.4144954619</v>
      </c>
      <c r="J162" s="455">
        <f t="array" ref="J162">IFERROR(INDEX('Retirement Calculator'!J:J,MATCH('Isaac 401k'!N162,'Retirement Calculator'!A:A,0),0),0)</f>
        <v>7863.2184191855868</v>
      </c>
      <c r="K162" s="455">
        <f t="shared" ca="1" si="2"/>
        <v>6890.6799836511518</v>
      </c>
      <c r="L162" s="455">
        <f t="shared" ca="1" si="3"/>
        <v>1660653.8760599275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1660653.8760599275</v>
      </c>
      <c r="J163" s="455">
        <f t="array" ref="J163">IFERROR(INDEX('Retirement Calculator'!J:J,MATCH('Isaac 401k'!N163,'Retirement Calculator'!A:A,0),0),0)</f>
        <v>7863.2184191855868</v>
      </c>
      <c r="K163" s="455">
        <f t="shared" ca="1" si="2"/>
        <v>6886.6277401697571</v>
      </c>
      <c r="L163" s="455">
        <f t="shared" ca="1" si="3"/>
        <v>1659677.2853809115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1659677.2853809115</v>
      </c>
      <c r="J164" s="455">
        <f t="array" ref="J164">IFERROR(INDEX('Retirement Calculator'!J:J,MATCH('Isaac 401k'!N164,'Retirement Calculator'!A:A,0),0),0)</f>
        <v>7863.2184191855868</v>
      </c>
      <c r="K164" s="455">
        <f t="shared" ca="1" si="2"/>
        <v>6882.5586123405246</v>
      </c>
      <c r="L164" s="455">
        <f t="shared" ca="1" si="3"/>
        <v>1658696.6255740665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1658696.6255740665</v>
      </c>
      <c r="J165" s="455">
        <f t="array" ref="J165">IFERROR(INDEX('Retirement Calculator'!J:J,MATCH('Isaac 401k'!N165,'Retirement Calculator'!A:A,0),0),0)</f>
        <v>7863.2184191855868</v>
      </c>
      <c r="K165" s="455">
        <f t="shared" ca="1" si="2"/>
        <v>6878.4725298120047</v>
      </c>
      <c r="L165" s="455">
        <f t="shared" ca="1" si="3"/>
        <v>1657711.8796846929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1657711.8796846929</v>
      </c>
      <c r="J166" s="455">
        <f t="array" ref="J166">IFERROR(INDEX('Retirement Calculator'!J:J,MATCH('Isaac 401k'!N166,'Retirement Calculator'!A:A,0),0),0)</f>
        <v>7863.2184191855868</v>
      </c>
      <c r="K166" s="455">
        <f t="shared" ca="1" si="2"/>
        <v>6874.3694219396139</v>
      </c>
      <c r="L166" s="455">
        <f t="shared" ca="1" si="3"/>
        <v>1656723.0306874469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1656723.0306874469</v>
      </c>
      <c r="J167" s="455">
        <f t="array" ref="J167">IFERROR(INDEX('Retirement Calculator'!J:J,MATCH('Isaac 401k'!N167,'Retirement Calculator'!A:A,0),0),0)</f>
        <v>7863.2184191855868</v>
      </c>
      <c r="K167" s="455">
        <f t="shared" ca="1" si="2"/>
        <v>6870.2492177844233</v>
      </c>
      <c r="L167" s="455">
        <f t="shared" ca="1" si="3"/>
        <v>1655730.0614860458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1655730.0614860458</v>
      </c>
      <c r="J168" s="455">
        <f t="array" ref="J168">IFERROR(INDEX('Retirement Calculator'!J:J,MATCH('Isaac 401k'!N168,'Retirement Calculator'!A:A,0),0),0)</f>
        <v>7863.2184191855868</v>
      </c>
      <c r="K168" s="455">
        <f t="shared" ca="1" si="2"/>
        <v>6866.1118461119167</v>
      </c>
      <c r="L168" s="455">
        <f t="shared" ca="1" si="3"/>
        <v>1654732.9549129722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1654732.9549129722</v>
      </c>
      <c r="J169" s="455">
        <f t="array" ref="J169">IFERROR(INDEX('Retirement Calculator'!J:J,MATCH('Isaac 401k'!N169,'Retirement Calculator'!A:A,0),0),0)</f>
        <v>7863.2184191855868</v>
      </c>
      <c r="K169" s="455">
        <f t="shared" ca="1" si="2"/>
        <v>6861.957235390777</v>
      </c>
      <c r="L169" s="455">
        <f t="shared" ca="1" si="3"/>
        <v>1653731.6937291774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1653731.6937291774</v>
      </c>
      <c r="J170" s="455">
        <f t="array" ref="J170">IFERROR(INDEX('Retirement Calculator'!J:J,MATCH('Isaac 401k'!N170,'Retirement Calculator'!A:A,0),0),0)</f>
        <v>7863.2184191855868</v>
      </c>
      <c r="K170" s="455">
        <f t="shared" ca="1" si="2"/>
        <v>6857.7853137916318</v>
      </c>
      <c r="L170" s="455">
        <f t="shared" ca="1" si="3"/>
        <v>1652726.2606237833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1652726.2606237833</v>
      </c>
      <c r="J171" s="455">
        <f t="array" ref="J171">IFERROR(INDEX('Retirement Calculator'!J:J,MATCH('Isaac 401k'!N171,'Retirement Calculator'!A:A,0),0),0)</f>
        <v>7863.2184191855868</v>
      </c>
      <c r="K171" s="455">
        <f t="shared" ca="1" si="2"/>
        <v>6853.5960091858242</v>
      </c>
      <c r="L171" s="455">
        <f t="shared" ca="1" si="3"/>
        <v>1651716.6382137835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1651716.6382137835</v>
      </c>
      <c r="J172" s="455">
        <f t="array" ref="J172">IFERROR(INDEX('Retirement Calculator'!J:J,MATCH('Isaac 401k'!N172,'Retirement Calculator'!A:A,0),0),0)</f>
        <v>7863.2184191855868</v>
      </c>
      <c r="K172" s="455">
        <f t="shared" ca="1" si="2"/>
        <v>6849.3892491441575</v>
      </c>
      <c r="L172" s="455">
        <f t="shared" ca="1" si="3"/>
        <v>1650702.809043742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1650702.809043742</v>
      </c>
      <c r="J173" s="455">
        <f t="array" ref="J173">IFERROR(INDEX('Retirement Calculator'!J:J,MATCH('Isaac 401k'!N173,'Retirement Calculator'!A:A,0),0),0)</f>
        <v>7863.2184191855868</v>
      </c>
      <c r="K173" s="455">
        <f t="shared" ca="1" si="2"/>
        <v>6845.1649609356518</v>
      </c>
      <c r="L173" s="455">
        <f t="shared" ca="1" si="3"/>
        <v>1649684.7555854921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1649684.7555854921</v>
      </c>
      <c r="J174" s="455">
        <f t="array" ref="J174">IFERROR(INDEX('Retirement Calculator'!J:J,MATCH('Isaac 401k'!N174,'Retirement Calculator'!A:A,0),0),0)</f>
        <v>7863.2184191855868</v>
      </c>
      <c r="K174" s="455">
        <f t="shared" ca="1" si="2"/>
        <v>6840.9230715262784</v>
      </c>
      <c r="L174" s="455">
        <f t="shared" ca="1" si="3"/>
        <v>1648662.4602378327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1648662.4602378327</v>
      </c>
      <c r="J175" s="455">
        <f t="array" ref="J175">IFERROR(INDEX('Retirement Calculator'!J:J,MATCH('Isaac 401k'!N175,'Retirement Calculator'!A:A,0),0),0)</f>
        <v>7863.2184191855868</v>
      </c>
      <c r="K175" s="455">
        <f t="shared" ca="1" si="2"/>
        <v>6836.6635075776967</v>
      </c>
      <c r="L175" s="455">
        <f t="shared" ca="1" si="3"/>
        <v>1647635.9053262249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1647635.9053262249</v>
      </c>
      <c r="J176" s="455">
        <f t="array" ref="J176">IFERROR(INDEX('Retirement Calculator'!J:J,MATCH('Isaac 401k'!N176,'Retirement Calculator'!A:A,0),0),0)</f>
        <v>7863.2184191855868</v>
      </c>
      <c r="K176" s="455">
        <f t="shared" ca="1" si="2"/>
        <v>6832.3861954459971</v>
      </c>
      <c r="L176" s="455">
        <f t="shared" ca="1" si="3"/>
        <v>1646605.0731024852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1646605.0731024852</v>
      </c>
      <c r="J177" s="455">
        <f t="array" ref="J177">IFERROR(INDEX('Retirement Calculator'!J:J,MATCH('Isaac 401k'!N177,'Retirement Calculator'!A:A,0),0),0)</f>
        <v>7863.2184191855868</v>
      </c>
      <c r="K177" s="455">
        <f t="shared" ca="1" si="2"/>
        <v>6828.0910611804156</v>
      </c>
      <c r="L177" s="455">
        <f t="shared" ca="1" si="3"/>
        <v>1645569.94574448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1645569.94574448</v>
      </c>
      <c r="J178" s="455">
        <f t="array" ref="J178">IFERROR(INDEX('Retirement Calculator'!J:J,MATCH('Isaac 401k'!N178,'Retirement Calculator'!A:A,0),0),0)</f>
        <v>7863.2184191855868</v>
      </c>
      <c r="K178" s="455">
        <f t="shared" ca="1" si="2"/>
        <v>6823.7780305220595</v>
      </c>
      <c r="L178" s="455">
        <f t="shared" ca="1" si="3"/>
        <v>1644530.5053558166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1644530.5053558166</v>
      </c>
      <c r="J179" s="455">
        <f t="array" ref="J179">IFERROR(INDEX('Retirement Calculator'!J:J,MATCH('Isaac 401k'!N179,'Retirement Calculator'!A:A,0),0),0)</f>
        <v>7863.2184191855868</v>
      </c>
      <c r="K179" s="455">
        <f t="shared" ca="1" si="2"/>
        <v>6819.4470289026285</v>
      </c>
      <c r="L179" s="455">
        <f t="shared" ca="1" si="3"/>
        <v>1643486.7339655336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1643486.7339655336</v>
      </c>
      <c r="J180" s="455">
        <f t="array" ref="J180">IFERROR(INDEX('Retirement Calculator'!J:J,MATCH('Isaac 401k'!N180,'Retirement Calculator'!A:A,0),0),0)</f>
        <v>7863.2184191855868</v>
      </c>
      <c r="K180" s="455">
        <f t="shared" ca="1" si="2"/>
        <v>6815.0979814431157</v>
      </c>
      <c r="L180" s="455">
        <f t="shared" ca="1" si="3"/>
        <v>1642438.6135277911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1642438.6135277911</v>
      </c>
      <c r="J181" s="455">
        <f t="array" ref="J181">IFERROR(INDEX('Retirement Calculator'!J:J,MATCH('Isaac 401k'!N181,'Retirement Calculator'!A:A,0),0),0)</f>
        <v>7863.2184191855868</v>
      </c>
      <c r="K181" s="455">
        <f t="shared" ca="1" si="2"/>
        <v>6810.7308129525236</v>
      </c>
      <c r="L181" s="455">
        <f t="shared" ca="1" si="3"/>
        <v>1641386.1259215581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1641386.1259215581</v>
      </c>
      <c r="J182" s="455">
        <f t="array" ref="J182">IFERROR(INDEX('Retirement Calculator'!J:J,MATCH('Isaac 401k'!N182,'Retirement Calculator'!A:A,0),0),0)</f>
        <v>7863.2184191855868</v>
      </c>
      <c r="K182" s="455">
        <f t="shared" ca="1" si="2"/>
        <v>6806.345447926552</v>
      </c>
      <c r="L182" s="455">
        <f t="shared" ca="1" si="3"/>
        <v>1640329.2529502991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1640329.2529502991</v>
      </c>
      <c r="J183" s="455">
        <f t="array" ref="J183">IFERROR(INDEX('Retirement Calculator'!J:J,MATCH('Isaac 401k'!N183,'Retirement Calculator'!A:A,0),0),0)</f>
        <v>7863.2184191855868</v>
      </c>
      <c r="K183" s="455">
        <f t="shared" ca="1" si="2"/>
        <v>6801.9418105463055</v>
      </c>
      <c r="L183" s="455">
        <f t="shared" ca="1" si="3"/>
        <v>1639267.9763416597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1639267.9763416597</v>
      </c>
      <c r="J184" s="455">
        <f t="array" ref="J184">IFERROR(INDEX('Retirement Calculator'!J:J,MATCH('Isaac 401k'!N184,'Retirement Calculator'!A:A,0),0),0)</f>
        <v>7863.2184191855868</v>
      </c>
      <c r="K184" s="455">
        <f t="shared" ca="1" si="2"/>
        <v>6797.5198246769751</v>
      </c>
      <c r="L184" s="455">
        <f t="shared" ca="1" si="3"/>
        <v>1638202.277747151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1638202.277747151</v>
      </c>
      <c r="J185" s="455">
        <f t="array" ref="J185">IFERROR(INDEX('Retirement Calculator'!J:J,MATCH('Isaac 401k'!N185,'Retirement Calculator'!A:A,0),0),0)</f>
        <v>7863.2184191855868</v>
      </c>
      <c r="K185" s="455">
        <f t="shared" ca="1" si="2"/>
        <v>6793.0794138665224</v>
      </c>
      <c r="L185" s="455">
        <f t="shared" ca="1" si="3"/>
        <v>1637132.138741832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1637132.138741832</v>
      </c>
      <c r="J186" s="455">
        <f t="array" ref="J186">IFERROR(INDEX('Retirement Calculator'!J:J,MATCH('Isaac 401k'!N186,'Retirement Calculator'!A:A,0),0),0)</f>
        <v>7863.2184191855868</v>
      </c>
      <c r="K186" s="455">
        <f t="shared" ca="1" si="2"/>
        <v>6788.6205013443596</v>
      </c>
      <c r="L186" s="455">
        <f t="shared" ca="1" si="3"/>
        <v>1636057.5408239907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1636057.5408239907</v>
      </c>
      <c r="J187" s="455">
        <f t="array" ref="J187">IFERROR(INDEX('Retirement Calculator'!J:J,MATCH('Isaac 401k'!N187,'Retirement Calculator'!A:A,0),0),0)</f>
        <v>7863.2184191855868</v>
      </c>
      <c r="K187" s="455">
        <f t="shared" ca="1" si="2"/>
        <v>6784.1430100200214</v>
      </c>
      <c r="L187" s="455">
        <f t="shared" ca="1" si="3"/>
        <v>1634978.4654148251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1634978.4654148251</v>
      </c>
      <c r="J188" s="455">
        <f t="array" ref="J188">IFERROR(INDEX('Retirement Calculator'!J:J,MATCH('Isaac 401k'!N188,'Retirement Calculator'!A:A,0),0),0)</f>
        <v>7863.2184191855868</v>
      </c>
      <c r="K188" s="455">
        <f t="shared" ca="1" si="2"/>
        <v>6779.6468624818308</v>
      </c>
      <c r="L188" s="455">
        <f t="shared" ca="1" si="3"/>
        <v>1633894.8938581212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1633894.8938581212</v>
      </c>
      <c r="J189" s="455">
        <f t="array" ref="J189">IFERROR(INDEX('Retirement Calculator'!J:J,MATCH('Isaac 401k'!N189,'Retirement Calculator'!A:A,0),0),0)</f>
        <v>7863.2184191855868</v>
      </c>
      <c r="K189" s="455">
        <f t="shared" ca="1" si="2"/>
        <v>6775.1319809955648</v>
      </c>
      <c r="L189" s="455">
        <f t="shared" ca="1" si="3"/>
        <v>1632806.8074199313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1632806.8074199313</v>
      </c>
      <c r="J190" s="455">
        <f t="array" ref="J190">IFERROR(INDEX('Retirement Calculator'!J:J,MATCH('Isaac 401k'!N190,'Retirement Calculator'!A:A,0),0),0)</f>
        <v>7863.2184191855868</v>
      </c>
      <c r="K190" s="455">
        <f t="shared" ca="1" si="2"/>
        <v>6770.5982875031068</v>
      </c>
      <c r="L190" s="455">
        <f t="shared" ca="1" si="3"/>
        <v>1631714.1872882487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1631714.1872882487</v>
      </c>
      <c r="J191" s="455">
        <f t="array" ref="J191">IFERROR(INDEX('Retirement Calculator'!J:J,MATCH('Isaac 401k'!N191,'Retirement Calculator'!A:A,0),0),0)</f>
        <v>7863.2184191855868</v>
      </c>
      <c r="K191" s="455">
        <f t="shared" ca="1" si="2"/>
        <v>6766.0457036210964</v>
      </c>
      <c r="L191" s="455">
        <f t="shared" ca="1" si="3"/>
        <v>1630617.0145726842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1630617.0145726842</v>
      </c>
      <c r="J192" s="455">
        <f t="array" ref="J192">IFERROR(INDEX('Retirement Calculator'!J:J,MATCH('Isaac 401k'!N192,'Retirement Calculator'!A:A,0),0),0)</f>
        <v>7863.2184191855868</v>
      </c>
      <c r="K192" s="455">
        <f t="shared" ca="1" si="2"/>
        <v>6761.4741506395776</v>
      </c>
      <c r="L192" s="455">
        <f t="shared" ca="1" si="3"/>
        <v>1629515.2703041381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1629515.2703041381</v>
      </c>
      <c r="J193" s="455">
        <f t="array" ref="J193">IFERROR(INDEX('Retirement Calculator'!J:J,MATCH('Isaac 401k'!N193,'Retirement Calculator'!A:A,0),0),0)</f>
        <v>7863.2184191855868</v>
      </c>
      <c r="K193" s="455">
        <f t="shared" ca="1" si="2"/>
        <v>6756.8835495206349</v>
      </c>
      <c r="L193" s="455">
        <f t="shared" ca="1" si="3"/>
        <v>1628408.9354344732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1628408.9354344732</v>
      </c>
      <c r="J194" s="455">
        <f t="array" ref="J194">IFERROR(INDEX('Retirement Calculator'!J:J,MATCH('Isaac 401k'!N194,'Retirement Calculator'!A:A,0),0),0)</f>
        <v>7863.2184191855868</v>
      </c>
      <c r="K194" s="455">
        <f t="shared" ca="1" si="2"/>
        <v>6752.2738208970313</v>
      </c>
      <c r="L194" s="455">
        <f t="shared" ca="1" si="3"/>
        <v>1627297.9908361847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1627297.9908361847</v>
      </c>
      <c r="J195" s="455">
        <f t="array" ref="J195">IFERROR(INDEX('Retirement Calculator'!J:J,MATCH('Isaac 401k'!N195,'Retirement Calculator'!A:A,0),0),0)</f>
        <v>7863.2184191855868</v>
      </c>
      <c r="K195" s="455">
        <f t="shared" ca="1" si="2"/>
        <v>6747.6448850708293</v>
      </c>
      <c r="L195" s="455">
        <f t="shared" ca="1" si="3"/>
        <v>1626182.41730207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1626182.41730207</v>
      </c>
      <c r="J196" s="455">
        <f t="array" ref="J196">IFERROR(INDEX('Retirement Calculator'!J:J,MATCH('Isaac 401k'!N196,'Retirement Calculator'!A:A,0),0),0)</f>
        <v>7863.2184191855868</v>
      </c>
      <c r="K196" s="455">
        <f t="shared" ca="1" si="2"/>
        <v>6742.9966620120176</v>
      </c>
      <c r="L196" s="455">
        <f t="shared" ca="1" si="3"/>
        <v>1625062.1955448964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1625062.1955448964</v>
      </c>
      <c r="J197" s="455">
        <f t="array" ref="J197">IFERROR(INDEX('Retirement Calculator'!J:J,MATCH('Isaac 401k'!N197,'Retirement Calculator'!A:A,0),0),0)</f>
        <v>7863.2184191855868</v>
      </c>
      <c r="K197" s="455">
        <f t="shared" ca="1" si="2"/>
        <v>6738.3290713571287</v>
      </c>
      <c r="L197" s="455">
        <f t="shared" ca="1" si="3"/>
        <v>1623937.306197068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1623937.306197068</v>
      </c>
      <c r="J198" s="455">
        <f t="array" ref="J198">IFERROR(INDEX('Retirement Calculator'!J:J,MATCH('Isaac 401k'!N198,'Retirement Calculator'!A:A,0),0),0)</f>
        <v>7863.2184191855868</v>
      </c>
      <c r="K198" s="455">
        <f t="shared" ca="1" si="2"/>
        <v>6733.6420324078426</v>
      </c>
      <c r="L198" s="455">
        <f t="shared" ca="1" si="3"/>
        <v>1622807.7298102903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1622807.7298102903</v>
      </c>
      <c r="J199" s="455">
        <f t="array" ref="J199">IFERROR(INDEX('Retirement Calculator'!J:J,MATCH('Isaac 401k'!N199,'Retirement Calculator'!A:A,0),0),0)</f>
        <v>7863.2184191855868</v>
      </c>
      <c r="K199" s="455">
        <f t="shared" ca="1" si="2"/>
        <v>6728.9354641296022</v>
      </c>
      <c r="L199" s="455">
        <f t="shared" ca="1" si="3"/>
        <v>1621673.4468552342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1621673.4468552342</v>
      </c>
      <c r="J200" s="455">
        <f t="array" ref="J200">IFERROR(INDEX('Retirement Calculator'!J:J,MATCH('Isaac 401k'!N200,'Retirement Calculator'!A:A,0),0),0)</f>
        <v>7863.2184191855868</v>
      </c>
      <c r="K200" s="455">
        <f t="shared" ca="1" si="2"/>
        <v>6724.209285150202</v>
      </c>
      <c r="L200" s="455">
        <f t="shared" ca="1" si="3"/>
        <v>1620534.4377211989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1620534.4377211989</v>
      </c>
      <c r="J201" s="455">
        <f t="array" ref="J201">IFERROR(INDEX('Retirement Calculator'!J:J,MATCH('Isaac 401k'!N201,'Retirement Calculator'!A:A,0),0),0)</f>
        <v>7863.2184191855868</v>
      </c>
      <c r="K201" s="455">
        <f t="shared" ca="1" si="2"/>
        <v>6719.4634137583889</v>
      </c>
      <c r="L201" s="455">
        <f t="shared" ca="1" si="3"/>
        <v>1619390.6827157717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1619390.6827157717</v>
      </c>
      <c r="J202" s="455">
        <f t="array" ref="J202">IFERROR(INDEX('Retirement Calculator'!J:J,MATCH('Isaac 401k'!N202,'Retirement Calculator'!A:A,0),0),0)</f>
        <v>7863.2184191855868</v>
      </c>
      <c r="K202" s="455">
        <f t="shared" ca="1" si="2"/>
        <v>6714.6977679024421</v>
      </c>
      <c r="L202" s="455">
        <f t="shared" ca="1" si="3"/>
        <v>1618242.1620644885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1618242.1620644885</v>
      </c>
      <c r="J203" s="455">
        <f t="array" ref="J203">IFERROR(INDEX('Retirement Calculator'!J:J,MATCH('Isaac 401k'!N203,'Retirement Calculator'!A:A,0),0),0)</f>
        <v>7863.2184191855868</v>
      </c>
      <c r="K203" s="455">
        <f t="shared" ca="1" si="2"/>
        <v>6709.9122651887619</v>
      </c>
      <c r="L203" s="455">
        <f t="shared" ca="1" si="3"/>
        <v>1617088.8559104917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1617088.8559104917</v>
      </c>
      <c r="J204" s="455">
        <f t="array" ref="J204">IFERROR(INDEX('Retirement Calculator'!J:J,MATCH('Isaac 401k'!N204,'Retirement Calculator'!A:A,0),0),0)</f>
        <v>7863.2184191855868</v>
      </c>
      <c r="K204" s="455">
        <f t="shared" ca="1" si="2"/>
        <v>6705.1068228804415</v>
      </c>
      <c r="L204" s="455">
        <f t="shared" ca="1" si="3"/>
        <v>1615930.7443141865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1615930.7443141865</v>
      </c>
      <c r="J205" s="455">
        <f t="array" ref="J205">IFERROR(INDEX('Retirement Calculator'!J:J,MATCH('Isaac 401k'!N205,'Retirement Calculator'!A:A,0),0),0)</f>
        <v>7863.2184191855868</v>
      </c>
      <c r="K205" s="455">
        <f t="shared" ca="1" si="2"/>
        <v>6700.2813578958367</v>
      </c>
      <c r="L205" s="455">
        <f t="shared" ca="1" si="3"/>
        <v>1614767.8072528967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1614767.8072528967</v>
      </c>
      <c r="J206" s="455">
        <f t="array" ref="J206">IFERROR(INDEX('Retirement Calculator'!J:J,MATCH('Isaac 401k'!N206,'Retirement Calculator'!A:A,0),0),0)</f>
        <v>7863.2184191855868</v>
      </c>
      <c r="K206" s="455">
        <f t="shared" ca="1" si="2"/>
        <v>6695.4357868071293</v>
      </c>
      <c r="L206" s="455">
        <f t="shared" ca="1" si="3"/>
        <v>1613600.0246205183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1613600.0246205183</v>
      </c>
      <c r="J207" s="455">
        <f t="array" ref="J207">IFERROR(INDEX('Retirement Calculator'!J:J,MATCH('Isaac 401k'!N207,'Retirement Calculator'!A:A,0),0),0)</f>
        <v>7863.2184191855868</v>
      </c>
      <c r="K207" s="455">
        <f t="shared" ca="1" si="2"/>
        <v>6690.5700258388861</v>
      </c>
      <c r="L207" s="455">
        <f t="shared" ca="1" si="3"/>
        <v>1612427.3762271716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1612427.3762271716</v>
      </c>
      <c r="J208" s="455">
        <f t="array" ref="J208">IFERROR(INDEX('Retirement Calculator'!J:J,MATCH('Isaac 401k'!N208,'Retirement Calculator'!A:A,0),0),0)</f>
        <v>7863.2184191855868</v>
      </c>
      <c r="K208" s="455">
        <f t="shared" ca="1" si="2"/>
        <v>6685.6839908666079</v>
      </c>
      <c r="L208" s="455">
        <f t="shared" ca="1" si="3"/>
        <v>1611249.8417988527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1611249.8417988527</v>
      </c>
      <c r="J209" s="455">
        <f t="array" ref="J209">IFERROR(INDEX('Retirement Calculator'!J:J,MATCH('Isaac 401k'!N209,'Retirement Calculator'!A:A,0),0),0)</f>
        <v>7863.2184191855868</v>
      </c>
      <c r="K209" s="455">
        <f t="shared" ca="1" si="2"/>
        <v>6680.7775974152792</v>
      </c>
      <c r="L209" s="455">
        <f t="shared" ca="1" si="3"/>
        <v>1610067.4009770823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1610067.4009770823</v>
      </c>
      <c r="J210" s="455">
        <f t="array" ref="J210">IFERROR(INDEX('Retirement Calculator'!J:J,MATCH('Isaac 401k'!N210,'Retirement Calculator'!A:A,0),0),0)</f>
        <v>7863.2184191855868</v>
      </c>
      <c r="K210" s="455">
        <f t="shared" ca="1" si="2"/>
        <v>6675.8507606579033</v>
      </c>
      <c r="L210" s="455">
        <f t="shared" ca="1" si="3"/>
        <v>1608880.0333185545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1608880.0333185545</v>
      </c>
      <c r="J211" s="455">
        <f t="array" ref="J211">IFERROR(INDEX('Retirement Calculator'!J:J,MATCH('Isaac 401k'!N211,'Retirement Calculator'!A:A,0),0),0)</f>
        <v>7863.2184191855868</v>
      </c>
      <c r="K211" s="455">
        <f t="shared" ca="1" si="2"/>
        <v>6670.9033954140368</v>
      </c>
      <c r="L211" s="455">
        <f t="shared" ca="1" si="3"/>
        <v>1607687.718294783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1607687.718294783</v>
      </c>
      <c r="J212" s="455">
        <f t="array" ref="J212">IFERROR(INDEX('Retirement Calculator'!J:J,MATCH('Isaac 401k'!N212,'Retirement Calculator'!A:A,0),0),0)</f>
        <v>7863.2184191855868</v>
      </c>
      <c r="K212" s="455">
        <f t="shared" ca="1" si="2"/>
        <v>6665.9354161483225</v>
      </c>
      <c r="L212" s="455">
        <f t="shared" ca="1" si="3"/>
        <v>1606490.4352917457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1606490.4352917457</v>
      </c>
      <c r="J213" s="455">
        <f t="array" ref="J213">IFERROR(INDEX('Retirement Calculator'!J:J,MATCH('Isaac 401k'!N213,'Retirement Calculator'!A:A,0),0),0)</f>
        <v>7863.2184191855868</v>
      </c>
      <c r="K213" s="455">
        <f t="shared" ca="1" si="2"/>
        <v>6660.9467369690001</v>
      </c>
      <c r="L213" s="455">
        <f t="shared" ca="1" si="3"/>
        <v>1605288.1636095291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1605288.1636095291</v>
      </c>
      <c r="J214" s="455">
        <f t="array" ref="J214">IFERROR(INDEX('Retirement Calculator'!J:J,MATCH('Isaac 401k'!N214,'Retirement Calculator'!A:A,0),0),0)</f>
        <v>7863.2184191855868</v>
      </c>
      <c r="K214" s="455">
        <f t="shared" ca="1" si="2"/>
        <v>6655.9372716264315</v>
      </c>
      <c r="L214" s="455">
        <f t="shared" ca="1" si="3"/>
        <v>1604080.88246197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1604080.88246197</v>
      </c>
      <c r="J215" s="455">
        <f t="array" ref="J215">IFERROR(INDEX('Retirement Calculator'!J:J,MATCH('Isaac 401k'!N215,'Retirement Calculator'!A:A,0),0),0)</f>
        <v>7863.2184191855868</v>
      </c>
      <c r="K215" s="455">
        <f t="shared" ca="1" si="2"/>
        <v>6650.906933511601</v>
      </c>
      <c r="L215" s="455">
        <f t="shared" ca="1" si="3"/>
        <v>1602868.570976296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1602868.570976296</v>
      </c>
      <c r="J216" s="455">
        <f t="array" ref="J216">IFERROR(INDEX('Retirement Calculator'!J:J,MATCH('Isaac 401k'!N216,'Retirement Calculator'!A:A,0),0),0)</f>
        <v>7863.2184191855868</v>
      </c>
      <c r="K216" s="455">
        <f t="shared" ca="1" si="2"/>
        <v>6645.855635654626</v>
      </c>
      <c r="L216" s="455">
        <f t="shared" ca="1" si="3"/>
        <v>1601651.208192765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1601651.208192765</v>
      </c>
      <c r="J217" s="455">
        <f t="array" ref="J217">IFERROR(INDEX('Retirement Calculator'!J:J,MATCH('Isaac 401k'!N217,'Retirement Calculator'!A:A,0),0),0)</f>
        <v>7863.2184191855868</v>
      </c>
      <c r="K217" s="455">
        <f t="shared" ca="1" si="2"/>
        <v>6640.7832907232478</v>
      </c>
      <c r="L217" s="455">
        <f t="shared" ca="1" si="3"/>
        <v>1600428.7730643027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1600428.7730643027</v>
      </c>
      <c r="J218" s="455">
        <f t="array" ref="J218">IFERROR(INDEX('Retirement Calculator'!J:J,MATCH('Isaac 401k'!N218,'Retirement Calculator'!A:A,0),0),0)</f>
        <v>7863.2184191855868</v>
      </c>
      <c r="K218" s="455">
        <f t="shared" ca="1" si="2"/>
        <v>6635.6898110213215</v>
      </c>
      <c r="L218" s="455">
        <f t="shared" ca="1" si="3"/>
        <v>1599201.2444561385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1599201.2444561385</v>
      </c>
      <c r="J219" s="455">
        <f t="array" ref="J219">IFERROR(INDEX('Retirement Calculator'!J:J,MATCH('Isaac 401k'!N219,'Retirement Calculator'!A:A,0),0),0)</f>
        <v>7863.2184191855868</v>
      </c>
      <c r="K219" s="455">
        <f t="shared" ca="1" si="2"/>
        <v>6630.5751084873036</v>
      </c>
      <c r="L219" s="455">
        <f t="shared" ca="1" si="3"/>
        <v>1597968.6011454402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1597968.6011454402</v>
      </c>
      <c r="J220" s="455">
        <f t="array" ref="J220">IFERROR(INDEX('Retirement Calculator'!J:J,MATCH('Isaac 401k'!N220,'Retirement Calculator'!A:A,0),0),0)</f>
        <v>7863.2184191855868</v>
      </c>
      <c r="K220" s="455">
        <f t="shared" ca="1" si="2"/>
        <v>6625.4390946927278</v>
      </c>
      <c r="L220" s="455">
        <f t="shared" ca="1" si="3"/>
        <v>1596730.8218209473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1596730.8218209473</v>
      </c>
      <c r="J221" s="455">
        <f t="array" ref="J221">IFERROR(INDEX('Retirement Calculator'!J:J,MATCH('Isaac 401k'!N221,'Retirement Calculator'!A:A,0),0),0)</f>
        <v>7863.2184191855868</v>
      </c>
      <c r="K221" s="455">
        <f t="shared" ca="1" si="2"/>
        <v>6620.2816808406742</v>
      </c>
      <c r="L221" s="455">
        <f t="shared" ca="1" si="3"/>
        <v>1595487.8850826025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1595487.8850826025</v>
      </c>
      <c r="J222" s="455">
        <f t="array" ref="J222">IFERROR(INDEX('Retirement Calculator'!J:J,MATCH('Isaac 401k'!N222,'Retirement Calculator'!A:A,0),0),0)</f>
        <v>7863.2184191855868</v>
      </c>
      <c r="K222" s="455">
        <f t="shared" ca="1" si="2"/>
        <v>6615.1027777642366</v>
      </c>
      <c r="L222" s="455">
        <f t="shared" ca="1" si="3"/>
        <v>1594239.7694411811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1594239.7694411811</v>
      </c>
      <c r="J223" s="455">
        <f t="array" ref="J223">IFERROR(INDEX('Retirement Calculator'!J:J,MATCH('Isaac 401k'!N223,'Retirement Calculator'!A:A,0),0),0)</f>
        <v>7863.2184191855868</v>
      </c>
      <c r="K223" s="455">
        <f t="shared" ca="1" si="2"/>
        <v>6609.9022959249814</v>
      </c>
      <c r="L223" s="455">
        <f t="shared" ca="1" si="3"/>
        <v>1592986.4533179204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1592986.4533179204</v>
      </c>
      <c r="J224" s="455">
        <f t="array" ref="J224">IFERROR(INDEX('Retirement Calculator'!J:J,MATCH('Isaac 401k'!N224,'Retirement Calculator'!A:A,0),0),0)</f>
        <v>7863.2184191855868</v>
      </c>
      <c r="K224" s="455">
        <f t="shared" ca="1" si="2"/>
        <v>6604.6801454113947</v>
      </c>
      <c r="L224" s="455">
        <f t="shared" ca="1" si="3"/>
        <v>1591727.9150441461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1591727.9150441461</v>
      </c>
      <c r="J225" s="455">
        <f t="array" ref="J225">IFERROR(INDEX('Retirement Calculator'!J:J,MATCH('Isaac 401k'!N225,'Retirement Calculator'!A:A,0),0),0)</f>
        <v>7863.2184191855868</v>
      </c>
      <c r="K225" s="455">
        <f t="shared" ca="1" si="2"/>
        <v>6599.4362359373354</v>
      </c>
      <c r="L225" s="455">
        <f t="shared" ca="1" si="3"/>
        <v>1590464.1328608978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1590464.1328608978</v>
      </c>
      <c r="J226" s="455">
        <f t="array" ref="J226">IFERROR(INDEX('Retirement Calculator'!J:J,MATCH('Isaac 401k'!N226,'Retirement Calculator'!A:A,0),0),0)</f>
        <v>7863.2184191855868</v>
      </c>
      <c r="K226" s="455">
        <f t="shared" ca="1" si="2"/>
        <v>6594.170476840467</v>
      </c>
      <c r="L226" s="455">
        <f t="shared" ca="1" si="3"/>
        <v>1589195.0849185528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1589195.0849185528</v>
      </c>
      <c r="J227" s="455">
        <f t="array" ref="J227">IFERROR(INDEX('Retirement Calculator'!J:J,MATCH('Isaac 401k'!N227,'Retirement Calculator'!A:A,0),0),0)</f>
        <v>7863.2184191855868</v>
      </c>
      <c r="K227" s="455">
        <f t="shared" ca="1" si="2"/>
        <v>6588.8827770806965</v>
      </c>
      <c r="L227" s="455">
        <f t="shared" ca="1" si="3"/>
        <v>1587920.7492764478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1587920.7492764478</v>
      </c>
      <c r="J228" s="455">
        <f t="array" ref="J228">IFERROR(INDEX('Retirement Calculator'!J:J,MATCH('Isaac 401k'!N228,'Retirement Calculator'!A:A,0),0),0)</f>
        <v>7863.2184191855868</v>
      </c>
      <c r="K228" s="455">
        <f t="shared" ca="1" si="2"/>
        <v>6583.5730452385924</v>
      </c>
      <c r="L228" s="455">
        <f t="shared" ca="1" si="3"/>
        <v>1586641.1039025008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1586641.1039025008</v>
      </c>
      <c r="J229" s="455">
        <f t="array" ref="J229">IFERROR(INDEX('Retirement Calculator'!J:J,MATCH('Isaac 401k'!N229,'Retirement Calculator'!A:A,0),0),0)</f>
        <v>7863.2184191855868</v>
      </c>
      <c r="K229" s="455">
        <f t="shared" ca="1" si="2"/>
        <v>6578.241189513813</v>
      </c>
      <c r="L229" s="455">
        <f t="shared" ca="1" si="3"/>
        <v>1585356.126672829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1585356.126672829</v>
      </c>
      <c r="J230" s="455">
        <f t="array" ref="J230">IFERROR(INDEX('Retirement Calculator'!J:J,MATCH('Isaac 401k'!N230,'Retirement Calculator'!A:A,0),0),0)</f>
        <v>7863.2184191855868</v>
      </c>
      <c r="K230" s="455">
        <f t="shared" ca="1" si="2"/>
        <v>6572.8871177235142</v>
      </c>
      <c r="L230" s="455">
        <f t="shared" ca="1" si="3"/>
        <v>1584065.7953713669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1584065.7953713669</v>
      </c>
      <c r="J231" s="455">
        <f t="array" ref="J231">IFERROR(INDEX('Retirement Calculator'!J:J,MATCH('Isaac 401k'!N231,'Retirement Calculator'!A:A,0),0),0)</f>
        <v>7863.2184191855868</v>
      </c>
      <c r="K231" s="455">
        <f t="shared" ca="1" si="2"/>
        <v>6567.510737300755</v>
      </c>
      <c r="L231" s="455">
        <f t="shared" ca="1" si="3"/>
        <v>1582770.0876894821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1582770.0876894821</v>
      </c>
      <c r="J232" s="455">
        <f t="array" ref="J232">IFERROR(INDEX('Retirement Calculator'!J:J,MATCH('Isaac 401k'!N232,'Retirement Calculator'!A:A,0),0),0)</f>
        <v>7863.2184191855868</v>
      </c>
      <c r="K232" s="455">
        <f t="shared" ca="1" si="2"/>
        <v>6562.1119552929022</v>
      </c>
      <c r="L232" s="455">
        <f t="shared" ca="1" si="3"/>
        <v>1581468.9812255895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1581468.9812255895</v>
      </c>
      <c r="J233" s="455">
        <f t="array" ref="J233">IFERROR(INDEX('Retirement Calculator'!J:J,MATCH('Isaac 401k'!N233,'Retirement Calculator'!A:A,0),0),0)</f>
        <v>7863.2184191855868</v>
      </c>
      <c r="K233" s="455">
        <f t="shared" ca="1" si="2"/>
        <v>6556.6906783600161</v>
      </c>
      <c r="L233" s="455">
        <f t="shared" ca="1" si="3"/>
        <v>1580162.4534847639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1580162.4534847639</v>
      </c>
      <c r="J234" s="455">
        <f t="array" ref="J234">IFERROR(INDEX('Retirement Calculator'!J:J,MATCH('Isaac 401k'!N234,'Retirement Calculator'!A:A,0),0),0)</f>
        <v>7863.2184191855868</v>
      </c>
      <c r="K234" s="455">
        <f t="shared" ca="1" si="2"/>
        <v>6551.2468127732427</v>
      </c>
      <c r="L234" s="455">
        <f t="shared" ca="1" si="3"/>
        <v>1578850.4818783514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1578850.4818783514</v>
      </c>
      <c r="J235" s="455">
        <f t="array" ref="J235">IFERROR(INDEX('Retirement Calculator'!J:J,MATCH('Isaac 401k'!N235,'Retirement Calculator'!A:A,0),0),0)</f>
        <v>7863.2184191855868</v>
      </c>
      <c r="K235" s="455">
        <f t="shared" ca="1" si="2"/>
        <v>6545.7802644131907</v>
      </c>
      <c r="L235" s="455">
        <f t="shared" ca="1" si="3"/>
        <v>1577533.043723579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1577533.043723579</v>
      </c>
      <c r="J236" s="455">
        <f t="array" ref="J236">IFERROR(INDEX('Retirement Calculator'!J:J,MATCH('Isaac 401k'!N236,'Retirement Calculator'!A:A,0),0),0)</f>
        <v>7863.2184191855868</v>
      </c>
      <c r="K236" s="455">
        <f t="shared" ca="1" si="2"/>
        <v>6540.2909387683058</v>
      </c>
      <c r="L236" s="455">
        <f t="shared" ca="1" si="3"/>
        <v>1576210.1162431617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1576210.1162431617</v>
      </c>
      <c r="J237" s="455">
        <f t="array" ref="J237">IFERROR(INDEX('Retirement Calculator'!J:J,MATCH('Isaac 401k'!N237,'Retirement Calculator'!A:A,0),0),0)</f>
        <v>7863.2184191855868</v>
      </c>
      <c r="K237" s="455">
        <f t="shared" ca="1" si="2"/>
        <v>6534.7787409332341</v>
      </c>
      <c r="L237" s="455">
        <f t="shared" ca="1" si="3"/>
        <v>1574881.6765649093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1574881.6765649093</v>
      </c>
      <c r="J238" s="455">
        <f t="array" ref="J238">IFERROR(INDEX('Retirement Calculator'!J:J,MATCH('Isaac 401k'!N238,'Retirement Calculator'!A:A,0),0),0)</f>
        <v>7863.2184191855868</v>
      </c>
      <c r="K238" s="455">
        <f t="shared" ca="1" si="2"/>
        <v>6529.2435756071818</v>
      </c>
      <c r="L238" s="455">
        <f t="shared" ca="1" si="3"/>
        <v>1573547.7017213309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1573547.7017213309</v>
      </c>
      <c r="J239" s="455">
        <f t="array" ref="J239">IFERROR(INDEX('Retirement Calculator'!J:J,MATCH('Isaac 401k'!N239,'Retirement Calculator'!A:A,0),0),0)</f>
        <v>7863.2184191855868</v>
      </c>
      <c r="K239" s="455">
        <f t="shared" ca="1" si="2"/>
        <v>6523.6853470922715</v>
      </c>
      <c r="L239" s="455">
        <f t="shared" ca="1" si="3"/>
        <v>1572208.1686492376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1572208.1686492376</v>
      </c>
      <c r="J240" s="455">
        <f t="array" ref="J240">IFERROR(INDEX('Retirement Calculator'!J:J,MATCH('Isaac 401k'!N240,'Retirement Calculator'!A:A,0),0),0)</f>
        <v>7863.2184191855868</v>
      </c>
      <c r="K240" s="455">
        <f t="shared" ca="1" si="2"/>
        <v>6518.1039592918833</v>
      </c>
      <c r="L240" s="455">
        <f t="shared" ca="1" si="3"/>
        <v>1570863.0541893439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1570863.0541893439</v>
      </c>
      <c r="J241" s="455">
        <f t="array" ref="J241">IFERROR(INDEX('Retirement Calculator'!J:J,MATCH('Isaac 401k'!N241,'Retirement Calculator'!A:A,0),0),0)</f>
        <v>7863.2184191855868</v>
      </c>
      <c r="K241" s="455">
        <f t="shared" ca="1" si="2"/>
        <v>6512.499315708993</v>
      </c>
      <c r="L241" s="455">
        <f t="shared" ca="1" si="3"/>
        <v>1569512.3350858674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1569512.3350858674</v>
      </c>
      <c r="J242" s="455">
        <f t="array" ref="J242">IFERROR(INDEX('Retirement Calculator'!J:J,MATCH('Isaac 401k'!N242,'Retirement Calculator'!A:A,0),0),0)</f>
        <v>7863.2184191855868</v>
      </c>
      <c r="K242" s="455">
        <f t="shared" ca="1" si="2"/>
        <v>6506.8713194445072</v>
      </c>
      <c r="L242" s="455">
        <f t="shared" ca="1" si="3"/>
        <v>1568155.9879861264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1568155.9879861264</v>
      </c>
      <c r="J243" s="455">
        <f t="array" ref="J243">IFERROR(INDEX('Retirement Calculator'!J:J,MATCH('Isaac 401k'!N243,'Retirement Calculator'!A:A,0),0),0)</f>
        <v>7863.2184191855868</v>
      </c>
      <c r="K243" s="455">
        <f t="shared" ca="1" si="2"/>
        <v>6501.2198731955868</v>
      </c>
      <c r="L243" s="455">
        <f t="shared" ca="1" si="3"/>
        <v>1566793.9894401364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1566793.9894401364</v>
      </c>
      <c r="J244" s="455">
        <f t="array" ref="J244">IFERROR(INDEX('Retirement Calculator'!J:J,MATCH('Isaac 401k'!N244,'Retirement Calculator'!A:A,0),0),0)</f>
        <v>7863.2184191855868</v>
      </c>
      <c r="K244" s="455">
        <f t="shared" ca="1" si="2"/>
        <v>6495.544879253961</v>
      </c>
      <c r="L244" s="455">
        <f t="shared" ca="1" si="3"/>
        <v>1565426.3159002047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1565426.3159002047</v>
      </c>
      <c r="J245" s="455">
        <f t="array" ref="J245">IFERROR(INDEX('Retirement Calculator'!J:J,MATCH('Isaac 401k'!N245,'Retirement Calculator'!A:A,0),0),0)</f>
        <v>7863.2184191855868</v>
      </c>
      <c r="K245" s="455">
        <f t="shared" ca="1" si="2"/>
        <v>6489.8462395042461</v>
      </c>
      <c r="L245" s="455">
        <f t="shared" ca="1" si="3"/>
        <v>1564052.9437205233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1564052.9437205233</v>
      </c>
      <c r="J246" s="455">
        <f t="array" ref="J246">IFERROR(INDEX('Retirement Calculator'!J:J,MATCH('Isaac 401k'!N246,'Retirement Calculator'!A:A,0),0),0)</f>
        <v>7863.2184191855868</v>
      </c>
      <c r="K246" s="455">
        <f t="shared" ca="1" si="2"/>
        <v>6484.12385542224</v>
      </c>
      <c r="L246" s="455">
        <f t="shared" ca="1" si="3"/>
        <v>1562673.8491567599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1562673.8491567599</v>
      </c>
      <c r="J247" s="455">
        <f t="array" ref="J247">IFERROR(INDEX('Retirement Calculator'!J:J,MATCH('Isaac 401k'!N247,'Retirement Calculator'!A:A,0),0),0)</f>
        <v>7863.2184191855868</v>
      </c>
      <c r="K247" s="455">
        <f t="shared" ca="1" si="2"/>
        <v>6478.3776280732263</v>
      </c>
      <c r="L247" s="455">
        <f t="shared" ca="1" si="3"/>
        <v>1561289.0083656476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1561289.0083656476</v>
      </c>
      <c r="J248" s="455">
        <f t="array" ref="J248">IFERROR(INDEX('Retirement Calculator'!J:J,MATCH('Isaac 401k'!N248,'Retirement Calculator'!A:A,0),0),0)</f>
        <v>7863.2184191855868</v>
      </c>
      <c r="K248" s="455">
        <f t="shared" ca="1" si="2"/>
        <v>6472.6074581102584</v>
      </c>
      <c r="L248" s="455">
        <f t="shared" ca="1" si="3"/>
        <v>1559898.3974045722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1559898.3974045722</v>
      </c>
      <c r="J249" s="455">
        <f t="array" ref="J249">IFERROR(INDEX('Retirement Calculator'!J:J,MATCH('Isaac 401k'!N249,'Retirement Calculator'!A:A,0),0),0)</f>
        <v>7863.2184191855868</v>
      </c>
      <c r="K249" s="455">
        <f t="shared" ca="1" si="2"/>
        <v>6466.8132457724441</v>
      </c>
      <c r="L249" s="455">
        <f t="shared" ca="1" si="3"/>
        <v>1558501.992231159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1558501.992231159</v>
      </c>
      <c r="J250" s="455">
        <f t="array" ref="J250">IFERROR(INDEX('Retirement Calculator'!J:J,MATCH('Isaac 401k'!N250,'Retirement Calculator'!A:A,0),0),0)</f>
        <v>7863.2184191855868</v>
      </c>
      <c r="K250" s="455">
        <f t="shared" ca="1" si="2"/>
        <v>6460.9948908832221</v>
      </c>
      <c r="L250" s="455">
        <f t="shared" ca="1" si="3"/>
        <v>1557099.7687028567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1557099.7687028567</v>
      </c>
      <c r="J251" s="455">
        <f t="array" ref="J251">IFERROR(INDEX('Retirement Calculator'!J:J,MATCH('Isaac 401k'!N251,'Retirement Calculator'!A:A,0),0),0)</f>
        <v>7863.2184191855868</v>
      </c>
      <c r="K251" s="455">
        <f t="shared" ca="1" si="2"/>
        <v>6455.1522928486293</v>
      </c>
      <c r="L251" s="455">
        <f t="shared" ca="1" si="3"/>
        <v>1555691.7025765197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1555691.7025765197</v>
      </c>
      <c r="J252" s="455">
        <f t="array" ref="J252">IFERROR(INDEX('Retirement Calculator'!J:J,MATCH('Isaac 401k'!N252,'Retirement Calculator'!A:A,0),0),0)</f>
        <v>7863.2184191855868</v>
      </c>
      <c r="K252" s="455">
        <f t="shared" ca="1" si="2"/>
        <v>6449.2853506555584</v>
      </c>
      <c r="L252" s="455">
        <f t="shared" ca="1" si="3"/>
        <v>1554277.7695079898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1554277.7695079898</v>
      </c>
      <c r="J253" s="455">
        <f t="array" ref="J253">IFERROR(INDEX('Retirement Calculator'!J:J,MATCH('Isaac 401k'!N253,'Retirement Calculator'!A:A,0),0),0)</f>
        <v>7863.2184191855868</v>
      </c>
      <c r="K253" s="455">
        <f t="shared" ca="1" si="2"/>
        <v>6443.3939628700173</v>
      </c>
      <c r="L253" s="455">
        <f t="shared" ca="1" si="3"/>
        <v>1552857.9450516743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1552857.9450516743</v>
      </c>
      <c r="J254" s="455">
        <f t="array" ref="J254">IFERROR(INDEX('Retirement Calculator'!J:J,MATCH('Isaac 401k'!N254,'Retirement Calculator'!A:A,0),0),0)</f>
        <v>7863.2184191855868</v>
      </c>
      <c r="K254" s="455">
        <f t="shared" ca="1" si="2"/>
        <v>6437.4780276353695</v>
      </c>
      <c r="L254" s="455">
        <f t="shared" ca="1" si="3"/>
        <v>1551432.2046601239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1551432.2046601239</v>
      </c>
      <c r="J255" s="455">
        <f t="array" ref="J255">IFERROR(INDEX('Retirement Calculator'!J:J,MATCH('Isaac 401k'!N255,'Retirement Calculator'!A:A,0),0),0)</f>
        <v>7863.2184191855868</v>
      </c>
      <c r="K255" s="455">
        <f t="shared" ca="1" si="2"/>
        <v>6431.5374426705766</v>
      </c>
      <c r="L255" s="455">
        <f t="shared" ca="1" si="3"/>
        <v>1550000.523683609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1550000.523683609</v>
      </c>
      <c r="J256" s="455">
        <f t="array" ref="J256">IFERROR(INDEX('Retirement Calculator'!J:J,MATCH('Isaac 401k'!N256,'Retirement Calculator'!A:A,0),0),0)</f>
        <v>7863.2184191855868</v>
      </c>
      <c r="K256" s="455">
        <f t="shared" ca="1" si="2"/>
        <v>6425.5721052684303</v>
      </c>
      <c r="L256" s="455">
        <f t="shared" ca="1" si="3"/>
        <v>1548562.8773696919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1548562.8773696919</v>
      </c>
      <c r="J257" s="455">
        <f t="array" ref="J257">IFERROR(INDEX('Retirement Calculator'!J:J,MATCH('Isaac 401k'!N257,'Retirement Calculator'!A:A,0),0),0)</f>
        <v>7863.2184191855868</v>
      </c>
      <c r="K257" s="455">
        <f t="shared" ca="1" si="2"/>
        <v>6419.5819122937755</v>
      </c>
      <c r="L257" s="455">
        <f t="shared" ca="1" si="3"/>
        <v>1547119.2408628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1547119.2408628</v>
      </c>
      <c r="J258" s="455">
        <f t="array" ref="J258">IFERROR(INDEX('Retirement Calculator'!J:J,MATCH('Isaac 401k'!N258,'Retirement Calculator'!A:A,0),0),0)</f>
        <v>7863.2184191855868</v>
      </c>
      <c r="K258" s="455">
        <f t="shared" ca="1" si="2"/>
        <v>6413.5667601817267</v>
      </c>
      <c r="L258" s="455">
        <f t="shared" ca="1" si="3"/>
        <v>1545669.5892037961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1545669.5892037961</v>
      </c>
      <c r="J259" s="455">
        <f t="array" ref="J259">IFERROR(INDEX('Retirement Calculator'!J:J,MATCH('Isaac 401k'!N259,'Retirement Calculator'!A:A,0),0),0)</f>
        <v>7863.2184191855868</v>
      </c>
      <c r="K259" s="455">
        <f t="shared" ca="1" si="2"/>
        <v>6407.5265449358767</v>
      </c>
      <c r="L259" s="455">
        <f t="shared" ca="1" si="3"/>
        <v>1544213.8973295463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1544213.8973295463</v>
      </c>
      <c r="J260" s="455">
        <f t="array" ref="J260">IFERROR(INDEX('Retirement Calculator'!J:J,MATCH('Isaac 401k'!N260,'Retirement Calculator'!A:A,0),0),0)</f>
        <v>7863.2184191855868</v>
      </c>
      <c r="K260" s="455">
        <f t="shared" ca="1" si="2"/>
        <v>6401.461162126503</v>
      </c>
      <c r="L260" s="455">
        <f t="shared" ca="1" si="3"/>
        <v>1542752.1400724871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1542752.1400724871</v>
      </c>
      <c r="J261" s="455">
        <f t="array" ref="J261">IFERROR(INDEX('Retirement Calculator'!J:J,MATCH('Isaac 401k'!N261,'Retirement Calculator'!A:A,0),0),0)</f>
        <v>7863.2184191855868</v>
      </c>
      <c r="K261" s="455">
        <f t="shared" ca="1" si="2"/>
        <v>6395.3705068887557</v>
      </c>
      <c r="L261" s="455">
        <f t="shared" ca="1" si="3"/>
        <v>1541284.2921601902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1541284.2921601902</v>
      </c>
      <c r="J262" s="455">
        <f t="array" ref="J262">IFERROR(INDEX('Retirement Calculator'!J:J,MATCH('Isaac 401k'!N262,'Retirement Calculator'!A:A,0),0),0)</f>
        <v>7863.2184191855868</v>
      </c>
      <c r="K262" s="455">
        <f t="shared" ca="1" si="2"/>
        <v>6389.2544739208524</v>
      </c>
      <c r="L262" s="455">
        <f t="shared" ca="1" si="3"/>
        <v>1539810.3282149255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1539810.3282149255</v>
      </c>
      <c r="J263" s="455">
        <f t="array" ref="J263">IFERROR(INDEX('Retirement Calculator'!J:J,MATCH('Isaac 401k'!N263,'Retirement Calculator'!A:A,0),0),0)</f>
        <v>7863.2184191855868</v>
      </c>
      <c r="K263" s="455">
        <f t="shared" ref="K263:K517" ca="1" si="27">IPMT(M263/12,1,12,-I263+J263,,0)</f>
        <v>6383.1129574822498</v>
      </c>
      <c r="L263" s="455">
        <f t="shared" ref="L263:L517" ca="1" si="28">I263-J263+K263</f>
        <v>1538330.2227532221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1538330.2227532221</v>
      </c>
      <c r="J264" s="455">
        <f t="array" ref="J264">IFERROR(INDEX('Retirement Calculator'!J:J,MATCH('Isaac 401k'!N264,'Retirement Calculator'!A:A,0),0),0)</f>
        <v>7863.2184191855868</v>
      </c>
      <c r="K264" s="455">
        <f t="shared" ca="1" si="27"/>
        <v>6376.9458513918189</v>
      </c>
      <c r="L264" s="455">
        <f t="shared" ca="1" si="28"/>
        <v>1536843.9501854284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1536843.9501854284</v>
      </c>
      <c r="J265" s="455">
        <f t="array" ref="J265">IFERROR(INDEX('Retirement Calculator'!J:J,MATCH('Isaac 401k'!N265,'Retirement Calculator'!A:A,0),0),0)</f>
        <v>7863.2184191855868</v>
      </c>
      <c r="K265" s="455">
        <f t="shared" ca="1" si="27"/>
        <v>6370.7530490260115</v>
      </c>
      <c r="L265" s="455">
        <f t="shared" ca="1" si="28"/>
        <v>1535351.4848152688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1535351.4848152688</v>
      </c>
      <c r="J266" s="455">
        <f t="array" ref="J266">IFERROR(INDEX('Retirement Calculator'!J:J,MATCH('Isaac 401k'!N266,'Retirement Calculator'!A:A,0),0),0)</f>
        <v>7863.2184191855868</v>
      </c>
      <c r="K266" s="455">
        <f t="shared" ca="1" si="27"/>
        <v>6364.534443317013</v>
      </c>
      <c r="L266" s="455">
        <f t="shared" ca="1" si="28"/>
        <v>1533852.8008394002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1533852.8008394002</v>
      </c>
      <c r="J267" s="455">
        <f t="array" ref="J267">IFERROR(INDEX('Retirement Calculator'!J:J,MATCH('Isaac 401k'!N267,'Retirement Calculator'!A:A,0),0),0)</f>
        <v>7863.2184191855868</v>
      </c>
      <c r="K267" s="455">
        <f t="shared" ca="1" si="27"/>
        <v>6358.2899267508938</v>
      </c>
      <c r="L267" s="455">
        <f t="shared" ca="1" si="28"/>
        <v>1532347.8723469654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1532347.8723469654</v>
      </c>
      <c r="J268" s="455">
        <f t="array" ref="J268">IFERROR(INDEX('Retirement Calculator'!J:J,MATCH('Isaac 401k'!N268,'Retirement Calculator'!A:A,0),0),0)</f>
        <v>7863.2184191855868</v>
      </c>
      <c r="K268" s="455">
        <f t="shared" ca="1" si="27"/>
        <v>6352.0193913657486</v>
      </c>
      <c r="L268" s="455">
        <f t="shared" ca="1" si="28"/>
        <v>1530836.6733191456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1530836.6733191456</v>
      </c>
      <c r="J269" s="455">
        <f t="array" ref="J269">IFERROR(INDEX('Retirement Calculator'!J:J,MATCH('Isaac 401k'!N269,'Retirement Calculator'!A:A,0),0),0)</f>
        <v>7863.2184191855868</v>
      </c>
      <c r="K269" s="455">
        <f t="shared" ca="1" si="27"/>
        <v>6345.7227287498335</v>
      </c>
      <c r="L269" s="455">
        <f t="shared" ca="1" si="28"/>
        <v>1529319.1776287097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1529319.1776287097</v>
      </c>
      <c r="J270" s="455">
        <f t="array" ref="J270">IFERROR(INDEX('Retirement Calculator'!J:J,MATCH('Isaac 401k'!N270,'Retirement Calculator'!A:A,0),0),0)</f>
        <v>7863.2184191855868</v>
      </c>
      <c r="K270" s="455">
        <f t="shared" ca="1" si="27"/>
        <v>6339.3998300396834</v>
      </c>
      <c r="L270" s="455">
        <f t="shared" ca="1" si="28"/>
        <v>1527795.3590395637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1527795.3590395637</v>
      </c>
      <c r="J271" s="455">
        <f t="array" ref="J271">IFERROR(INDEX('Retirement Calculator'!J:J,MATCH('Isaac 401k'!N271,'Retirement Calculator'!A:A,0),0),0)</f>
        <v>7863.2184191855868</v>
      </c>
      <c r="K271" s="455">
        <f t="shared" ca="1" si="27"/>
        <v>6333.0505859182422</v>
      </c>
      <c r="L271" s="455">
        <f t="shared" ca="1" si="28"/>
        <v>1526265.1912062962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1526265.1912062962</v>
      </c>
      <c r="J272" s="455">
        <f t="array" ref="J272">IFERROR(INDEX('Retirement Calculator'!J:J,MATCH('Isaac 401k'!N272,'Retirement Calculator'!A:A,0),0),0)</f>
        <v>7863.2184191855868</v>
      </c>
      <c r="K272" s="455">
        <f t="shared" ca="1" si="27"/>
        <v>6326.674886612961</v>
      </c>
      <c r="L272" s="455">
        <f t="shared" ca="1" si="28"/>
        <v>1524728.6476737235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1524728.6476737235</v>
      </c>
      <c r="J273" s="455">
        <f t="array" ref="J273">IFERROR(INDEX('Retirement Calculator'!J:J,MATCH('Isaac 401k'!N273,'Retirement Calculator'!A:A,0),0),0)</f>
        <v>7863.2184191855868</v>
      </c>
      <c r="K273" s="455">
        <f t="shared" ca="1" si="27"/>
        <v>6320.2726218939079</v>
      </c>
      <c r="L273" s="455">
        <f t="shared" ca="1" si="28"/>
        <v>1523185.7018764319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1523185.7018764319</v>
      </c>
      <c r="J274" s="455">
        <f t="array" ref="J274">IFERROR(INDEX('Retirement Calculator'!J:J,MATCH('Isaac 401k'!N274,'Retirement Calculator'!A:A,0),0),0)</f>
        <v>7863.2184191855868</v>
      </c>
      <c r="K274" s="455">
        <f t="shared" ca="1" si="27"/>
        <v>6313.8436810718595</v>
      </c>
      <c r="L274" s="455">
        <f t="shared" ca="1" si="28"/>
        <v>1521636.3271383182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1521636.3271383182</v>
      </c>
      <c r="J275" s="455">
        <f t="array" ref="J275">IFERROR(INDEX('Retirement Calculator'!J:J,MATCH('Isaac 401k'!N275,'Retirement Calculator'!A:A,0),0),0)</f>
        <v>7863.2184191855868</v>
      </c>
      <c r="K275" s="455">
        <f t="shared" ca="1" si="27"/>
        <v>6307.387952996386</v>
      </c>
      <c r="L275" s="455">
        <f t="shared" ca="1" si="28"/>
        <v>1520080.496672129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1520080.496672129</v>
      </c>
      <c r="J276" s="455">
        <f t="array" ref="J276">IFERROR(INDEX('Retirement Calculator'!J:J,MATCH('Isaac 401k'!N276,'Retirement Calculator'!A:A,0),0),0)</f>
        <v>7863.2184191855868</v>
      </c>
      <c r="K276" s="455">
        <f t="shared" ca="1" si="27"/>
        <v>6300.9053260539313</v>
      </c>
      <c r="L276" s="455">
        <f t="shared" ca="1" si="28"/>
        <v>1518518.1835789974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1518518.1835789974</v>
      </c>
      <c r="J277" s="455">
        <f t="array" ref="J277">IFERROR(INDEX('Retirement Calculator'!J:J,MATCH('Isaac 401k'!N277,'Retirement Calculator'!A:A,0),0),0)</f>
        <v>7863.2184191855868</v>
      </c>
      <c r="K277" s="455">
        <f t="shared" ca="1" si="27"/>
        <v>6294.3956881658823</v>
      </c>
      <c r="L277" s="455">
        <f t="shared" ca="1" si="28"/>
        <v>1516949.3608479777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1516949.3608479777</v>
      </c>
      <c r="J278" s="455">
        <f t="array" ref="J278">IFERROR(INDEX('Retirement Calculator'!J:J,MATCH('Isaac 401k'!N278,'Retirement Calculator'!A:A,0),0),0)</f>
        <v>7863.2184191855868</v>
      </c>
      <c r="K278" s="455">
        <f t="shared" ca="1" si="27"/>
        <v>6287.8589267866337</v>
      </c>
      <c r="L278" s="455">
        <f t="shared" ca="1" si="28"/>
        <v>1515374.0013555787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1515374.0013555787</v>
      </c>
      <c r="J279" s="455">
        <f t="array" ref="J279">IFERROR(INDEX('Retirement Calculator'!J:J,MATCH('Isaac 401k'!N279,'Retirement Calculator'!A:A,0),0),0)</f>
        <v>7863.2184191855868</v>
      </c>
      <c r="K279" s="455">
        <f t="shared" ca="1" si="27"/>
        <v>6281.2949289016378</v>
      </c>
      <c r="L279" s="455">
        <f t="shared" ca="1" si="28"/>
        <v>1513792.0778652946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1513792.0778652946</v>
      </c>
      <c r="J280" s="455">
        <f t="array" ref="J280">IFERROR(INDEX('Retirement Calculator'!J:J,MATCH('Isaac 401k'!N280,'Retirement Calculator'!A:A,0),0),0)</f>
        <v>7863.2184191855868</v>
      </c>
      <c r="K280" s="455">
        <f t="shared" ca="1" si="27"/>
        <v>6274.7035810254547</v>
      </c>
      <c r="L280" s="455">
        <f t="shared" ca="1" si="28"/>
        <v>1512203.5630271344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1512203.5630271344</v>
      </c>
      <c r="J281" s="455">
        <f t="array" ref="J281">IFERROR(INDEX('Retirement Calculator'!J:J,MATCH('Isaac 401k'!N281,'Retirement Calculator'!A:A,0),0),0)</f>
        <v>7863.2184191855868</v>
      </c>
      <c r="K281" s="455">
        <f t="shared" ca="1" si="27"/>
        <v>6268.0847691997869</v>
      </c>
      <c r="L281" s="455">
        <f t="shared" ca="1" si="28"/>
        <v>1510608.4293771486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1510608.4293771486</v>
      </c>
      <c r="J282" s="455">
        <f t="array" ref="J282">IFERROR(INDEX('Retirement Calculator'!J:J,MATCH('Isaac 401k'!N282,'Retirement Calculator'!A:A,0),0),0)</f>
        <v>7863.2184191855868</v>
      </c>
      <c r="K282" s="455">
        <f t="shared" ca="1" si="27"/>
        <v>6261.4383789915128</v>
      </c>
      <c r="L282" s="455">
        <f t="shared" ca="1" si="28"/>
        <v>1509006.6493369546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1509006.6493369546</v>
      </c>
      <c r="J283" s="455">
        <f t="array" ref="J283">IFERROR(INDEX('Retirement Calculator'!J:J,MATCH('Isaac 401k'!N283,'Retirement Calculator'!A:A,0),0),0)</f>
        <v>7863.2184191855868</v>
      </c>
      <c r="K283" s="455">
        <f t="shared" ca="1" si="27"/>
        <v>6254.7642954907042</v>
      </c>
      <c r="L283" s="455">
        <f t="shared" ca="1" si="28"/>
        <v>1507398.1952132597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1507398.1952132597</v>
      </c>
      <c r="J284" s="455">
        <f t="array" ref="J284">IFERROR(INDEX('Retirement Calculator'!J:J,MATCH('Isaac 401k'!N284,'Retirement Calculator'!A:A,0),0),0)</f>
        <v>7863.2184191855868</v>
      </c>
      <c r="K284" s="455">
        <f t="shared" ca="1" si="27"/>
        <v>6248.0624033086415</v>
      </c>
      <c r="L284" s="455">
        <f t="shared" ca="1" si="28"/>
        <v>1505783.0391973827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1505783.0391973827</v>
      </c>
      <c r="J285" s="455">
        <f t="array" ref="J285">IFERROR(INDEX('Retirement Calculator'!J:J,MATCH('Isaac 401k'!N285,'Retirement Calculator'!A:A,0),0),0)</f>
        <v>7863.2184191855868</v>
      </c>
      <c r="K285" s="455">
        <f t="shared" ca="1" si="27"/>
        <v>6241.3325865758216</v>
      </c>
      <c r="L285" s="455">
        <f t="shared" ca="1" si="28"/>
        <v>1504161.1533647729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1504161.1533647729</v>
      </c>
      <c r="J286" s="455">
        <f t="array" ref="J286">IFERROR(INDEX('Retirement Calculator'!J:J,MATCH('Isaac 401k'!N286,'Retirement Calculator'!A:A,0),0),0)</f>
        <v>7863.2184191855868</v>
      </c>
      <c r="K286" s="455">
        <f t="shared" ca="1" si="27"/>
        <v>6234.5747289399469</v>
      </c>
      <c r="L286" s="455">
        <f t="shared" ca="1" si="28"/>
        <v>1502532.5096745272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1502532.5096745272</v>
      </c>
      <c r="J287" s="455">
        <f t="array" ref="J287">IFERROR(INDEX('Retirement Calculator'!J:J,MATCH('Isaac 401k'!N287,'Retirement Calculator'!A:A,0),0),0)</f>
        <v>7863.2184191855868</v>
      </c>
      <c r="K287" s="455">
        <f t="shared" ca="1" si="27"/>
        <v>6227.788713563923</v>
      </c>
      <c r="L287" s="455">
        <f t="shared" ca="1" si="28"/>
        <v>1500897.0799689055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1500897.0799689055</v>
      </c>
      <c r="J288" s="455">
        <f t="array" ref="J288">IFERROR(INDEX('Retirement Calculator'!J:J,MATCH('Isaac 401k'!N288,'Retirement Calculator'!A:A,0),0),0)</f>
        <v>7863.2184191855868</v>
      </c>
      <c r="K288" s="455">
        <f t="shared" ca="1" si="27"/>
        <v>6220.9744231238328</v>
      </c>
      <c r="L288" s="455">
        <f t="shared" ca="1" si="28"/>
        <v>1499254.8359728437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1499254.8359728437</v>
      </c>
      <c r="J289" s="455">
        <f t="array" ref="J289">IFERROR(INDEX('Retirement Calculator'!J:J,MATCH('Isaac 401k'!N289,'Retirement Calculator'!A:A,0),0),0)</f>
        <v>7863.2184191855868</v>
      </c>
      <c r="K289" s="455">
        <f t="shared" ca="1" si="27"/>
        <v>6214.1317398069086</v>
      </c>
      <c r="L289" s="455">
        <f t="shared" ca="1" si="28"/>
        <v>1497605.7492934649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1497605.7492934649</v>
      </c>
      <c r="J290" s="455">
        <f t="array" ref="J290">IFERROR(INDEX('Retirement Calculator'!J:J,MATCH('Isaac 401k'!N290,'Retirement Calculator'!A:A,0),0),0)</f>
        <v>7863.2184191855868</v>
      </c>
      <c r="K290" s="455">
        <f t="shared" ca="1" si="27"/>
        <v>6207.2605453094975</v>
      </c>
      <c r="L290" s="455">
        <f t="shared" ca="1" si="28"/>
        <v>1495949.7914195887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1495949.7914195887</v>
      </c>
      <c r="J291" s="455">
        <f t="array" ref="J291">IFERROR(INDEX('Retirement Calculator'!J:J,MATCH('Isaac 401k'!N291,'Retirement Calculator'!A:A,0),0),0)</f>
        <v>7863.2184191855868</v>
      </c>
      <c r="K291" s="455">
        <f t="shared" ca="1" si="27"/>
        <v>6200.3607208350131</v>
      </c>
      <c r="L291" s="455">
        <f t="shared" ca="1" si="28"/>
        <v>1494286.933721238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1494286.933721238</v>
      </c>
      <c r="J292" s="455">
        <f t="array" ref="J292">IFERROR(INDEX('Retirement Calculator'!J:J,MATCH('Isaac 401k'!N292,'Retirement Calculator'!A:A,0),0),0)</f>
        <v>7863.2184191855868</v>
      </c>
      <c r="K292" s="455">
        <f t="shared" ca="1" si="27"/>
        <v>6193.4321470918849</v>
      </c>
      <c r="L292" s="455">
        <f t="shared" ca="1" si="28"/>
        <v>1492617.1474491444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1492617.1474491444</v>
      </c>
      <c r="J293" s="455">
        <f t="array" ref="J293">IFERROR(INDEX('Retirement Calculator'!J:J,MATCH('Isaac 401k'!N293,'Retirement Calculator'!A:A,0),0),0)</f>
        <v>7863.2184191855868</v>
      </c>
      <c r="K293" s="455">
        <f t="shared" ca="1" si="27"/>
        <v>6186.4747042914951</v>
      </c>
      <c r="L293" s="455">
        <f t="shared" ca="1" si="28"/>
        <v>1490940.4037342502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1490940.4037342502</v>
      </c>
      <c r="J294" s="455">
        <f t="array" ref="J294">IFERROR(INDEX('Retirement Calculator'!J:J,MATCH('Isaac 401k'!N294,'Retirement Calculator'!A:A,0),0),0)</f>
        <v>7863.2184191855868</v>
      </c>
      <c r="K294" s="455">
        <f t="shared" ca="1" si="27"/>
        <v>6179.4882721461026</v>
      </c>
      <c r="L294" s="455">
        <f t="shared" ca="1" si="28"/>
        <v>1489256.6735872107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1489256.6735872107</v>
      </c>
      <c r="J295" s="455">
        <f t="array" ref="J295">IFERROR(INDEX('Retirement Calculator'!J:J,MATCH('Isaac 401k'!N295,'Retirement Calculator'!A:A,0),0),0)</f>
        <v>7863.2184191855868</v>
      </c>
      <c r="K295" s="455">
        <f t="shared" ca="1" si="27"/>
        <v>6172.4727298667713</v>
      </c>
      <c r="L295" s="455">
        <f t="shared" ca="1" si="28"/>
        <v>1487565.927897892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1487565.927897892</v>
      </c>
      <c r="J296" s="455">
        <f t="array" ref="J296">IFERROR(INDEX('Retirement Calculator'!J:J,MATCH('Isaac 401k'!N296,'Retirement Calculator'!A:A,0),0),0)</f>
        <v>7863.2184191855868</v>
      </c>
      <c r="K296" s="455">
        <f t="shared" ca="1" si="27"/>
        <v>6165.4279561612766</v>
      </c>
      <c r="L296" s="455">
        <f t="shared" ca="1" si="28"/>
        <v>1485868.1374348677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1485868.1374348677</v>
      </c>
      <c r="J297" s="455">
        <f t="array" ref="J297">IFERROR(INDEX('Retirement Calculator'!J:J,MATCH('Isaac 401k'!N297,'Retirement Calculator'!A:A,0),0),0)</f>
        <v>7863.2184191855868</v>
      </c>
      <c r="K297" s="455">
        <f t="shared" ca="1" si="27"/>
        <v>6158.3538292320081</v>
      </c>
      <c r="L297" s="455">
        <f t="shared" ca="1" si="28"/>
        <v>1484163.2728449141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1484163.2728449141</v>
      </c>
      <c r="J298" s="455">
        <f t="array" ref="J298">IFERROR(INDEX('Retirement Calculator'!J:J,MATCH('Isaac 401k'!N298,'Retirement Calculator'!A:A,0),0),0)</f>
        <v>7863.2184191855868</v>
      </c>
      <c r="K298" s="455">
        <f t="shared" ca="1" si="27"/>
        <v>6151.2502267738691</v>
      </c>
      <c r="L298" s="455">
        <f t="shared" ca="1" si="28"/>
        <v>1482451.3046525023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1482451.3046525023</v>
      </c>
      <c r="J299" s="455">
        <f t="array" ref="J299">IFERROR(INDEX('Retirement Calculator'!J:J,MATCH('Isaac 401k'!N299,'Retirement Calculator'!A:A,0),0),0)</f>
        <v>7863.2184191855868</v>
      </c>
      <c r="K299" s="455">
        <f t="shared" ca="1" si="27"/>
        <v>6144.117025972153</v>
      </c>
      <c r="L299" s="455">
        <f t="shared" ca="1" si="28"/>
        <v>1480732.2032592888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1480732.2032592888</v>
      </c>
      <c r="J300" s="455">
        <f t="array" ref="J300">IFERROR(INDEX('Retirement Calculator'!J:J,MATCH('Isaac 401k'!N300,'Retirement Calculator'!A:A,0),0),0)</f>
        <v>7863.2184191855868</v>
      </c>
      <c r="K300" s="455">
        <f t="shared" ca="1" si="27"/>
        <v>6136.9541035004295</v>
      </c>
      <c r="L300" s="455">
        <f t="shared" ca="1" si="28"/>
        <v>1479005.9389436035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1479005.9389436035</v>
      </c>
      <c r="J301" s="455">
        <f t="array" ref="J301">IFERROR(INDEX('Retirement Calculator'!J:J,MATCH('Isaac 401k'!N301,'Retirement Calculator'!A:A,0),0),0)</f>
        <v>7863.2184191855868</v>
      </c>
      <c r="K301" s="455">
        <f t="shared" ca="1" si="27"/>
        <v>6129.7613355184076</v>
      </c>
      <c r="L301" s="455">
        <f t="shared" ca="1" si="28"/>
        <v>1477272.4818599364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1477272.4818599364</v>
      </c>
      <c r="J302" s="455">
        <f t="array" ref="J302">IFERROR(INDEX('Retirement Calculator'!J:J,MATCH('Isaac 401k'!N302,'Retirement Calculator'!A:A,0),0),0)</f>
        <v>7863.2184191855868</v>
      </c>
      <c r="K302" s="455">
        <f t="shared" ca="1" si="27"/>
        <v>6122.5385976697944</v>
      </c>
      <c r="L302" s="455">
        <f t="shared" ca="1" si="28"/>
        <v>1475531.8020384205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1475531.8020384205</v>
      </c>
      <c r="J303" s="455">
        <f t="array" ref="J303">IFERROR(INDEX('Retirement Calculator'!J:J,MATCH('Isaac 401k'!N303,'Retirement Calculator'!A:A,0),0),0)</f>
        <v>7863.2184191855868</v>
      </c>
      <c r="K303" s="455">
        <f t="shared" ca="1" si="27"/>
        <v>6115.2857650801452</v>
      </c>
      <c r="L303" s="455">
        <f t="shared" ca="1" si="28"/>
        <v>1473783.8693843151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1473783.8693843151</v>
      </c>
      <c r="J304" s="455">
        <f t="array" ref="J304">IFERROR(INDEX('Retirement Calculator'!J:J,MATCH('Isaac 401k'!N304,'Retirement Calculator'!A:A,0),0),0)</f>
        <v>7863.2184191855868</v>
      </c>
      <c r="K304" s="455">
        <f t="shared" ca="1" si="27"/>
        <v>6108.0027123547061</v>
      </c>
      <c r="L304" s="455">
        <f t="shared" ca="1" si="28"/>
        <v>1472028.6536774843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1472028.6536774843</v>
      </c>
      <c r="J305" s="455">
        <f t="array" ref="J305">IFERROR(INDEX('Retirement Calculator'!J:J,MATCH('Isaac 401k'!N305,'Retirement Calculator'!A:A,0),0),0)</f>
        <v>7863.2184191855868</v>
      </c>
      <c r="K305" s="455">
        <f t="shared" ca="1" si="27"/>
        <v>6100.6893135762439</v>
      </c>
      <c r="L305" s="455">
        <f t="shared" ca="1" si="28"/>
        <v>1470266.124571875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1470266.124571875</v>
      </c>
      <c r="J306" s="455">
        <f t="array" ref="J306">IFERROR(INDEX('Retirement Calculator'!J:J,MATCH('Isaac 401k'!N306,'Retirement Calculator'!A:A,0),0),0)</f>
        <v>7863.2184191855868</v>
      </c>
      <c r="K306" s="455">
        <f t="shared" ca="1" si="27"/>
        <v>6093.3454423028725</v>
      </c>
      <c r="L306" s="455">
        <f t="shared" ca="1" si="28"/>
        <v>1468496.2515949921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1468496.2515949921</v>
      </c>
      <c r="J307" s="455">
        <f t="array" ref="J307">IFERROR(INDEX('Retirement Calculator'!J:J,MATCH('Isaac 401k'!N307,'Retirement Calculator'!A:A,0),0),0)</f>
        <v>7863.2184191855868</v>
      </c>
      <c r="K307" s="455">
        <f t="shared" ca="1" si="27"/>
        <v>6085.9709715658601</v>
      </c>
      <c r="L307" s="455">
        <f t="shared" ca="1" si="28"/>
        <v>1466719.0041473724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1466719.0041473724</v>
      </c>
      <c r="J308" s="455">
        <f t="array" ref="J308">IFERROR(INDEX('Retirement Calculator'!J:J,MATCH('Isaac 401k'!N308,'Retirement Calculator'!A:A,0),0),0)</f>
        <v>7863.2184191855868</v>
      </c>
      <c r="K308" s="455">
        <f t="shared" ca="1" si="27"/>
        <v>6078.5657738674454</v>
      </c>
      <c r="L308" s="455">
        <f t="shared" ca="1" si="28"/>
        <v>1464934.3515020544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1464934.3515020544</v>
      </c>
      <c r="J309" s="455">
        <f t="array" ref="J309">IFERROR(INDEX('Retirement Calculator'!J:J,MATCH('Isaac 401k'!N309,'Retirement Calculator'!A:A,0),0),0)</f>
        <v>7863.2184191855868</v>
      </c>
      <c r="K309" s="455">
        <f t="shared" ca="1" si="27"/>
        <v>6071.1297211786195</v>
      </c>
      <c r="L309" s="455">
        <f t="shared" ca="1" si="28"/>
        <v>1463142.2628040474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1463142.2628040474</v>
      </c>
      <c r="J310" s="455">
        <f t="array" ref="J310">IFERROR(INDEX('Retirement Calculator'!J:J,MATCH('Isaac 401k'!N310,'Retirement Calculator'!A:A,0),0),0)</f>
        <v>7863.2184191855868</v>
      </c>
      <c r="K310" s="455">
        <f t="shared" ca="1" si="27"/>
        <v>6063.6626849369241</v>
      </c>
      <c r="L310" s="455">
        <f t="shared" ca="1" si="28"/>
        <v>1461342.7070697988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1461342.7070697988</v>
      </c>
      <c r="J311" s="455">
        <f t="array" ref="J311">IFERROR(INDEX('Retirement Calculator'!J:J,MATCH('Isaac 401k'!N311,'Retirement Calculator'!A:A,0),0),0)</f>
        <v>7863.2184191855868</v>
      </c>
      <c r="K311" s="455">
        <f t="shared" ca="1" si="27"/>
        <v>6056.1645360442217</v>
      </c>
      <c r="L311" s="455">
        <f t="shared" ca="1" si="28"/>
        <v>1459535.6531866575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1459535.6531866575</v>
      </c>
      <c r="J312" s="455">
        <f t="array" ref="J312">IFERROR(INDEX('Retirement Calculator'!J:J,MATCH('Isaac 401k'!N312,'Retirement Calculator'!A:A,0),0),0)</f>
        <v>7863.2184191855868</v>
      </c>
      <c r="K312" s="455">
        <f t="shared" ca="1" si="27"/>
        <v>6048.6351448644664</v>
      </c>
      <c r="L312" s="455">
        <f t="shared" ca="1" si="28"/>
        <v>1457721.0699123363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1457721.0699123363</v>
      </c>
      <c r="J313" s="455">
        <f t="array" ref="J313">IFERROR(INDEX('Retirement Calculator'!J:J,MATCH('Isaac 401k'!N313,'Retirement Calculator'!A:A,0),0),0)</f>
        <v>7863.2184191855868</v>
      </c>
      <c r="K313" s="455">
        <f t="shared" ca="1" si="27"/>
        <v>6041.0743812214614</v>
      </c>
      <c r="L313" s="455">
        <f t="shared" ca="1" si="28"/>
        <v>1455898.9258743722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1455898.9258743722</v>
      </c>
      <c r="J314" s="455">
        <f t="array" ref="J314">IFERROR(INDEX('Retirement Calculator'!J:J,MATCH('Isaac 401k'!N314,'Retirement Calculator'!A:A,0),0),0)</f>
        <v>7863.2184191855868</v>
      </c>
      <c r="K314" s="455">
        <f t="shared" ca="1" si="27"/>
        <v>6033.482114396611</v>
      </c>
      <c r="L314" s="455">
        <f t="shared" ca="1" si="28"/>
        <v>1454069.1895695832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1454069.1895695832</v>
      </c>
      <c r="J315" s="455">
        <f t="array" ref="J315">IFERROR(INDEX('Retirement Calculator'!J:J,MATCH('Isaac 401k'!N315,'Retirement Calculator'!A:A,0),0),0)</f>
        <v>7863.2184191855868</v>
      </c>
      <c r="K315" s="455">
        <f t="shared" ca="1" si="27"/>
        <v>6025.8582131266567</v>
      </c>
      <c r="L315" s="455">
        <f t="shared" ca="1" si="28"/>
        <v>1452231.8293635242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1452231.8293635242</v>
      </c>
      <c r="J316" s="455">
        <f t="array" ref="J316">IFERROR(INDEX('Retirement Calculator'!J:J,MATCH('Isaac 401k'!N316,'Retirement Calculator'!A:A,0),0),0)</f>
        <v>7863.2184191855868</v>
      </c>
      <c r="K316" s="455">
        <f t="shared" ca="1" si="27"/>
        <v>6018.2025456014107</v>
      </c>
      <c r="L316" s="455">
        <f t="shared" ca="1" si="28"/>
        <v>1450386.81348994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1450386.81348994</v>
      </c>
      <c r="J317" s="455">
        <f t="array" ref="J317">IFERROR(INDEX('Retirement Calculator'!J:J,MATCH('Isaac 401k'!N317,'Retirement Calculator'!A:A,0),0),0)</f>
        <v>7863.2184191855868</v>
      </c>
      <c r="K317" s="455">
        <f t="shared" ca="1" si="27"/>
        <v>6010.5149794614763</v>
      </c>
      <c r="L317" s="455">
        <f t="shared" ca="1" si="28"/>
        <v>1448534.1100502159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1448534.1100502159</v>
      </c>
      <c r="J318" s="455">
        <f t="array" ref="J318">IFERROR(INDEX('Retirement Calculator'!J:J,MATCH('Isaac 401k'!N318,'Retirement Calculator'!A:A,0),0),0)</f>
        <v>7863.2184191855868</v>
      </c>
      <c r="K318" s="455">
        <f t="shared" ca="1" si="27"/>
        <v>6002.7953817959597</v>
      </c>
      <c r="L318" s="455">
        <f t="shared" ca="1" si="28"/>
        <v>1446673.6870128261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1446673.6870128261</v>
      </c>
      <c r="J319" s="455">
        <f t="array" ref="J319">IFERROR(INDEX('Retirement Calculator'!J:J,MATCH('Isaac 401k'!N319,'Retirement Calculator'!A:A,0),0),0)</f>
        <v>7863.2184191855868</v>
      </c>
      <c r="K319" s="455">
        <f t="shared" ca="1" si="27"/>
        <v>5995.0436191401686</v>
      </c>
      <c r="L319" s="455">
        <f t="shared" ca="1" si="28"/>
        <v>1444805.5122127808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1444805.5122127808</v>
      </c>
      <c r="J320" s="455">
        <f t="array" ref="J320">IFERROR(INDEX('Retirement Calculator'!J:J,MATCH('Isaac 401k'!N320,'Retirement Calculator'!A:A,0),0),0)</f>
        <v>7863.2184191855868</v>
      </c>
      <c r="K320" s="455">
        <f t="shared" ca="1" si="27"/>
        <v>5987.2595574733132</v>
      </c>
      <c r="L320" s="455">
        <f t="shared" ca="1" si="28"/>
        <v>1442929.5533510684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1442929.5533510684</v>
      </c>
      <c r="J321" s="455">
        <f t="array" ref="J321">IFERROR(INDEX('Retirement Calculator'!J:J,MATCH('Isaac 401k'!N321,'Retirement Calculator'!A:A,0),0),0)</f>
        <v>7863.2184191855868</v>
      </c>
      <c r="K321" s="455">
        <f t="shared" ca="1" si="27"/>
        <v>5979.4430622161781</v>
      </c>
      <c r="L321" s="455">
        <f t="shared" ca="1" si="28"/>
        <v>1441045.7779940991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1441045.7779940991</v>
      </c>
      <c r="J322" s="455">
        <f t="array" ref="J322">IFERROR(INDEX('Retirement Calculator'!J:J,MATCH('Isaac 401k'!N322,'Retirement Calculator'!A:A,0),0),0)</f>
        <v>7863.2184191855868</v>
      </c>
      <c r="K322" s="455">
        <f t="shared" ca="1" si="27"/>
        <v>5971.5939982288064</v>
      </c>
      <c r="L322" s="455">
        <f t="shared" ca="1" si="28"/>
        <v>1439154.1535731424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1439154.1535731424</v>
      </c>
      <c r="J323" s="455">
        <f t="array" ref="J323">IFERROR(INDEX('Retirement Calculator'!J:J,MATCH('Isaac 401k'!N323,'Retirement Calculator'!A:A,0),0),0)</f>
        <v>7863.2184191855868</v>
      </c>
      <c r="K323" s="455">
        <f t="shared" ca="1" si="27"/>
        <v>5963.7122298081531</v>
      </c>
      <c r="L323" s="455">
        <f t="shared" ca="1" si="28"/>
        <v>1437254.6473837649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1437254.6473837649</v>
      </c>
      <c r="J324" s="455">
        <f t="array" ref="J324">IFERROR(INDEX('Retirement Calculator'!J:J,MATCH('Isaac 401k'!N324,'Retirement Calculator'!A:A,0),0),0)</f>
        <v>7863.2184191855868</v>
      </c>
      <c r="K324" s="455">
        <f t="shared" ca="1" si="27"/>
        <v>5955.7976206857466</v>
      </c>
      <c r="L324" s="455">
        <f t="shared" ca="1" si="28"/>
        <v>1435347.226585265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1435347.226585265</v>
      </c>
      <c r="J325" s="455">
        <f t="array" ref="J325">IFERROR(INDEX('Retirement Calculator'!J:J,MATCH('Isaac 401k'!N325,'Retirement Calculator'!A:A,0),0),0)</f>
        <v>7863.2184191855868</v>
      </c>
      <c r="K325" s="455">
        <f t="shared" ca="1" si="27"/>
        <v>5947.8500340253304</v>
      </c>
      <c r="L325" s="455">
        <f t="shared" ca="1" si="28"/>
        <v>1433431.8582001047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1433431.8582001047</v>
      </c>
      <c r="J326" s="455">
        <f t="array" ref="J326">IFERROR(INDEX('Retirement Calculator'!J:J,MATCH('Isaac 401k'!N326,'Retirement Calculator'!A:A,0),0),0)</f>
        <v>7863.2184191855868</v>
      </c>
      <c r="K326" s="455">
        <f t="shared" ca="1" si="27"/>
        <v>5939.869332420496</v>
      </c>
      <c r="L326" s="455">
        <f t="shared" ca="1" si="28"/>
        <v>1431508.5091133395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1431508.5091133395</v>
      </c>
      <c r="J327" s="455">
        <f t="array" ref="J327">IFERROR(INDEX('Retirement Calculator'!J:J,MATCH('Isaac 401k'!N327,'Retirement Calculator'!A:A,0),0),0)</f>
        <v>7863.2184191855868</v>
      </c>
      <c r="K327" s="455">
        <f t="shared" ca="1" si="27"/>
        <v>5931.8553778923078</v>
      </c>
      <c r="L327" s="455">
        <f t="shared" ca="1" si="28"/>
        <v>1429577.1460720461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1429577.1460720461</v>
      </c>
      <c r="J328" s="455">
        <f t="array" ref="J328">IFERROR(INDEX('Retirement Calculator'!J:J,MATCH('Isaac 401k'!N328,'Retirement Calculator'!A:A,0),0),0)</f>
        <v>7863.2184191855868</v>
      </c>
      <c r="K328" s="455">
        <f t="shared" ca="1" si="27"/>
        <v>5923.8080318869188</v>
      </c>
      <c r="L328" s="455">
        <f t="shared" ca="1" si="28"/>
        <v>1427637.7356847473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1427637.7356847473</v>
      </c>
      <c r="J329" s="455">
        <f t="array" ref="J329">IFERROR(INDEX('Retirement Calculator'!J:J,MATCH('Isaac 401k'!N329,'Retirement Calculator'!A:A,0),0),0)</f>
        <v>7863.2184191855868</v>
      </c>
      <c r="K329" s="455">
        <f t="shared" ca="1" si="27"/>
        <v>5915.7271552731736</v>
      </c>
      <c r="L329" s="455">
        <f t="shared" ca="1" si="28"/>
        <v>1425690.2444208348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1425690.2444208348</v>
      </c>
      <c r="J330" s="455">
        <f t="array" ref="J330">IFERROR(INDEX('Retirement Calculator'!J:J,MATCH('Isaac 401k'!N330,'Retirement Calculator'!A:A,0),0),0)</f>
        <v>7863.2184191855868</v>
      </c>
      <c r="K330" s="455">
        <f t="shared" ca="1" si="27"/>
        <v>5907.612608340205</v>
      </c>
      <c r="L330" s="455">
        <f t="shared" ca="1" si="28"/>
        <v>1423734.6386099893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1423734.6386099893</v>
      </c>
      <c r="J331" s="455">
        <f t="array" ref="J331">IFERROR(INDEX('Retirement Calculator'!J:J,MATCH('Isaac 401k'!N331,'Retirement Calculator'!A:A,0),0),0)</f>
        <v>7863.2184191855868</v>
      </c>
      <c r="K331" s="455">
        <f t="shared" ca="1" si="27"/>
        <v>5899.4642507950157</v>
      </c>
      <c r="L331" s="455">
        <f t="shared" ca="1" si="28"/>
        <v>1421770.8844415988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1421770.8844415988</v>
      </c>
      <c r="J332" s="455">
        <f t="array" ref="J332">IFERROR(INDEX('Retirement Calculator'!J:J,MATCH('Isaac 401k'!N332,'Retirement Calculator'!A:A,0),0),0)</f>
        <v>7863.2184191855868</v>
      </c>
      <c r="K332" s="455">
        <f t="shared" ca="1" si="27"/>
        <v>5891.2819417600549</v>
      </c>
      <c r="L332" s="455">
        <f t="shared" ca="1" si="28"/>
        <v>1419798.9479641733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1419798.9479641733</v>
      </c>
      <c r="J333" s="455">
        <f t="array" ref="J333">IFERROR(INDEX('Retirement Calculator'!J:J,MATCH('Isaac 401k'!N333,'Retirement Calculator'!A:A,0),0),0)</f>
        <v>7863.2184191855868</v>
      </c>
      <c r="K333" s="455">
        <f t="shared" ca="1" si="27"/>
        <v>5883.0655397707815</v>
      </c>
      <c r="L333" s="455">
        <f t="shared" ca="1" si="28"/>
        <v>1417818.7950847584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1417818.7950847584</v>
      </c>
      <c r="J334" s="455">
        <f t="array" ref="J334">IFERROR(INDEX('Retirement Calculator'!J:J,MATCH('Isaac 401k'!N334,'Retirement Calculator'!A:A,0),0),0)</f>
        <v>7863.2184191855868</v>
      </c>
      <c r="K334" s="455">
        <f t="shared" ca="1" si="27"/>
        <v>5874.8149027732197</v>
      </c>
      <c r="L334" s="455">
        <f t="shared" ca="1" si="28"/>
        <v>1415830.3915683459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1415830.3915683459</v>
      </c>
      <c r="J335" s="455">
        <f t="array" ref="J335">IFERROR(INDEX('Retirement Calculator'!J:J,MATCH('Isaac 401k'!N335,'Retirement Calculator'!A:A,0),0),0)</f>
        <v>7863.2184191855868</v>
      </c>
      <c r="K335" s="455">
        <f t="shared" ca="1" si="27"/>
        <v>5866.5298881215012</v>
      </c>
      <c r="L335" s="455">
        <f t="shared" ca="1" si="28"/>
        <v>1413833.7030372818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1413833.7030372818</v>
      </c>
      <c r="J336" s="455">
        <f t="array" ref="J336">IFERROR(INDEX('Retirement Calculator'!J:J,MATCH('Isaac 401k'!N336,'Retirement Calculator'!A:A,0),0),0)</f>
        <v>7863.2184191855868</v>
      </c>
      <c r="K336" s="455">
        <f t="shared" ca="1" si="27"/>
        <v>5858.210352575401</v>
      </c>
      <c r="L336" s="455">
        <f t="shared" ca="1" si="28"/>
        <v>1411828.6949706716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1411828.6949706716</v>
      </c>
      <c r="J337" s="455">
        <f t="array" ref="J337">IFERROR(INDEX('Retirement Calculator'!J:J,MATCH('Isaac 401k'!N337,'Retirement Calculator'!A:A,0),0),0)</f>
        <v>7863.2184191855868</v>
      </c>
      <c r="K337" s="455">
        <f t="shared" ca="1" si="27"/>
        <v>5849.856152297858</v>
      </c>
      <c r="L337" s="455">
        <f t="shared" ca="1" si="28"/>
        <v>1409815.3327037839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1409815.3327037839</v>
      </c>
      <c r="J338" s="455">
        <f t="array" ref="J338">IFERROR(INDEX('Retirement Calculator'!J:J,MATCH('Isaac 401k'!N338,'Retirement Calculator'!A:A,0),0),0)</f>
        <v>7863.2184191855868</v>
      </c>
      <c r="K338" s="455">
        <f t="shared" ca="1" si="27"/>
        <v>5841.4671428524925</v>
      </c>
      <c r="L338" s="455">
        <f t="shared" ca="1" si="28"/>
        <v>1407793.5814274508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1407793.5814274508</v>
      </c>
      <c r="J339" s="455">
        <f t="array" ref="J339">IFERROR(INDEX('Retirement Calculator'!J:J,MATCH('Isaac 401k'!N339,'Retirement Calculator'!A:A,0),0),0)</f>
        <v>7863.2184191855868</v>
      </c>
      <c r="K339" s="455">
        <f t="shared" ca="1" si="27"/>
        <v>5833.043179201105</v>
      </c>
      <c r="L339" s="455">
        <f t="shared" ca="1" si="28"/>
        <v>1405763.4061874663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1405763.4061874663</v>
      </c>
      <c r="J340" s="455">
        <f t="array" ref="J340">IFERROR(INDEX('Retirement Calculator'!J:J,MATCH('Isaac 401k'!N340,'Retirement Calculator'!A:A,0),0),0)</f>
        <v>7863.2184191855868</v>
      </c>
      <c r="K340" s="455">
        <f t="shared" ca="1" si="27"/>
        <v>5824.58411570117</v>
      </c>
      <c r="L340" s="455">
        <f t="shared" ca="1" si="28"/>
        <v>1403724.771883982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1403724.771883982</v>
      </c>
      <c r="J341" s="455">
        <f t="array" ref="J341">IFERROR(INDEX('Retirement Calculator'!J:J,MATCH('Isaac 401k'!N341,'Retirement Calculator'!A:A,0),0),0)</f>
        <v>7863.2184191855868</v>
      </c>
      <c r="K341" s="455">
        <f t="shared" ca="1" si="27"/>
        <v>5816.0898061033186</v>
      </c>
      <c r="L341" s="455">
        <f t="shared" ca="1" si="28"/>
        <v>1401677.6432708998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1401677.6432708998</v>
      </c>
      <c r="J342" s="455">
        <f t="array" ref="J342">IFERROR(INDEX('Retirement Calculator'!J:J,MATCH('Isaac 401k'!N342,'Retirement Calculator'!A:A,0),0),0)</f>
        <v>7863.2184191855868</v>
      </c>
      <c r="K342" s="455">
        <f t="shared" ca="1" si="27"/>
        <v>5807.5601035488089</v>
      </c>
      <c r="L342" s="455">
        <f t="shared" ca="1" si="28"/>
        <v>1399621.9849552631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1399621.9849552631</v>
      </c>
      <c r="J343" s="455">
        <f t="array" ref="J343">IFERROR(INDEX('Retirement Calculator'!J:J,MATCH('Isaac 401k'!N343,'Retirement Calculator'!A:A,0),0),0)</f>
        <v>7863.2184191855868</v>
      </c>
      <c r="K343" s="455">
        <f t="shared" ca="1" si="27"/>
        <v>5798.9948605669897</v>
      </c>
      <c r="L343" s="455">
        <f t="shared" ca="1" si="28"/>
        <v>1397557.7613966444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1397557.7613966444</v>
      </c>
      <c r="J344" s="455">
        <f t="array" ref="J344">IFERROR(INDEX('Retirement Calculator'!J:J,MATCH('Isaac 401k'!N344,'Retirement Calculator'!A:A,0),0),0)</f>
        <v>7863.2184191855868</v>
      </c>
      <c r="K344" s="455">
        <f t="shared" ca="1" si="27"/>
        <v>5790.3939290727449</v>
      </c>
      <c r="L344" s="455">
        <f t="shared" ca="1" si="28"/>
        <v>1395484.9369065315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1395484.9369065315</v>
      </c>
      <c r="J345" s="455">
        <f t="array" ref="J345">IFERROR(INDEX('Retirement Calculator'!J:J,MATCH('Isaac 401k'!N345,'Retirement Calculator'!A:A,0),0),0)</f>
        <v>7863.2184191855868</v>
      </c>
      <c r="K345" s="455">
        <f t="shared" ca="1" si="27"/>
        <v>5781.7571603639408</v>
      </c>
      <c r="L345" s="455">
        <f t="shared" ca="1" si="28"/>
        <v>1393403.4756477098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1393403.4756477098</v>
      </c>
      <c r="J346" s="455">
        <f t="array" ref="J346">IFERROR(INDEX('Retirement Calculator'!J:J,MATCH('Isaac 401k'!N346,'Retirement Calculator'!A:A,0),0),0)</f>
        <v>7863.2184191855868</v>
      </c>
      <c r="K346" s="455">
        <f t="shared" ca="1" si="27"/>
        <v>5773.0844051188506</v>
      </c>
      <c r="L346" s="455">
        <f t="shared" ca="1" si="28"/>
        <v>1391313.341633643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1391313.341633643</v>
      </c>
      <c r="J347" s="455">
        <f t="array" ref="J347">IFERROR(INDEX('Retirement Calculator'!J:J,MATCH('Isaac 401k'!N347,'Retirement Calculator'!A:A,0),0),0)</f>
        <v>7863.2184191855868</v>
      </c>
      <c r="K347" s="455">
        <f t="shared" ca="1" si="27"/>
        <v>5764.3755133935729</v>
      </c>
      <c r="L347" s="455">
        <f t="shared" ca="1" si="28"/>
        <v>1389214.4987278511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1389214.4987278511</v>
      </c>
      <c r="J348" s="455">
        <f t="array" ref="J348">IFERROR(INDEX('Retirement Calculator'!J:J,MATCH('Isaac 401k'!N348,'Retirement Calculator'!A:A,0),0),0)</f>
        <v>7863.2184191855868</v>
      </c>
      <c r="K348" s="455">
        <f t="shared" ca="1" si="27"/>
        <v>5755.6303346194391</v>
      </c>
      <c r="L348" s="455">
        <f t="shared" ca="1" si="28"/>
        <v>1387106.9106432849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1387106.9106432849</v>
      </c>
      <c r="J349" s="455">
        <f t="array" ref="J349">IFERROR(INDEX('Retirement Calculator'!J:J,MATCH('Isaac 401k'!N349,'Retirement Calculator'!A:A,0),0),0)</f>
        <v>7863.2184191855868</v>
      </c>
      <c r="K349" s="455">
        <f t="shared" ca="1" si="27"/>
        <v>5746.8487176004137</v>
      </c>
      <c r="L349" s="455">
        <f t="shared" ca="1" si="28"/>
        <v>1384990.5409416996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1384990.5409416996</v>
      </c>
      <c r="J350" s="455">
        <f t="array" ref="J350">IFERROR(INDEX('Retirement Calculator'!J:J,MATCH('Isaac 401k'!N350,'Retirement Calculator'!A:A,0),0),0)</f>
        <v>7863.2184191855868</v>
      </c>
      <c r="K350" s="455">
        <f t="shared" ca="1" si="27"/>
        <v>5738.0305105104753</v>
      </c>
      <c r="L350" s="455">
        <f t="shared" ca="1" si="28"/>
        <v>1382865.3530330246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1382865.3530330246</v>
      </c>
      <c r="J351" s="455">
        <f t="array" ref="J351">IFERROR(INDEX('Retirement Calculator'!J:J,MATCH('Isaac 401k'!N351,'Retirement Calculator'!A:A,0),0),0)</f>
        <v>7863.2184191855868</v>
      </c>
      <c r="K351" s="455">
        <f t="shared" ca="1" si="27"/>
        <v>5729.1755608909953</v>
      </c>
      <c r="L351" s="455">
        <f t="shared" ca="1" si="28"/>
        <v>1380731.3101747299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1380731.3101747299</v>
      </c>
      <c r="J352" s="455">
        <f t="array" ref="J352">IFERROR(INDEX('Retirement Calculator'!J:J,MATCH('Isaac 401k'!N352,'Retirement Calculator'!A:A,0),0),0)</f>
        <v>7863.2184191855868</v>
      </c>
      <c r="K352" s="455">
        <f t="shared" ca="1" si="27"/>
        <v>5720.283715648101</v>
      </c>
      <c r="L352" s="455">
        <f t="shared" ca="1" si="28"/>
        <v>1378588.3754711924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1378588.3754711924</v>
      </c>
      <c r="J353" s="455">
        <f t="array" ref="J353">IFERROR(INDEX('Retirement Calculator'!J:J,MATCH('Isaac 401k'!N353,'Retirement Calculator'!A:A,0),0),0)</f>
        <v>7863.2184191855868</v>
      </c>
      <c r="K353" s="455">
        <f t="shared" ca="1" si="27"/>
        <v>5711.3548210500285</v>
      </c>
      <c r="L353" s="455">
        <f t="shared" ca="1" si="28"/>
        <v>1376436.5118730569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1376436.5118730569</v>
      </c>
      <c r="J354" s="455">
        <f t="array" ref="J354">IFERROR(INDEX('Retirement Calculator'!J:J,MATCH('Isaac 401k'!N354,'Retirement Calculator'!A:A,0),0),0)</f>
        <v>7863.2184191855868</v>
      </c>
      <c r="K354" s="455">
        <f t="shared" ca="1" si="27"/>
        <v>5702.3887227244632</v>
      </c>
      <c r="L354" s="455">
        <f t="shared" ca="1" si="28"/>
        <v>1374275.6821765958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1374275.6821765958</v>
      </c>
      <c r="J355" s="455">
        <f t="array" ref="J355">IFERROR(INDEX('Retirement Calculator'!J:J,MATCH('Isaac 401k'!N355,'Retirement Calculator'!A:A,0),0),0)</f>
        <v>7863.2184191855868</v>
      </c>
      <c r="K355" s="455">
        <f t="shared" ca="1" si="27"/>
        <v>5693.3852656558756</v>
      </c>
      <c r="L355" s="455">
        <f t="shared" ca="1" si="28"/>
        <v>1372105.849023066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1372105.849023066</v>
      </c>
      <c r="J356" s="455">
        <f t="array" ref="J356">IFERROR(INDEX('Retirement Calculator'!J:J,MATCH('Isaac 401k'!N356,'Retirement Calculator'!A:A,0),0),0)</f>
        <v>7863.2184191855868</v>
      </c>
      <c r="K356" s="455">
        <f t="shared" ca="1" si="27"/>
        <v>5684.3442941828353</v>
      </c>
      <c r="L356" s="455">
        <f t="shared" ca="1" si="28"/>
        <v>1369926.9748980631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1369926.9748980631</v>
      </c>
      <c r="J357" s="455">
        <f t="array" ref="J357">IFERROR(INDEX('Retirement Calculator'!J:J,MATCH('Isaac 401k'!N357,'Retirement Calculator'!A:A,0),0),0)</f>
        <v>7863.2184191855868</v>
      </c>
      <c r="K357" s="455">
        <f t="shared" ca="1" si="27"/>
        <v>5675.2656519953225</v>
      </c>
      <c r="L357" s="455">
        <f t="shared" ca="1" si="28"/>
        <v>1367739.0221308728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1367739.0221308728</v>
      </c>
      <c r="J358" s="455">
        <f t="array" ref="J358">IFERROR(INDEX('Retirement Calculator'!J:J,MATCH('Isaac 401k'!N358,'Retirement Calculator'!A:A,0),0),0)</f>
        <v>7863.2184191855868</v>
      </c>
      <c r="K358" s="455">
        <f t="shared" ca="1" si="27"/>
        <v>5666.1491821320296</v>
      </c>
      <c r="L358" s="455">
        <f t="shared" ca="1" si="28"/>
        <v>1365541.9528938192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1365541.9528938192</v>
      </c>
      <c r="J359" s="455">
        <f t="array" ref="J359">IFERROR(INDEX('Retirement Calculator'!J:J,MATCH('Isaac 401k'!N359,'Retirement Calculator'!A:A,0),0),0)</f>
        <v>7863.2184191855868</v>
      </c>
      <c r="K359" s="455">
        <f t="shared" ca="1" si="27"/>
        <v>5656.9947269776403</v>
      </c>
      <c r="L359" s="455">
        <f t="shared" ca="1" si="28"/>
        <v>1363335.7292016111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1363335.7292016111</v>
      </c>
      <c r="J360" s="455">
        <f t="array" ref="J360">IFERROR(INDEX('Retirement Calculator'!J:J,MATCH('Isaac 401k'!N360,'Retirement Calculator'!A:A,0),0),0)</f>
        <v>7863.2184191855868</v>
      </c>
      <c r="K360" s="455">
        <f t="shared" ca="1" si="27"/>
        <v>5647.8021282601067</v>
      </c>
      <c r="L360" s="455">
        <f t="shared" ca="1" si="28"/>
        <v>1361120.3129106855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1361120.3129106855</v>
      </c>
      <c r="J361" s="455">
        <f t="array" ref="J361">IFERROR(INDEX('Retirement Calculator'!J:J,MATCH('Isaac 401k'!N361,'Retirement Calculator'!A:A,0),0),0)</f>
        <v>7863.2184191855868</v>
      </c>
      <c r="K361" s="455">
        <f t="shared" ca="1" si="27"/>
        <v>5638.5712270479162</v>
      </c>
      <c r="L361" s="455">
        <f t="shared" ca="1" si="28"/>
        <v>1358895.6657185478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1358895.6657185478</v>
      </c>
      <c r="J362" s="455">
        <f t="array" ref="J362">IFERROR(INDEX('Retirement Calculator'!J:J,MATCH('Isaac 401k'!N362,'Retirement Calculator'!A:A,0),0),0)</f>
        <v>7863.2184191855868</v>
      </c>
      <c r="K362" s="455">
        <f t="shared" ca="1" si="27"/>
        <v>5629.3018637473424</v>
      </c>
      <c r="L362" s="455">
        <f t="shared" ca="1" si="28"/>
        <v>1356661.7491631096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1356661.7491631096</v>
      </c>
      <c r="J363" s="455">
        <f t="array" ref="J363">IFERROR(INDEX('Retirement Calculator'!J:J,MATCH('Isaac 401k'!N363,'Retirement Calculator'!A:A,0),0),0)</f>
        <v>7863.2184191855868</v>
      </c>
      <c r="K363" s="455">
        <f t="shared" ca="1" si="27"/>
        <v>5619.9938780996836</v>
      </c>
      <c r="L363" s="455">
        <f t="shared" ca="1" si="28"/>
        <v>1354418.5246220236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1354418.5246220236</v>
      </c>
      <c r="J364" s="455">
        <f t="array" ref="J364">IFERROR(INDEX('Retirement Calculator'!J:J,MATCH('Isaac 401k'!N364,'Retirement Calculator'!A:A,0),0),0)</f>
        <v>7863.2184191855868</v>
      </c>
      <c r="K364" s="455">
        <f t="shared" ca="1" si="27"/>
        <v>5610.6471091784915</v>
      </c>
      <c r="L364" s="455">
        <f t="shared" ca="1" si="28"/>
        <v>1352165.9533120166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1352165.9533120166</v>
      </c>
      <c r="J365" s="455">
        <f t="array" ref="J365">IFERROR(INDEX('Retirement Calculator'!J:J,MATCH('Isaac 401k'!N365,'Retirement Calculator'!A:A,0),0),0)</f>
        <v>7863.2184191855868</v>
      </c>
      <c r="K365" s="455">
        <f t="shared" ca="1" si="27"/>
        <v>5601.2613953867958</v>
      </c>
      <c r="L365" s="455">
        <f t="shared" ca="1" si="28"/>
        <v>1349903.9962882178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1349903.9962882178</v>
      </c>
      <c r="J366" s="455">
        <f t="array" ref="J366">IFERROR(INDEX('Retirement Calculator'!J:J,MATCH('Isaac 401k'!N366,'Retirement Calculator'!A:A,0),0),0)</f>
        <v>7863.2184191855868</v>
      </c>
      <c r="K366" s="455">
        <f t="shared" ca="1" si="27"/>
        <v>5591.8365744543007</v>
      </c>
      <c r="L366" s="455">
        <f t="shared" ca="1" si="28"/>
        <v>1347632.6144434866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1347632.6144434866</v>
      </c>
      <c r="J367" s="455">
        <f t="array" ref="J367">IFERROR(INDEX('Retirement Calculator'!J:J,MATCH('Isaac 401k'!N367,'Retirement Calculator'!A:A,0),0),0)</f>
        <v>7863.2184191855868</v>
      </c>
      <c r="K367" s="455">
        <f t="shared" ca="1" si="27"/>
        <v>5582.3724834345876</v>
      </c>
      <c r="L367" s="455">
        <f t="shared" ca="1" si="28"/>
        <v>1345351.7685077356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1345351.7685077356</v>
      </c>
      <c r="J368" s="455">
        <f t="array" ref="J368">IFERROR(INDEX('Retirement Calculator'!J:J,MATCH('Isaac 401k'!N368,'Retirement Calculator'!A:A,0),0),0)</f>
        <v>7863.2184191855868</v>
      </c>
      <c r="K368" s="455">
        <f t="shared" ca="1" si="27"/>
        <v>5572.8689587022918</v>
      </c>
      <c r="L368" s="455">
        <f t="shared" ca="1" si="28"/>
        <v>1343061.4190472523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1343061.4190472523</v>
      </c>
      <c r="J369" s="455">
        <f t="array" ref="J369">IFERROR(INDEX('Retirement Calculator'!J:J,MATCH('Isaac 401k'!N369,'Retirement Calculator'!A:A,0),0),0)</f>
        <v>7863.2184191855868</v>
      </c>
      <c r="K369" s="455">
        <f t="shared" ca="1" si="27"/>
        <v>5563.3258359502779</v>
      </c>
      <c r="L369" s="455">
        <f t="shared" ca="1" si="28"/>
        <v>1340761.5264640169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1340761.5264640169</v>
      </c>
      <c r="J370" s="455">
        <f t="array" ref="J370">IFERROR(INDEX('Retirement Calculator'!J:J,MATCH('Isaac 401k'!N370,'Retirement Calculator'!A:A,0),0),0)</f>
        <v>7863.2184191855868</v>
      </c>
      <c r="K370" s="455">
        <f t="shared" ca="1" si="27"/>
        <v>5553.7429501867973</v>
      </c>
      <c r="L370" s="455">
        <f t="shared" ca="1" si="28"/>
        <v>1338452.0509950181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1338452.0509950181</v>
      </c>
      <c r="J371" s="455">
        <f t="array" ref="J371">IFERROR(INDEX('Retirement Calculator'!J:J,MATCH('Isaac 401k'!N371,'Retirement Calculator'!A:A,0),0),0)</f>
        <v>7863.2184191855868</v>
      </c>
      <c r="K371" s="455">
        <f t="shared" ca="1" si="27"/>
        <v>5544.1201357326354</v>
      </c>
      <c r="L371" s="455">
        <f t="shared" ca="1" si="28"/>
        <v>1336132.9527115652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1336132.9527115652</v>
      </c>
      <c r="J372" s="455">
        <f t="array" ref="J372">IFERROR(INDEX('Retirement Calculator'!J:J,MATCH('Isaac 401k'!N372,'Retirement Calculator'!A:A,0),0),0)</f>
        <v>7863.2184191855868</v>
      </c>
      <c r="K372" s="455">
        <f t="shared" ca="1" si="27"/>
        <v>5534.4572262182483</v>
      </c>
      <c r="L372" s="455">
        <f t="shared" ca="1" si="28"/>
        <v>1333804.1915185978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1333804.1915185978</v>
      </c>
      <c r="J373" s="455">
        <f t="array" ref="J373">IFERROR(INDEX('Retirement Calculator'!J:J,MATCH('Isaac 401k'!N373,'Retirement Calculator'!A:A,0),0),0)</f>
        <v>7863.2184191855868</v>
      </c>
      <c r="K373" s="455">
        <f t="shared" ca="1" si="27"/>
        <v>5524.7540545808843</v>
      </c>
      <c r="L373" s="455">
        <f t="shared" ca="1" si="28"/>
        <v>1331465.727153993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1331465.727153993</v>
      </c>
      <c r="J374" s="455">
        <f t="array" ref="J374">IFERROR(INDEX('Retirement Calculator'!J:J,MATCH('Isaac 401k'!N374,'Retirement Calculator'!A:A,0),0),0)</f>
        <v>7863.2184191855868</v>
      </c>
      <c r="K374" s="455">
        <f t="shared" ca="1" si="27"/>
        <v>5515.0104530616973</v>
      </c>
      <c r="L374" s="455">
        <f t="shared" ca="1" si="28"/>
        <v>1329117.519187869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1329117.519187869</v>
      </c>
      <c r="J375" s="455">
        <f t="array" ref="J375">IFERROR(INDEX('Retirement Calculator'!J:J,MATCH('Isaac 401k'!N375,'Retirement Calculator'!A:A,0),0),0)</f>
        <v>7863.2184191855868</v>
      </c>
      <c r="K375" s="455">
        <f t="shared" ca="1" si="27"/>
        <v>5505.2262532028471</v>
      </c>
      <c r="L375" s="455">
        <f t="shared" ca="1" si="28"/>
        <v>1326759.5270218863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1326759.5270218863</v>
      </c>
      <c r="J376" s="455">
        <f t="array" ref="J376">IFERROR(INDEX('Retirement Calculator'!J:J,MATCH('Isaac 401k'!N376,'Retirement Calculator'!A:A,0),0),0)</f>
        <v>7863.2184191855868</v>
      </c>
      <c r="K376" s="455">
        <f t="shared" ca="1" si="27"/>
        <v>5495.4012858445858</v>
      </c>
      <c r="L376" s="455">
        <f t="shared" ca="1" si="28"/>
        <v>1324391.7098885453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1324391.7098885453</v>
      </c>
      <c r="J377" s="455">
        <f t="array" ref="J377">IFERROR(INDEX('Retirement Calculator'!J:J,MATCH('Isaac 401k'!N377,'Retirement Calculator'!A:A,0),0),0)</f>
        <v>7863.2184191855868</v>
      </c>
      <c r="K377" s="455">
        <f t="shared" ca="1" si="27"/>
        <v>5485.5353811223322</v>
      </c>
      <c r="L377" s="455">
        <f t="shared" ca="1" si="28"/>
        <v>1322014.026850482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1322014.026850482</v>
      </c>
      <c r="J378" s="455">
        <f t="array" ref="J378">IFERROR(INDEX('Retirement Calculator'!J:J,MATCH('Isaac 401k'!N378,'Retirement Calculator'!A:A,0),0),0)</f>
        <v>7863.2184191855868</v>
      </c>
      <c r="K378" s="455">
        <f t="shared" ca="1" si="27"/>
        <v>5475.6283684637347</v>
      </c>
      <c r="L378" s="455">
        <f t="shared" ca="1" si="28"/>
        <v>1319626.4367997602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1319626.4367997602</v>
      </c>
      <c r="J379" s="455">
        <f t="array" ref="J379">IFERROR(INDEX('Retirement Calculator'!J:J,MATCH('Isaac 401k'!N379,'Retirement Calculator'!A:A,0),0),0)</f>
        <v>7863.2184191855868</v>
      </c>
      <c r="K379" s="455">
        <f t="shared" ca="1" si="27"/>
        <v>5465.6800765857279</v>
      </c>
      <c r="L379" s="455">
        <f t="shared" ca="1" si="28"/>
        <v>1317228.8984571602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1317228.8984571602</v>
      </c>
      <c r="J380" s="455">
        <f t="array" ref="J380">IFERROR(INDEX('Retirement Calculator'!J:J,MATCH('Isaac 401k'!N380,'Retirement Calculator'!A:A,0),0),0)</f>
        <v>7863.2184191855868</v>
      </c>
      <c r="K380" s="455">
        <f t="shared" ca="1" si="27"/>
        <v>5455.6903334915605</v>
      </c>
      <c r="L380" s="455">
        <f t="shared" ca="1" si="28"/>
        <v>1314821.3703714663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1314821.3703714663</v>
      </c>
      <c r="J381" s="455">
        <f t="array" ref="J381">IFERROR(INDEX('Retirement Calculator'!J:J,MATCH('Isaac 401k'!N381,'Retirement Calculator'!A:A,0),0),0)</f>
        <v>7863.2184191855868</v>
      </c>
      <c r="K381" s="455">
        <f t="shared" ca="1" si="27"/>
        <v>5445.6589664678359</v>
      </c>
      <c r="L381" s="455">
        <f t="shared" ca="1" si="28"/>
        <v>1312403.8109187486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1312403.8109187486</v>
      </c>
      <c r="J382" s="455">
        <f t="array" ref="J382">IFERROR(INDEX('Retirement Calculator'!J:J,MATCH('Isaac 401k'!N382,'Retirement Calculator'!A:A,0),0),0)</f>
        <v>7863.2184191855868</v>
      </c>
      <c r="K382" s="455">
        <f t="shared" ca="1" si="27"/>
        <v>5435.5858020815122</v>
      </c>
      <c r="L382" s="455">
        <f t="shared" ca="1" si="28"/>
        <v>1309976.1783016445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1309976.1783016445</v>
      </c>
      <c r="J383" s="455">
        <f t="array" ref="J383">IFERROR(INDEX('Retirement Calculator'!J:J,MATCH('Isaac 401k'!N383,'Retirement Calculator'!A:A,0),0),0)</f>
        <v>7863.2184191855868</v>
      </c>
      <c r="K383" s="455">
        <f t="shared" ca="1" si="27"/>
        <v>5425.4706661769123</v>
      </c>
      <c r="L383" s="455">
        <f t="shared" ca="1" si="28"/>
        <v>1307538.4305486358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1307538.4305486358</v>
      </c>
      <c r="J384" s="455">
        <f t="array" ref="J384">IFERROR(INDEX('Retirement Calculator'!J:J,MATCH('Isaac 401k'!N384,'Retirement Calculator'!A:A,0),0),0)</f>
        <v>7863.2184191855868</v>
      </c>
      <c r="K384" s="455">
        <f t="shared" ca="1" si="27"/>
        <v>5415.313383872709</v>
      </c>
      <c r="L384" s="455">
        <f t="shared" ca="1" si="28"/>
        <v>1305090.5255133228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1305090.5255133228</v>
      </c>
      <c r="J385" s="455">
        <f t="array" ref="J385">IFERROR(INDEX('Retirement Calculator'!J:J,MATCH('Isaac 401k'!N385,'Retirement Calculator'!A:A,0),0),0)</f>
        <v>7863.2184191855868</v>
      </c>
      <c r="K385" s="455">
        <f t="shared" ca="1" si="27"/>
        <v>5405.1137795589048</v>
      </c>
      <c r="L385" s="455">
        <f t="shared" ca="1" si="28"/>
        <v>1302632.420873696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1302632.420873696</v>
      </c>
      <c r="J386" s="455">
        <f t="array" ref="J386">IFERROR(INDEX('Retirement Calculator'!J:J,MATCH('Isaac 401k'!N386,'Retirement Calculator'!A:A,0),0),0)</f>
        <v>7863.2184191855868</v>
      </c>
      <c r="K386" s="455">
        <f t="shared" ca="1" si="27"/>
        <v>5394.8716768937929</v>
      </c>
      <c r="L386" s="455">
        <f t="shared" ca="1" si="28"/>
        <v>1300164.0741314043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1300164.0741314043</v>
      </c>
      <c r="J387" s="455">
        <f t="array" ref="J387">IFERROR(INDEX('Retirement Calculator'!J:J,MATCH('Isaac 401k'!N387,'Retirement Calculator'!A:A,0),0),0)</f>
        <v>7863.2184191855868</v>
      </c>
      <c r="K387" s="455">
        <f t="shared" ca="1" si="27"/>
        <v>5384.5868988009115</v>
      </c>
      <c r="L387" s="455">
        <f t="shared" ca="1" si="28"/>
        <v>1297685.4426110196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1297685.4426110196</v>
      </c>
      <c r="J388" s="455">
        <f t="array" ref="J388">IFERROR(INDEX('Retirement Calculator'!J:J,MATCH('Isaac 401k'!N388,'Retirement Calculator'!A:A,0),0),0)</f>
        <v>7863.2184191855868</v>
      </c>
      <c r="K388" s="455">
        <f t="shared" ca="1" si="27"/>
        <v>5374.2592674659745</v>
      </c>
      <c r="L388" s="455">
        <f t="shared" ca="1" si="28"/>
        <v>1295196.4834592999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1295196.4834592999</v>
      </c>
      <c r="J389" s="455">
        <f t="array" ref="J389">IFERROR(INDEX('Retirement Calculator'!J:J,MATCH('Isaac 401k'!N389,'Retirement Calculator'!A:A,0),0),0)</f>
        <v>7863.2184191855868</v>
      </c>
      <c r="K389" s="455">
        <f t="shared" ca="1" si="27"/>
        <v>5363.8886043338098</v>
      </c>
      <c r="L389" s="455">
        <f t="shared" ca="1" si="28"/>
        <v>1292697.1536444481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1292697.1536444481</v>
      </c>
      <c r="J390" s="455">
        <f t="array" ref="J390">IFERROR(INDEX('Retirement Calculator'!J:J,MATCH('Isaac 401k'!N390,'Retirement Calculator'!A:A,0),0),0)</f>
        <v>7863.2184191855868</v>
      </c>
      <c r="K390" s="455">
        <f t="shared" ca="1" si="27"/>
        <v>5353.4747301052603</v>
      </c>
      <c r="L390" s="455">
        <f t="shared" ca="1" si="28"/>
        <v>1290187.4099553679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1290187.4099553679</v>
      </c>
      <c r="J391" s="455">
        <f t="array" ref="J391">IFERROR(INDEX('Retirement Calculator'!J:J,MATCH('Isaac 401k'!N391,'Retirement Calculator'!A:A,0),0),0)</f>
        <v>7863.2184191855868</v>
      </c>
      <c r="K391" s="455">
        <f t="shared" ca="1" si="27"/>
        <v>5343.0174647340928</v>
      </c>
      <c r="L391" s="455">
        <f t="shared" ca="1" si="28"/>
        <v>1287667.2090009165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1287667.2090009165</v>
      </c>
      <c r="J392" s="455">
        <f t="array" ref="J392">IFERROR(INDEX('Retirement Calculator'!J:J,MATCH('Isaac 401k'!N392,'Retirement Calculator'!A:A,0),0),0)</f>
        <v>7863.2184191855868</v>
      </c>
      <c r="K392" s="455">
        <f t="shared" ca="1" si="27"/>
        <v>5332.5166274238782</v>
      </c>
      <c r="L392" s="455">
        <f t="shared" ca="1" si="28"/>
        <v>1285136.5072091548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1285136.5072091548</v>
      </c>
      <c r="J393" s="455">
        <f t="array" ref="J393">IFERROR(INDEX('Retirement Calculator'!J:J,MATCH('Isaac 401k'!N393,'Retirement Calculator'!A:A,0),0),0)</f>
        <v>7863.2184191855868</v>
      </c>
      <c r="K393" s="455">
        <f t="shared" ca="1" si="27"/>
        <v>5321.9720366248712</v>
      </c>
      <c r="L393" s="455">
        <f t="shared" ca="1" si="28"/>
        <v>1282595.260826594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1282595.260826594</v>
      </c>
      <c r="J394" s="455">
        <f t="array" ref="J394">IFERROR(INDEX('Retirement Calculator'!J:J,MATCH('Isaac 401k'!N394,'Retirement Calculator'!A:A,0),0),0)</f>
        <v>7863.2184191855868</v>
      </c>
      <c r="K394" s="455">
        <f t="shared" ca="1" si="27"/>
        <v>5311.3835100308679</v>
      </c>
      <c r="L394" s="455">
        <f t="shared" ca="1" si="28"/>
        <v>1280043.4259174392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1280043.4259174392</v>
      </c>
      <c r="J395" s="455">
        <f t="array" ref="J395">IFERROR(INDEX('Retirement Calculator'!J:J,MATCH('Isaac 401k'!N395,'Retirement Calculator'!A:A,0),0),0)</f>
        <v>7863.2184191855868</v>
      </c>
      <c r="K395" s="455">
        <f t="shared" ca="1" si="27"/>
        <v>5300.7508645760563</v>
      </c>
      <c r="L395" s="455">
        <f t="shared" ca="1" si="28"/>
        <v>1277480.9583628296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1277480.9583628296</v>
      </c>
      <c r="J396" s="455">
        <f t="array" ref="J396">IFERROR(INDEX('Retirement Calculator'!J:J,MATCH('Isaac 401k'!N396,'Retirement Calculator'!A:A,0),0),0)</f>
        <v>7863.2184191855868</v>
      </c>
      <c r="K396" s="455">
        <f t="shared" ca="1" si="27"/>
        <v>5290.0739164318502</v>
      </c>
      <c r="L396" s="455">
        <f t="shared" ca="1" si="28"/>
        <v>1274907.8138600758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1274907.8138600758</v>
      </c>
      <c r="J397" s="455">
        <f t="array" ref="J397">IFERROR(INDEX('Retirement Calculator'!J:J,MATCH('Isaac 401k'!N397,'Retirement Calculator'!A:A,0),0),0)</f>
        <v>7863.2184191855868</v>
      </c>
      <c r="K397" s="455">
        <f t="shared" ca="1" si="27"/>
        <v>5279.3524810037088</v>
      </c>
      <c r="L397" s="455">
        <f t="shared" ca="1" si="28"/>
        <v>1272323.9479218938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1272323.9479218938</v>
      </c>
      <c r="J398" s="455">
        <f t="array" ref="J398">IFERROR(INDEX('Retirement Calculator'!J:J,MATCH('Isaac 401k'!N398,'Retirement Calculator'!A:A,0),0),0)</f>
        <v>7863.2184191855868</v>
      </c>
      <c r="K398" s="455">
        <f t="shared" ca="1" si="27"/>
        <v>5268.5863729279508</v>
      </c>
      <c r="L398" s="455">
        <f t="shared" ca="1" si="28"/>
        <v>1269729.3158756362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1269729.3158756362</v>
      </c>
      <c r="J399" s="455">
        <f t="array" ref="J399">IFERROR(INDEX('Retirement Calculator'!J:J,MATCH('Isaac 401k'!N399,'Retirement Calculator'!A:A,0),0),0)</f>
        <v>7863.2184191855868</v>
      </c>
      <c r="K399" s="455">
        <f t="shared" ca="1" si="27"/>
        <v>5257.7754060685438</v>
      </c>
      <c r="L399" s="455">
        <f t="shared" ca="1" si="28"/>
        <v>1267123.8728625192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1267123.8728625192</v>
      </c>
      <c r="J400" s="455">
        <f t="array" ref="J400">IFERROR(INDEX('Retirement Calculator'!J:J,MATCH('Isaac 401k'!N400,'Retirement Calculator'!A:A,0),0),0)</f>
        <v>7863.2184191855868</v>
      </c>
      <c r="K400" s="455">
        <f t="shared" ca="1" si="27"/>
        <v>5246.9193935138901</v>
      </c>
      <c r="L400" s="455">
        <f t="shared" ca="1" si="28"/>
        <v>1264507.5738368474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1264507.5738368474</v>
      </c>
      <c r="J401" s="455">
        <f t="array" ref="J401">IFERROR(INDEX('Retirement Calculator'!J:J,MATCH('Isaac 401k'!N401,'Retirement Calculator'!A:A,0),0),0)</f>
        <v>7863.2184191855868</v>
      </c>
      <c r="K401" s="455">
        <f t="shared" ca="1" si="27"/>
        <v>5236.0181475735908</v>
      </c>
      <c r="L401" s="455">
        <f t="shared" ca="1" si="28"/>
        <v>1261880.3735652354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1261880.3735652354</v>
      </c>
      <c r="J402" s="455">
        <f t="array" ref="J402">IFERROR(INDEX('Retirement Calculator'!J:J,MATCH('Isaac 401k'!N402,'Retirement Calculator'!A:A,0),0),0)</f>
        <v>7863.2184191855868</v>
      </c>
      <c r="K402" s="455">
        <f t="shared" ca="1" si="27"/>
        <v>5225.0714797752071</v>
      </c>
      <c r="L402" s="455">
        <f t="shared" ca="1" si="28"/>
        <v>1259242.226625825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1259242.226625825</v>
      </c>
      <c r="J403" s="455">
        <f t="array" ref="J403">IFERROR(INDEX('Retirement Calculator'!J:J,MATCH('Isaac 401k'!N403,'Retirement Calculator'!A:A,0),0),0)</f>
        <v>7863.2184191855868</v>
      </c>
      <c r="K403" s="455">
        <f t="shared" ca="1" si="27"/>
        <v>5214.0792008609978</v>
      </c>
      <c r="L403" s="455">
        <f t="shared" ca="1" si="28"/>
        <v>1256593.0874075005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1256593.0874075005</v>
      </c>
      <c r="J404" s="455">
        <f t="array" ref="J404">IFERROR(INDEX('Retirement Calculator'!J:J,MATCH('Isaac 401k'!N404,'Retirement Calculator'!A:A,0),0),0)</f>
        <v>7863.2184191855868</v>
      </c>
      <c r="K404" s="455">
        <f t="shared" ca="1" si="27"/>
        <v>5203.0411207846455</v>
      </c>
      <c r="L404" s="455">
        <f t="shared" ca="1" si="28"/>
        <v>1253932.9101090995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1253932.9101090995</v>
      </c>
      <c r="J405" s="455">
        <f t="array" ref="J405">IFERROR(INDEX('Retirement Calculator'!J:J,MATCH('Isaac 401k'!N405,'Retirement Calculator'!A:A,0),0),0)</f>
        <v>7863.2184191855868</v>
      </c>
      <c r="K405" s="455">
        <f t="shared" ca="1" si="27"/>
        <v>5191.9570487079745</v>
      </c>
      <c r="L405" s="455">
        <f t="shared" ca="1" si="28"/>
        <v>1251261.6487386217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1251261.6487386217</v>
      </c>
      <c r="J406" s="455">
        <f t="array" ref="J406">IFERROR(INDEX('Retirement Calculator'!J:J,MATCH('Isaac 401k'!N406,'Retirement Calculator'!A:A,0),0),0)</f>
        <v>7863.2184191855868</v>
      </c>
      <c r="K406" s="455">
        <f t="shared" ca="1" si="27"/>
        <v>5180.82679299765</v>
      </c>
      <c r="L406" s="455">
        <f t="shared" ca="1" si="28"/>
        <v>1248579.2571124337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1248579.2571124337</v>
      </c>
      <c r="J407" s="455">
        <f t="array" ref="J407">IFERROR(INDEX('Retirement Calculator'!J:J,MATCH('Isaac 401k'!N407,'Retirement Calculator'!A:A,0),0),0)</f>
        <v>7863.2184191855868</v>
      </c>
      <c r="K407" s="455">
        <f t="shared" ca="1" si="27"/>
        <v>5169.6501612218672</v>
      </c>
      <c r="L407" s="455">
        <f t="shared" ca="1" si="28"/>
        <v>1245885.6888544699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1245885.6888544699</v>
      </c>
      <c r="J408" s="455">
        <f t="array" ref="J408">IFERROR(INDEX('Retirement Calculator'!J:J,MATCH('Isaac 401k'!N408,'Retirement Calculator'!A:A,0),0),0)</f>
        <v>7863.2184191855868</v>
      </c>
      <c r="K408" s="455">
        <f t="shared" ca="1" si="27"/>
        <v>5158.4269601470178</v>
      </c>
      <c r="L408" s="455">
        <f t="shared" ca="1" si="28"/>
        <v>1243180.8973954313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1243180.8973954313</v>
      </c>
      <c r="J409" s="455">
        <f t="array" ref="J409">IFERROR(INDEX('Retirement Calculator'!J:J,MATCH('Isaac 401k'!N409,'Retirement Calculator'!A:A,0),0),0)</f>
        <v>7863.2184191855868</v>
      </c>
      <c r="K409" s="455">
        <f t="shared" ca="1" si="27"/>
        <v>5147.1569957343572</v>
      </c>
      <c r="L409" s="455">
        <f t="shared" ca="1" si="28"/>
        <v>1240464.8359719801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1240464.8359719801</v>
      </c>
      <c r="J410" s="455">
        <f t="array" ref="J410">IFERROR(INDEX('Retirement Calculator'!J:J,MATCH('Isaac 401k'!N410,'Retirement Calculator'!A:A,0),0),0)</f>
        <v>7863.2184191855868</v>
      </c>
      <c r="K410" s="455">
        <f t="shared" ca="1" si="27"/>
        <v>5135.8400731366437</v>
      </c>
      <c r="L410" s="455">
        <f t="shared" ca="1" si="28"/>
        <v>1237737.4576259311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1237737.4576259311</v>
      </c>
      <c r="J411" s="455">
        <f t="array" ref="J411">IFERROR(INDEX('Retirement Calculator'!J:J,MATCH('Isaac 401k'!N411,'Retirement Calculator'!A:A,0),0),0)</f>
        <v>7863.2184191855868</v>
      </c>
      <c r="K411" s="455">
        <f t="shared" ca="1" si="27"/>
        <v>5124.4759966947731</v>
      </c>
      <c r="L411" s="455">
        <f t="shared" ca="1" si="28"/>
        <v>1234998.7152034403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1234998.7152034403</v>
      </c>
      <c r="J412" s="455">
        <f t="array" ref="J412">IFERROR(INDEX('Retirement Calculator'!J:J,MATCH('Isaac 401k'!N412,'Retirement Calculator'!A:A,0),0),0)</f>
        <v>7863.2184191855868</v>
      </c>
      <c r="K412" s="455">
        <f t="shared" ca="1" si="27"/>
        <v>5113.0645699343941</v>
      </c>
      <c r="L412" s="455">
        <f t="shared" ca="1" si="28"/>
        <v>1232248.5613541892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1232248.5613541892</v>
      </c>
      <c r="J413" s="455">
        <f t="array" ref="J413">IFERROR(INDEX('Retirement Calculator'!J:J,MATCH('Isaac 401k'!N413,'Retirement Calculator'!A:A,0),0),0)</f>
        <v>7863.2184191855868</v>
      </c>
      <c r="K413" s="455">
        <f t="shared" ca="1" si="27"/>
        <v>5101.6055955625152</v>
      </c>
      <c r="L413" s="455">
        <f t="shared" ca="1" si="28"/>
        <v>1229486.9485305662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1229486.9485305662</v>
      </c>
      <c r="J414" s="455">
        <f t="array" ref="J414">IFERROR(INDEX('Retirement Calculator'!J:J,MATCH('Isaac 401k'!N414,'Retirement Calculator'!A:A,0),0),0)</f>
        <v>7863.2184191855868</v>
      </c>
      <c r="K414" s="455">
        <f t="shared" ca="1" si="27"/>
        <v>5090.0988754640857</v>
      </c>
      <c r="L414" s="455">
        <f t="shared" ca="1" si="28"/>
        <v>1226713.8289868447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1226713.8289868447</v>
      </c>
      <c r="J415" s="455">
        <f t="array" ref="J415">IFERROR(INDEX('Retirement Calculator'!J:J,MATCH('Isaac 401k'!N415,'Retirement Calculator'!A:A,0),0),0)</f>
        <v>7863.2184191855868</v>
      </c>
      <c r="K415" s="455">
        <f t="shared" ca="1" si="27"/>
        <v>5078.5442106985793</v>
      </c>
      <c r="L415" s="455">
        <f t="shared" ca="1" si="28"/>
        <v>1223929.1547783578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1223929.1547783578</v>
      </c>
      <c r="J416" s="455">
        <f t="array" ref="J416">IFERROR(INDEX('Retirement Calculator'!J:J,MATCH('Isaac 401k'!N416,'Retirement Calculator'!A:A,0),0),0)</f>
        <v>7863.2184191855868</v>
      </c>
      <c r="K416" s="455">
        <f t="shared" ca="1" si="27"/>
        <v>5066.9414014965505</v>
      </c>
      <c r="L416" s="455">
        <f t="shared" ca="1" si="28"/>
        <v>1221132.8777606688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1221132.8777606688</v>
      </c>
      <c r="J417" s="455">
        <f t="array" ref="J417">IFERROR(INDEX('Retirement Calculator'!J:J,MATCH('Isaac 401k'!N417,'Retirement Calculator'!A:A,0),0),0)</f>
        <v>7863.2184191855868</v>
      </c>
      <c r="K417" s="455">
        <f t="shared" ca="1" si="27"/>
        <v>5055.29024725618</v>
      </c>
      <c r="L417" s="455">
        <f t="shared" ca="1" si="28"/>
        <v>1218324.9495887393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1218324.9495887393</v>
      </c>
      <c r="J418" s="455">
        <f t="array" ref="J418">IFERROR(INDEX('Retirement Calculator'!J:J,MATCH('Isaac 401k'!N418,'Retirement Calculator'!A:A,0),0),0)</f>
        <v>7863.2184191855868</v>
      </c>
      <c r="K418" s="455">
        <f t="shared" ca="1" si="27"/>
        <v>5043.5905465398073</v>
      </c>
      <c r="L418" s="455">
        <f t="shared" ca="1" si="28"/>
        <v>1215505.3217160935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1215505.3217160935</v>
      </c>
      <c r="J419" s="455">
        <f t="array" ref="J419">IFERROR(INDEX('Retirement Calculator'!J:J,MATCH('Isaac 401k'!N419,'Retirement Calculator'!A:A,0),0),0)</f>
        <v>7863.2184191855868</v>
      </c>
      <c r="K419" s="455">
        <f t="shared" ca="1" si="27"/>
        <v>5031.8420970704492</v>
      </c>
      <c r="L419" s="455">
        <f t="shared" ca="1" si="28"/>
        <v>1212673.9453939784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1212673.9453939784</v>
      </c>
      <c r="J420" s="455">
        <f t="array" ref="J420">IFERROR(INDEX('Retirement Calculator'!J:J,MATCH('Isaac 401k'!N420,'Retirement Calculator'!A:A,0),0),0)</f>
        <v>7863.2184191855868</v>
      </c>
      <c r="K420" s="455">
        <f t="shared" ca="1" si="27"/>
        <v>5020.0446957283029</v>
      </c>
      <c r="L420" s="455">
        <f t="shared" ca="1" si="28"/>
        <v>1209830.771670521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1209830.771670521</v>
      </c>
      <c r="J421" s="455">
        <f t="array" ref="J421">IFERROR(INDEX('Retirement Calculator'!J:J,MATCH('Isaac 401k'!N421,'Retirement Calculator'!A:A,0),0),0)</f>
        <v>7863.2184191855868</v>
      </c>
      <c r="K421" s="455">
        <f t="shared" ca="1" si="27"/>
        <v>5008.1981385472309</v>
      </c>
      <c r="L421" s="455">
        <f t="shared" ca="1" si="28"/>
        <v>1206975.7513898825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1206975.7513898825</v>
      </c>
      <c r="J422" s="455">
        <f t="array" ref="J422">IFERROR(INDEX('Retirement Calculator'!J:J,MATCH('Isaac 401k'!N422,'Retirement Calculator'!A:A,0),0),0)</f>
        <v>7863.2184191855868</v>
      </c>
      <c r="K422" s="455">
        <f t="shared" ca="1" si="27"/>
        <v>4996.3022207112372</v>
      </c>
      <c r="L422" s="455">
        <f t="shared" ca="1" si="28"/>
        <v>1204108.8351914082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1204108.8351914082</v>
      </c>
      <c r="J423" s="455">
        <f t="array" ref="J423">IFERROR(INDEX('Retirement Calculator'!J:J,MATCH('Isaac 401k'!N423,'Retirement Calculator'!A:A,0),0),0)</f>
        <v>7863.2184191855868</v>
      </c>
      <c r="K423" s="455">
        <f t="shared" ca="1" si="27"/>
        <v>4984.3567365509271</v>
      </c>
      <c r="L423" s="455">
        <f t="shared" ca="1" si="28"/>
        <v>1201229.9735087736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1201229.9735087736</v>
      </c>
      <c r="J424" s="455">
        <f t="array" ref="J424">IFERROR(INDEX('Retirement Calculator'!J:J,MATCH('Isaac 401k'!N424,'Retirement Calculator'!A:A,0),0),0)</f>
        <v>7863.2184191855868</v>
      </c>
      <c r="K424" s="455">
        <f t="shared" ca="1" si="27"/>
        <v>4972.3614795399499</v>
      </c>
      <c r="L424" s="455">
        <f t="shared" ca="1" si="28"/>
        <v>1198339.1165691279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1198339.1165691279</v>
      </c>
      <c r="J425" s="455">
        <f t="array" ref="J425">IFERROR(INDEX('Retirement Calculator'!J:J,MATCH('Isaac 401k'!N425,'Retirement Calculator'!A:A,0),0),0)</f>
        <v>7863.2184191855868</v>
      </c>
      <c r="K425" s="455">
        <f t="shared" ca="1" si="27"/>
        <v>4960.3162422914265</v>
      </c>
      <c r="L425" s="455">
        <f t="shared" ca="1" si="28"/>
        <v>1195436.2143922336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1195436.2143922336</v>
      </c>
      <c r="J426" s="455">
        <f t="array" ref="J426">IFERROR(INDEX('Retirement Calculator'!J:J,MATCH('Isaac 401k'!N426,'Retirement Calculator'!A:A,0),0),0)</f>
        <v>7863.2184191855868</v>
      </c>
      <c r="K426" s="455">
        <f t="shared" ca="1" si="27"/>
        <v>4948.220816554367</v>
      </c>
      <c r="L426" s="455">
        <f t="shared" ca="1" si="28"/>
        <v>1192521.2167896023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1192521.2167896023</v>
      </c>
      <c r="J427" s="455">
        <f t="array" ref="J427">IFERROR(INDEX('Retirement Calculator'!J:J,MATCH('Isaac 401k'!N427,'Retirement Calculator'!A:A,0),0),0)</f>
        <v>7863.2184191855868</v>
      </c>
      <c r="K427" s="455">
        <f t="shared" ca="1" si="27"/>
        <v>4936.0749932100698</v>
      </c>
      <c r="L427" s="455">
        <f t="shared" ca="1" si="28"/>
        <v>1189594.0733636268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1189594.0733636268</v>
      </c>
      <c r="J428" s="455">
        <f t="array" ref="J428">IFERROR(INDEX('Retirement Calculator'!J:J,MATCH('Isaac 401k'!N428,'Retirement Calculator'!A:A,0),0),0)</f>
        <v>7863.2184191855868</v>
      </c>
      <c r="K428" s="455">
        <f t="shared" ca="1" si="27"/>
        <v>4923.8785622685054</v>
      </c>
      <c r="L428" s="455">
        <f t="shared" ca="1" si="28"/>
        <v>1186654.7335067098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1186654.7335067098</v>
      </c>
      <c r="J429" s="455">
        <f t="array" ref="J429">IFERROR(INDEX('Retirement Calculator'!J:J,MATCH('Isaac 401k'!N429,'Retirement Calculator'!A:A,0),0),0)</f>
        <v>7863.2184191855868</v>
      </c>
      <c r="K429" s="455">
        <f t="shared" ca="1" si="27"/>
        <v>4911.6313128646843</v>
      </c>
      <c r="L429" s="455">
        <f t="shared" ca="1" si="28"/>
        <v>1183703.1464003888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1183703.1464003888</v>
      </c>
      <c r="J430" s="455">
        <f t="array" ref="J430">IFERROR(INDEX('Retirement Calculator'!J:J,MATCH('Isaac 401k'!N430,'Retirement Calculator'!A:A,0),0),0)</f>
        <v>7863.2184191855868</v>
      </c>
      <c r="K430" s="455">
        <f t="shared" ca="1" si="27"/>
        <v>4899.3330332550131</v>
      </c>
      <c r="L430" s="455">
        <f t="shared" ca="1" si="28"/>
        <v>1180739.2610144583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1180739.2610144583</v>
      </c>
      <c r="J431" s="455">
        <f t="array" ref="J431">IFERROR(INDEX('Retirement Calculator'!J:J,MATCH('Isaac 401k'!N431,'Retirement Calculator'!A:A,0),0),0)</f>
        <v>7863.2184191855868</v>
      </c>
      <c r="K431" s="455">
        <f t="shared" ca="1" si="27"/>
        <v>4886.9835108136358</v>
      </c>
      <c r="L431" s="455">
        <f t="shared" ca="1" si="28"/>
        <v>1177763.0261060863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1177763.0261060863</v>
      </c>
      <c r="J432" s="455">
        <f t="array" ref="J432">IFERROR(INDEX('Retirement Calculator'!J:J,MATCH('Isaac 401k'!N432,'Retirement Calculator'!A:A,0),0),0)</f>
        <v>7863.2184191855868</v>
      </c>
      <c r="K432" s="455">
        <f t="shared" ca="1" si="27"/>
        <v>4874.5825320287531</v>
      </c>
      <c r="L432" s="455">
        <f t="shared" ca="1" si="28"/>
        <v>1174774.3902189294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1174774.3902189294</v>
      </c>
      <c r="J433" s="455">
        <f t="array" ref="J433">IFERROR(INDEX('Retirement Calculator'!J:J,MATCH('Isaac 401k'!N433,'Retirement Calculator'!A:A,0),0),0)</f>
        <v>7863.2184191855868</v>
      </c>
      <c r="K433" s="455">
        <f t="shared" ca="1" si="27"/>
        <v>4862.1298824989326</v>
      </c>
      <c r="L433" s="455">
        <f t="shared" ca="1" si="28"/>
        <v>1171773.3016822427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1171773.3016822427</v>
      </c>
      <c r="J434" s="455">
        <f t="array" ref="J434">IFERROR(INDEX('Retirement Calculator'!J:J,MATCH('Isaac 401k'!N434,'Retirement Calculator'!A:A,0),0),0)</f>
        <v>7863.2184191855868</v>
      </c>
      <c r="K434" s="455">
        <f t="shared" ca="1" si="27"/>
        <v>4849.6253469294043</v>
      </c>
      <c r="L434" s="455">
        <f t="shared" ca="1" si="28"/>
        <v>1168759.7086099864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1168759.7086099864</v>
      </c>
      <c r="J435" s="455">
        <f t="array" ref="J435">IFERROR(INDEX('Retirement Calculator'!J:J,MATCH('Isaac 401k'!N435,'Retirement Calculator'!A:A,0),0),0)</f>
        <v>7863.2184191855868</v>
      </c>
      <c r="K435" s="455">
        <f t="shared" ca="1" si="27"/>
        <v>4837.0687091283362</v>
      </c>
      <c r="L435" s="455">
        <f t="shared" ca="1" si="28"/>
        <v>1165733.558899929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1165733.558899929</v>
      </c>
      <c r="J436" s="455">
        <f t="array" ref="J436">IFERROR(INDEX('Retirement Calculator'!J:J,MATCH('Isaac 401k'!N436,'Retirement Calculator'!A:A,0),0),0)</f>
        <v>7863.2184191855868</v>
      </c>
      <c r="K436" s="455">
        <f t="shared" ca="1" si="27"/>
        <v>4824.4597520030975</v>
      </c>
      <c r="L436" s="455">
        <f t="shared" ca="1" si="28"/>
        <v>1162694.8002327466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1162694.8002327466</v>
      </c>
      <c r="J437" s="455">
        <f t="array" ref="J437">IFERROR(INDEX('Retirement Calculator'!J:J,MATCH('Isaac 401k'!N437,'Retirement Calculator'!A:A,0),0),0)</f>
        <v>7863.2184191855868</v>
      </c>
      <c r="K437" s="455">
        <f t="shared" ca="1" si="27"/>
        <v>4811.7982575565038</v>
      </c>
      <c r="L437" s="455">
        <f t="shared" ca="1" si="28"/>
        <v>1159643.3800711175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1159643.3800711175</v>
      </c>
      <c r="J438" s="455">
        <f t="array" ref="J438">IFERROR(INDEX('Retirement Calculator'!J:J,MATCH('Isaac 401k'!N438,'Retirement Calculator'!A:A,0),0),0)</f>
        <v>7863.2184191855868</v>
      </c>
      <c r="K438" s="455">
        <f t="shared" ca="1" si="27"/>
        <v>4799.0840068830494</v>
      </c>
      <c r="L438" s="455">
        <f t="shared" ca="1" si="28"/>
        <v>1156579.2456588149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1156579.2456588149</v>
      </c>
      <c r="J439" s="455">
        <f t="array" ref="J439">IFERROR(INDEX('Retirement Calculator'!J:J,MATCH('Isaac 401k'!N439,'Retirement Calculator'!A:A,0),0),0)</f>
        <v>7863.2184191855868</v>
      </c>
      <c r="K439" s="455">
        <f t="shared" ca="1" si="27"/>
        <v>4786.3167801651216</v>
      </c>
      <c r="L439" s="455">
        <f t="shared" ca="1" si="28"/>
        <v>1153502.3440197944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1153502.3440197944</v>
      </c>
      <c r="J440" s="455">
        <f t="array" ref="J440">IFERROR(INDEX('Retirement Calculator'!J:J,MATCH('Isaac 401k'!N440,'Retirement Calculator'!A:A,0),0),0)</f>
        <v>7863.2184191855868</v>
      </c>
      <c r="K440" s="455">
        <f t="shared" ca="1" si="27"/>
        <v>4773.4963566692031</v>
      </c>
      <c r="L440" s="455">
        <f t="shared" ca="1" si="28"/>
        <v>1150412.6219572779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1150412.6219572779</v>
      </c>
      <c r="J441" s="455">
        <f t="array" ref="J441">IFERROR(INDEX('Retirement Calculator'!J:J,MATCH('Isaac 401k'!N441,'Retirement Calculator'!A:A,0),0),0)</f>
        <v>7863.2184191855868</v>
      </c>
      <c r="K441" s="455">
        <f t="shared" ca="1" si="27"/>
        <v>4760.622514742051</v>
      </c>
      <c r="L441" s="455">
        <f t="shared" ca="1" si="28"/>
        <v>1147310.0260528342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1147310.0260528342</v>
      </c>
      <c r="J442" s="455">
        <f t="array" ref="J442">IFERROR(INDEX('Retirement Calculator'!J:J,MATCH('Isaac 401k'!N442,'Retirement Calculator'!A:A,0),0),0)</f>
        <v>7863.2184191855868</v>
      </c>
      <c r="K442" s="455">
        <f t="shared" ca="1" si="27"/>
        <v>4747.6950318068693</v>
      </c>
      <c r="L442" s="455">
        <f t="shared" ca="1" si="28"/>
        <v>1144194.5026654555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1144194.5026654555</v>
      </c>
      <c r="J443" s="455">
        <f t="array" ref="J443">IFERROR(INDEX('Retirement Calculator'!J:J,MATCH('Isaac 401k'!N443,'Retirement Calculator'!A:A,0),0),0)</f>
        <v>7863.2184191855868</v>
      </c>
      <c r="K443" s="455">
        <f t="shared" ca="1" si="27"/>
        <v>4734.7136843594581</v>
      </c>
      <c r="L443" s="455">
        <f t="shared" ca="1" si="28"/>
        <v>1141065.9979306294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1141065.9979306294</v>
      </c>
      <c r="J444" s="455">
        <f t="array" ref="J444">IFERROR(INDEX('Retirement Calculator'!J:J,MATCH('Isaac 401k'!N444,'Retirement Calculator'!A:A,0),0),0)</f>
        <v>7863.2184191855868</v>
      </c>
      <c r="K444" s="455">
        <f t="shared" ca="1" si="27"/>
        <v>4721.6782479643489</v>
      </c>
      <c r="L444" s="455">
        <f t="shared" ca="1" si="28"/>
        <v>1137924.457759408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1137924.457759408</v>
      </c>
      <c r="J445" s="455">
        <f t="array" ref="J445">IFERROR(INDEX('Retirement Calculator'!J:J,MATCH('Isaac 401k'!N445,'Retirement Calculator'!A:A,0),0),0)</f>
        <v>7863.2184191855868</v>
      </c>
      <c r="K445" s="455">
        <f t="shared" ca="1" si="27"/>
        <v>4708.5884972509266</v>
      </c>
      <c r="L445" s="455">
        <f t="shared" ca="1" si="28"/>
        <v>1134769.8278374735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1134769.8278374735</v>
      </c>
      <c r="J446" s="455">
        <f t="array" ref="J446">IFERROR(INDEX('Retirement Calculator'!J:J,MATCH('Isaac 401k'!N446,'Retirement Calculator'!A:A,0),0),0)</f>
        <v>7863.2184191855868</v>
      </c>
      <c r="K446" s="455">
        <f t="shared" ca="1" si="27"/>
        <v>4695.4442059095327</v>
      </c>
      <c r="L446" s="455">
        <f t="shared" ca="1" si="28"/>
        <v>1131602.0536241974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1131602.0536241974</v>
      </c>
      <c r="J447" s="455">
        <f t="array" ref="J447">IFERROR(INDEX('Retirement Calculator'!J:J,MATCH('Isaac 401k'!N447,'Retirement Calculator'!A:A,0),0),0)</f>
        <v>7863.2184191855868</v>
      </c>
      <c r="K447" s="455">
        <f t="shared" ca="1" si="27"/>
        <v>4682.2451466875491</v>
      </c>
      <c r="L447" s="455">
        <f t="shared" ca="1" si="28"/>
        <v>1128421.0803516994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1128421.0803516994</v>
      </c>
      <c r="J448" s="455">
        <f t="array" ref="J448">IFERROR(INDEX('Retirement Calculator'!J:J,MATCH('Isaac 401k'!N448,'Retirement Calculator'!A:A,0),0),0)</f>
        <v>7863.2184191855868</v>
      </c>
      <c r="K448" s="455">
        <f t="shared" ca="1" si="27"/>
        <v>4668.9910913854737</v>
      </c>
      <c r="L448" s="455">
        <f t="shared" ca="1" si="28"/>
        <v>1125226.8530238993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1125226.8530238993</v>
      </c>
      <c r="J449" s="455">
        <f t="array" ref="J449">IFERROR(INDEX('Retirement Calculator'!J:J,MATCH('Isaac 401k'!N449,'Retirement Calculator'!A:A,0),0),0)</f>
        <v>7863.2184191855868</v>
      </c>
      <c r="K449" s="455">
        <f t="shared" ca="1" si="27"/>
        <v>4655.6818108529733</v>
      </c>
      <c r="L449" s="455">
        <f t="shared" ca="1" si="28"/>
        <v>1122019.3164155667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1122019.3164155667</v>
      </c>
      <c r="J450" s="455">
        <f t="array" ref="J450">IFERROR(INDEX('Retirement Calculator'!J:J,MATCH('Isaac 401k'!N450,'Retirement Calculator'!A:A,0),0),0)</f>
        <v>7863.2184191855868</v>
      </c>
      <c r="K450" s="455">
        <f t="shared" ca="1" si="27"/>
        <v>4642.3170749849214</v>
      </c>
      <c r="L450" s="455">
        <f t="shared" ca="1" si="28"/>
        <v>1118798.4150713661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1118798.4150713661</v>
      </c>
      <c r="J451" s="455">
        <f t="array" ref="J451">IFERROR(INDEX('Retirement Calculator'!J:J,MATCH('Isaac 401k'!N451,'Retirement Calculator'!A:A,0),0),0)</f>
        <v>7863.2184191855868</v>
      </c>
      <c r="K451" s="455">
        <f t="shared" ca="1" si="27"/>
        <v>4628.8966527174189</v>
      </c>
      <c r="L451" s="455">
        <f t="shared" ca="1" si="28"/>
        <v>1115564.0933048979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1115564.0933048979</v>
      </c>
      <c r="J452" s="455">
        <f t="array" ref="J452">IFERROR(INDEX('Retirement Calculator'!J:J,MATCH('Isaac 401k'!N452,'Retirement Calculator'!A:A,0),0),0)</f>
        <v>7863.2184191855868</v>
      </c>
      <c r="K452" s="455">
        <f t="shared" ca="1" si="27"/>
        <v>4615.4203120238008</v>
      </c>
      <c r="L452" s="455">
        <f t="shared" ca="1" si="28"/>
        <v>1112316.295197736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1112316.295197736</v>
      </c>
      <c r="J453" s="455">
        <f t="array" ref="J453">IFERROR(INDEX('Retirement Calculator'!J:J,MATCH('Isaac 401k'!N453,'Retirement Calculator'!A:A,0),0),0)</f>
        <v>7863.2184191855868</v>
      </c>
      <c r="K453" s="455">
        <f t="shared" ca="1" si="27"/>
        <v>4601.8878199106266</v>
      </c>
      <c r="L453" s="455">
        <f t="shared" ca="1" si="28"/>
        <v>1109054.9645984611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1109054.9645984611</v>
      </c>
      <c r="J454" s="455">
        <f t="array" ref="J454">IFERROR(INDEX('Retirement Calculator'!J:J,MATCH('Isaac 401k'!N454,'Retirement Calculator'!A:A,0),0),0)</f>
        <v>7863.2184191855868</v>
      </c>
      <c r="K454" s="455">
        <f t="shared" ca="1" si="27"/>
        <v>4588.2989424136476</v>
      </c>
      <c r="L454" s="455">
        <f t="shared" ca="1" si="28"/>
        <v>1105780.0451216891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1105780.0451216891</v>
      </c>
      <c r="J455" s="455">
        <f t="array" ref="J455">IFERROR(INDEX('Retirement Calculator'!J:J,MATCH('Isaac 401k'!N455,'Retirement Calculator'!A:A,0),0),0)</f>
        <v>7863.2184191855868</v>
      </c>
      <c r="K455" s="455">
        <f t="shared" ca="1" si="27"/>
        <v>4574.6534445937641</v>
      </c>
      <c r="L455" s="455">
        <f t="shared" ca="1" si="28"/>
        <v>1102491.4801470973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1102491.4801470973</v>
      </c>
      <c r="J456" s="455">
        <f t="array" ref="J456">IFERROR(INDEX('Retirement Calculator'!J:J,MATCH('Isaac 401k'!N456,'Retirement Calculator'!A:A,0),0),0)</f>
        <v>7863.2184191855868</v>
      </c>
      <c r="K456" s="455">
        <f t="shared" ca="1" si="27"/>
        <v>4560.9510905329653</v>
      </c>
      <c r="L456" s="455">
        <f t="shared" ca="1" si="28"/>
        <v>1099189.2128184447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1099189.2128184447</v>
      </c>
      <c r="J457" s="455">
        <f t="array" ref="J457">IFERROR(INDEX('Retirement Calculator'!J:J,MATCH('Isaac 401k'!N457,'Retirement Calculator'!A:A,0),0),0)</f>
        <v>7863.2184191855868</v>
      </c>
      <c r="K457" s="455">
        <f t="shared" ca="1" si="27"/>
        <v>4547.1916433302458</v>
      </c>
      <c r="L457" s="455">
        <f t="shared" ca="1" si="28"/>
        <v>1095873.1860425894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1095873.1860425894</v>
      </c>
      <c r="J458" s="455">
        <f t="array" ref="J458">IFERROR(INDEX('Retirement Calculator'!J:J,MATCH('Isaac 401k'!N458,'Retirement Calculator'!A:A,0),0),0)</f>
        <v>7863.2184191855868</v>
      </c>
      <c r="K458" s="455">
        <f t="shared" ca="1" si="27"/>
        <v>4533.3748650975158</v>
      </c>
      <c r="L458" s="455">
        <f t="shared" ca="1" si="28"/>
        <v>1092543.3424885012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1092543.3424885012</v>
      </c>
      <c r="J459" s="455">
        <f t="array" ref="J459">IFERROR(INDEX('Retirement Calculator'!J:J,MATCH('Isaac 401k'!N459,'Retirement Calculator'!A:A,0),0),0)</f>
        <v>7863.2184191855868</v>
      </c>
      <c r="K459" s="455">
        <f t="shared" ca="1" si="27"/>
        <v>4519.5005169554815</v>
      </c>
      <c r="L459" s="455">
        <f t="shared" ca="1" si="28"/>
        <v>1089199.6245862711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1089199.6245862711</v>
      </c>
      <c r="J460" s="455">
        <f t="array" ref="J460">IFERROR(INDEX('Retirement Calculator'!J:J,MATCH('Isaac 401k'!N460,'Retirement Calculator'!A:A,0),0),0)</f>
        <v>7863.2184191855868</v>
      </c>
      <c r="K460" s="455">
        <f t="shared" ca="1" si="27"/>
        <v>4505.568359029523</v>
      </c>
      <c r="L460" s="455">
        <f t="shared" ca="1" si="28"/>
        <v>1085841.974526115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1085841.974526115</v>
      </c>
      <c r="J461" s="455">
        <f t="array" ref="J461">IFERROR(INDEX('Retirement Calculator'!J:J,MATCH('Isaac 401k'!N461,'Retirement Calculator'!A:A,0),0),0)</f>
        <v>7863.2184191855868</v>
      </c>
      <c r="K461" s="455">
        <f t="shared" ca="1" si="27"/>
        <v>4491.578150445539</v>
      </c>
      <c r="L461" s="455">
        <f t="shared" ca="1" si="28"/>
        <v>1082470.334257375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1082470.334257375</v>
      </c>
      <c r="J462" s="455">
        <f t="array" ref="J462">IFERROR(INDEX('Retirement Calculator'!J:J,MATCH('Isaac 401k'!N462,'Retirement Calculator'!A:A,0),0),0)</f>
        <v>7863.2184191855868</v>
      </c>
      <c r="K462" s="455">
        <f t="shared" ca="1" si="27"/>
        <v>4477.5296493257893</v>
      </c>
      <c r="L462" s="455">
        <f t="shared" ca="1" si="28"/>
        <v>1079084.6454875153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1079084.6454875153</v>
      </c>
      <c r="J463" s="455">
        <f t="array" ref="J463">IFERROR(INDEX('Retirement Calculator'!J:J,MATCH('Isaac 401k'!N463,'Retirement Calculator'!A:A,0),0),0)</f>
        <v>7863.2184191855868</v>
      </c>
      <c r="K463" s="455">
        <f t="shared" ca="1" si="27"/>
        <v>4463.4226127847069</v>
      </c>
      <c r="L463" s="455">
        <f t="shared" ca="1" si="28"/>
        <v>1075684.8496811143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1075684.8496811143</v>
      </c>
      <c r="J464" s="455">
        <f t="array" ref="J464">IFERROR(INDEX('Retirement Calculator'!J:J,MATCH('Isaac 401k'!N464,'Retirement Calculator'!A:A,0),0),0)</f>
        <v>7863.2184191855868</v>
      </c>
      <c r="K464" s="455">
        <f t="shared" ca="1" si="27"/>
        <v>4449.2567969247029</v>
      </c>
      <c r="L464" s="455">
        <f t="shared" ca="1" si="28"/>
        <v>1072270.8880588533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1072270.8880588533</v>
      </c>
      <c r="J465" s="455">
        <f t="array" ref="J465">IFERROR(INDEX('Retirement Calculator'!J:J,MATCH('Isaac 401k'!N465,'Retirement Calculator'!A:A,0),0),0)</f>
        <v>7863.2184191855868</v>
      </c>
      <c r="K465" s="455">
        <f t="shared" ca="1" si="27"/>
        <v>4435.0319568319492</v>
      </c>
      <c r="L465" s="455">
        <f t="shared" ca="1" si="28"/>
        <v>1068842.7015964997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1068842.7015964997</v>
      </c>
      <c r="J466" s="455">
        <f t="array" ref="J466">IFERROR(INDEX('Retirement Calculator'!J:J,MATCH('Isaac 401k'!N466,'Retirement Calculator'!A:A,0),0),0)</f>
        <v>7863.2184191855868</v>
      </c>
      <c r="K466" s="455">
        <f t="shared" ca="1" si="27"/>
        <v>4420.7478465721415</v>
      </c>
      <c r="L466" s="455">
        <f t="shared" ca="1" si="28"/>
        <v>1065400.2310238862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1065400.2310238862</v>
      </c>
      <c r="J467" s="455">
        <f t="array" ref="J467">IFERROR(INDEX('Retirement Calculator'!J:J,MATCH('Isaac 401k'!N467,'Retirement Calculator'!A:A,0),0),0)</f>
        <v>7863.2184191855868</v>
      </c>
      <c r="K467" s="455">
        <f t="shared" ca="1" si="27"/>
        <v>4406.4042191862527</v>
      </c>
      <c r="L467" s="455">
        <f t="shared" ca="1" si="28"/>
        <v>1061943.4168238868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1061943.4168238868</v>
      </c>
      <c r="J468" s="455">
        <f t="array" ref="J468">IFERROR(INDEX('Retirement Calculator'!J:J,MATCH('Isaac 401k'!N468,'Retirement Calculator'!A:A,0),0),0)</f>
        <v>7863.2184191855868</v>
      </c>
      <c r="K468" s="455">
        <f t="shared" ca="1" si="27"/>
        <v>4392.0008266862551</v>
      </c>
      <c r="L468" s="455">
        <f t="shared" ca="1" si="28"/>
        <v>1058472.1992313873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1058472.1992313873</v>
      </c>
      <c r="J469" s="455">
        <f t="array" ref="J469">IFERROR(INDEX('Retirement Calculator'!J:J,MATCH('Isaac 401k'!N469,'Retirement Calculator'!A:A,0),0),0)</f>
        <v>7863.2184191855868</v>
      </c>
      <c r="K469" s="455">
        <f t="shared" ca="1" si="27"/>
        <v>4377.5374200508404</v>
      </c>
      <c r="L469" s="455">
        <f t="shared" ca="1" si="28"/>
        <v>1054986.5182322527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1054986.5182322527</v>
      </c>
      <c r="J470" s="455">
        <f t="array" ref="J470">IFERROR(INDEX('Retirement Calculator'!J:J,MATCH('Isaac 401k'!N470,'Retirement Calculator'!A:A,0),0),0)</f>
        <v>7863.2184191855868</v>
      </c>
      <c r="K470" s="455">
        <f t="shared" ca="1" si="27"/>
        <v>4363.0137492211124</v>
      </c>
      <c r="L470" s="455">
        <f t="shared" ca="1" si="28"/>
        <v>1051486.3135622882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1051486.3135622882</v>
      </c>
      <c r="J471" s="455">
        <f t="array" ref="J471">IFERROR(INDEX('Retirement Calculator'!J:J,MATCH('Isaac 401k'!N471,'Retirement Calculator'!A:A,0),0),0)</f>
        <v>7863.2184191855868</v>
      </c>
      <c r="K471" s="455">
        <f t="shared" ca="1" si="27"/>
        <v>4348.4295630962615</v>
      </c>
      <c r="L471" s="455">
        <f t="shared" ca="1" si="28"/>
        <v>1047971.5247061988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1047971.5247061988</v>
      </c>
      <c r="J472" s="455">
        <f t="array" ref="J472">IFERROR(INDEX('Retirement Calculator'!J:J,MATCH('Isaac 401k'!N472,'Retirement Calculator'!A:A,0),0),0)</f>
        <v>7863.2184191855868</v>
      </c>
      <c r="K472" s="455">
        <f t="shared" ca="1" si="27"/>
        <v>4333.7846095292216</v>
      </c>
      <c r="L472" s="455">
        <f t="shared" ca="1" si="28"/>
        <v>1044442.0908965424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1044442.0908965424</v>
      </c>
      <c r="J473" s="455">
        <f t="array" ref="J473">IFERROR(INDEX('Retirement Calculator'!J:J,MATCH('Isaac 401k'!N473,'Retirement Calculator'!A:A,0),0),0)</f>
        <v>7863.2184191855868</v>
      </c>
      <c r="K473" s="455">
        <f t="shared" ca="1" si="27"/>
        <v>4319.0786353223202</v>
      </c>
      <c r="L473" s="455">
        <f t="shared" ca="1" si="28"/>
        <v>1040897.9511126791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1040897.9511126791</v>
      </c>
      <c r="J474" s="455">
        <f t="array" ref="J474">IFERROR(INDEX('Retirement Calculator'!J:J,MATCH('Isaac 401k'!N474,'Retirement Calculator'!A:A,0),0),0)</f>
        <v>7863.2184191855868</v>
      </c>
      <c r="K474" s="455">
        <f t="shared" ca="1" si="27"/>
        <v>4304.3113862228893</v>
      </c>
      <c r="L474" s="455">
        <f t="shared" ca="1" si="28"/>
        <v>1037339.0440797163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1037339.0440797163</v>
      </c>
      <c r="J475" s="455">
        <f t="array" ref="J475">IFERROR(INDEX('Retirement Calculator'!J:J,MATCH('Isaac 401k'!N475,'Retirement Calculator'!A:A,0),0),0)</f>
        <v>7863.2184191855868</v>
      </c>
      <c r="K475" s="455">
        <f t="shared" ca="1" si="27"/>
        <v>4289.4826069188775</v>
      </c>
      <c r="L475" s="455">
        <f t="shared" ca="1" si="28"/>
        <v>1033765.3082674496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1033765.3082674496</v>
      </c>
      <c r="J476" s="455">
        <f t="array" ref="J476">IFERROR(INDEX('Retirement Calculator'!J:J,MATCH('Isaac 401k'!N476,'Retirement Calculator'!A:A,0),0),0)</f>
        <v>7863.2184191855868</v>
      </c>
      <c r="K476" s="455">
        <f t="shared" ca="1" si="27"/>
        <v>4274.5920410344334</v>
      </c>
      <c r="L476" s="455">
        <f t="shared" ca="1" si="28"/>
        <v>1030176.6818892985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1030176.6818892985</v>
      </c>
      <c r="J477" s="455">
        <f t="array" ref="J477">IFERROR(INDEX('Retirement Calculator'!J:J,MATCH('Isaac 401k'!N477,'Retirement Calculator'!A:A,0),0),0)</f>
        <v>7863.2184191855868</v>
      </c>
      <c r="K477" s="455">
        <f t="shared" ca="1" si="27"/>
        <v>4259.6394311254699</v>
      </c>
      <c r="L477" s="455">
        <f t="shared" ca="1" si="28"/>
        <v>1026573.1029012384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1026573.1029012384</v>
      </c>
      <c r="J478" s="455">
        <f t="array" ref="J478">IFERROR(INDEX('Retirement Calculator'!J:J,MATCH('Isaac 401k'!N478,'Retirement Calculator'!A:A,0),0),0)</f>
        <v>7863.2184191855868</v>
      </c>
      <c r="K478" s="455">
        <f t="shared" ca="1" si="27"/>
        <v>4244.6245186752194</v>
      </c>
      <c r="L478" s="455">
        <f t="shared" ca="1" si="28"/>
        <v>1022954.509000728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1022954.509000728</v>
      </c>
      <c r="J479" s="455">
        <f t="array" ref="J479">IFERROR(INDEX('Retirement Calculator'!J:J,MATCH('Isaac 401k'!N479,'Retirement Calculator'!A:A,0),0),0)</f>
        <v>7863.2184191855868</v>
      </c>
      <c r="K479" s="455">
        <f t="shared" ca="1" si="27"/>
        <v>4229.5470440897598</v>
      </c>
      <c r="L479" s="455">
        <f t="shared" ca="1" si="28"/>
        <v>1019320.8376256322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1019320.8376256322</v>
      </c>
      <c r="J480" s="455">
        <f t="array" ref="J480">IFERROR(INDEX('Retirement Calculator'!J:J,MATCH('Isaac 401k'!N480,'Retirement Calculator'!A:A,0),0),0)</f>
        <v>7863.2184191855868</v>
      </c>
      <c r="K480" s="455">
        <f t="shared" ca="1" si="27"/>
        <v>4214.4067466935276</v>
      </c>
      <c r="L480" s="455">
        <f t="shared" ca="1" si="28"/>
        <v>1015672.0259531401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1015672.0259531401</v>
      </c>
      <c r="J481" s="455">
        <f t="array" ref="J481">IFERROR(INDEX('Retirement Calculator'!J:J,MATCH('Isaac 401k'!N481,'Retirement Calculator'!A:A,0),0),0)</f>
        <v>7863.2184191855868</v>
      </c>
      <c r="K481" s="455">
        <f t="shared" ca="1" si="27"/>
        <v>4199.2033647248099</v>
      </c>
      <c r="L481" s="455">
        <f t="shared" ca="1" si="28"/>
        <v>1012008.0108986793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1012008.0108986793</v>
      </c>
      <c r="J482" s="455">
        <f t="array" ref="J482">IFERROR(INDEX('Retirement Calculator'!J:J,MATCH('Isaac 401k'!N482,'Retirement Calculator'!A:A,0),0),0)</f>
        <v>7863.2184191855868</v>
      </c>
      <c r="K482" s="455">
        <f t="shared" ca="1" si="27"/>
        <v>4183.9366353312234</v>
      </c>
      <c r="L482" s="455">
        <f t="shared" ca="1" si="28"/>
        <v>1008328.7291148249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1008328.7291148249</v>
      </c>
      <c r="J483" s="455">
        <f t="array" ref="J483">IFERROR(INDEX('Retirement Calculator'!J:J,MATCH('Isaac 401k'!N483,'Retirement Calculator'!A:A,0),0),0)</f>
        <v>7863.2184191855868</v>
      </c>
      <c r="K483" s="455">
        <f t="shared" ca="1" si="27"/>
        <v>4168.6062945651638</v>
      </c>
      <c r="L483" s="455">
        <f t="shared" ca="1" si="28"/>
        <v>1004634.1169902044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1004634.1169902044</v>
      </c>
      <c r="J484" s="455">
        <f t="array" ref="J484">IFERROR(INDEX('Retirement Calculator'!J:J,MATCH('Isaac 401k'!N484,'Retirement Calculator'!A:A,0),0),0)</f>
        <v>7863.2184191855868</v>
      </c>
      <c r="K484" s="455">
        <f t="shared" ca="1" si="27"/>
        <v>4153.2120773792449</v>
      </c>
      <c r="L484" s="455">
        <f t="shared" ca="1" si="28"/>
        <v>1000924.1106483981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1000924.1106483981</v>
      </c>
      <c r="J485" s="455">
        <f t="array" ref="J485">IFERROR(INDEX('Retirement Calculator'!J:J,MATCH('Isaac 401k'!N485,'Retirement Calculator'!A:A,0),0),0)</f>
        <v>7863.2184191855868</v>
      </c>
      <c r="K485" s="455">
        <f t="shared" ca="1" si="27"/>
        <v>4137.7537176217184</v>
      </c>
      <c r="L485" s="455">
        <f t="shared" ca="1" si="28"/>
        <v>997198.64594683412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997198.64594683412</v>
      </c>
      <c r="J486" s="455">
        <f t="array" ref="J486">IFERROR(INDEX('Retirement Calculator'!J:J,MATCH('Isaac 401k'!N486,'Retirement Calculator'!A:A,0),0),0)</f>
        <v>7863.2184191855868</v>
      </c>
      <c r="K486" s="455">
        <f t="shared" ca="1" si="27"/>
        <v>4122.230948031869</v>
      </c>
      <c r="L486" s="455">
        <f t="shared" ca="1" si="28"/>
        <v>993457.65847568039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993457.65847568039</v>
      </c>
      <c r="J487" s="455">
        <f t="array" ref="J487">IFERROR(INDEX('Retirement Calculator'!J:J,MATCH('Isaac 401k'!N487,'Retirement Calculator'!A:A,0),0),0)</f>
        <v>7863.2184191855868</v>
      </c>
      <c r="K487" s="455">
        <f t="shared" ca="1" si="27"/>
        <v>4106.6435002353946</v>
      </c>
      <c r="L487" s="455">
        <f t="shared" ca="1" si="28"/>
        <v>989701.08355673018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989701.08355673018</v>
      </c>
      <c r="J488" s="455">
        <f t="array" ref="J488">IFERROR(INDEX('Retirement Calculator'!J:J,MATCH('Isaac 401k'!N488,'Retirement Calculator'!A:A,0),0),0)</f>
        <v>7863.2184191855868</v>
      </c>
      <c r="K488" s="455">
        <f t="shared" ca="1" si="27"/>
        <v>4090.9911047397691</v>
      </c>
      <c r="L488" s="455">
        <f t="shared" ca="1" si="28"/>
        <v>985928.8562422843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985928.8562422843</v>
      </c>
      <c r="J489" s="455">
        <f t="array" ref="J489">IFERROR(INDEX('Retirement Calculator'!J:J,MATCH('Isaac 401k'!N489,'Retirement Calculator'!A:A,0),0),0)</f>
        <v>7863.2184191855868</v>
      </c>
      <c r="K489" s="455">
        <f t="shared" ca="1" si="27"/>
        <v>4075.2734909295777</v>
      </c>
      <c r="L489" s="455">
        <f t="shared" ca="1" si="28"/>
        <v>982140.91131402832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982140.91131402832</v>
      </c>
      <c r="J490" s="455">
        <f t="array" ref="J490">IFERROR(INDEX('Retirement Calculator'!J:J,MATCH('Isaac 401k'!N490,'Retirement Calculator'!A:A,0),0),0)</f>
        <v>7863.2184191855868</v>
      </c>
      <c r="K490" s="455">
        <f t="shared" ca="1" si="27"/>
        <v>4059.490387061845</v>
      </c>
      <c r="L490" s="455">
        <f t="shared" ca="1" si="28"/>
        <v>978337.18328190455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978337.18328190455</v>
      </c>
      <c r="J491" s="455">
        <f t="array" ref="J491">IFERROR(INDEX('Retirement Calculator'!J:J,MATCH('Isaac 401k'!N491,'Retirement Calculator'!A:A,0),0),0)</f>
        <v>7863.2184191855868</v>
      </c>
      <c r="K491" s="455">
        <f t="shared" ca="1" si="27"/>
        <v>4043.6415202613289</v>
      </c>
      <c r="L491" s="455">
        <f t="shared" ca="1" si="28"/>
        <v>974517.60638298024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974517.60638298024</v>
      </c>
      <c r="J492" s="455">
        <f t="array" ref="J492">IFERROR(INDEX('Retirement Calculator'!J:J,MATCH('Isaac 401k'!N492,'Retirement Calculator'!A:A,0),0),0)</f>
        <v>7863.2184191855868</v>
      </c>
      <c r="K492" s="455">
        <f t="shared" ca="1" si="27"/>
        <v>4027.7266165158107</v>
      </c>
      <c r="L492" s="455">
        <f t="shared" ca="1" si="28"/>
        <v>970682.11458031042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970682.11458031042</v>
      </c>
      <c r="J493" s="455">
        <f t="array" ref="J493">IFERROR(INDEX('Retirement Calculator'!J:J,MATCH('Isaac 401k'!N493,'Retirement Calculator'!A:A,0),0),0)</f>
        <v>7863.2184191855868</v>
      </c>
      <c r="K493" s="455">
        <f t="shared" ca="1" si="27"/>
        <v>4011.7454006713533</v>
      </c>
      <c r="L493" s="455">
        <f t="shared" ca="1" si="28"/>
        <v>966830.64156179619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966830.64156179619</v>
      </c>
      <c r="J494" s="455">
        <f t="array" ref="J494">IFERROR(INDEX('Retirement Calculator'!J:J,MATCH('Isaac 401k'!N494,'Retirement Calculator'!A:A,0),0),0)</f>
        <v>7863.2184191855868</v>
      </c>
      <c r="K494" s="455">
        <f t="shared" ca="1" si="27"/>
        <v>3995.6975964275439</v>
      </c>
      <c r="L494" s="455">
        <f t="shared" ca="1" si="28"/>
        <v>962963.1207390381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962963.1207390381</v>
      </c>
      <c r="J495" s="455">
        <f t="array" ref="J495">IFERROR(INDEX('Retirement Calculator'!J:J,MATCH('Isaac 401k'!N495,'Retirement Calculator'!A:A,0),0),0)</f>
        <v>7863.2184191855868</v>
      </c>
      <c r="K495" s="455">
        <f t="shared" ca="1" si="27"/>
        <v>3979.5829263327191</v>
      </c>
      <c r="L495" s="455">
        <f t="shared" ca="1" si="28"/>
        <v>959079.48524618521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959079.48524618521</v>
      </c>
      <c r="J496" s="455">
        <f t="array" ref="J496">IFERROR(INDEX('Retirement Calculator'!J:J,MATCH('Isaac 401k'!N496,'Retirement Calculator'!A:A,0),0),0)</f>
        <v>7863.2184191855868</v>
      </c>
      <c r="K496" s="455">
        <f t="shared" ca="1" si="27"/>
        <v>3963.4011117791651</v>
      </c>
      <c r="L496" s="455">
        <f t="shared" ca="1" si="28"/>
        <v>955179.66793877876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955179.66793877876</v>
      </c>
      <c r="J497" s="455">
        <f t="array" ref="J497">IFERROR(INDEX('Retirement Calculator'!J:J,MATCH('Isaac 401k'!N497,'Retirement Calculator'!A:A,0),0),0)</f>
        <v>7863.2184191855868</v>
      </c>
      <c r="K497" s="455">
        <f t="shared" ca="1" si="27"/>
        <v>3947.1518729983054</v>
      </c>
      <c r="L497" s="455">
        <f t="shared" ca="1" si="28"/>
        <v>951263.60139259149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951263.60139259149</v>
      </c>
      <c r="J498" s="455">
        <f t="array" ref="J498">IFERROR(INDEX('Retirement Calculator'!J:J,MATCH('Isaac 401k'!N498,'Retirement Calculator'!A:A,0),0),0)</f>
        <v>7863.2184191855868</v>
      </c>
      <c r="K498" s="455">
        <f t="shared" ca="1" si="27"/>
        <v>3930.8349290558576</v>
      </c>
      <c r="L498" s="455">
        <f t="shared" ca="1" si="28"/>
        <v>947331.21790246177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947331.21790246177</v>
      </c>
      <c r="J499" s="455">
        <f t="array" ref="J499">IFERROR(INDEX('Retirement Calculator'!J:J,MATCH('Isaac 401k'!N499,'Retirement Calculator'!A:A,0),0),0)</f>
        <v>7863.2184191855868</v>
      </c>
      <c r="K499" s="455">
        <f t="shared" ca="1" si="27"/>
        <v>3914.4499978469839</v>
      </c>
      <c r="L499" s="455">
        <f t="shared" ca="1" si="28"/>
        <v>943382.44948112313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943382.44948112313</v>
      </c>
      <c r="J500" s="455">
        <f t="array" ref="J500">IFERROR(INDEX('Retirement Calculator'!J:J,MATCH('Isaac 401k'!N500,'Retirement Calculator'!A:A,0),0),0)</f>
        <v>7863.2184191855868</v>
      </c>
      <c r="K500" s="455">
        <f t="shared" ca="1" si="27"/>
        <v>3897.9967960914064</v>
      </c>
      <c r="L500" s="455">
        <f t="shared" ca="1" si="28"/>
        <v>939417.22785802896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939417.22785802896</v>
      </c>
      <c r="J501" s="455">
        <f t="array" ref="J501">IFERROR(INDEX('Retirement Calculator'!J:J,MATCH('Isaac 401k'!N501,'Retirement Calculator'!A:A,0),0),0)</f>
        <v>7863.2184191855868</v>
      </c>
      <c r="K501" s="455">
        <f t="shared" ca="1" si="27"/>
        <v>3881.475039328514</v>
      </c>
      <c r="L501" s="455">
        <f t="shared" ca="1" si="28"/>
        <v>935435.48447817191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935435.48447817191</v>
      </c>
      <c r="J502" s="455">
        <f t="array" ref="J502">IFERROR(INDEX('Retirement Calculator'!J:J,MATCH('Isaac 401k'!N502,'Retirement Calculator'!A:A,0),0),0)</f>
        <v>7863.2184191855868</v>
      </c>
      <c r="K502" s="455">
        <f t="shared" ca="1" si="27"/>
        <v>3864.884441912443</v>
      </c>
      <c r="L502" s="455">
        <f t="shared" ca="1" si="28"/>
        <v>931437.15050089872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931437.15050089872</v>
      </c>
      <c r="J503" s="455">
        <f t="array" ref="J503">IFERROR(INDEX('Retirement Calculator'!J:J,MATCH('Isaac 401k'!N503,'Retirement Calculator'!A:A,0),0),0)</f>
        <v>7863.2184191855868</v>
      </c>
      <c r="K503" s="455">
        <f t="shared" ca="1" si="27"/>
        <v>3848.2247170071373</v>
      </c>
      <c r="L503" s="455">
        <f t="shared" ca="1" si="28"/>
        <v>927422.15679872024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927422.15679872024</v>
      </c>
      <c r="J504" s="455">
        <f t="array" ref="J504">IFERROR(INDEX('Retirement Calculator'!J:J,MATCH('Isaac 401k'!N504,'Retirement Calculator'!A:A,0),0),0)</f>
        <v>7863.2184191855868</v>
      </c>
      <c r="K504" s="455">
        <f t="shared" ca="1" si="27"/>
        <v>3831.4955765813943</v>
      </c>
      <c r="L504" s="455">
        <f t="shared" ca="1" si="28"/>
        <v>923390.43395611609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923390.43395611609</v>
      </c>
      <c r="J505" s="455">
        <f t="array" ref="J505">IFERROR(INDEX('Retirement Calculator'!J:J,MATCH('Isaac 401k'!N505,'Retirement Calculator'!A:A,0),0),0)</f>
        <v>7863.2184191855868</v>
      </c>
      <c r="K505" s="455">
        <f t="shared" ca="1" si="27"/>
        <v>3814.696731403877</v>
      </c>
      <c r="L505" s="455">
        <f t="shared" ca="1" si="28"/>
        <v>919341.9122683343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919341.9122683343</v>
      </c>
      <c r="J506" s="455">
        <f t="array" ref="J506">IFERROR(INDEX('Retirement Calculator'!J:J,MATCH('Isaac 401k'!N506,'Retirement Calculator'!A:A,0),0),0)</f>
        <v>7863.2184191855868</v>
      </c>
      <c r="K506" s="455">
        <f t="shared" ca="1" si="27"/>
        <v>3797.8278910381196</v>
      </c>
      <c r="L506" s="455">
        <f t="shared" ca="1" si="28"/>
        <v>915276.52174018684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915276.52174018684</v>
      </c>
      <c r="J507" s="455">
        <f t="array" ref="J507">IFERROR(INDEX('Retirement Calculator'!J:J,MATCH('Isaac 401k'!N507,'Retirement Calculator'!A:A,0),0),0)</f>
        <v>7863.2184191855868</v>
      </c>
      <c r="K507" s="455">
        <f t="shared" ca="1" si="27"/>
        <v>3780.8887638375049</v>
      </c>
      <c r="L507" s="455">
        <f t="shared" ca="1" si="28"/>
        <v>911194.19208483875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911194.19208483875</v>
      </c>
      <c r="J508" s="455">
        <f t="array" ref="J508">IFERROR(INDEX('Retirement Calculator'!J:J,MATCH('Isaac 401k'!N508,'Retirement Calculator'!A:A,0),0),0)</f>
        <v>7863.2184191855868</v>
      </c>
      <c r="K508" s="455">
        <f t="shared" ca="1" si="27"/>
        <v>3763.8790569402213</v>
      </c>
      <c r="L508" s="455">
        <f t="shared" ca="1" si="28"/>
        <v>907094.85272259335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907094.85272259335</v>
      </c>
      <c r="J509" s="455">
        <f t="array" ref="J509">IFERROR(INDEX('Retirement Calculator'!J:J,MATCH('Isaac 401k'!N509,'Retirement Calculator'!A:A,0),0),0)</f>
        <v>7863.2184191855868</v>
      </c>
      <c r="K509" s="455">
        <f t="shared" ca="1" si="27"/>
        <v>3746.7984762641995</v>
      </c>
      <c r="L509" s="455">
        <f t="shared" ca="1" si="28"/>
        <v>902978.43277967197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902978.43277967197</v>
      </c>
      <c r="J510" s="455">
        <f t="array" ref="J510">IFERROR(INDEX('Retirement Calculator'!J:J,MATCH('Isaac 401k'!N510,'Retirement Calculator'!A:A,0),0),0)</f>
        <v>7863.2184191855868</v>
      </c>
      <c r="K510" s="455">
        <f t="shared" ca="1" si="27"/>
        <v>3729.6467265020269</v>
      </c>
      <c r="L510" s="455">
        <f t="shared" ca="1" si="28"/>
        <v>898844.86108698836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898844.86108698836</v>
      </c>
      <c r="J511" s="455">
        <f t="array" ref="J511">IFERROR(INDEX('Retirement Calculator'!J:J,MATCH('Isaac 401k'!N511,'Retirement Calculator'!A:A,0),0),0)</f>
        <v>7863.2184191855868</v>
      </c>
      <c r="K511" s="455">
        <f t="shared" ca="1" si="27"/>
        <v>3712.423511115845</v>
      </c>
      <c r="L511" s="455">
        <f t="shared" ca="1" si="28"/>
        <v>894694.06617891858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894694.06617891858</v>
      </c>
      <c r="J512" s="455">
        <f t="array" ref="J512">IFERROR(INDEX('Retirement Calculator'!J:J,MATCH('Isaac 401k'!N512,'Retirement Calculator'!A:A,0),0),0)</f>
        <v>7863.2184191855868</v>
      </c>
      <c r="K512" s="455">
        <f t="shared" ca="1" si="27"/>
        <v>3695.1285323322209</v>
      </c>
      <c r="L512" s="455">
        <f t="shared" ca="1" si="28"/>
        <v>890525.97629206523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890525.97629206523</v>
      </c>
      <c r="J513" s="455">
        <f t="array" ref="J513">IFERROR(INDEX('Retirement Calculator'!J:J,MATCH('Isaac 401k'!N513,'Retirement Calculator'!A:A,0),0),0)</f>
        <v>7863.2184191855868</v>
      </c>
      <c r="K513" s="455">
        <f t="shared" ca="1" si="27"/>
        <v>3677.7614911369988</v>
      </c>
      <c r="L513" s="455">
        <f t="shared" ca="1" si="28"/>
        <v>886340.5193640166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886340.5193640166</v>
      </c>
      <c r="J514" s="455">
        <f t="array" ref="J514">IFERROR(INDEX('Retirement Calculator'!J:J,MATCH('Isaac 401k'!N514,'Retirement Calculator'!A:A,0),0),0)</f>
        <v>7863.2184191855868</v>
      </c>
      <c r="K514" s="455">
        <f t="shared" ca="1" si="27"/>
        <v>3660.322087270129</v>
      </c>
      <c r="L514" s="455">
        <f t="shared" ca="1" si="28"/>
        <v>882137.62303210108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882137.62303210108</v>
      </c>
      <c r="J515" s="455">
        <f t="array" ref="J515">IFERROR(INDEX('Retirement Calculator'!J:J,MATCH('Isaac 401k'!N515,'Retirement Calculator'!A:A,0),0),0)</f>
        <v>7863.2184191855868</v>
      </c>
      <c r="K515" s="455">
        <f t="shared" ca="1" si="27"/>
        <v>3642.8100192204811</v>
      </c>
      <c r="L515" s="455">
        <f t="shared" ca="1" si="28"/>
        <v>877917.21463213593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877917.21463213593</v>
      </c>
      <c r="J516" s="455">
        <f t="array" ref="J516">IFERROR(INDEX('Retirement Calculator'!J:J,MATCH('Isaac 401k'!N516,'Retirement Calculator'!A:A,0),0),0)</f>
        <v>7863.2184191855868</v>
      </c>
      <c r="K516" s="455">
        <f t="shared" ca="1" si="27"/>
        <v>3625.2249842206261</v>
      </c>
      <c r="L516" s="455">
        <f t="shared" ca="1" si="28"/>
        <v>873679.2211971709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873679.2211971709</v>
      </c>
      <c r="J517" s="455">
        <f t="array" ref="J517">IFERROR(INDEX('Retirement Calculator'!J:J,MATCH('Isaac 401k'!N517,'Retirement Calculator'!A:A,0),0),0)</f>
        <v>7863.2184191855868</v>
      </c>
      <c r="K517" s="455">
        <f t="shared" ca="1" si="27"/>
        <v>3607.5666782416051</v>
      </c>
      <c r="L517" s="455">
        <f t="shared" ca="1" si="28"/>
        <v>869423.56945622689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869423.56945622689</v>
      </c>
      <c r="J518" s="455">
        <f t="array" ref="J518">IFERROR(INDEX('Retirement Calculator'!J:J,MATCH('Isaac 401k'!N518,'Retirement Calculator'!A:A,0),0),0)</f>
        <v>7863.2184191855868</v>
      </c>
      <c r="K518" s="455">
        <f t="shared" ref="K518:K772" ca="1" si="53">IPMT(M518/12,1,12,-I518+J518,,0)</f>
        <v>3589.8347959876724</v>
      </c>
      <c r="L518" s="455">
        <f t="shared" ref="L518:L772" ca="1" si="54">I518-J518+K518</f>
        <v>865150.18583302898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865150.18583302898</v>
      </c>
      <c r="J519" s="455">
        <f t="array" ref="J519">IFERROR(INDEX('Retirement Calculator'!J:J,MATCH('Isaac 401k'!N519,'Retirement Calculator'!A:A,0),0),0)</f>
        <v>7863.2184191855868</v>
      </c>
      <c r="K519" s="455">
        <f t="shared" ca="1" si="53"/>
        <v>3572.0290308910139</v>
      </c>
      <c r="L519" s="455">
        <f t="shared" ca="1" si="54"/>
        <v>860858.9964447344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860858.9964447344</v>
      </c>
      <c r="J520" s="455">
        <f t="array" ref="J520">IFERROR(INDEX('Retirement Calculator'!J:J,MATCH('Isaac 401k'!N520,'Retirement Calculator'!A:A,0),0),0)</f>
        <v>7863.2184191855868</v>
      </c>
      <c r="K520" s="455">
        <f t="shared" ca="1" si="53"/>
        <v>3554.1490751064534</v>
      </c>
      <c r="L520" s="455">
        <f t="shared" ca="1" si="54"/>
        <v>856549.92710065527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856549.92710065527</v>
      </c>
      <c r="J521" s="455">
        <f t="array" ref="J521">IFERROR(INDEX('Retirement Calculator'!J:J,MATCH('Isaac 401k'!N521,'Retirement Calculator'!A:A,0),0),0)</f>
        <v>7863.2184191855868</v>
      </c>
      <c r="K521" s="455">
        <f t="shared" ca="1" si="53"/>
        <v>3536.1946195061241</v>
      </c>
      <c r="L521" s="455">
        <f t="shared" ca="1" si="54"/>
        <v>852222.9033009758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852222.9033009758</v>
      </c>
      <c r="J522" s="455">
        <f t="array" ref="J522">IFERROR(INDEX('Retirement Calculator'!J:J,MATCH('Isaac 401k'!N522,'Retirement Calculator'!A:A,0),0),0)</f>
        <v>7863.2184191855868</v>
      </c>
      <c r="K522" s="455">
        <f t="shared" ca="1" si="53"/>
        <v>3518.1653536741255</v>
      </c>
      <c r="L522" s="455">
        <f t="shared" ca="1" si="54"/>
        <v>847877.85023546428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847877.85023546428</v>
      </c>
      <c r="J523" s="455">
        <f t="array" ref="J523">IFERROR(INDEX('Retirement Calculator'!J:J,MATCH('Isaac 401k'!N523,'Retirement Calculator'!A:A,0),0),0)</f>
        <v>7863.2184191855868</v>
      </c>
      <c r="K523" s="455">
        <f t="shared" ca="1" si="53"/>
        <v>3500.0609659011611</v>
      </c>
      <c r="L523" s="455">
        <f t="shared" ca="1" si="54"/>
        <v>843514.6927821798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843514.6927821798</v>
      </c>
      <c r="J524" s="455">
        <f t="array" ref="J524">IFERROR(INDEX('Retirement Calculator'!J:J,MATCH('Isaac 401k'!N524,'Retirement Calculator'!A:A,0),0),0)</f>
        <v>7863.2184191855868</v>
      </c>
      <c r="K524" s="455">
        <f t="shared" ca="1" si="53"/>
        <v>3481.8811431791423</v>
      </c>
      <c r="L524" s="455">
        <f t="shared" ca="1" si="54"/>
        <v>839133.35550617334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839133.35550617334</v>
      </c>
      <c r="J525" s="455">
        <f t="array" ref="J525">IFERROR(INDEX('Retirement Calculator'!J:J,MATCH('Isaac 401k'!N525,'Retirement Calculator'!A:A,0),0),0)</f>
        <v>7863.2184191855868</v>
      </c>
      <c r="K525" s="455">
        <f t="shared" ca="1" si="53"/>
        <v>3463.625571195782</v>
      </c>
      <c r="L525" s="455">
        <f t="shared" ca="1" si="54"/>
        <v>834733.76265818346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834733.76265818346</v>
      </c>
      <c r="J526" s="455">
        <f t="array" ref="J526">IFERROR(INDEX('Retirement Calculator'!J:J,MATCH('Isaac 401k'!N526,'Retirement Calculator'!A:A,0),0),0)</f>
        <v>7863.2184191855868</v>
      </c>
      <c r="K526" s="455">
        <f t="shared" ca="1" si="53"/>
        <v>3445.2939343291573</v>
      </c>
      <c r="L526" s="455">
        <f t="shared" ca="1" si="54"/>
        <v>830315.83817332704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830315.83817332704</v>
      </c>
      <c r="J527" s="455">
        <f t="array" ref="J527">IFERROR(INDEX('Retirement Calculator'!J:J,MATCH('Isaac 401k'!N527,'Retirement Calculator'!A:A,0),0),0)</f>
        <v>7863.2184191855868</v>
      </c>
      <c r="K527" s="455">
        <f t="shared" ca="1" si="53"/>
        <v>3426.8859156422559</v>
      </c>
      <c r="L527" s="455">
        <f t="shared" ca="1" si="54"/>
        <v>825879.50566978368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825879.50566978368</v>
      </c>
      <c r="J528" s="455">
        <f t="array" ref="J528">IFERROR(INDEX('Retirement Calculator'!J:J,MATCH('Isaac 401k'!N528,'Retirement Calculator'!A:A,0),0),0)</f>
        <v>7863.2184191855868</v>
      </c>
      <c r="K528" s="455">
        <f t="shared" ca="1" si="53"/>
        <v>3408.4011968774921</v>
      </c>
      <c r="L528" s="455">
        <f t="shared" ca="1" si="54"/>
        <v>821424.68844747555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821424.68844747555</v>
      </c>
      <c r="J529" s="455">
        <f t="array" ref="J529">IFERROR(INDEX('Retirement Calculator'!J:J,MATCH('Isaac 401k'!N529,'Retirement Calculator'!A:A,0),0),0)</f>
        <v>7863.2184191855868</v>
      </c>
      <c r="K529" s="455">
        <f t="shared" ca="1" si="53"/>
        <v>3389.839458451208</v>
      </c>
      <c r="L529" s="455">
        <f t="shared" ca="1" si="54"/>
        <v>816951.3094867412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816951.3094867412</v>
      </c>
      <c r="J530" s="455">
        <f t="array" ref="J530">IFERROR(INDEX('Retirement Calculator'!J:J,MATCH('Isaac 401k'!N530,'Retirement Calculator'!A:A,0),0),0)</f>
        <v>7863.2184191855868</v>
      </c>
      <c r="K530" s="455">
        <f t="shared" ca="1" si="53"/>
        <v>3371.2003794481484</v>
      </c>
      <c r="L530" s="455">
        <f t="shared" ca="1" si="54"/>
        <v>812459.29144700372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812459.29144700372</v>
      </c>
      <c r="J531" s="455">
        <f t="array" ref="J531">IFERROR(INDEX('Retirement Calculator'!J:J,MATCH('Isaac 401k'!N531,'Retirement Calculator'!A:A,0),0),0)</f>
        <v>7863.2184191855868</v>
      </c>
      <c r="K531" s="455">
        <f t="shared" ca="1" si="53"/>
        <v>3352.4836376159087</v>
      </c>
      <c r="L531" s="455">
        <f t="shared" ca="1" si="54"/>
        <v>807948.55666543404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807948.55666543404</v>
      </c>
      <c r="J532" s="455">
        <f t="array" ref="J532">IFERROR(INDEX('Retirement Calculator'!J:J,MATCH('Isaac 401k'!N532,'Retirement Calculator'!A:A,0),0),0)</f>
        <v>7863.2184191855868</v>
      </c>
      <c r="K532" s="455">
        <f t="shared" ca="1" si="53"/>
        <v>3333.6889093593686</v>
      </c>
      <c r="L532" s="455">
        <f t="shared" ca="1" si="54"/>
        <v>803419.02715560782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803419.02715560782</v>
      </c>
      <c r="J533" s="455">
        <f t="array" ref="J533">IFERROR(INDEX('Retirement Calculator'!J:J,MATCH('Isaac 401k'!N533,'Retirement Calculator'!A:A,0),0),0)</f>
        <v>7863.2184191855868</v>
      </c>
      <c r="K533" s="455">
        <f t="shared" ca="1" si="53"/>
        <v>3314.8158697350923</v>
      </c>
      <c r="L533" s="455">
        <f t="shared" ca="1" si="54"/>
        <v>798870.6246061573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798870.6246061573</v>
      </c>
      <c r="J534" s="455">
        <f t="array" ref="J534">IFERROR(INDEX('Retirement Calculator'!J:J,MATCH('Isaac 401k'!N534,'Retirement Calculator'!A:A,0),0),0)</f>
        <v>7863.2184191855868</v>
      </c>
      <c r="K534" s="455">
        <f t="shared" ca="1" si="53"/>
        <v>3295.8641924457152</v>
      </c>
      <c r="L534" s="455">
        <f t="shared" ca="1" si="54"/>
        <v>794303.27037941746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794303.27037941746</v>
      </c>
      <c r="J535" s="455">
        <f t="array" ref="J535">IFERROR(INDEX('Retirement Calculator'!J:J,MATCH('Isaac 401k'!N535,'Retirement Calculator'!A:A,0),0),0)</f>
        <v>7863.2184191855868</v>
      </c>
      <c r="K535" s="455">
        <f t="shared" ca="1" si="53"/>
        <v>3276.8335498342994</v>
      </c>
      <c r="L535" s="455">
        <f t="shared" ca="1" si="54"/>
        <v>789716.88551006617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789716.88551006617</v>
      </c>
      <c r="J536" s="455">
        <f t="array" ref="J536">IFERROR(INDEX('Retirement Calculator'!J:J,MATCH('Isaac 401k'!N536,'Retirement Calculator'!A:A,0),0),0)</f>
        <v>7863.2184191855868</v>
      </c>
      <c r="K536" s="455">
        <f t="shared" ca="1" si="53"/>
        <v>3257.723612878669</v>
      </c>
      <c r="L536" s="455">
        <f t="shared" ca="1" si="54"/>
        <v>785111.39070375927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785111.39070375927</v>
      </c>
      <c r="J537" s="455">
        <f t="array" ref="J537">IFERROR(INDEX('Retirement Calculator'!J:J,MATCH('Isaac 401k'!N537,'Retirement Calculator'!A:A,0),0),0)</f>
        <v>7863.2184191855868</v>
      </c>
      <c r="K537" s="455">
        <f t="shared" ca="1" si="53"/>
        <v>3238.5340511857235</v>
      </c>
      <c r="L537" s="455">
        <f t="shared" ca="1" si="54"/>
        <v>780486.70633575937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780486.70633575937</v>
      </c>
      <c r="J538" s="455">
        <f t="array" ref="J538">IFERROR(INDEX('Retirement Calculator'!J:J,MATCH('Isaac 401k'!N538,'Retirement Calculator'!A:A,0),0),0)</f>
        <v>7863.2184191855868</v>
      </c>
      <c r="K538" s="455">
        <f t="shared" ca="1" si="53"/>
        <v>3219.2645329857241</v>
      </c>
      <c r="L538" s="455">
        <f t="shared" ca="1" si="54"/>
        <v>775842.75244955951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775842.75244955951</v>
      </c>
      <c r="J539" s="455">
        <f t="array" ref="J539">IFERROR(INDEX('Retirement Calculator'!J:J,MATCH('Isaac 401k'!N539,'Retirement Calculator'!A:A,0),0),0)</f>
        <v>7863.2184191855868</v>
      </c>
      <c r="K539" s="455">
        <f t="shared" ca="1" si="53"/>
        <v>3199.9147251265581</v>
      </c>
      <c r="L539" s="455">
        <f t="shared" ca="1" si="54"/>
        <v>771179.44875550049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771179.44875550049</v>
      </c>
      <c r="J540" s="455">
        <f t="array" ref="J540">IFERROR(INDEX('Retirement Calculator'!J:J,MATCH('Isaac 401k'!N540,'Retirement Calculator'!A:A,0),0),0)</f>
        <v>7863.2184191855868</v>
      </c>
      <c r="K540" s="455">
        <f t="shared" ca="1" si="53"/>
        <v>3180.4842930679788</v>
      </c>
      <c r="L540" s="455">
        <f t="shared" ca="1" si="54"/>
        <v>766496.71462938283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766496.71462938283</v>
      </c>
      <c r="J541" s="455">
        <f t="array" ref="J541">IFERROR(INDEX('Retirement Calculator'!J:J,MATCH('Isaac 401k'!N541,'Retirement Calculator'!A:A,0),0),0)</f>
        <v>7863.2184191855868</v>
      </c>
      <c r="K541" s="455">
        <f t="shared" ca="1" si="53"/>
        <v>3160.9729008758218</v>
      </c>
      <c r="L541" s="455">
        <f t="shared" ca="1" si="54"/>
        <v>761794.46911107306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761794.46911107306</v>
      </c>
      <c r="J542" s="455">
        <f t="array" ref="J542">IFERROR(INDEX('Retirement Calculator'!J:J,MATCH('Isaac 401k'!N542,'Retirement Calculator'!A:A,0),0),0)</f>
        <v>7863.2184191855868</v>
      </c>
      <c r="K542" s="455">
        <f t="shared" ca="1" si="53"/>
        <v>3141.3802112161975</v>
      </c>
      <c r="L542" s="455">
        <f t="shared" ca="1" si="54"/>
        <v>757072.63090310362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757072.63090310362</v>
      </c>
      <c r="J543" s="455">
        <f t="array" ref="J543">IFERROR(INDEX('Retirement Calculator'!J:J,MATCH('Isaac 401k'!N543,'Retirement Calculator'!A:A,0),0),0)</f>
        <v>7863.2184191855868</v>
      </c>
      <c r="K543" s="455">
        <f t="shared" ca="1" si="53"/>
        <v>3121.7058853496583</v>
      </c>
      <c r="L543" s="455">
        <f t="shared" ca="1" si="54"/>
        <v>752331.11836926767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752331.11836926767</v>
      </c>
      <c r="J544" s="455">
        <f t="array" ref="J544">IFERROR(INDEX('Retirement Calculator'!J:J,MATCH('Isaac 401k'!N544,'Retirement Calculator'!A:A,0),0),0)</f>
        <v>7863.2184191855868</v>
      </c>
      <c r="K544" s="455">
        <f t="shared" ca="1" si="53"/>
        <v>3101.9495831253421</v>
      </c>
      <c r="L544" s="455">
        <f t="shared" ca="1" si="54"/>
        <v>747569.84953320737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747569.84953320737</v>
      </c>
      <c r="J545" s="455">
        <f t="array" ref="J545">IFERROR(INDEX('Retirement Calculator'!J:J,MATCH('Isaac 401k'!N545,'Retirement Calculator'!A:A,0),0),0)</f>
        <v>7863.2184191855868</v>
      </c>
      <c r="K545" s="455">
        <f t="shared" ca="1" si="53"/>
        <v>3082.1109629750908</v>
      </c>
      <c r="L545" s="455">
        <f t="shared" ca="1" si="54"/>
        <v>742788.74207699683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742788.74207699683</v>
      </c>
      <c r="J546" s="455">
        <f t="array" ref="J546">IFERROR(INDEX('Retirement Calculator'!J:J,MATCH('Isaac 401k'!N546,'Retirement Calculator'!A:A,0),0),0)</f>
        <v>7863.2184191855868</v>
      </c>
      <c r="K546" s="455">
        <f t="shared" ca="1" si="53"/>
        <v>3062.1896819075469</v>
      </c>
      <c r="L546" s="455">
        <f t="shared" ca="1" si="54"/>
        <v>737987.71333971876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737987.71333971876</v>
      </c>
      <c r="J547" s="455">
        <f t="array" ref="J547">IFERROR(INDEX('Retirement Calculator'!J:J,MATCH('Isaac 401k'!N547,'Retirement Calculator'!A:A,0),0),0)</f>
        <v>7863.2184191855868</v>
      </c>
      <c r="K547" s="455">
        <f t="shared" ca="1" si="53"/>
        <v>3042.1853955022216</v>
      </c>
      <c r="L547" s="455">
        <f t="shared" ca="1" si="54"/>
        <v>733166.6803160354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733166.6803160354</v>
      </c>
      <c r="J548" s="455">
        <f t="array" ref="J548">IFERROR(INDEX('Retirement Calculator'!J:J,MATCH('Isaac 401k'!N548,'Retirement Calculator'!A:A,0),0),0)</f>
        <v>7863.2184191855868</v>
      </c>
      <c r="K548" s="455">
        <f t="shared" ca="1" si="53"/>
        <v>3022.0977579035407</v>
      </c>
      <c r="L548" s="455">
        <f t="shared" ca="1" si="54"/>
        <v>728325.55965475331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728325.55965475331</v>
      </c>
      <c r="J549" s="455">
        <f t="array" ref="J549">IFERROR(INDEX('Retirement Calculator'!J:J,MATCH('Isaac 401k'!N549,'Retirement Calculator'!A:A,0),0),0)</f>
        <v>7863.2184191855868</v>
      </c>
      <c r="K549" s="455">
        <f t="shared" ca="1" si="53"/>
        <v>3001.9264218148655</v>
      </c>
      <c r="L549" s="455">
        <f t="shared" ca="1" si="54"/>
        <v>723464.26765738253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723464.26765738253</v>
      </c>
      <c r="J550" s="455">
        <f t="array" ref="J550">IFERROR(INDEX('Retirement Calculator'!J:J,MATCH('Isaac 401k'!N550,'Retirement Calculator'!A:A,0),0),0)</f>
        <v>7863.2184191855868</v>
      </c>
      <c r="K550" s="455">
        <f t="shared" ca="1" si="53"/>
        <v>2981.6710384924872</v>
      </c>
      <c r="L550" s="455">
        <f t="shared" ca="1" si="54"/>
        <v>718582.72027668939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718582.72027668939</v>
      </c>
      <c r="J551" s="455">
        <f t="array" ref="J551">IFERROR(INDEX('Retirement Calculator'!J:J,MATCH('Isaac 401k'!N551,'Retirement Calculator'!A:A,0),0),0)</f>
        <v>7863.2184191855868</v>
      </c>
      <c r="K551" s="455">
        <f t="shared" ca="1" si="53"/>
        <v>2961.3312577395991</v>
      </c>
      <c r="L551" s="455">
        <f t="shared" ca="1" si="54"/>
        <v>713680.83311524335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713680.83311524335</v>
      </c>
      <c r="J552" s="455">
        <f t="array" ref="J552">IFERROR(INDEX('Retirement Calculator'!J:J,MATCH('Isaac 401k'!N552,'Retirement Calculator'!A:A,0),0),0)</f>
        <v>7863.2184191855868</v>
      </c>
      <c r="K552" s="455">
        <f t="shared" ca="1" si="53"/>
        <v>2940.9067279002406</v>
      </c>
      <c r="L552" s="455">
        <f t="shared" ca="1" si="54"/>
        <v>708758.52142395801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708758.52142395801</v>
      </c>
      <c r="J553" s="455">
        <f t="array" ref="J553">IFERROR(INDEX('Retirement Calculator'!J:J,MATCH('Isaac 401k'!N553,'Retirement Calculator'!A:A,0),0),0)</f>
        <v>7863.2184191855868</v>
      </c>
      <c r="K553" s="455">
        <f t="shared" ca="1" si="53"/>
        <v>2920.3970958532182</v>
      </c>
      <c r="L553" s="455">
        <f t="shared" ca="1" si="54"/>
        <v>703815.70010062563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703815.70010062563</v>
      </c>
      <c r="J554" s="455">
        <f t="array" ref="J554">IFERROR(INDEX('Retirement Calculator'!J:J,MATCH('Isaac 401k'!N554,'Retirement Calculator'!A:A,0),0),0)</f>
        <v>7863.2184191855868</v>
      </c>
      <c r="K554" s="455">
        <f t="shared" ca="1" si="53"/>
        <v>2899.8020070060002</v>
      </c>
      <c r="L554" s="455">
        <f t="shared" ca="1" si="54"/>
        <v>698852.28368844604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698852.28368844604</v>
      </c>
      <c r="J555" s="455">
        <f t="array" ref="J555">IFERROR(INDEX('Retirement Calculator'!J:J,MATCH('Isaac 401k'!N555,'Retirement Calculator'!A:A,0),0),0)</f>
        <v>7863.2184191855868</v>
      </c>
      <c r="K555" s="455">
        <f t="shared" ca="1" si="53"/>
        <v>2879.1211052885851</v>
      </c>
      <c r="L555" s="455">
        <f t="shared" ca="1" si="54"/>
        <v>693868.18637454906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693868.18637454906</v>
      </c>
      <c r="J556" s="455">
        <f t="array" ref="J556">IFERROR(INDEX('Retirement Calculator'!J:J,MATCH('Isaac 401k'!N556,'Retirement Calculator'!A:A,0),0),0)</f>
        <v>7863.2184191855868</v>
      </c>
      <c r="K556" s="455">
        <f t="shared" ca="1" si="53"/>
        <v>2858.3540331473478</v>
      </c>
      <c r="L556" s="455">
        <f t="shared" ca="1" si="54"/>
        <v>688863.32198851078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688863.32198851078</v>
      </c>
      <c r="J557" s="455">
        <f t="array" ref="J557">IFERROR(INDEX('Retirement Calculator'!J:J,MATCH('Isaac 401k'!N557,'Retirement Calculator'!A:A,0),0),0)</f>
        <v>7863.2184191855868</v>
      </c>
      <c r="K557" s="455">
        <f t="shared" ca="1" si="53"/>
        <v>2837.5004315388551</v>
      </c>
      <c r="L557" s="455">
        <f t="shared" ca="1" si="54"/>
        <v>683837.60400086408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683837.60400086408</v>
      </c>
      <c r="J558" s="455">
        <f t="array" ref="J558">IFERROR(INDEX('Retirement Calculator'!J:J,MATCH('Isaac 401k'!N558,'Retirement Calculator'!A:A,0),0),0)</f>
        <v>7863.2184191855868</v>
      </c>
      <c r="K558" s="455">
        <f t="shared" ca="1" si="53"/>
        <v>2816.5599399236603</v>
      </c>
      <c r="L558" s="455">
        <f t="shared" ca="1" si="54"/>
        <v>678790.94552160217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678790.94552160217</v>
      </c>
      <c r="J559" s="455">
        <f t="array" ref="J559">IFERROR(INDEX('Retirement Calculator'!J:J,MATCH('Isaac 401k'!N559,'Retirement Calculator'!A:A,0),0),0)</f>
        <v>7863.2184191855868</v>
      </c>
      <c r="K559" s="455">
        <f t="shared" ca="1" si="53"/>
        <v>2795.5321962600692</v>
      </c>
      <c r="L559" s="455">
        <f t="shared" ca="1" si="54"/>
        <v>673723.25929867662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673723.25929867662</v>
      </c>
      <c r="J560" s="455">
        <f t="array" ref="J560">IFERROR(INDEX('Retirement Calculator'!J:J,MATCH('Isaac 401k'!N560,'Retirement Calculator'!A:A,0),0),0)</f>
        <v>7863.2184191855868</v>
      </c>
      <c r="K560" s="455">
        <f t="shared" ca="1" si="53"/>
        <v>2774.4168369978793</v>
      </c>
      <c r="L560" s="455">
        <f t="shared" ca="1" si="54"/>
        <v>668634.45771648886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668634.45771648886</v>
      </c>
      <c r="J561" s="455">
        <f t="array" ref="J561">IFERROR(INDEX('Retirement Calculator'!J:J,MATCH('Isaac 401k'!N561,'Retirement Calculator'!A:A,0),0),0)</f>
        <v>7863.2184191855868</v>
      </c>
      <c r="K561" s="455">
        <f t="shared" ca="1" si="53"/>
        <v>2753.2134970720967</v>
      </c>
      <c r="L561" s="455">
        <f t="shared" ca="1" si="54"/>
        <v>663524.45279437536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663524.45279437536</v>
      </c>
      <c r="J562" s="455">
        <f t="array" ref="J562">IFERROR(INDEX('Retirement Calculator'!J:J,MATCH('Isaac 401k'!N562,'Retirement Calculator'!A:A,0),0),0)</f>
        <v>7863.2184191855868</v>
      </c>
      <c r="K562" s="455">
        <f t="shared" ca="1" si="53"/>
        <v>2731.9218098966239</v>
      </c>
      <c r="L562" s="455">
        <f t="shared" ca="1" si="54"/>
        <v>658393.15618508635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658393.15618508635</v>
      </c>
      <c r="J563" s="455">
        <f t="array" ref="J563">IFERROR(INDEX('Retirement Calculator'!J:J,MATCH('Isaac 401k'!N563,'Retirement Calculator'!A:A,0),0),0)</f>
        <v>7863.2184191855868</v>
      </c>
      <c r="K563" s="455">
        <f t="shared" ca="1" si="53"/>
        <v>2710.5414073579195</v>
      </c>
      <c r="L563" s="455">
        <f t="shared" ca="1" si="54"/>
        <v>653240.47917325865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653240.47917325865</v>
      </c>
      <c r="J564" s="455">
        <f t="array" ref="J564">IFERROR(INDEX('Retirement Calculator'!J:J,MATCH('Isaac 401k'!N564,'Retirement Calculator'!A:A,0),0),0)</f>
        <v>7863.2184191855868</v>
      </c>
      <c r="K564" s="455">
        <f t="shared" ca="1" si="53"/>
        <v>2689.0719198086376</v>
      </c>
      <c r="L564" s="455">
        <f t="shared" ca="1" si="54"/>
        <v>648066.33267388167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648066.33267388167</v>
      </c>
      <c r="J565" s="455">
        <f t="array" ref="J565">IFERROR(INDEX('Retirement Calculator'!J:J,MATCH('Isaac 401k'!N565,'Retirement Calculator'!A:A,0),0),0)</f>
        <v>7863.2184191855868</v>
      </c>
      <c r="K565" s="455">
        <f t="shared" ca="1" si="53"/>
        <v>2667.5129760612335</v>
      </c>
      <c r="L565" s="455">
        <f t="shared" ca="1" si="54"/>
        <v>642870.62723075727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642870.62723075727</v>
      </c>
      <c r="J566" s="455">
        <f t="array" ref="J566">IFERROR(INDEX('Retirement Calculator'!J:J,MATCH('Isaac 401k'!N566,'Retirement Calculator'!A:A,0),0),0)</f>
        <v>7863.2184191855868</v>
      </c>
      <c r="K566" s="455">
        <f t="shared" ca="1" si="53"/>
        <v>2645.8642033815486</v>
      </c>
      <c r="L566" s="455">
        <f t="shared" ca="1" si="54"/>
        <v>637653.27301495324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637653.27301495324</v>
      </c>
      <c r="J567" s="455">
        <f t="array" ref="J567">IFERROR(INDEX('Retirement Calculator'!J:J,MATCH('Isaac 401k'!N567,'Retirement Calculator'!A:A,0),0),0)</f>
        <v>7863.2184191855868</v>
      </c>
      <c r="K567" s="455">
        <f t="shared" ca="1" si="53"/>
        <v>2624.1252274823651</v>
      </c>
      <c r="L567" s="455">
        <f t="shared" ca="1" si="54"/>
        <v>632414.17982325004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632414.17982325004</v>
      </c>
      <c r="J568" s="455">
        <f t="array" ref="J568">IFERROR(INDEX('Retirement Calculator'!J:J,MATCH('Isaac 401k'!N568,'Retirement Calculator'!A:A,0),0),0)</f>
        <v>7863.2184191855868</v>
      </c>
      <c r="K568" s="455">
        <f t="shared" ca="1" si="53"/>
        <v>2602.2956725169352</v>
      </c>
      <c r="L568" s="455">
        <f t="shared" ca="1" si="54"/>
        <v>627153.25707658136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627153.25707658136</v>
      </c>
      <c r="J569" s="455">
        <f t="array" ref="J569">IFERROR(INDEX('Retirement Calculator'!J:J,MATCH('Isaac 401k'!N569,'Retirement Calculator'!A:A,0),0),0)</f>
        <v>7863.2184191855868</v>
      </c>
      <c r="K569" s="455">
        <f t="shared" ca="1" si="53"/>
        <v>2580.3751610724821</v>
      </c>
      <c r="L569" s="455">
        <f t="shared" ca="1" si="54"/>
        <v>621870.41381846822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621870.41381846822</v>
      </c>
      <c r="J570" s="455">
        <f t="array" ref="J570">IFERROR(INDEX('Retirement Calculator'!J:J,MATCH('Isaac 401k'!N570,'Retirement Calculator'!A:A,0),0),0)</f>
        <v>7863.2184191855868</v>
      </c>
      <c r="K570" s="455">
        <f t="shared" ca="1" si="53"/>
        <v>2558.3633141636774</v>
      </c>
      <c r="L570" s="455">
        <f t="shared" ca="1" si="54"/>
        <v>616565.55871344625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616565.55871344625</v>
      </c>
      <c r="J571" s="455">
        <f t="array" ref="J571">IFERROR(INDEX('Retirement Calculator'!J:J,MATCH('Isaac 401k'!N571,'Retirement Calculator'!A:A,0),0),0)</f>
        <v>7863.2184191855868</v>
      </c>
      <c r="K571" s="455">
        <f t="shared" ca="1" si="53"/>
        <v>2536.2597512260859</v>
      </c>
      <c r="L571" s="455">
        <f t="shared" ca="1" si="54"/>
        <v>611238.6000454867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611238.6000454867</v>
      </c>
      <c r="J572" s="455">
        <f t="array" ref="J572">IFERROR(INDEX('Retirement Calculator'!J:J,MATCH('Isaac 401k'!N572,'Retirement Calculator'!A:A,0),0),0)</f>
        <v>7863.2184191855868</v>
      </c>
      <c r="K572" s="455">
        <f t="shared" ca="1" si="53"/>
        <v>2514.0640901095881</v>
      </c>
      <c r="L572" s="455">
        <f t="shared" ca="1" si="54"/>
        <v>605889.44571641064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605889.44571641064</v>
      </c>
      <c r="J573" s="455">
        <f t="array" ref="J573">IFERROR(INDEX('Retirement Calculator'!J:J,MATCH('Isaac 401k'!N573,'Retirement Calculator'!A:A,0),0),0)</f>
        <v>7863.2184191855868</v>
      </c>
      <c r="K573" s="455">
        <f t="shared" ca="1" si="53"/>
        <v>2491.775947071771</v>
      </c>
      <c r="L573" s="455">
        <f t="shared" ca="1" si="54"/>
        <v>600518.00324429676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600518.00324429676</v>
      </c>
      <c r="J574" s="455">
        <f t="array" ref="J574">IFERROR(INDEX('Retirement Calculator'!J:J,MATCH('Isaac 401k'!N574,'Retirement Calculator'!A:A,0),0),0)</f>
        <v>7863.2184191855868</v>
      </c>
      <c r="K574" s="455">
        <f t="shared" ca="1" si="53"/>
        <v>2469.3949367712967</v>
      </c>
      <c r="L574" s="455">
        <f t="shared" ca="1" si="54"/>
        <v>595124.17976188241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595124.17976188241</v>
      </c>
      <c r="J575" s="455">
        <f t="array" ref="J575">IFERROR(INDEX('Retirement Calculator'!J:J,MATCH('Isaac 401k'!N575,'Retirement Calculator'!A:A,0),0),0)</f>
        <v>7863.2184191855868</v>
      </c>
      <c r="K575" s="455">
        <f t="shared" ca="1" si="53"/>
        <v>2446.9206722612366</v>
      </c>
      <c r="L575" s="455">
        <f t="shared" ca="1" si="54"/>
        <v>589707.88201495807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589707.88201495807</v>
      </c>
      <c r="J576" s="455">
        <f t="array" ref="J576">IFERROR(INDEX('Retirement Calculator'!J:J,MATCH('Isaac 401k'!N576,'Retirement Calculator'!A:A,0),0),0)</f>
        <v>7863.2184191855868</v>
      </c>
      <c r="K576" s="455">
        <f t="shared" ca="1" si="53"/>
        <v>2424.3527649823855</v>
      </c>
      <c r="L576" s="455">
        <f t="shared" ca="1" si="54"/>
        <v>584269.01636075485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584269.01636075485</v>
      </c>
      <c r="J577" s="455">
        <f t="array" ref="J577">IFERROR(INDEX('Retirement Calculator'!J:J,MATCH('Isaac 401k'!N577,'Retirement Calculator'!A:A,0),0),0)</f>
        <v>7863.2184191855868</v>
      </c>
      <c r="K577" s="455">
        <f t="shared" ca="1" si="53"/>
        <v>2401.6908247565384</v>
      </c>
      <c r="L577" s="455">
        <f t="shared" ca="1" si="54"/>
        <v>578807.48876632575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578807.48876632575</v>
      </c>
      <c r="J578" s="455">
        <f t="array" ref="J578">IFERROR(INDEX('Retirement Calculator'!J:J,MATCH('Isaac 401k'!N578,'Retirement Calculator'!A:A,0),0),0)</f>
        <v>7863.2184191855868</v>
      </c>
      <c r="K578" s="455">
        <f t="shared" ca="1" si="53"/>
        <v>2378.9344597797508</v>
      </c>
      <c r="L578" s="455">
        <f t="shared" ca="1" si="54"/>
        <v>573323.20480691991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573323.20480691991</v>
      </c>
      <c r="J579" s="455">
        <f t="array" ref="J579">IFERROR(INDEX('Retirement Calculator'!J:J,MATCH('Isaac 401k'!N579,'Retirement Calculator'!A:A,0),0),0)</f>
        <v>7863.2184191855868</v>
      </c>
      <c r="K579" s="455">
        <f t="shared" ca="1" si="53"/>
        <v>2356.0832766155595</v>
      </c>
      <c r="L579" s="455">
        <f t="shared" ca="1" si="54"/>
        <v>567816.0696643499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567816.0696643499</v>
      </c>
      <c r="J580" s="455">
        <f t="array" ref="J580">IFERROR(INDEX('Retirement Calculator'!J:J,MATCH('Isaac 401k'!N580,'Retirement Calculator'!A:A,0),0),0)</f>
        <v>7863.2184191855868</v>
      </c>
      <c r="K580" s="455">
        <f t="shared" ca="1" si="53"/>
        <v>2333.1368801881845</v>
      </c>
      <c r="L580" s="455">
        <f t="shared" ca="1" si="54"/>
        <v>562285.98812535242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562285.98812535242</v>
      </c>
      <c r="J581" s="455">
        <f t="array" ref="J581">IFERROR(INDEX('Retirement Calculator'!J:J,MATCH('Isaac 401k'!N581,'Retirement Calculator'!A:A,0),0),0)</f>
        <v>7863.2184191855868</v>
      </c>
      <c r="K581" s="455">
        <f t="shared" ca="1" si="53"/>
        <v>2310.0948737756949</v>
      </c>
      <c r="L581" s="455">
        <f t="shared" ca="1" si="54"/>
        <v>556732.86457994254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556732.86457994254</v>
      </c>
      <c r="J582" s="455">
        <f t="array" ref="J582">IFERROR(INDEX('Retirement Calculator'!J:J,MATCH('Isaac 401k'!N582,'Retirement Calculator'!A:A,0),0),0)</f>
        <v>7863.2184191855868</v>
      </c>
      <c r="K582" s="455">
        <f t="shared" ca="1" si="53"/>
        <v>2286.956859003154</v>
      </c>
      <c r="L582" s="455">
        <f t="shared" ca="1" si="54"/>
        <v>551156.60301976011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551156.60301976011</v>
      </c>
      <c r="J583" s="455">
        <f t="array" ref="J583">IFERROR(INDEX('Retirement Calculator'!J:J,MATCH('Isaac 401k'!N583,'Retirement Calculator'!A:A,0),0),0)</f>
        <v>7863.2184191855868</v>
      </c>
      <c r="K583" s="455">
        <f t="shared" ca="1" si="53"/>
        <v>2263.7224358357271</v>
      </c>
      <c r="L583" s="455">
        <f t="shared" ca="1" si="54"/>
        <v>545557.10703641025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545557.10703641025</v>
      </c>
      <c r="J584" s="455">
        <f t="array" ref="J584">IFERROR(INDEX('Retirement Calculator'!J:J,MATCH('Isaac 401k'!N584,'Retirement Calculator'!A:A,0),0),0)</f>
        <v>7863.2184191855868</v>
      </c>
      <c r="K584" s="455">
        <f t="shared" ca="1" si="53"/>
        <v>2240.3912025717691</v>
      </c>
      <c r="L584" s="455">
        <f t="shared" ca="1" si="54"/>
        <v>539934.27981979644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539934.27981979644</v>
      </c>
      <c r="J585" s="455">
        <f t="array" ref="J585">IFERROR(INDEX('Retirement Calculator'!J:J,MATCH('Isaac 401k'!N585,'Retirement Calculator'!A:A,0),0),0)</f>
        <v>7863.2184191855868</v>
      </c>
      <c r="K585" s="455">
        <f t="shared" ca="1" si="53"/>
        <v>2216.9627558358784</v>
      </c>
      <c r="L585" s="455">
        <f t="shared" ca="1" si="54"/>
        <v>534288.02415644669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534288.02415644669</v>
      </c>
      <c r="J586" s="455">
        <f t="array" ref="J586">IFERROR(INDEX('Retirement Calculator'!J:J,MATCH('Isaac 401k'!N586,'Retirement Calculator'!A:A,0),0),0)</f>
        <v>7863.2184191855868</v>
      </c>
      <c r="K586" s="455">
        <f t="shared" ca="1" si="53"/>
        <v>2193.4366905719212</v>
      </c>
      <c r="L586" s="455">
        <f t="shared" ca="1" si="54"/>
        <v>528618.24242783303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528618.24242783303</v>
      </c>
      <c r="J587" s="455">
        <f t="array" ref="J587">IFERROR(INDEX('Retirement Calculator'!J:J,MATCH('Isaac 401k'!N587,'Retirement Calculator'!A:A,0),0),0)</f>
        <v>7863.2184191855868</v>
      </c>
      <c r="K587" s="455">
        <f t="shared" ca="1" si="53"/>
        <v>2169.8126000360307</v>
      </c>
      <c r="L587" s="455">
        <f t="shared" ca="1" si="54"/>
        <v>522924.83660868346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522924.83660868346</v>
      </c>
      <c r="J588" s="455">
        <f t="array" ref="J588">IFERROR(INDEX('Retirement Calculator'!J:J,MATCH('Isaac 401k'!N588,'Retirement Calculator'!A:A,0),0),0)</f>
        <v>7863.2184191855868</v>
      </c>
      <c r="K588" s="455">
        <f t="shared" ca="1" si="53"/>
        <v>2146.0900757895743</v>
      </c>
      <c r="L588" s="455">
        <f t="shared" ca="1" si="54"/>
        <v>517207.70826528745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517207.70826528745</v>
      </c>
      <c r="J589" s="455">
        <f t="array" ref="J589">IFERROR(INDEX('Retirement Calculator'!J:J,MATCH('Isaac 401k'!N589,'Retirement Calculator'!A:A,0),0),0)</f>
        <v>7863.2184191855868</v>
      </c>
      <c r="K589" s="455">
        <f t="shared" ca="1" si="53"/>
        <v>2122.2687076920911</v>
      </c>
      <c r="L589" s="455">
        <f t="shared" ca="1" si="54"/>
        <v>511466.75855379394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511466.75855379394</v>
      </c>
      <c r="J590" s="455">
        <f t="array" ref="J590">IFERROR(INDEX('Retirement Calculator'!J:J,MATCH('Isaac 401k'!N590,'Retirement Calculator'!A:A,0),0),0)</f>
        <v>7863.2184191855868</v>
      </c>
      <c r="K590" s="455">
        <f t="shared" ca="1" si="53"/>
        <v>2098.3480838942014</v>
      </c>
      <c r="L590" s="455">
        <f t="shared" ca="1" si="54"/>
        <v>505701.88821850251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505701.88821850251</v>
      </c>
      <c r="J591" s="455">
        <f t="array" ref="J591">IFERROR(INDEX('Retirement Calculator'!J:J,MATCH('Isaac 401k'!N591,'Retirement Calculator'!A:A,0),0),0)</f>
        <v>7863.2184191855868</v>
      </c>
      <c r="K591" s="455">
        <f t="shared" ca="1" si="53"/>
        <v>2074.3277908304867</v>
      </c>
      <c r="L591" s="455">
        <f t="shared" ca="1" si="54"/>
        <v>499912.99759014737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499912.99759014737</v>
      </c>
      <c r="J592" s="455">
        <f t="array" ref="J592">IFERROR(INDEX('Retirement Calculator'!J:J,MATCH('Isaac 401k'!N592,'Retirement Calculator'!A:A,0),0),0)</f>
        <v>7863.2184191855868</v>
      </c>
      <c r="K592" s="455">
        <f t="shared" ca="1" si="53"/>
        <v>2050.2074132123407</v>
      </c>
      <c r="L592" s="455">
        <f t="shared" ca="1" si="54"/>
        <v>494099.9865841741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494099.9865841741</v>
      </c>
      <c r="J593" s="455">
        <f t="array" ref="J593">IFERROR(INDEX('Retirement Calculator'!J:J,MATCH('Isaac 401k'!N593,'Retirement Calculator'!A:A,0),0),0)</f>
        <v>7863.2184191855868</v>
      </c>
      <c r="K593" s="455">
        <f t="shared" ca="1" si="53"/>
        <v>2025.9865340207853</v>
      </c>
      <c r="L593" s="455">
        <f t="shared" ca="1" si="54"/>
        <v>488262.7546990093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488262.7546990093</v>
      </c>
      <c r="J594" s="455">
        <f t="array" ref="J594">IFERROR(INDEX('Retirement Calculator'!J:J,MATCH('Isaac 401k'!N594,'Retirement Calculator'!A:A,0),0),0)</f>
        <v>7863.2184191855868</v>
      </c>
      <c r="K594" s="455">
        <f t="shared" ca="1" si="53"/>
        <v>2001.6647344992653</v>
      </c>
      <c r="L594" s="455">
        <f t="shared" ca="1" si="54"/>
        <v>482401.20101432293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482401.20101432293</v>
      </c>
      <c r="J595" s="455">
        <f t="array" ref="J595">IFERROR(INDEX('Retirement Calculator'!J:J,MATCH('Isaac 401k'!N595,'Retirement Calculator'!A:A,0),0),0)</f>
        <v>7863.2184191855868</v>
      </c>
      <c r="K595" s="455">
        <f t="shared" ca="1" si="53"/>
        <v>1977.2415941464055</v>
      </c>
      <c r="L595" s="455">
        <f t="shared" ca="1" si="54"/>
        <v>476515.22418928373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476515.22418928373</v>
      </c>
      <c r="J596" s="455">
        <f t="array" ref="J596">IFERROR(INDEX('Retirement Calculator'!J:J,MATCH('Isaac 401k'!N596,'Retirement Calculator'!A:A,0),0),0)</f>
        <v>7863.2184191855868</v>
      </c>
      <c r="K596" s="455">
        <f t="shared" ca="1" si="53"/>
        <v>1952.7166907087419</v>
      </c>
      <c r="L596" s="455">
        <f t="shared" ca="1" si="54"/>
        <v>470604.72246080689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470604.72246080689</v>
      </c>
      <c r="J597" s="455">
        <f t="array" ref="J597">IFERROR(INDEX('Retirement Calculator'!J:J,MATCH('Isaac 401k'!N597,'Retirement Calculator'!A:A,0),0),0)</f>
        <v>7863.2184191855868</v>
      </c>
      <c r="K597" s="455">
        <f t="shared" ca="1" si="53"/>
        <v>1928.0896001734222</v>
      </c>
      <c r="L597" s="455">
        <f t="shared" ca="1" si="54"/>
        <v>464669.59364179469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464669.59364179469</v>
      </c>
      <c r="J598" s="455">
        <f t="array" ref="J598">IFERROR(INDEX('Retirement Calculator'!J:J,MATCH('Isaac 401k'!N598,'Retirement Calculator'!A:A,0),0),0)</f>
        <v>7863.2184191855868</v>
      </c>
      <c r="K598" s="455">
        <f t="shared" ca="1" si="53"/>
        <v>1903.3598967608712</v>
      </c>
      <c r="L598" s="455">
        <f t="shared" ca="1" si="54"/>
        <v>458709.73511936999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458709.73511936999</v>
      </c>
      <c r="J599" s="455">
        <f t="array" ref="J599">IFERROR(INDEX('Retirement Calculator'!J:J,MATCH('Isaac 401k'!N599,'Retirement Calculator'!A:A,0),0),0)</f>
        <v>7863.2184191855868</v>
      </c>
      <c r="K599" s="455">
        <f t="shared" ca="1" si="53"/>
        <v>1878.5271529174352</v>
      </c>
      <c r="L599" s="455">
        <f t="shared" ca="1" si="54"/>
        <v>452725.04385310179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452725.04385310179</v>
      </c>
      <c r="J600" s="455">
        <f t="array" ref="J600">IFERROR(INDEX('Retirement Calculator'!J:J,MATCH('Isaac 401k'!N600,'Retirement Calculator'!A:A,0),0),0)</f>
        <v>7863.2184191855868</v>
      </c>
      <c r="K600" s="455">
        <f t="shared" ca="1" si="53"/>
        <v>1853.5909393079837</v>
      </c>
      <c r="L600" s="455">
        <f t="shared" ca="1" si="54"/>
        <v>446715.41637322417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446715.41637322417</v>
      </c>
      <c r="J601" s="455">
        <f t="array" ref="J601">IFERROR(INDEX('Retirement Calculator'!J:J,MATCH('Isaac 401k'!N601,'Retirement Calculator'!A:A,0),0),0)</f>
        <v>7863.2184191855868</v>
      </c>
      <c r="K601" s="455">
        <f t="shared" ca="1" si="53"/>
        <v>1828.5508248084941</v>
      </c>
      <c r="L601" s="455">
        <f t="shared" ca="1" si="54"/>
        <v>440680.74877884705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440680.74877884705</v>
      </c>
      <c r="J602" s="455">
        <f t="array" ref="J602">IFERROR(INDEX('Retirement Calculator'!J:J,MATCH('Isaac 401k'!N602,'Retirement Calculator'!A:A,0),0),0)</f>
        <v>7863.2184191855868</v>
      </c>
      <c r="K602" s="455">
        <f t="shared" ca="1" si="53"/>
        <v>1803.406376498589</v>
      </c>
      <c r="L602" s="455">
        <f t="shared" ca="1" si="54"/>
        <v>434620.93673616002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434620.93673616002</v>
      </c>
      <c r="J603" s="455">
        <f t="array" ref="J603">IFERROR(INDEX('Retirement Calculator'!J:J,MATCH('Isaac 401k'!N603,'Retirement Calculator'!A:A,0),0),0)</f>
        <v>7863.2184191855868</v>
      </c>
      <c r="K603" s="455">
        <f t="shared" ca="1" si="53"/>
        <v>1778.15715965406</v>
      </c>
      <c r="L603" s="455">
        <f t="shared" ca="1" si="54"/>
        <v>428535.87547662848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428535.87547662848</v>
      </c>
      <c r="J604" s="455">
        <f t="array" ref="J604">IFERROR(INDEX('Retirement Calculator'!J:J,MATCH('Isaac 401k'!N604,'Retirement Calculator'!A:A,0),0),0)</f>
        <v>7863.2184191855868</v>
      </c>
      <c r="K604" s="455">
        <f t="shared" ca="1" si="53"/>
        <v>1752.8027377393453</v>
      </c>
      <c r="L604" s="455">
        <f t="shared" ca="1" si="54"/>
        <v>422425.45979518222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422425.45979518222</v>
      </c>
      <c r="J605" s="455">
        <f t="array" ref="J605">IFERROR(INDEX('Retirement Calculator'!J:J,MATCH('Isaac 401k'!N605,'Retirement Calculator'!A:A,0),0),0)</f>
        <v>7863.2184191855868</v>
      </c>
      <c r="K605" s="455">
        <f t="shared" ca="1" si="53"/>
        <v>1727.3426723999855</v>
      </c>
      <c r="L605" s="455">
        <f t="shared" ca="1" si="54"/>
        <v>416289.58404839662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416289.58404839662</v>
      </c>
      <c r="J606" s="455">
        <f t="array" ref="J606">IFERROR(INDEX('Retirement Calculator'!J:J,MATCH('Isaac 401k'!N606,'Retirement Calculator'!A:A,0),0),0)</f>
        <v>7863.2184191855868</v>
      </c>
      <c r="K606" s="455">
        <f t="shared" ca="1" si="53"/>
        <v>1701.7765234550459</v>
      </c>
      <c r="L606" s="455">
        <f t="shared" ca="1" si="54"/>
        <v>410128.14215266606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410128.14215266606</v>
      </c>
      <c r="J607" s="455">
        <f t="array" ref="J607">IFERROR(INDEX('Retirement Calculator'!J:J,MATCH('Isaac 401k'!N607,'Retirement Calculator'!A:A,0),0),0)</f>
        <v>7863.2184191855868</v>
      </c>
      <c r="K607" s="455">
        <f t="shared" ca="1" si="53"/>
        <v>1676.1038488895019</v>
      </c>
      <c r="L607" s="455">
        <f t="shared" ca="1" si="54"/>
        <v>403941.02758236998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403941.02758236998</v>
      </c>
      <c r="J608" s="455">
        <f t="array" ref="J608">IFERROR(INDEX('Retirement Calculator'!J:J,MATCH('Isaac 401k'!N608,'Retirement Calculator'!A:A,0),0),0)</f>
        <v>7863.2184191855868</v>
      </c>
      <c r="K608" s="455">
        <f t="shared" ca="1" si="53"/>
        <v>1650.3242048466016</v>
      </c>
      <c r="L608" s="455">
        <f t="shared" ca="1" si="54"/>
        <v>397728.13336803095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397728.13336803095</v>
      </c>
      <c r="J609" s="455">
        <f t="array" ref="J609">IFERROR(INDEX('Retirement Calculator'!J:J,MATCH('Isaac 401k'!N609,'Retirement Calculator'!A:A,0),0),0)</f>
        <v>7863.2184191855868</v>
      </c>
      <c r="K609" s="455">
        <f t="shared" ca="1" si="53"/>
        <v>1624.4371456201889</v>
      </c>
      <c r="L609" s="455">
        <f t="shared" ca="1" si="54"/>
        <v>391489.35209446552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391489.35209446552</v>
      </c>
      <c r="J610" s="455">
        <f t="array" ref="J610">IFERROR(INDEX('Retirement Calculator'!J:J,MATCH('Isaac 401k'!N610,'Retirement Calculator'!A:A,0),0),0)</f>
        <v>7863.2184191855868</v>
      </c>
      <c r="K610" s="455">
        <f t="shared" ca="1" si="53"/>
        <v>1598.4422236469995</v>
      </c>
      <c r="L610" s="455">
        <f t="shared" ca="1" si="54"/>
        <v>385224.57589892694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385224.57589892694</v>
      </c>
      <c r="J611" s="455">
        <f t="array" ref="J611">IFERROR(INDEX('Retirement Calculator'!J:J,MATCH('Isaac 401k'!N611,'Retirement Calculator'!A:A,0),0),0)</f>
        <v>7863.2184191855868</v>
      </c>
      <c r="K611" s="455">
        <f t="shared" ca="1" si="53"/>
        <v>1572.3389894989223</v>
      </c>
      <c r="L611" s="455">
        <f t="shared" ca="1" si="54"/>
        <v>378933.69646924024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378933.69646924024</v>
      </c>
      <c r="J612" s="455">
        <f t="array" ref="J612">IFERROR(INDEX('Retirement Calculator'!J:J,MATCH('Isaac 401k'!N612,'Retirement Calculator'!A:A,0),0),0)</f>
        <v>7863.2184191855868</v>
      </c>
      <c r="K612" s="455">
        <f t="shared" ca="1" si="53"/>
        <v>1546.1269918752275</v>
      </c>
      <c r="L612" s="455">
        <f t="shared" ca="1" si="54"/>
        <v>372616.60504192987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372616.60504192987</v>
      </c>
      <c r="J613" s="455">
        <f t="array" ref="J613">IFERROR(INDEX('Retirement Calculator'!J:J,MATCH('Isaac 401k'!N613,'Retirement Calculator'!A:A,0),0),0)</f>
        <v>7863.2184191855868</v>
      </c>
      <c r="K613" s="455">
        <f t="shared" ca="1" si="53"/>
        <v>1519.8057775947677</v>
      </c>
      <c r="L613" s="455">
        <f t="shared" ca="1" si="54"/>
        <v>366273.19240033906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366273.19240033906</v>
      </c>
      <c r="J614" s="455">
        <f t="array" ref="J614">IFERROR(INDEX('Retirement Calculator'!J:J,MATCH('Isaac 401k'!N614,'Retirement Calculator'!A:A,0),0),0)</f>
        <v>7863.2184191855868</v>
      </c>
      <c r="K614" s="455">
        <f t="shared" ca="1" si="53"/>
        <v>1493.3748915881395</v>
      </c>
      <c r="L614" s="455">
        <f t="shared" ca="1" si="54"/>
        <v>359903.34887274157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359903.34887274157</v>
      </c>
      <c r="J615" s="455">
        <f t="array" ref="J615">IFERROR(INDEX('Retirement Calculator'!J:J,MATCH('Isaac 401k'!N615,'Retirement Calculator'!A:A,0),0),0)</f>
        <v>7863.2184191855868</v>
      </c>
      <c r="K615" s="455">
        <f t="shared" ca="1" si="53"/>
        <v>1466.8338768898166</v>
      </c>
      <c r="L615" s="455">
        <f t="shared" ca="1" si="54"/>
        <v>353506.9643304458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353506.9643304458</v>
      </c>
      <c r="J616" s="455">
        <f t="array" ref="J616">IFERROR(INDEX('Retirement Calculator'!J:J,MATCH('Isaac 401k'!N616,'Retirement Calculator'!A:A,0),0),0)</f>
        <v>7863.2184191855868</v>
      </c>
      <c r="K616" s="455">
        <f t="shared" ca="1" si="53"/>
        <v>1440.1822746302507</v>
      </c>
      <c r="L616" s="455">
        <f t="shared" ca="1" si="54"/>
        <v>347083.92818589043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347083.92818589043</v>
      </c>
      <c r="J617" s="455">
        <f t="array" ref="J617">IFERROR(INDEX('Retirement Calculator'!J:J,MATCH('Isaac 401k'!N617,'Retirement Calculator'!A:A,0),0),0)</f>
        <v>7863.2184191855868</v>
      </c>
      <c r="K617" s="455">
        <f t="shared" ca="1" si="53"/>
        <v>1413.4196240279368</v>
      </c>
      <c r="L617" s="455">
        <f t="shared" ca="1" si="54"/>
        <v>340634.12939073273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340634.12939073273</v>
      </c>
      <c r="J618" s="455">
        <f t="array" ref="J618">IFERROR(INDEX('Retirement Calculator'!J:J,MATCH('Isaac 401k'!N618,'Retirement Calculator'!A:A,0),0),0)</f>
        <v>7863.2184191855868</v>
      </c>
      <c r="K618" s="455">
        <f t="shared" ca="1" si="53"/>
        <v>1386.5454623814464</v>
      </c>
      <c r="L618" s="455">
        <f t="shared" ca="1" si="54"/>
        <v>334157.45643392857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334157.45643392857</v>
      </c>
      <c r="J619" s="455">
        <f t="array" ref="J619">IFERROR(INDEX('Retirement Calculator'!J:J,MATCH('Isaac 401k'!N619,'Retirement Calculator'!A:A,0),0),0)</f>
        <v>7863.2184191855868</v>
      </c>
      <c r="K619" s="455">
        <f t="shared" ca="1" si="53"/>
        <v>1359.559325061429</v>
      </c>
      <c r="L619" s="455">
        <f t="shared" ca="1" si="54"/>
        <v>327653.79733980441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327653.79733980441</v>
      </c>
      <c r="J620" s="455">
        <f t="array" ref="J620">IFERROR(INDEX('Retirement Calculator'!J:J,MATCH('Isaac 401k'!N620,'Retirement Calculator'!A:A,0),0),0)</f>
        <v>7863.2184191855868</v>
      </c>
      <c r="K620" s="455">
        <f t="shared" ca="1" si="53"/>
        <v>1332.4607455025784</v>
      </c>
      <c r="L620" s="455">
        <f t="shared" ca="1" si="54"/>
        <v>321123.03966612136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321123.03966612136</v>
      </c>
      <c r="J621" s="455">
        <f t="array" ref="J621">IFERROR(INDEX('Retirement Calculator'!J:J,MATCH('Isaac 401k'!N621,'Retirement Calculator'!A:A,0),0),0)</f>
        <v>7863.2184191855868</v>
      </c>
      <c r="K621" s="455">
        <f t="shared" ca="1" si="53"/>
        <v>1305.2492551955656</v>
      </c>
      <c r="L621" s="455">
        <f t="shared" ca="1" si="54"/>
        <v>314565.0705021313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314565.0705021313</v>
      </c>
      <c r="J622" s="455">
        <f t="array" ref="J622">IFERROR(INDEX('Retirement Calculator'!J:J,MATCH('Isaac 401k'!N622,'Retirement Calculator'!A:A,0),0),0)</f>
        <v>7863.2184191855868</v>
      </c>
      <c r="K622" s="455">
        <f t="shared" ca="1" si="53"/>
        <v>1277.9243836789403</v>
      </c>
      <c r="L622" s="455">
        <f t="shared" ca="1" si="54"/>
        <v>307979.77646662464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307979.77646662464</v>
      </c>
      <c r="J623" s="455">
        <f t="array" ref="J623">IFERROR(INDEX('Retirement Calculator'!J:J,MATCH('Isaac 401k'!N623,'Retirement Calculator'!A:A,0),0),0)</f>
        <v>7863.2184191855868</v>
      </c>
      <c r="K623" s="455">
        <f t="shared" ca="1" si="53"/>
        <v>1250.485658530996</v>
      </c>
      <c r="L623" s="455">
        <f t="shared" ca="1" si="54"/>
        <v>301367.04370597005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301367.04370597005</v>
      </c>
      <c r="J624" s="455">
        <f t="array" ref="J624">IFERROR(INDEX('Retirement Calculator'!J:J,MATCH('Isaac 401k'!N624,'Retirement Calculator'!A:A,0),0),0)</f>
        <v>7863.2184191855868</v>
      </c>
      <c r="K624" s="455">
        <f t="shared" ca="1" si="53"/>
        <v>1222.9326053616019</v>
      </c>
      <c r="L624" s="455">
        <f t="shared" ca="1" si="54"/>
        <v>294726.75789214607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294726.75789214607</v>
      </c>
      <c r="J625" s="455">
        <f t="array" ref="J625">IFERROR(INDEX('Retirement Calculator'!J:J,MATCH('Isaac 401k'!N625,'Retirement Calculator'!A:A,0),0),0)</f>
        <v>7863.2184191855868</v>
      </c>
      <c r="K625" s="455">
        <f t="shared" ca="1" si="53"/>
        <v>1195.2647478040019</v>
      </c>
      <c r="L625" s="455">
        <f t="shared" ca="1" si="54"/>
        <v>288058.80422076449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288058.80422076449</v>
      </c>
      <c r="J626" s="455">
        <f t="array" ref="J626">IFERROR(INDEX('Retirement Calculator'!J:J,MATCH('Isaac 401k'!N626,'Retirement Calculator'!A:A,0),0),0)</f>
        <v>7863.2184191855868</v>
      </c>
      <c r="K626" s="455">
        <f t="shared" ca="1" si="53"/>
        <v>1167.4816075065787</v>
      </c>
      <c r="L626" s="455">
        <f t="shared" ca="1" si="54"/>
        <v>281363.06740908546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281363.06740908546</v>
      </c>
      <c r="J627" s="455">
        <f t="array" ref="J627">IFERROR(INDEX('Retirement Calculator'!J:J,MATCH('Isaac 401k'!N627,'Retirement Calculator'!A:A,0),0),0)</f>
        <v>7863.2184191855868</v>
      </c>
      <c r="K627" s="455">
        <f t="shared" ca="1" si="53"/>
        <v>1139.5827041245827</v>
      </c>
      <c r="L627" s="455">
        <f t="shared" ca="1" si="54"/>
        <v>274639.43169402442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274639.43169402442</v>
      </c>
      <c r="J628" s="455">
        <f t="array" ref="J628">IFERROR(INDEX('Retirement Calculator'!J:J,MATCH('Isaac 401k'!N628,'Retirement Calculator'!A:A,0),0),0)</f>
        <v>7863.2184191855868</v>
      </c>
      <c r="K628" s="455">
        <f t="shared" ca="1" si="53"/>
        <v>1111.5675553118283</v>
      </c>
      <c r="L628" s="455">
        <f t="shared" ca="1" si="54"/>
        <v>267887.78083015064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267887.78083015064</v>
      </c>
      <c r="J629" s="455">
        <f t="array" ref="J629">IFERROR(INDEX('Retirement Calculator'!J:J,MATCH('Isaac 401k'!N629,'Retirement Calculator'!A:A,0),0),0)</f>
        <v>7863.2184191855868</v>
      </c>
      <c r="K629" s="455">
        <f t="shared" ca="1" si="53"/>
        <v>1083.4356767123545</v>
      </c>
      <c r="L629" s="455">
        <f t="shared" ca="1" si="54"/>
        <v>261107.99808767744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261107.99808767744</v>
      </c>
      <c r="J630" s="455">
        <f t="array" ref="J630">IFERROR(INDEX('Retirement Calculator'!J:J,MATCH('Isaac 401k'!N630,'Retirement Calculator'!A:A,0),0),0)</f>
        <v>7863.2184191855868</v>
      </c>
      <c r="K630" s="455">
        <f t="shared" ca="1" si="53"/>
        <v>1055.1865819520494</v>
      </c>
      <c r="L630" s="455">
        <f t="shared" ca="1" si="54"/>
        <v>254299.96625044392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254299.96625044392</v>
      </c>
      <c r="J631" s="455">
        <f t="array" ref="J631">IFERROR(INDEX('Retirement Calculator'!J:J,MATCH('Isaac 401k'!N631,'Retirement Calculator'!A:A,0),0),0)</f>
        <v>7863.2184191855868</v>
      </c>
      <c r="K631" s="455">
        <f t="shared" ca="1" si="53"/>
        <v>1026.819782630243</v>
      </c>
      <c r="L631" s="455">
        <f t="shared" ca="1" si="54"/>
        <v>247463.56761388859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247463.56761388859</v>
      </c>
      <c r="J632" s="455">
        <f t="array" ref="J632">IFERROR(INDEX('Retirement Calculator'!J:J,MATCH('Isaac 401k'!N632,'Retirement Calculator'!A:A,0),0),0)</f>
        <v>7863.2184191855868</v>
      </c>
      <c r="K632" s="455">
        <f t="shared" ca="1" si="53"/>
        <v>998.33478831126251</v>
      </c>
      <c r="L632" s="455">
        <f t="shared" ca="1" si="54"/>
        <v>240598.68398301429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240598.68398301429</v>
      </c>
      <c r="J633" s="455">
        <f t="array" ref="J633">IFERROR(INDEX('Retirement Calculator'!J:J,MATCH('Isaac 401k'!N633,'Retirement Calculator'!A:A,0),0),0)</f>
        <v>7863.2184191855868</v>
      </c>
      <c r="K633" s="455">
        <f t="shared" ca="1" si="53"/>
        <v>969.731106515953</v>
      </c>
      <c r="L633" s="455">
        <f t="shared" ca="1" si="54"/>
        <v>233705.19667034465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233705.19667034465</v>
      </c>
      <c r="J634" s="455">
        <f t="array" ref="J634">IFERROR(INDEX('Retirement Calculator'!J:J,MATCH('Isaac 401k'!N634,'Retirement Calculator'!A:A,0),0),0)</f>
        <v>7863.2184191855868</v>
      </c>
      <c r="K634" s="455">
        <f t="shared" ca="1" si="53"/>
        <v>941.00824271316276</v>
      </c>
      <c r="L634" s="455">
        <f t="shared" ca="1" si="54"/>
        <v>226782.98649387225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226782.98649387225</v>
      </c>
      <c r="J635" s="455">
        <f t="array" ref="J635">IFERROR(INDEX('Retirement Calculator'!J:J,MATCH('Isaac 401k'!N635,'Retirement Calculator'!A:A,0),0),0)</f>
        <v>7863.2184191855868</v>
      </c>
      <c r="K635" s="455">
        <f t="shared" ca="1" si="53"/>
        <v>912.16570031119454</v>
      </c>
      <c r="L635" s="455">
        <f t="shared" ca="1" si="54"/>
        <v>219831.93377499786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219831.93377499786</v>
      </c>
      <c r="J636" s="455">
        <f t="array" ref="J636">IFERROR(INDEX('Retirement Calculator'!J:J,MATCH('Isaac 401k'!N636,'Retirement Calculator'!A:A,0),0),0)</f>
        <v>7863.2184191855868</v>
      </c>
      <c r="K636" s="455">
        <f t="shared" ca="1" si="53"/>
        <v>883.20298064921769</v>
      </c>
      <c r="L636" s="455">
        <f t="shared" ca="1" si="54"/>
        <v>212851.9183364615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212851.9183364615</v>
      </c>
      <c r="J637" s="455">
        <f t="array" ref="J637">IFERROR(INDEX('Retirement Calculator'!J:J,MATCH('Isaac 401k'!N637,'Retirement Calculator'!A:A,0),0),0)</f>
        <v>7863.2184191855868</v>
      </c>
      <c r="K637" s="455">
        <f t="shared" ca="1" si="53"/>
        <v>854.11958298864965</v>
      </c>
      <c r="L637" s="455">
        <f t="shared" ca="1" si="54"/>
        <v>205842.81950026457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205842.81950026457</v>
      </c>
      <c r="J638" s="455">
        <f t="array" ref="J638">IFERROR(INDEX('Retirement Calculator'!J:J,MATCH('Isaac 401k'!N638,'Retirement Calculator'!A:A,0),0),0)</f>
        <v>7863.2184191855868</v>
      </c>
      <c r="K638" s="455">
        <f t="shared" ca="1" si="53"/>
        <v>824.91500450449576</v>
      </c>
      <c r="L638" s="455">
        <f t="shared" ca="1" si="54"/>
        <v>198804.51608558348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198804.51608558348</v>
      </c>
      <c r="J639" s="455">
        <f t="array" ref="J639">IFERROR(INDEX('Retirement Calculator'!J:J,MATCH('Isaac 401k'!N639,'Retirement Calculator'!A:A,0),0),0)</f>
        <v>7863.2184191855868</v>
      </c>
      <c r="K639" s="455">
        <f t="shared" ca="1" si="53"/>
        <v>795.58874027665797</v>
      </c>
      <c r="L639" s="455">
        <f t="shared" ca="1" si="54"/>
        <v>191736.88640667457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191736.88640667457</v>
      </c>
      <c r="J640" s="455">
        <f t="array" ref="J640">IFERROR(INDEX('Retirement Calculator'!J:J,MATCH('Isaac 401k'!N640,'Retirement Calculator'!A:A,0),0),0)</f>
        <v>7863.2184191855868</v>
      </c>
      <c r="K640" s="455">
        <f t="shared" ca="1" si="53"/>
        <v>766.14028328120412</v>
      </c>
      <c r="L640" s="455">
        <f t="shared" ca="1" si="54"/>
        <v>184639.80827077021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184639.80827077021</v>
      </c>
      <c r="J641" s="455">
        <f t="array" ref="J641">IFERROR(INDEX('Retirement Calculator'!J:J,MATCH('Isaac 401k'!N641,'Retirement Calculator'!A:A,0),0),0)</f>
        <v>7863.2184191855868</v>
      </c>
      <c r="K641" s="455">
        <f t="shared" ca="1" si="53"/>
        <v>736.56912438160259</v>
      </c>
      <c r="L641" s="455">
        <f t="shared" ca="1" si="54"/>
        <v>177513.15897596625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177513.15897596625</v>
      </c>
      <c r="J642" s="455">
        <f t="array" ref="J642">IFERROR(INDEX('Retirement Calculator'!J:J,MATCH('Isaac 401k'!N642,'Retirement Calculator'!A:A,0),0),0)</f>
        <v>7863.2184191855868</v>
      </c>
      <c r="K642" s="455">
        <f t="shared" ca="1" si="53"/>
        <v>706.87475231991948</v>
      </c>
      <c r="L642" s="455">
        <f t="shared" ca="1" si="54"/>
        <v>170356.81530910058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170356.81530910058</v>
      </c>
      <c r="J643" s="455">
        <f t="array" ref="J643">IFERROR(INDEX('Retirement Calculator'!J:J,MATCH('Isaac 401k'!N643,'Retirement Calculator'!A:A,0),0),0)</f>
        <v>7863.2184191855868</v>
      </c>
      <c r="K643" s="455">
        <f t="shared" ca="1" si="53"/>
        <v>677.05665370797919</v>
      </c>
      <c r="L643" s="455">
        <f t="shared" ca="1" si="54"/>
        <v>163170.65354362299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163170.65354362299</v>
      </c>
      <c r="J644" s="455">
        <f t="array" ref="J644">IFERROR(INDEX('Retirement Calculator'!J:J,MATCH('Isaac 401k'!N644,'Retirement Calculator'!A:A,0),0),0)</f>
        <v>7863.2184191855868</v>
      </c>
      <c r="K644" s="455">
        <f t="shared" ca="1" si="53"/>
        <v>647.11431301848916</v>
      </c>
      <c r="L644" s="455">
        <f t="shared" ca="1" si="54"/>
        <v>155954.54943745589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155954.54943745589</v>
      </c>
      <c r="J645" s="455">
        <f t="array" ref="J645">IFERROR(INDEX('Retirement Calculator'!J:J,MATCH('Isaac 401k'!N645,'Retirement Calculator'!A:A,0),0),0)</f>
        <v>7863.2184191855868</v>
      </c>
      <c r="K645" s="455">
        <f t="shared" ca="1" si="53"/>
        <v>617.0472125761263</v>
      </c>
      <c r="L645" s="455">
        <f t="shared" ca="1" si="54"/>
        <v>148708.37823084643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148708.37823084643</v>
      </c>
      <c r="J646" s="455">
        <f t="array" ref="J646">IFERROR(INDEX('Retirement Calculator'!J:J,MATCH('Isaac 401k'!N646,'Retirement Calculator'!A:A,0),0),0)</f>
        <v>7863.2184191855868</v>
      </c>
      <c r="K646" s="455">
        <f t="shared" ca="1" si="53"/>
        <v>586.85483254858684</v>
      </c>
      <c r="L646" s="455">
        <f t="shared" ca="1" si="54"/>
        <v>141432.01464420944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141432.01464420944</v>
      </c>
      <c r="J647" s="455">
        <f t="array" ref="J647">IFERROR(INDEX('Retirement Calculator'!J:J,MATCH('Isaac 401k'!N647,'Retirement Calculator'!A:A,0),0),0)</f>
        <v>7863.2184191855868</v>
      </c>
      <c r="K647" s="455">
        <f t="shared" ca="1" si="53"/>
        <v>556.53665093759946</v>
      </c>
      <c r="L647" s="455">
        <f t="shared" ca="1" si="54"/>
        <v>134125.33287596147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134125.33287596147</v>
      </c>
      <c r="J648" s="455">
        <f t="array" ref="J648">IFERROR(INDEX('Retirement Calculator'!J:J,MATCH('Isaac 401k'!N648,'Retirement Calculator'!A:A,0),0),0)</f>
        <v>7863.2184191855868</v>
      </c>
      <c r="K648" s="455">
        <f t="shared" ca="1" si="53"/>
        <v>526.09214356989958</v>
      </c>
      <c r="L648" s="455">
        <f t="shared" ca="1" si="54"/>
        <v>126788.20660034577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126788.20660034577</v>
      </c>
      <c r="J649" s="455">
        <f t="array" ref="J649">IFERROR(INDEX('Retirement Calculator'!J:J,MATCH('Isaac 401k'!N649,'Retirement Calculator'!A:A,0),0),0)</f>
        <v>7863.2184191855868</v>
      </c>
      <c r="K649" s="455">
        <f t="shared" ca="1" si="53"/>
        <v>495.52078408816749</v>
      </c>
      <c r="L649" s="455">
        <f t="shared" ca="1" si="54"/>
        <v>119420.50896524834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119420.50896524834</v>
      </c>
      <c r="J650" s="455">
        <f t="array" ref="J650">IFERROR(INDEX('Retirement Calculator'!J:J,MATCH('Isaac 401k'!N650,'Retirement Calculator'!A:A,0),0),0)</f>
        <v>7863.2184191855868</v>
      </c>
      <c r="K650" s="455">
        <f t="shared" ca="1" si="53"/>
        <v>464.82204394192814</v>
      </c>
      <c r="L650" s="455">
        <f t="shared" ca="1" si="54"/>
        <v>112022.11259000468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112022.11259000468</v>
      </c>
      <c r="J651" s="455">
        <f t="array" ref="J651">IFERROR(INDEX('Retirement Calculator'!J:J,MATCH('Isaac 401k'!N651,'Retirement Calculator'!A:A,0),0),0)</f>
        <v>7863.2184191855868</v>
      </c>
      <c r="K651" s="455">
        <f t="shared" ca="1" si="53"/>
        <v>433.99539237841282</v>
      </c>
      <c r="L651" s="455">
        <f t="shared" ca="1" si="54"/>
        <v>104592.8895631975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104592.8895631975</v>
      </c>
      <c r="J652" s="455">
        <f t="array" ref="J652">IFERROR(INDEX('Retirement Calculator'!J:J,MATCH('Isaac 401k'!N652,'Retirement Calculator'!A:A,0),0),0)</f>
        <v>7863.2184191855868</v>
      </c>
      <c r="K652" s="455">
        <f t="shared" ca="1" si="53"/>
        <v>403.04029643338293</v>
      </c>
      <c r="L652" s="455">
        <f t="shared" ca="1" si="54"/>
        <v>97132.711440445288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97132.711440445288</v>
      </c>
      <c r="J653" s="455">
        <f t="array" ref="J653">IFERROR(INDEX('Retirement Calculator'!J:J,MATCH('Isaac 401k'!N653,'Retirement Calculator'!A:A,0),0),0)</f>
        <v>7863.2184191855868</v>
      </c>
      <c r="K653" s="455">
        <f t="shared" ca="1" si="53"/>
        <v>371.95622092191542</v>
      </c>
      <c r="L653" s="455">
        <f t="shared" ca="1" si="54"/>
        <v>89641.44924218161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89641.44924218161</v>
      </c>
      <c r="J654" s="455">
        <f t="array" ref="J654">IFERROR(INDEX('Retirement Calculator'!J:J,MATCH('Isaac 401k'!N654,'Retirement Calculator'!A:A,0),0),0)</f>
        <v>7863.2184191855868</v>
      </c>
      <c r="K654" s="455">
        <f t="shared" ca="1" si="53"/>
        <v>340.74262842915005</v>
      </c>
      <c r="L654" s="455">
        <f t="shared" ca="1" si="54"/>
        <v>82118.973451425161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82118.973451425161</v>
      </c>
      <c r="J655" s="455">
        <f t="array" ref="J655">IFERROR(INDEX('Retirement Calculator'!J:J,MATCH('Isaac 401k'!N655,'Retirement Calculator'!A:A,0),0),0)</f>
        <v>7863.2184191855868</v>
      </c>
      <c r="K655" s="455">
        <f t="shared" ca="1" si="53"/>
        <v>309.39897930099818</v>
      </c>
      <c r="L655" s="455">
        <f t="shared" ca="1" si="54"/>
        <v>74565.154011540566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74565.154011540566</v>
      </c>
      <c r="J656" s="455">
        <f t="array" ref="J656">IFERROR(INDEX('Retirement Calculator'!J:J,MATCH('Isaac 401k'!N656,'Retirement Calculator'!A:A,0),0),0)</f>
        <v>7863.2184191855868</v>
      </c>
      <c r="K656" s="455">
        <f t="shared" ca="1" si="53"/>
        <v>277.92473163481236</v>
      </c>
      <c r="L656" s="455">
        <f t="shared" ca="1" si="54"/>
        <v>66979.860323989793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66979.860323989793</v>
      </c>
      <c r="J657" s="455">
        <f t="array" ref="J657">IFERROR(INDEX('Retirement Calculator'!J:J,MATCH('Isaac 401k'!N657,'Retirement Calculator'!A:A,0),0),0)</f>
        <v>7863.2184191855868</v>
      </c>
      <c r="K657" s="455">
        <f t="shared" ca="1" si="53"/>
        <v>246.31934127001753</v>
      </c>
      <c r="L657" s="455">
        <f t="shared" ca="1" si="54"/>
        <v>59362.961246074228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59362.961246074228</v>
      </c>
      <c r="J658" s="455">
        <f t="array" ref="J658">IFERROR(INDEX('Retirement Calculator'!J:J,MATCH('Isaac 401k'!N658,'Retirement Calculator'!A:A,0),0),0)</f>
        <v>7863.2184191855868</v>
      </c>
      <c r="K658" s="455">
        <f t="shared" ca="1" si="53"/>
        <v>214.58226177870264</v>
      </c>
      <c r="L658" s="455">
        <f t="shared" ca="1" si="54"/>
        <v>51714.325088667349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51714.325088667349</v>
      </c>
      <c r="J659" s="455">
        <f t="array" ref="J659">IFERROR(INDEX('Retirement Calculator'!J:J,MATCH('Isaac 401k'!N659,'Retirement Calculator'!A:A,0),0),0)</f>
        <v>7863.2184191855868</v>
      </c>
      <c r="K659" s="455">
        <f t="shared" ca="1" si="53"/>
        <v>182.712944456174</v>
      </c>
      <c r="L659" s="455">
        <f t="shared" ca="1" si="54"/>
        <v>44033.819613937936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44033.819613937936</v>
      </c>
      <c r="J660" s="455">
        <f t="array" ref="J660">IFERROR(INDEX('Retirement Calculator'!J:J,MATCH('Isaac 401k'!N660,'Retirement Calculator'!A:A,0),0),0)</f>
        <v>7863.2184191855868</v>
      </c>
      <c r="K660" s="455">
        <f t="shared" ca="1" si="53"/>
        <v>150.71083831146814</v>
      </c>
      <c r="L660" s="455">
        <f t="shared" ca="1" si="54"/>
        <v>36321.312033063819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36321.312033063819</v>
      </c>
      <c r="J661" s="455">
        <f t="array" ref="J661">IFERROR(INDEX('Retirement Calculator'!J:J,MATCH('Isaac 401k'!N661,'Retirement Calculator'!A:A,0),0),0)</f>
        <v>7863.2184191855868</v>
      </c>
      <c r="K661" s="455">
        <f t="shared" ca="1" si="53"/>
        <v>118.57539005782597</v>
      </c>
      <c r="L661" s="455">
        <f t="shared" ca="1" si="54"/>
        <v>28576.669003936062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28576.669003936062</v>
      </c>
      <c r="J662" s="455">
        <f t="array" ref="J662">IFERROR(INDEX('Retirement Calculator'!J:J,MATCH('Isaac 401k'!N662,'Retirement Calculator'!A:A,0),0),0)</f>
        <v>7863.2184191855868</v>
      </c>
      <c r="K662" s="455">
        <f t="shared" ca="1" si="53"/>
        <v>86.306044103126993</v>
      </c>
      <c r="L662" s="455">
        <f t="shared" ca="1" si="54"/>
        <v>20799.756628853604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20799.756628853604</v>
      </c>
      <c r="J663" s="455">
        <f t="array" ref="J663">IFERROR(INDEX('Retirement Calculator'!J:J,MATCH('Isaac 401k'!N663,'Retirement Calculator'!A:A,0),0),0)</f>
        <v>7863.2184191855868</v>
      </c>
      <c r="K663" s="455">
        <f t="shared" ca="1" si="53"/>
        <v>53.902242540283403</v>
      </c>
      <c r="L663" s="455">
        <f t="shared" ca="1" si="54"/>
        <v>12990.4404522083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12990.4404522083</v>
      </c>
      <c r="J664" s="455">
        <f t="array" ref="J664">IFERROR(INDEX('Retirement Calculator'!J:J,MATCH('Isaac 401k'!N664,'Retirement Calculator'!A:A,0),0),0)</f>
        <v>7863.2184191855868</v>
      </c>
      <c r="K664" s="455">
        <f t="shared" ca="1" si="53"/>
        <v>21.363425137594639</v>
      </c>
      <c r="L664" s="455">
        <f t="shared" ca="1" si="54"/>
        <v>5148.585458160308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5148.585458160308</v>
      </c>
      <c r="J665" s="455">
        <f t="array" ref="J665">IFERROR(INDEX('Retirement Calculator'!J:J,MATCH('Isaac 401k'!N665,'Retirement Calculator'!A:A,0),0),0)</f>
        <v>7863.2184191855868</v>
      </c>
      <c r="K665" s="455">
        <f t="shared" ca="1" si="53"/>
        <v>-11.310970670938662</v>
      </c>
      <c r="L665" s="455">
        <f t="shared" ca="1" si="54"/>
        <v>-2725.9439316962175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-2725.9439316962175</v>
      </c>
      <c r="J666" s="455">
        <f t="array" ref="J666">IFERROR(INDEX('Retirement Calculator'!J:J,MATCH('Isaac 401k'!N666,'Retirement Calculator'!A:A,0),0),0)</f>
        <v>7863.2184191855868</v>
      </c>
      <c r="K666" s="455">
        <f t="shared" ca="1" si="53"/>
        <v>-44.121509795340856</v>
      </c>
      <c r="L666" s="455">
        <f t="shared" ca="1" si="54"/>
        <v>-10633.283860677146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-10633.283860677146</v>
      </c>
      <c r="J667" s="455">
        <f t="array" ref="J667">IFERROR(INDEX('Retirement Calculator'!J:J,MATCH('Isaac 401k'!N667,'Retirement Calculator'!A:A,0),0),0)</f>
        <v>7863.2184191855868</v>
      </c>
      <c r="K667" s="455">
        <f t="shared" ca="1" si="53"/>
        <v>-77.068759499428054</v>
      </c>
      <c r="L667" s="455">
        <f t="shared" ca="1" si="54"/>
        <v>-18573.571039362159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-18573.571039362159</v>
      </c>
      <c r="J668" s="455">
        <f t="array" ref="J668">IFERROR(INDEX('Retirement Calculator'!J:J,MATCH('Isaac 401k'!N668,'Retirement Calculator'!A:A,0),0),0)</f>
        <v>7863.2184191855868</v>
      </c>
      <c r="K668" s="455">
        <f t="shared" ca="1" si="53"/>
        <v>-110.15328941061561</v>
      </c>
      <c r="L668" s="455">
        <f t="shared" ca="1" si="54"/>
        <v>-26546.942747958365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-26546.942747958365</v>
      </c>
      <c r="J669" s="455">
        <f t="array" ref="J669">IFERROR(INDEX('Retirement Calculator'!J:J,MATCH('Isaac 401k'!N669,'Retirement Calculator'!A:A,0),0),0)</f>
        <v>7863.2184191855868</v>
      </c>
      <c r="K669" s="455">
        <f t="shared" ca="1" si="53"/>
        <v>-143.37567152976646</v>
      </c>
      <c r="L669" s="455">
        <f t="shared" ca="1" si="54"/>
        <v>-34553.536838673717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-34553.536838673717</v>
      </c>
      <c r="J670" s="455">
        <f t="array" ref="J670">IFERROR(INDEX('Retirement Calculator'!J:J,MATCH('Isaac 401k'!N670,'Retirement Calculator'!A:A,0),0),0)</f>
        <v>7863.2184191855868</v>
      </c>
      <c r="K670" s="455">
        <f t="shared" ca="1" si="53"/>
        <v>-176.73648024108041</v>
      </c>
      <c r="L670" s="455">
        <f t="shared" ca="1" si="54"/>
        <v>-42593.491738100383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-42593.491738100383</v>
      </c>
      <c r="J671" s="455">
        <f t="array" ref="J671">IFERROR(INDEX('Retirement Calculator'!J:J,MATCH('Isaac 401k'!N671,'Retirement Calculator'!A:A,0),0),0)</f>
        <v>7863.2184191855868</v>
      </c>
      <c r="K671" s="455">
        <f t="shared" ca="1" si="53"/>
        <v>-210.23629232202487</v>
      </c>
      <c r="L671" s="455">
        <f t="shared" ca="1" si="54"/>
        <v>-50666.946449607996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-50666.946449607996</v>
      </c>
      <c r="J672" s="455">
        <f t="array" ref="J672">IFERROR(INDEX('Retirement Calculator'!J:J,MATCH('Isaac 401k'!N672,'Retirement Calculator'!A:A,0),0),0)</f>
        <v>7863.2184191855868</v>
      </c>
      <c r="K672" s="455">
        <f t="shared" ca="1" si="53"/>
        <v>-243.87568695330654</v>
      </c>
      <c r="L672" s="455">
        <f t="shared" ca="1" si="54"/>
        <v>-58774.040555746891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-58774.040555746891</v>
      </c>
      <c r="J673" s="455">
        <f t="array" ref="J673">IFERROR(INDEX('Retirement Calculator'!J:J,MATCH('Isaac 401k'!N673,'Retirement Calculator'!A:A,0),0),0)</f>
        <v>7863.2184191855868</v>
      </c>
      <c r="K673" s="455">
        <f t="shared" ca="1" si="53"/>
        <v>-277.65524572888535</v>
      </c>
      <c r="L673" s="455">
        <f t="shared" ca="1" si="54"/>
        <v>-66914.914220661361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-66914.914220661361</v>
      </c>
      <c r="J674" s="455">
        <f t="array" ref="J674">IFERROR(INDEX('Retirement Calculator'!J:J,MATCH('Isaac 401k'!N674,'Retirement Calculator'!A:A,0),0),0)</f>
        <v>7863.2184191855868</v>
      </c>
      <c r="K674" s="455">
        <f t="shared" ca="1" si="53"/>
        <v>-311.57555266602895</v>
      </c>
      <c r="L674" s="455">
        <f t="shared" ca="1" si="54"/>
        <v>-75089.70819251299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-75089.70819251299</v>
      </c>
      <c r="J675" s="455">
        <f t="array" ref="J675">IFERROR(INDEX('Retirement Calculator'!J:J,MATCH('Isaac 401k'!N675,'Retirement Calculator'!A:A,0),0),0)</f>
        <v>7863.2184191855868</v>
      </c>
      <c r="K675" s="455">
        <f t="shared" ca="1" si="53"/>
        <v>-345.63719421541077</v>
      </c>
      <c r="L675" s="455">
        <f t="shared" ca="1" si="54"/>
        <v>-83298.563805913989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-83298.563805913989</v>
      </c>
      <c r="J676" s="455">
        <f t="array" ref="J676">IFERROR(INDEX('Retirement Calculator'!J:J,MATCH('Isaac 401k'!N676,'Retirement Calculator'!A:A,0),0),0)</f>
        <v>7863.2184191855868</v>
      </c>
      <c r="K676" s="455">
        <f t="shared" ca="1" si="53"/>
        <v>-379.84075927124826</v>
      </c>
      <c r="L676" s="455">
        <f t="shared" ca="1" si="54"/>
        <v>-91541.622984370828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-91541.622984370828</v>
      </c>
      <c r="J677" s="455">
        <f t="array" ref="J677">IFERROR(INDEX('Retirement Calculator'!J:J,MATCH('Isaac 401k'!N677,'Retirement Calculator'!A:A,0),0),0)</f>
        <v>7863.2184191855868</v>
      </c>
      <c r="K677" s="455">
        <f t="shared" ca="1" si="53"/>
        <v>-414.18683918148508</v>
      </c>
      <c r="L677" s="455">
        <f t="shared" ca="1" si="54"/>
        <v>-99819.028242737899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-99819.028242737899</v>
      </c>
      <c r="J678" s="455">
        <f t="array" ref="J678">IFERROR(INDEX('Retirement Calculator'!J:J,MATCH('Isaac 401k'!N678,'Retirement Calculator'!A:A,0),0),0)</f>
        <v>7863.2184191855868</v>
      </c>
      <c r="K678" s="455">
        <f t="shared" ca="1" si="53"/>
        <v>-448.67602775801453</v>
      </c>
      <c r="L678" s="455">
        <f t="shared" ca="1" si="54"/>
        <v>-108130.92268968151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-108130.92268968151</v>
      </c>
      <c r="J679" s="455">
        <f t="array" ref="J679">IFERROR(INDEX('Retirement Calculator'!J:J,MATCH('Isaac 401k'!N679,'Retirement Calculator'!A:A,0),0),0)</f>
        <v>7863.2184191855868</v>
      </c>
      <c r="K679" s="455">
        <f t="shared" ca="1" si="53"/>
        <v>-483.30892128694626</v>
      </c>
      <c r="L679" s="455">
        <f t="shared" ca="1" si="54"/>
        <v>-116477.45003015405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-116477.45003015405</v>
      </c>
      <c r="J680" s="455">
        <f t="array" ref="J680">IFERROR(INDEX('Retirement Calculator'!J:J,MATCH('Isaac 401k'!N680,'Retirement Calculator'!A:A,0),0),0)</f>
        <v>7863.2184191855868</v>
      </c>
      <c r="K680" s="455">
        <f t="shared" ca="1" si="53"/>
        <v>-518.08611853891523</v>
      </c>
      <c r="L680" s="455">
        <f t="shared" ca="1" si="54"/>
        <v>-124858.75456787857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-124858.75456787857</v>
      </c>
      <c r="J681" s="455">
        <f t="array" ref="J681">IFERROR(INDEX('Retirement Calculator'!J:J,MATCH('Isaac 401k'!N681,'Retirement Calculator'!A:A,0),0),0)</f>
        <v>7863.2184191855868</v>
      </c>
      <c r="K681" s="455">
        <f t="shared" ca="1" si="53"/>
        <v>-553.00822077943394</v>
      </c>
      <c r="L681" s="455">
        <f t="shared" ca="1" si="54"/>
        <v>-133274.98120784361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-133274.98120784361</v>
      </c>
      <c r="J682" s="455">
        <f t="array" ref="J682">IFERROR(INDEX('Retirement Calculator'!J:J,MATCH('Isaac 401k'!N682,'Retirement Calculator'!A:A,0),0),0)</f>
        <v>7863.2184191855868</v>
      </c>
      <c r="K682" s="455">
        <f t="shared" ca="1" si="53"/>
        <v>-588.07583177928825</v>
      </c>
      <c r="L682" s="455">
        <f t="shared" ca="1" si="54"/>
        <v>-141726.27545880846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-141726.27545880846</v>
      </c>
      <c r="J683" s="455">
        <f t="array" ref="J683">IFERROR(INDEX('Retirement Calculator'!J:J,MATCH('Isaac 401k'!N683,'Retirement Calculator'!A:A,0),0),0)</f>
        <v>7863.2184191855868</v>
      </c>
      <c r="K683" s="455">
        <f t="shared" ca="1" si="53"/>
        <v>-623.28955782497519</v>
      </c>
      <c r="L683" s="455">
        <f t="shared" ca="1" si="54"/>
        <v>-150212.78343581903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-150212.78343581903</v>
      </c>
      <c r="J684" s="455">
        <f t="array" ref="J684">IFERROR(INDEX('Retirement Calculator'!J:J,MATCH('Isaac 401k'!N684,'Retirement Calculator'!A:A,0),0),0)</f>
        <v>7863.2184191855868</v>
      </c>
      <c r="K684" s="455">
        <f t="shared" ca="1" si="53"/>
        <v>-658.65000772918586</v>
      </c>
      <c r="L684" s="455">
        <f t="shared" ca="1" si="54"/>
        <v>-158734.65186273379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-158734.65186273379</v>
      </c>
      <c r="J685" s="455">
        <f t="array" ref="J685">IFERROR(INDEX('Retirement Calculator'!J:J,MATCH('Isaac 401k'!N685,'Retirement Calculator'!A:A,0),0),0)</f>
        <v>7863.2184191855868</v>
      </c>
      <c r="K685" s="455">
        <f t="shared" ca="1" si="53"/>
        <v>-694.15779284133066</v>
      </c>
      <c r="L685" s="455">
        <f t="shared" ca="1" si="54"/>
        <v>-167292.02807476069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-167292.02807476069</v>
      </c>
      <c r="J686" s="455">
        <f t="array" ref="J686">IFERROR(INDEX('Retirement Calculator'!J:J,MATCH('Isaac 401k'!N686,'Retirement Calculator'!A:A,0),0),0)</f>
        <v>7863.2184191855868</v>
      </c>
      <c r="K686" s="455">
        <f t="shared" ca="1" si="53"/>
        <v>-729.81352705810946</v>
      </c>
      <c r="L686" s="455">
        <f t="shared" ca="1" si="54"/>
        <v>-175885.06002100438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-175885.06002100438</v>
      </c>
      <c r="J687" s="455">
        <f t="array" ref="J687">IFERROR(INDEX('Retirement Calculator'!J:J,MATCH('Isaac 401k'!N687,'Retirement Calculator'!A:A,0),0),0)</f>
        <v>7863.2184191855868</v>
      </c>
      <c r="K687" s="455">
        <f t="shared" ca="1" si="53"/>
        <v>-765.6178268341248</v>
      </c>
      <c r="L687" s="455">
        <f t="shared" ca="1" si="54"/>
        <v>-184513.89626702407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-184513.89626702407</v>
      </c>
      <c r="J688" s="455">
        <f t="array" ref="J688">IFERROR(INDEX('Retirement Calculator'!J:J,MATCH('Isaac 401k'!N688,'Retirement Calculator'!A:A,0),0),0)</f>
        <v>7863.2184191855868</v>
      </c>
      <c r="K688" s="455">
        <f t="shared" ca="1" si="53"/>
        <v>-801.57131119254018</v>
      </c>
      <c r="L688" s="455">
        <f t="shared" ca="1" si="54"/>
        <v>-193178.68599740218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-193178.68599740218</v>
      </c>
      <c r="J689" s="455">
        <f t="array" ref="J689">IFERROR(INDEX('Retirement Calculator'!J:J,MATCH('Isaac 401k'!N689,'Retirement Calculator'!A:A,0),0),0)</f>
        <v>7863.2184191855868</v>
      </c>
      <c r="K689" s="455">
        <f t="shared" ca="1" si="53"/>
        <v>-837.67460173578229</v>
      </c>
      <c r="L689" s="455">
        <f t="shared" ca="1" si="54"/>
        <v>-201879.57901832354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-201879.57901832354</v>
      </c>
      <c r="J690" s="455">
        <f t="array" ref="J690">IFERROR(INDEX('Retirement Calculator'!J:J,MATCH('Isaac 401k'!N690,'Retirement Calculator'!A:A,0),0),0)</f>
        <v>7863.2184191855868</v>
      </c>
      <c r="K690" s="455">
        <f t="shared" ca="1" si="53"/>
        <v>-873.92832265628795</v>
      </c>
      <c r="L690" s="455">
        <f t="shared" ca="1" si="54"/>
        <v>-210616.7257601654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-210616.7257601654</v>
      </c>
      <c r="J691" s="455">
        <f t="array" ref="J691">IFERROR(INDEX('Retirement Calculator'!J:J,MATCH('Isaac 401k'!N691,'Retirement Calculator'!A:A,0),0),0)</f>
        <v>7863.2184191855868</v>
      </c>
      <c r="K691" s="455">
        <f t="shared" ca="1" si="53"/>
        <v>-910.3331007472957</v>
      </c>
      <c r="L691" s="455">
        <f t="shared" ca="1" si="54"/>
        <v>-219390.27728009826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-219390.27728009826</v>
      </c>
      <c r="J692" s="455">
        <f t="array" ref="J692">IFERROR(INDEX('Retirement Calculator'!J:J,MATCH('Isaac 401k'!N692,'Retirement Calculator'!A:A,0),0),0)</f>
        <v>7863.2184191855868</v>
      </c>
      <c r="K692" s="455">
        <f t="shared" ca="1" si="53"/>
        <v>-946.88956541368282</v>
      </c>
      <c r="L692" s="455">
        <f t="shared" ca="1" si="54"/>
        <v>-228200.38526469751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-228200.38526469751</v>
      </c>
      <c r="J693" s="455">
        <f t="array" ref="J693">IFERROR(INDEX('Retirement Calculator'!J:J,MATCH('Isaac 401k'!N693,'Retirement Calculator'!A:A,0),0),0)</f>
        <v>7863.2184191855868</v>
      </c>
      <c r="K693" s="455">
        <f t="shared" ca="1" si="53"/>
        <v>-983.59834868284622</v>
      </c>
      <c r="L693" s="455">
        <f t="shared" ca="1" si="54"/>
        <v>-237047.20203256593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-237047.20203256593</v>
      </c>
      <c r="J694" s="455">
        <f t="array" ref="J694">IFERROR(INDEX('Retirement Calculator'!J:J,MATCH('Isaac 401k'!N694,'Retirement Calculator'!A:A,0),0),0)</f>
        <v>7863.2184191855868</v>
      </c>
      <c r="K694" s="455">
        <f t="shared" ca="1" si="53"/>
        <v>-1020.4600852156311</v>
      </c>
      <c r="L694" s="455">
        <f t="shared" ca="1" si="54"/>
        <v>-245930.88053696713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-245930.88053696713</v>
      </c>
      <c r="J695" s="455">
        <f t="array" ref="J695">IFERROR(INDEX('Retirement Calculator'!J:J,MATCH('Isaac 401k'!N695,'Retirement Calculator'!A:A,0),0),0)</f>
        <v>7863.2184191855868</v>
      </c>
      <c r="K695" s="455">
        <f t="shared" ca="1" si="53"/>
        <v>-1057.4754123173032</v>
      </c>
      <c r="L695" s="455">
        <f t="shared" ca="1" si="54"/>
        <v>-254851.57436847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-254851.57436847</v>
      </c>
      <c r="J696" s="455">
        <f t="array" ref="J696">IFERROR(INDEX('Retirement Calculator'!J:J,MATCH('Isaac 401k'!N696,'Retirement Calculator'!A:A,0),0),0)</f>
        <v>7863.2184191855868</v>
      </c>
      <c r="K696" s="455">
        <f t="shared" ca="1" si="53"/>
        <v>-1094.6449699485649</v>
      </c>
      <c r="L696" s="455">
        <f t="shared" ca="1" si="54"/>
        <v>-263809.43775760417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-263809.43775760417</v>
      </c>
      <c r="J697" s="455">
        <f t="array" ref="J697">IFERROR(INDEX('Retirement Calculator'!J:J,MATCH('Isaac 401k'!N697,'Retirement Calculator'!A:A,0),0),0)</f>
        <v>7863.2184191855868</v>
      </c>
      <c r="K697" s="455">
        <f t="shared" ca="1" si="53"/>
        <v>-1131.969400736624</v>
      </c>
      <c r="L697" s="455">
        <f t="shared" ca="1" si="54"/>
        <v>-272804.6255775264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-272804.6255775264</v>
      </c>
      <c r="J698" s="455">
        <f t="array" ref="J698">IFERROR(INDEX('Retirement Calculator'!J:J,MATCH('Isaac 401k'!N698,'Retirement Calculator'!A:A,0),0),0)</f>
        <v>7863.2184191855868</v>
      </c>
      <c r="K698" s="455">
        <f t="shared" ca="1" si="53"/>
        <v>-1169.4493499862999</v>
      </c>
      <c r="L698" s="455">
        <f t="shared" ca="1" si="54"/>
        <v>-281837.29334669828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-281837.29334669828</v>
      </c>
      <c r="J699" s="455">
        <f t="array" ref="J699">IFERROR(INDEX('Retirement Calculator'!J:J,MATCH('Isaac 401k'!N699,'Retirement Calculator'!A:A,0),0),0)</f>
        <v>7863.2184191855868</v>
      </c>
      <c r="K699" s="455">
        <f t="shared" ca="1" si="53"/>
        <v>-1207.0854656911829</v>
      </c>
      <c r="L699" s="455">
        <f t="shared" ca="1" si="54"/>
        <v>-290907.59723157506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-290907.59723157506</v>
      </c>
      <c r="J700" s="455">
        <f t="array" ref="J700">IFERROR(INDEX('Retirement Calculator'!J:J,MATCH('Isaac 401k'!N700,'Retirement Calculator'!A:A,0),0),0)</f>
        <v>7863.2184191855868</v>
      </c>
      <c r="K700" s="455">
        <f t="shared" ca="1" si="53"/>
        <v>-1244.878398544836</v>
      </c>
      <c r="L700" s="455">
        <f t="shared" ca="1" si="54"/>
        <v>-300015.69404930552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-300015.69404930552</v>
      </c>
      <c r="J701" s="455">
        <f t="array" ref="J701">IFERROR(INDEX('Retirement Calculator'!J:J,MATCH('Isaac 401k'!N701,'Retirement Calculator'!A:A,0),0),0)</f>
        <v>7863.2184191855868</v>
      </c>
      <c r="K701" s="455">
        <f t="shared" ca="1" si="53"/>
        <v>-1282.8288019520464</v>
      </c>
      <c r="L701" s="455">
        <f t="shared" ca="1" si="54"/>
        <v>-309161.74127044319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-309161.74127044319</v>
      </c>
      <c r="J702" s="455">
        <f t="array" ref="J702">IFERROR(INDEX('Retirement Calculator'!J:J,MATCH('Isaac 401k'!N702,'Retirement Calculator'!A:A,0),0),0)</f>
        <v>7863.2184191855868</v>
      </c>
      <c r="K702" s="455">
        <f t="shared" ca="1" si="53"/>
        <v>-1320.9373320401201</v>
      </c>
      <c r="L702" s="455">
        <f t="shared" ca="1" si="54"/>
        <v>-318345.8970216689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-318345.8970216689</v>
      </c>
      <c r="J703" s="455">
        <f t="array" ref="J703">IFERROR(INDEX('Retirement Calculator'!J:J,MATCH('Isaac 401k'!N703,'Retirement Calculator'!A:A,0),0),0)</f>
        <v>7863.2184191855868</v>
      </c>
      <c r="K703" s="455">
        <f t="shared" ca="1" si="53"/>
        <v>-1359.2046476702271</v>
      </c>
      <c r="L703" s="455">
        <f t="shared" ca="1" si="54"/>
        <v>-327568.32008852472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-327568.32008852472</v>
      </c>
      <c r="J704" s="455">
        <f t="array" ref="J704">IFERROR(INDEX('Retirement Calculator'!J:J,MATCH('Isaac 401k'!N704,'Retirement Calculator'!A:A,0),0),0)</f>
        <v>7863.2184191855868</v>
      </c>
      <c r="K704" s="455">
        <f t="shared" ca="1" si="53"/>
        <v>-1397.6314104487931</v>
      </c>
      <c r="L704" s="455">
        <f t="shared" ca="1" si="54"/>
        <v>-336829.16991815914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-336829.16991815914</v>
      </c>
      <c r="J705" s="455">
        <f t="array" ref="J705">IFERROR(INDEX('Retirement Calculator'!J:J,MATCH('Isaac 401k'!N705,'Retirement Calculator'!A:A,0),0),0)</f>
        <v>7863.2184191855868</v>
      </c>
      <c r="K705" s="455">
        <f t="shared" ca="1" si="53"/>
        <v>-1436.2182847389365</v>
      </c>
      <c r="L705" s="455">
        <f t="shared" ca="1" si="54"/>
        <v>-346128.60662208369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-346128.60662208369</v>
      </c>
      <c r="J706" s="455">
        <f t="array" ref="J706">IFERROR(INDEX('Retirement Calculator'!J:J,MATCH('Isaac 401k'!N706,'Retirement Calculator'!A:A,0),0),0)</f>
        <v>7863.2184191855868</v>
      </c>
      <c r="K706" s="455">
        <f t="shared" ca="1" si="53"/>
        <v>-1474.9659376719553</v>
      </c>
      <c r="L706" s="455">
        <f t="shared" ca="1" si="54"/>
        <v>-355466.79097894125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-355466.79097894125</v>
      </c>
      <c r="J707" s="455">
        <f t="array" ref="J707">IFERROR(INDEX('Retirement Calculator'!J:J,MATCH('Isaac 401k'!N707,'Retirement Calculator'!A:A,0),0),0)</f>
        <v>7863.2184191855868</v>
      </c>
      <c r="K707" s="455">
        <f t="shared" ca="1" si="53"/>
        <v>-1513.8750391588619</v>
      </c>
      <c r="L707" s="455">
        <f t="shared" ca="1" si="54"/>
        <v>-364843.88443728571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-364843.88443728571</v>
      </c>
      <c r="J708" s="455">
        <f t="array" ref="J708">IFERROR(INDEX('Retirement Calculator'!J:J,MATCH('Isaac 401k'!N708,'Retirement Calculator'!A:A,0),0),0)</f>
        <v>7863.2184191855868</v>
      </c>
      <c r="K708" s="455">
        <f t="shared" ca="1" si="53"/>
        <v>-1552.9462619019639</v>
      </c>
      <c r="L708" s="455">
        <f t="shared" ca="1" si="54"/>
        <v>-374260.04911837331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-374260.04911837331</v>
      </c>
      <c r="J709" s="455">
        <f t="array" ref="J709">IFERROR(INDEX('Retirement Calculator'!J:J,MATCH('Isaac 401k'!N709,'Retirement Calculator'!A:A,0),0),0)</f>
        <v>7863.2184191855868</v>
      </c>
      <c r="K709" s="455">
        <f t="shared" ca="1" si="53"/>
        <v>-1592.1802814064954</v>
      </c>
      <c r="L709" s="455">
        <f t="shared" ca="1" si="54"/>
        <v>-383715.44781896542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-383715.44781896542</v>
      </c>
      <c r="J710" s="455">
        <f t="array" ref="J710">IFERROR(INDEX('Retirement Calculator'!J:J,MATCH('Isaac 401k'!N710,'Retirement Calculator'!A:A,0),0),0)</f>
        <v>7863.2184191855868</v>
      </c>
      <c r="K710" s="455">
        <f t="shared" ca="1" si="53"/>
        <v>-1631.577775992296</v>
      </c>
      <c r="L710" s="455">
        <f t="shared" ca="1" si="54"/>
        <v>-393210.2440141433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-393210.2440141433</v>
      </c>
      <c r="J711" s="455">
        <f t="array" ref="J711">IFERROR(INDEX('Retirement Calculator'!J:J,MATCH('Isaac 401k'!N711,'Retirement Calculator'!A:A,0),0),0)</f>
        <v>7863.2184191855868</v>
      </c>
      <c r="K711" s="455">
        <f t="shared" ca="1" si="53"/>
        <v>-1671.1394268055371</v>
      </c>
      <c r="L711" s="455">
        <f t="shared" ca="1" si="54"/>
        <v>-402744.60186013445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-402744.60186013445</v>
      </c>
      <c r="J712" s="455">
        <f t="array" ref="J712">IFERROR(INDEX('Retirement Calculator'!J:J,MATCH('Isaac 401k'!N712,'Retirement Calculator'!A:A,0),0),0)</f>
        <v>7863.2184191855868</v>
      </c>
      <c r="K712" s="455">
        <f t="shared" ca="1" si="53"/>
        <v>-1710.8659178305002</v>
      </c>
      <c r="L712" s="455">
        <f t="shared" ca="1" si="54"/>
        <v>-412318.68619715056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-412318.68619715056</v>
      </c>
      <c r="J713" s="455">
        <f t="array" ref="J713">IFERROR(INDEX('Retirement Calculator'!J:J,MATCH('Isaac 401k'!N713,'Retirement Calculator'!A:A,0),0),0)</f>
        <v>7863.2184191855868</v>
      </c>
      <c r="K713" s="455">
        <f t="shared" ca="1" si="53"/>
        <v>-1750.7579359014007</v>
      </c>
      <c r="L713" s="455">
        <f t="shared" ca="1" si="54"/>
        <v>-421932.66255223757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-421932.66255223757</v>
      </c>
      <c r="J714" s="455">
        <f t="array" ref="J714">IFERROR(INDEX('Retirement Calculator'!J:J,MATCH('Isaac 401k'!N714,'Retirement Calculator'!A:A,0),0),0)</f>
        <v>7863.2184191855868</v>
      </c>
      <c r="K714" s="455">
        <f t="shared" ca="1" si="53"/>
        <v>-1790.8161707142633</v>
      </c>
      <c r="L714" s="455">
        <f t="shared" ca="1" si="54"/>
        <v>-431586.69714213745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-431586.69714213745</v>
      </c>
      <c r="J715" s="455">
        <f t="array" ref="J715">IFERROR(INDEX('Retirement Calculator'!J:J,MATCH('Isaac 401k'!N715,'Retirement Calculator'!A:A,0),0),0)</f>
        <v>7863.2184191855868</v>
      </c>
      <c r="K715" s="455">
        <f t="shared" ca="1" si="53"/>
        <v>-1831.0413148388461</v>
      </c>
      <c r="L715" s="455">
        <f t="shared" ca="1" si="54"/>
        <v>-441280.95687616192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-441280.95687616192</v>
      </c>
      <c r="J716" s="455">
        <f t="array" ref="J716">IFERROR(INDEX('Retirement Calculator'!J:J,MATCH('Isaac 401k'!N716,'Retirement Calculator'!A:A,0),0),0)</f>
        <v>7863.2184191855868</v>
      </c>
      <c r="K716" s="455">
        <f t="shared" ca="1" si="53"/>
        <v>-1871.4340637306143</v>
      </c>
      <c r="L716" s="455">
        <f t="shared" ca="1" si="54"/>
        <v>-451015.60935907811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-451015.60935907811</v>
      </c>
      <c r="J717" s="455">
        <f t="array" ref="J717">IFERROR(INDEX('Retirement Calculator'!J:J,MATCH('Isaac 401k'!N717,'Retirement Calculator'!A:A,0),0),0)</f>
        <v>7863.2184191855868</v>
      </c>
      <c r="K717" s="455">
        <f t="shared" ca="1" si="53"/>
        <v>-1911.9951157427654</v>
      </c>
      <c r="L717" s="455">
        <f t="shared" ca="1" si="54"/>
        <v>-460790.8228940065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-460790.8228940065</v>
      </c>
      <c r="J718" s="455">
        <f t="array" ref="J718">IFERROR(INDEX('Retirement Calculator'!J:J,MATCH('Isaac 401k'!N718,'Retirement Calculator'!A:A,0),0),0)</f>
        <v>7863.2184191855868</v>
      </c>
      <c r="K718" s="455">
        <f t="shared" ca="1" si="53"/>
        <v>-1952.7251721383004</v>
      </c>
      <c r="L718" s="455">
        <f t="shared" ca="1" si="54"/>
        <v>-470606.76648533042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-470606.76648533042</v>
      </c>
      <c r="J719" s="455">
        <f t="array" ref="J719">IFERROR(INDEX('Retirement Calculator'!J:J,MATCH('Isaac 401k'!N719,'Retirement Calculator'!A:A,0),0),0)</f>
        <v>7863.2184191855868</v>
      </c>
      <c r="K719" s="455">
        <f t="shared" ca="1" si="53"/>
        <v>-1993.6249371021504</v>
      </c>
      <c r="L719" s="455">
        <f t="shared" ca="1" si="54"/>
        <v>-480463.60984161816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-480463.60984161816</v>
      </c>
      <c r="J720" s="455">
        <f t="array" ref="J720">IFERROR(INDEX('Retirement Calculator'!J:J,MATCH('Isaac 401k'!N720,'Retirement Calculator'!A:A,0),0),0)</f>
        <v>7863.2184191855868</v>
      </c>
      <c r="K720" s="455">
        <f t="shared" ca="1" si="53"/>
        <v>-2034.695117753349</v>
      </c>
      <c r="L720" s="455">
        <f t="shared" ca="1" si="54"/>
        <v>-490361.52337855712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-490361.52337855712</v>
      </c>
      <c r="J721" s="455">
        <f t="array" ref="J721">IFERROR(INDEX('Retirement Calculator'!J:J,MATCH('Isaac 401k'!N721,'Retirement Calculator'!A:A,0),0),0)</f>
        <v>7863.2184191855868</v>
      </c>
      <c r="K721" s="455">
        <f t="shared" ca="1" si="53"/>
        <v>-2075.9364241572612</v>
      </c>
      <c r="L721" s="455">
        <f t="shared" ca="1" si="54"/>
        <v>-500300.67822189996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-500300.67822189996</v>
      </c>
      <c r="J722" s="455">
        <f t="array" ref="J722">IFERROR(INDEX('Retirement Calculator'!J:J,MATCH('Isaac 401k'!N722,'Retirement Calculator'!A:A,0),0),0)</f>
        <v>7863.2184191855868</v>
      </c>
      <c r="K722" s="455">
        <f t="shared" ca="1" si="53"/>
        <v>-2117.3495693378563</v>
      </c>
      <c r="L722" s="455">
        <f t="shared" ca="1" si="54"/>
        <v>-510281.24621042341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-510281.24621042341</v>
      </c>
      <c r="J723" s="455">
        <f t="array" ref="J723">IFERROR(INDEX('Retirement Calculator'!J:J,MATCH('Isaac 401k'!N723,'Retirement Calculator'!A:A,0),0),0)</f>
        <v>7863.2184191855868</v>
      </c>
      <c r="K723" s="455">
        <f t="shared" ca="1" si="53"/>
        <v>-2158.9352692900375</v>
      </c>
      <c r="L723" s="455">
        <f t="shared" ca="1" si="54"/>
        <v>-520303.39989889908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-520303.39989889908</v>
      </c>
      <c r="J724" s="455">
        <f t="array" ref="J724">IFERROR(INDEX('Retirement Calculator'!J:J,MATCH('Isaac 401k'!N724,'Retirement Calculator'!A:A,0),0),0)</f>
        <v>7863.2184191855868</v>
      </c>
      <c r="K724" s="455">
        <f t="shared" ca="1" si="53"/>
        <v>-2200.6942429920191</v>
      </c>
      <c r="L724" s="455">
        <f t="shared" ca="1" si="54"/>
        <v>-530367.3125610766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-530367.3125610766</v>
      </c>
      <c r="J725" s="455">
        <f t="array" ref="J725">IFERROR(INDEX('Retirement Calculator'!J:J,MATCH('Isaac 401k'!N725,'Retirement Calculator'!A:A,0),0),0)</f>
        <v>7863.2184191855868</v>
      </c>
      <c r="K725" s="455">
        <f t="shared" ca="1" si="53"/>
        <v>-2242.627212417759</v>
      </c>
      <c r="L725" s="455">
        <f t="shared" ca="1" si="54"/>
        <v>-540473.15819267998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-540473.15819267998</v>
      </c>
      <c r="J726" s="455">
        <f t="array" ref="J726">IFERROR(INDEX('Retirement Calculator'!J:J,MATCH('Isaac 401k'!N726,'Retirement Calculator'!A:A,0),0),0)</f>
        <v>7863.2184191855868</v>
      </c>
      <c r="K726" s="455">
        <f t="shared" ca="1" si="53"/>
        <v>-2284.73490254944</v>
      </c>
      <c r="L726" s="455">
        <f t="shared" ca="1" si="54"/>
        <v>-550621.11151441501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-550621.11151441501</v>
      </c>
      <c r="J727" s="455">
        <f t="array" ref="J727">IFERROR(INDEX('Retirement Calculator'!J:J,MATCH('Isaac 401k'!N727,'Retirement Calculator'!A:A,0),0),0)</f>
        <v>7863.2184191855868</v>
      </c>
      <c r="K727" s="455">
        <f t="shared" ca="1" si="53"/>
        <v>-2327.0180413900025</v>
      </c>
      <c r="L727" s="455">
        <f t="shared" ca="1" si="54"/>
        <v>-560811.34797499061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-560811.34797499061</v>
      </c>
      <c r="J728" s="455">
        <f t="array" ref="J728">IFERROR(INDEX('Retirement Calculator'!J:J,MATCH('Isaac 401k'!N728,'Retirement Calculator'!A:A,0),0),0)</f>
        <v>7863.2184191855868</v>
      </c>
      <c r="K728" s="455">
        <f t="shared" ca="1" si="53"/>
        <v>-2369.4773599757341</v>
      </c>
      <c r="L728" s="455">
        <f t="shared" ca="1" si="54"/>
        <v>-571044.04375415191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-571044.04375415191</v>
      </c>
      <c r="J729" s="455">
        <f t="array" ref="J729">IFERROR(INDEX('Retirement Calculator'!J:J,MATCH('Isaac 401k'!N729,'Retirement Calculator'!A:A,0),0),0)</f>
        <v>7863.2184191855868</v>
      </c>
      <c r="K729" s="455">
        <f t="shared" ca="1" si="53"/>
        <v>-2412.1135923889065</v>
      </c>
      <c r="L729" s="455">
        <f t="shared" ca="1" si="54"/>
        <v>-581319.37576572644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-581319.37576572644</v>
      </c>
      <c r="J730" s="455">
        <f t="array" ref="J730">IFERROR(INDEX('Retirement Calculator'!J:J,MATCH('Isaac 401k'!N730,'Retirement Calculator'!A:A,0),0),0)</f>
        <v>7863.2184191855868</v>
      </c>
      <c r="K730" s="455">
        <f t="shared" ca="1" si="53"/>
        <v>-2454.927475770467</v>
      </c>
      <c r="L730" s="455">
        <f t="shared" ca="1" si="54"/>
        <v>-591637.52166068251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-591637.52166068251</v>
      </c>
      <c r="J731" s="455">
        <f t="array" ref="J731">IFERROR(INDEX('Retirement Calculator'!J:J,MATCH('Isaac 401k'!N731,'Retirement Calculator'!A:A,0),0),0)</f>
        <v>7863.2184191855868</v>
      </c>
      <c r="K731" s="455">
        <f t="shared" ca="1" si="53"/>
        <v>-2497.9197503327837</v>
      </c>
      <c r="L731" s="455">
        <f t="shared" ca="1" si="54"/>
        <v>-601998.65983020095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-601998.65983020095</v>
      </c>
      <c r="J732" s="455">
        <f t="array" ref="J732">IFERROR(INDEX('Retirement Calculator'!J:J,MATCH('Isaac 401k'!N732,'Retirement Calculator'!A:A,0),0),0)</f>
        <v>7863.2184191855868</v>
      </c>
      <c r="K732" s="455">
        <f t="shared" ca="1" si="53"/>
        <v>-2541.0911593724441</v>
      </c>
      <c r="L732" s="455">
        <f t="shared" ca="1" si="54"/>
        <v>-612402.96940875903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-612402.96940875903</v>
      </c>
      <c r="J733" s="455">
        <f t="array" ref="J733">IFERROR(INDEX('Retirement Calculator'!J:J,MATCH('Isaac 401k'!N733,'Retirement Calculator'!A:A,0),0),0)</f>
        <v>7863.2184191855868</v>
      </c>
      <c r="K733" s="455">
        <f t="shared" ca="1" si="53"/>
        <v>-2584.4424492831026</v>
      </c>
      <c r="L733" s="455">
        <f t="shared" ca="1" si="54"/>
        <v>-622850.63027722773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-622850.63027722773</v>
      </c>
      <c r="J734" s="455">
        <f t="array" ref="J734">IFERROR(INDEX('Retirement Calculator'!J:J,MATCH('Isaac 401k'!N734,'Retirement Calculator'!A:A,0),0),0)</f>
        <v>7863.2184191855868</v>
      </c>
      <c r="K734" s="455">
        <f t="shared" ca="1" si="53"/>
        <v>-2627.9743695683887</v>
      </c>
      <c r="L734" s="455">
        <f t="shared" ca="1" si="54"/>
        <v>-633341.82306598173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-633341.82306598173</v>
      </c>
      <c r="J735" s="455">
        <f t="array" ref="J735">IFERROR(INDEX('Retirement Calculator'!J:J,MATCH('Isaac 401k'!N735,'Retirement Calculator'!A:A,0),0),0)</f>
        <v>7863.2184191855868</v>
      </c>
      <c r="K735" s="455">
        <f t="shared" ca="1" si="53"/>
        <v>-2671.6876728548641</v>
      </c>
      <c r="L735" s="455">
        <f t="shared" ca="1" si="54"/>
        <v>-643876.72915802221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-643876.72915802221</v>
      </c>
      <c r="J736" s="455">
        <f t="array" ref="J736">IFERROR(INDEX('Retirement Calculator'!J:J,MATCH('Isaac 401k'!N736,'Retirement Calculator'!A:A,0),0),0)</f>
        <v>7863.2184191855868</v>
      </c>
      <c r="K736" s="455">
        <f t="shared" ca="1" si="53"/>
        <v>-2715.5831149050327</v>
      </c>
      <c r="L736" s="455">
        <f t="shared" ca="1" si="54"/>
        <v>-654455.53069211286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-654455.53069211286</v>
      </c>
      <c r="J737" s="455">
        <f t="array" ref="J737">IFERROR(INDEX('Retirement Calculator'!J:J,MATCH('Isaac 401k'!N737,'Retirement Calculator'!A:A,0),0),0)</f>
        <v>7863.2184191855868</v>
      </c>
      <c r="K737" s="455">
        <f t="shared" ca="1" si="53"/>
        <v>-2759.6614546304104</v>
      </c>
      <c r="L737" s="455">
        <f t="shared" ca="1" si="54"/>
        <v>-665078.41056592891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-665078.41056592891</v>
      </c>
      <c r="J738" s="455">
        <f t="array" ref="J738">IFERROR(INDEX('Retirement Calculator'!J:J,MATCH('Isaac 401k'!N738,'Retirement Calculator'!A:A,0),0),0)</f>
        <v>7863.2184191855868</v>
      </c>
      <c r="K738" s="455">
        <f t="shared" ca="1" si="53"/>
        <v>-2803.923454104644</v>
      </c>
      <c r="L738" s="455">
        <f t="shared" ca="1" si="54"/>
        <v>-675745.5524392192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-675745.5524392192</v>
      </c>
      <c r="J739" s="455">
        <f t="array" ref="J739">IFERROR(INDEX('Retirement Calculator'!J:J,MATCH('Isaac 401k'!N739,'Retirement Calculator'!A:A,0),0),0)</f>
        <v>7863.2184191855868</v>
      </c>
      <c r="K739" s="455">
        <f t="shared" ca="1" si="53"/>
        <v>-2848.3698785766865</v>
      </c>
      <c r="L739" s="455">
        <f t="shared" ca="1" si="54"/>
        <v>-686457.14073698153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-686457.14073698153</v>
      </c>
      <c r="J740" s="455">
        <f t="array" ref="J740">IFERROR(INDEX('Retirement Calculator'!J:J,MATCH('Isaac 401k'!N740,'Retirement Calculator'!A:A,0),0),0)</f>
        <v>7863.2184191855868</v>
      </c>
      <c r="K740" s="455">
        <f t="shared" ca="1" si="53"/>
        <v>-2893.0014964840298</v>
      </c>
      <c r="L740" s="455">
        <f t="shared" ca="1" si="54"/>
        <v>-697213.36065265117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-697213.36065265117</v>
      </c>
      <c r="J741" s="455">
        <f t="array" ref="J741">IFERROR(INDEX('Retirement Calculator'!J:J,MATCH('Isaac 401k'!N741,'Retirement Calculator'!A:A,0),0),0)</f>
        <v>7863.2184191855868</v>
      </c>
      <c r="K741" s="455">
        <f t="shared" ca="1" si="53"/>
        <v>-2937.8190794659868</v>
      </c>
      <c r="L741" s="455">
        <f t="shared" ca="1" si="54"/>
        <v>-708014.39815130271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-708014.39815130271</v>
      </c>
      <c r="J742" s="455">
        <f t="array" ref="J742">IFERROR(INDEX('Retirement Calculator'!J:J,MATCH('Isaac 401k'!N742,'Retirement Calculator'!A:A,0),0),0)</f>
        <v>7863.2184191855868</v>
      </c>
      <c r="K742" s="455">
        <f t="shared" ca="1" si="53"/>
        <v>-2982.8234023770347</v>
      </c>
      <c r="L742" s="455">
        <f t="shared" ca="1" si="54"/>
        <v>-718860.4399728654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-718860.4399728654</v>
      </c>
      <c r="J743" s="455">
        <f t="array" ref="J743">IFERROR(INDEX('Retirement Calculator'!J:J,MATCH('Isaac 401k'!N743,'Retirement Calculator'!A:A,0),0),0)</f>
        <v>7863.2184191855868</v>
      </c>
      <c r="K743" s="455">
        <f t="shared" ca="1" si="53"/>
        <v>-3028.0152433002127</v>
      </c>
      <c r="L743" s="455">
        <f t="shared" ca="1" si="54"/>
        <v>-729751.67363535124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-729751.67363535124</v>
      </c>
      <c r="J744" s="455">
        <f t="array" ref="J744">IFERROR(INDEX('Retirement Calculator'!J:J,MATCH('Isaac 401k'!N744,'Retirement Calculator'!A:A,0),0),0)</f>
        <v>7863.2184191855868</v>
      </c>
      <c r="K744" s="455">
        <f t="shared" ca="1" si="53"/>
        <v>-3073.3953835605703</v>
      </c>
      <c r="L744" s="455">
        <f t="shared" ca="1" si="54"/>
        <v>-740688.28743809741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-740688.28743809741</v>
      </c>
      <c r="J745" s="455">
        <f t="array" ref="J745">IFERROR(INDEX('Retirement Calculator'!J:J,MATCH('Isaac 401k'!N745,'Retirement Calculator'!A:A,0),0),0)</f>
        <v>7863.2184191855868</v>
      </c>
      <c r="K745" s="455">
        <f t="shared" ca="1" si="53"/>
        <v>-3118.9646077386792</v>
      </c>
      <c r="L745" s="455">
        <f t="shared" ca="1" si="54"/>
        <v>-751670.47046502167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-751670.47046502167</v>
      </c>
      <c r="J746" s="455">
        <f t="array" ref="J746">IFERROR(INDEX('Retirement Calculator'!J:J,MATCH('Isaac 401k'!N746,'Retirement Calculator'!A:A,0),0),0)</f>
        <v>7863.2184191855868</v>
      </c>
      <c r="K746" s="455">
        <f t="shared" ca="1" si="53"/>
        <v>-3164.7237036841971</v>
      </c>
      <c r="L746" s="455">
        <f t="shared" ca="1" si="54"/>
        <v>-762698.41258789145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-762698.41258789145</v>
      </c>
      <c r="J747" s="455">
        <f t="array" ref="J747">IFERROR(INDEX('Retirement Calculator'!J:J,MATCH('Isaac 401k'!N747,'Retirement Calculator'!A:A,0),0),0)</f>
        <v>7863.2184191855868</v>
      </c>
      <c r="K747" s="455">
        <f t="shared" ca="1" si="53"/>
        <v>-3210.6734625294876</v>
      </c>
      <c r="L747" s="455">
        <f t="shared" ca="1" si="54"/>
        <v>-773772.30446960649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-773772.30446960649</v>
      </c>
      <c r="J748" s="455">
        <f t="array" ref="J748">IFERROR(INDEX('Retirement Calculator'!J:J,MATCH('Isaac 401k'!N748,'Retirement Calculator'!A:A,0),0),0)</f>
        <v>7863.2184191855868</v>
      </c>
      <c r="K748" s="455">
        <f t="shared" ca="1" si="53"/>
        <v>-3256.8146787033002</v>
      </c>
      <c r="L748" s="455">
        <f t="shared" ca="1" si="54"/>
        <v>-784892.33756749541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-784892.33756749541</v>
      </c>
      <c r="J749" s="455">
        <f t="array" ref="J749">IFERROR(INDEX('Retirement Calculator'!J:J,MATCH('Isaac 401k'!N749,'Retirement Calculator'!A:A,0),0),0)</f>
        <v>7863.2184191855868</v>
      </c>
      <c r="K749" s="455">
        <f t="shared" ca="1" si="53"/>
        <v>-3303.148149944504</v>
      </c>
      <c r="L749" s="455">
        <f t="shared" ca="1" si="54"/>
        <v>-796058.70413662551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-796058.70413662551</v>
      </c>
      <c r="J750" s="455">
        <f t="array" ref="J750">IFERROR(INDEX('Retirement Calculator'!J:J,MATCH('Isaac 401k'!N750,'Retirement Calculator'!A:A,0),0),0)</f>
        <v>7863.2184191855868</v>
      </c>
      <c r="K750" s="455">
        <f t="shared" ca="1" si="53"/>
        <v>-3349.6746773158798</v>
      </c>
      <c r="L750" s="455">
        <f t="shared" ca="1" si="54"/>
        <v>-807271.59723312699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-807271.59723312699</v>
      </c>
      <c r="J751" s="455">
        <f t="array" ref="J751">IFERROR(INDEX('Retirement Calculator'!J:J,MATCH('Isaac 401k'!N751,'Retirement Calculator'!A:A,0),0),0)</f>
        <v>7863.2184191855868</v>
      </c>
      <c r="K751" s="455">
        <f t="shared" ca="1" si="53"/>
        <v>-3396.3950652179692</v>
      </c>
      <c r="L751" s="455">
        <f t="shared" ca="1" si="54"/>
        <v>-818531.21071753057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-818531.21071753057</v>
      </c>
      <c r="J752" s="455">
        <f t="array" ref="J752">IFERROR(INDEX('Retirement Calculator'!J:J,MATCH('Isaac 401k'!N752,'Retirement Calculator'!A:A,0),0),0)</f>
        <v>7863.2184191855868</v>
      </c>
      <c r="K752" s="455">
        <f t="shared" ca="1" si="53"/>
        <v>-3443.3101214029839</v>
      </c>
      <c r="L752" s="455">
        <f t="shared" ca="1" si="54"/>
        <v>-829837.73925811914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-829837.73925811914</v>
      </c>
      <c r="J753" s="455">
        <f t="array" ref="J753">IFERROR(INDEX('Retirement Calculator'!J:J,MATCH('Isaac 401k'!N753,'Retirement Calculator'!A:A,0),0),0)</f>
        <v>7863.2184191855868</v>
      </c>
      <c r="K753" s="455">
        <f t="shared" ca="1" si="53"/>
        <v>-3490.4206569887692</v>
      </c>
      <c r="L753" s="455">
        <f t="shared" ca="1" si="54"/>
        <v>-841191.37833429349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-841191.37833429349</v>
      </c>
      <c r="J754" s="455">
        <f t="array" ref="J754">IFERROR(INDEX('Retirement Calculator'!J:J,MATCH('Isaac 401k'!N754,'Retirement Calculator'!A:A,0),0),0)</f>
        <v>7863.2184191855868</v>
      </c>
      <c r="K754" s="455">
        <f t="shared" ca="1" si="53"/>
        <v>-3537.7274864728297</v>
      </c>
      <c r="L754" s="455">
        <f t="shared" ca="1" si="54"/>
        <v>-852592.32423995191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-852592.32423995191</v>
      </c>
      <c r="J755" s="455">
        <f t="array" ref="J755">IFERROR(INDEX('Retirement Calculator'!J:J,MATCH('Isaac 401k'!N755,'Retirement Calculator'!A:A,0),0),0)</f>
        <v>7863.2184191855868</v>
      </c>
      <c r="K755" s="455">
        <f t="shared" ca="1" si="53"/>
        <v>-3585.2314277464061</v>
      </c>
      <c r="L755" s="455">
        <f t="shared" ca="1" si="54"/>
        <v>-864040.77408688387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-864040.77408688387</v>
      </c>
      <c r="J756" s="455">
        <f t="array" ref="J756">IFERROR(INDEX('Retirement Calculator'!J:J,MATCH('Isaac 401k'!N756,'Retirement Calculator'!A:A,0),0),0)</f>
        <v>7863.2184191855868</v>
      </c>
      <c r="K756" s="455">
        <f t="shared" ca="1" si="53"/>
        <v>-3632.9333021086231</v>
      </c>
      <c r="L756" s="455">
        <f t="shared" ca="1" si="54"/>
        <v>-875536.92580817814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-875536.92580817814</v>
      </c>
      <c r="J757" s="455">
        <f t="array" ref="J757">IFERROR(INDEX('Retirement Calculator'!J:J,MATCH('Isaac 401k'!N757,'Retirement Calculator'!A:A,0),0),0)</f>
        <v>7863.2184191855868</v>
      </c>
      <c r="K757" s="455">
        <f t="shared" ca="1" si="53"/>
        <v>-3680.8339342806817</v>
      </c>
      <c r="L757" s="455">
        <f t="shared" ca="1" si="54"/>
        <v>-887080.97816164442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-887080.97816164442</v>
      </c>
      <c r="J758" s="455">
        <f t="array" ref="J758">IFERROR(INDEX('Retirement Calculator'!J:J,MATCH('Isaac 401k'!N758,'Retirement Calculator'!A:A,0),0),0)</f>
        <v>7863.2184191855868</v>
      </c>
      <c r="K758" s="455">
        <f t="shared" ca="1" si="53"/>
        <v>-3728.934152420125</v>
      </c>
      <c r="L758" s="455">
        <f t="shared" ca="1" si="54"/>
        <v>-898673.13073325017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-898673.13073325017</v>
      </c>
      <c r="J759" s="455">
        <f t="array" ref="J759">IFERROR(INDEX('Retirement Calculator'!J:J,MATCH('Isaac 401k'!N759,'Retirement Calculator'!A:A,0),0),0)</f>
        <v>7863.2184191855868</v>
      </c>
      <c r="K759" s="455">
        <f t="shared" ca="1" si="53"/>
        <v>-3777.2347881351493</v>
      </c>
      <c r="L759" s="455">
        <f t="shared" ca="1" si="54"/>
        <v>-910313.58394057094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-910313.58394057094</v>
      </c>
      <c r="J760" s="455">
        <f t="array" ref="J760">IFERROR(INDEX('Retirement Calculator'!J:J,MATCH('Isaac 401k'!N760,'Retirement Calculator'!A:A,0),0),0)</f>
        <v>7863.2184191855868</v>
      </c>
      <c r="K760" s="455">
        <f t="shared" ca="1" si="53"/>
        <v>-3825.7366764989856</v>
      </c>
      <c r="L760" s="455">
        <f t="shared" ca="1" si="54"/>
        <v>-922002.53903625556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-922002.53903625556</v>
      </c>
      <c r="J761" s="455">
        <f t="array" ref="J761">IFERROR(INDEX('Retirement Calculator'!J:J,MATCH('Isaac 401k'!N761,'Retirement Calculator'!A:A,0),0),0)</f>
        <v>7863.2184191855868</v>
      </c>
      <c r="K761" s="455">
        <f t="shared" ca="1" si="53"/>
        <v>-3874.4406560643383</v>
      </c>
      <c r="L761" s="455">
        <f t="shared" ca="1" si="54"/>
        <v>-933740.19811150548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-933740.19811150548</v>
      </c>
      <c r="J762" s="455">
        <f t="array" ref="J762">IFERROR(INDEX('Retirement Calculator'!J:J,MATCH('Isaac 401k'!N762,'Retirement Calculator'!A:A,0),0),0)</f>
        <v>7863.2184191855868</v>
      </c>
      <c r="K762" s="455">
        <f t="shared" ca="1" si="53"/>
        <v>-3923.3475688778794</v>
      </c>
      <c r="L762" s="455">
        <f t="shared" ca="1" si="54"/>
        <v>-945526.76409956894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-945526.76409956894</v>
      </c>
      <c r="J763" s="455">
        <f t="array" ref="J763">IFERROR(INDEX('Retirement Calculator'!J:J,MATCH('Isaac 401k'!N763,'Retirement Calculator'!A:A,0),0),0)</f>
        <v>7863.2184191855868</v>
      </c>
      <c r="K763" s="455">
        <f t="shared" ca="1" si="53"/>
        <v>-3972.4582604948105</v>
      </c>
      <c r="L763" s="455">
        <f t="shared" ca="1" si="54"/>
        <v>-957362.44077924942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-957362.44077924942</v>
      </c>
      <c r="J764" s="455">
        <f t="array" ref="J764">IFERROR(INDEX('Retirement Calculator'!J:J,MATCH('Isaac 401k'!N764,'Retirement Calculator'!A:A,0),0),0)</f>
        <v>7863.2184191855868</v>
      </c>
      <c r="K764" s="455">
        <f t="shared" ca="1" si="53"/>
        <v>-4021.7735799934794</v>
      </c>
      <c r="L764" s="455">
        <f t="shared" ca="1" si="54"/>
        <v>-969247.43277842854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-969247.43277842854</v>
      </c>
      <c r="J765" s="455">
        <f t="array" ref="J765">IFERROR(INDEX('Retirement Calculator'!J:J,MATCH('Isaac 401k'!N765,'Retirement Calculator'!A:A,0),0),0)</f>
        <v>7863.2184191855868</v>
      </c>
      <c r="K765" s="455">
        <f t="shared" ca="1" si="53"/>
        <v>-4071.294379990059</v>
      </c>
      <c r="L765" s="455">
        <f t="shared" ca="1" si="54"/>
        <v>-981181.94557760423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-981181.94557760423</v>
      </c>
      <c r="J766" s="455">
        <f t="array" ref="J766">IFERROR(INDEX('Retirement Calculator'!J:J,MATCH('Isaac 401k'!N766,'Retirement Calculator'!A:A,0),0),0)</f>
        <v>7863.2184191855868</v>
      </c>
      <c r="K766" s="455">
        <f t="shared" ca="1" si="53"/>
        <v>-4121.0215166532917</v>
      </c>
      <c r="L766" s="455">
        <f t="shared" ca="1" si="54"/>
        <v>-993166.18551344308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-993166.18551344308</v>
      </c>
      <c r="J767" s="455">
        <f t="array" ref="J767">IFERROR(INDEX('Retirement Calculator'!J:J,MATCH('Isaac 401k'!N767,'Retirement Calculator'!A:A,0),0),0)</f>
        <v>7863.2184191855868</v>
      </c>
      <c r="K767" s="455">
        <f t="shared" ca="1" si="53"/>
        <v>-4170.9558497192866</v>
      </c>
      <c r="L767" s="455">
        <f t="shared" ca="1" si="54"/>
        <v>-1005200.3597823479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-1005200.3597823479</v>
      </c>
      <c r="J768" s="455">
        <f t="array" ref="J768">IFERROR(INDEX('Retirement Calculator'!J:J,MATCH('Isaac 401k'!N768,'Retirement Calculator'!A:A,0),0),0)</f>
        <v>7863.2184191855868</v>
      </c>
      <c r="K768" s="455">
        <f t="shared" ca="1" si="53"/>
        <v>-4221.0982425063894</v>
      </c>
      <c r="L768" s="455">
        <f t="shared" ca="1" si="54"/>
        <v>-1017284.6764440399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-1017284.6764440399</v>
      </c>
      <c r="J769" s="455">
        <f t="array" ref="J769">IFERROR(INDEX('Retirement Calculator'!J:J,MATCH('Isaac 401k'!N769,'Retirement Calculator'!A:A,0),0),0)</f>
        <v>7863.2184191855868</v>
      </c>
      <c r="K769" s="455">
        <f t="shared" ca="1" si="53"/>
        <v>-4271.449561930106</v>
      </c>
      <c r="L769" s="455">
        <f t="shared" ca="1" si="54"/>
        <v>-1029419.3444251557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-1029419.3444251557</v>
      </c>
      <c r="J770" s="455">
        <f t="array" ref="J770">IFERROR(INDEX('Retirement Calculator'!J:J,MATCH('Isaac 401k'!N770,'Retirement Calculator'!A:A,0),0),0)</f>
        <v>7863.2184191855868</v>
      </c>
      <c r="K770" s="455">
        <f t="shared" ca="1" si="53"/>
        <v>-4322.0106785180888</v>
      </c>
      <c r="L770" s="455">
        <f t="shared" ca="1" si="54"/>
        <v>-1041604.5735228594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-1041604.5735228594</v>
      </c>
      <c r="J771" s="455">
        <f t="array" ref="J771">IFERROR(INDEX('Retirement Calculator'!J:J,MATCH('Isaac 401k'!N771,'Retirement Calculator'!A:A,0),0),0)</f>
        <v>7863.2184191855868</v>
      </c>
      <c r="K771" s="455">
        <f t="shared" ca="1" si="53"/>
        <v>-4372.7824664251866</v>
      </c>
      <c r="L771" s="455">
        <f t="shared" ca="1" si="54"/>
        <v>-1053840.57440847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-1053840.57440847</v>
      </c>
      <c r="J772" s="455">
        <f t="array" ref="J772">IFERROR(INDEX('Retirement Calculator'!J:J,MATCH('Isaac 401k'!N772,'Retirement Calculator'!A:A,0),0),0)</f>
        <v>7863.2184191855868</v>
      </c>
      <c r="K772" s="455">
        <f t="shared" ca="1" si="53"/>
        <v>-4423.7658034485648</v>
      </c>
      <c r="L772" s="455">
        <f t="shared" ca="1" si="54"/>
        <v>-1066127.5586311042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-1066127.5586311042</v>
      </c>
      <c r="J773" s="455">
        <f t="array" ref="J773">IFERROR(INDEX('Retirement Calculator'!J:J,MATCH('Isaac 401k'!N773,'Retirement Calculator'!A:A,0),0),0)</f>
        <v>7863.2184191855868</v>
      </c>
      <c r="K773" s="455">
        <f t="shared" ref="K773:K1027" ca="1" si="79">IPMT(M773/12,1,12,-I773+J773,,0)</f>
        <v>-4474.9615710428743</v>
      </c>
      <c r="L773" s="455">
        <f t="shared" ref="L773:L1027" ca="1" si="80">I773-J773+K773</f>
        <v>-1078465.7386213327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-1078465.7386213327</v>
      </c>
      <c r="J774" s="455">
        <f t="array" ref="J774">IFERROR(INDEX('Retirement Calculator'!J:J,MATCH('Isaac 401k'!N774,'Retirement Calculator'!A:A,0),0),0)</f>
        <v>7863.2184191855868</v>
      </c>
      <c r="K774" s="455">
        <f t="shared" ca="1" si="79"/>
        <v>-4526.3706543354929</v>
      </c>
      <c r="L774" s="455">
        <f t="shared" ca="1" si="80"/>
        <v>-1090855.3276948538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-1090855.3276948538</v>
      </c>
      <c r="J775" s="455">
        <f t="array" ref="J775">IFERROR(INDEX('Retirement Calculator'!J:J,MATCH('Isaac 401k'!N775,'Retirement Calculator'!A:A,0),0),0)</f>
        <v>7863.2184191855868</v>
      </c>
      <c r="K775" s="455">
        <f t="shared" ca="1" si="79"/>
        <v>-4577.9939421418303</v>
      </c>
      <c r="L775" s="455">
        <f t="shared" ca="1" si="80"/>
        <v>-1103296.5400561811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-1103296.5400561811</v>
      </c>
      <c r="J776" s="455">
        <f t="array" ref="J776">IFERROR(INDEX('Retirement Calculator'!J:J,MATCH('Isaac 401k'!N776,'Retirement Calculator'!A:A,0),0),0)</f>
        <v>7863.2184191855868</v>
      </c>
      <c r="K776" s="455">
        <f t="shared" ca="1" si="79"/>
        <v>-4629.8323269806951</v>
      </c>
      <c r="L776" s="455">
        <f t="shared" ca="1" si="80"/>
        <v>-1115789.5908023475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-1115789.5908023475</v>
      </c>
      <c r="J777" s="455">
        <f t="array" ref="J777">IFERROR(INDEX('Retirement Calculator'!J:J,MATCH('Isaac 401k'!N777,'Retirement Calculator'!A:A,0),0),0)</f>
        <v>7863.2184191855868</v>
      </c>
      <c r="K777" s="455">
        <f t="shared" ca="1" si="79"/>
        <v>-4681.8867050897215</v>
      </c>
      <c r="L777" s="455">
        <f t="shared" ca="1" si="80"/>
        <v>-1128334.695926623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-1128334.695926623</v>
      </c>
      <c r="J778" s="455">
        <f t="array" ref="J778">IFERROR(INDEX('Retirement Calculator'!J:J,MATCH('Isaac 401k'!N778,'Retirement Calculator'!A:A,0),0),0)</f>
        <v>7863.2184191855868</v>
      </c>
      <c r="K778" s="455">
        <f t="shared" ca="1" si="79"/>
        <v>-4734.1579764408689</v>
      </c>
      <c r="L778" s="455">
        <f t="shared" ca="1" si="80"/>
        <v>-1140932.0723222494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-1140932.0723222494</v>
      </c>
      <c r="J779" s="455">
        <f t="array" ref="J779">IFERROR(INDEX('Retirement Calculator'!J:J,MATCH('Isaac 401k'!N779,'Retirement Calculator'!A:A,0),0),0)</f>
        <v>7863.2184191855868</v>
      </c>
      <c r="K779" s="455">
        <f t="shared" ca="1" si="79"/>
        <v>-4786.6470447559796</v>
      </c>
      <c r="L779" s="455">
        <f t="shared" ca="1" si="80"/>
        <v>-1153581.937786191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-1153581.937786191</v>
      </c>
      <c r="J780" s="455">
        <f t="array" ref="J780">IFERROR(INDEX('Retirement Calculator'!J:J,MATCH('Isaac 401k'!N780,'Retirement Calculator'!A:A,0),0),0)</f>
        <v>7863.2184191855868</v>
      </c>
      <c r="K780" s="455">
        <f t="shared" ca="1" si="79"/>
        <v>-4839.3548175224023</v>
      </c>
      <c r="L780" s="455">
        <f t="shared" ca="1" si="80"/>
        <v>-1166284.5110228991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-1166284.5110228991</v>
      </c>
      <c r="J781" s="455">
        <f t="array" ref="J781">IFERROR(INDEX('Retirement Calculator'!J:J,MATCH('Isaac 401k'!N781,'Retirement Calculator'!A:A,0),0),0)</f>
        <v>7863.2184191855868</v>
      </c>
      <c r="K781" s="455">
        <f t="shared" ca="1" si="79"/>
        <v>-4892.2822060086864</v>
      </c>
      <c r="L781" s="455">
        <f t="shared" ca="1" si="80"/>
        <v>-1179040.0116480934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-1179040.0116480934</v>
      </c>
      <c r="J782" s="455">
        <f t="array" ref="J782">IFERROR(INDEX('Retirement Calculator'!J:J,MATCH('Isaac 401k'!N782,'Retirement Calculator'!A:A,0),0),0)</f>
        <v>7863.2184191855868</v>
      </c>
      <c r="K782" s="455">
        <f t="shared" ca="1" si="79"/>
        <v>-4945.4301252803289</v>
      </c>
      <c r="L782" s="455">
        <f t="shared" ca="1" si="80"/>
        <v>-1191848.6601925592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-1191848.6601925592</v>
      </c>
      <c r="J783" s="455">
        <f t="array" ref="J783">IFERROR(INDEX('Retirement Calculator'!J:J,MATCH('Isaac 401k'!N783,'Retirement Calculator'!A:A,0),0),0)</f>
        <v>7863.2184191855868</v>
      </c>
      <c r="K783" s="455">
        <f t="shared" ca="1" si="79"/>
        <v>-4998.7994942156038</v>
      </c>
      <c r="L783" s="455">
        <f t="shared" ca="1" si="80"/>
        <v>-1204710.6781059604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-1204710.6781059604</v>
      </c>
      <c r="J784" s="455">
        <f t="array" ref="J784">IFERROR(INDEX('Retirement Calculator'!J:J,MATCH('Isaac 401k'!N784,'Retirement Calculator'!A:A,0),0),0)</f>
        <v>7863.2184191855868</v>
      </c>
      <c r="K784" s="455">
        <f t="shared" ca="1" si="79"/>
        <v>-5052.3912355214416</v>
      </c>
      <c r="L784" s="455">
        <f t="shared" ca="1" si="80"/>
        <v>-1217626.2877606675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-1217626.2877606675</v>
      </c>
      <c r="J785" s="455">
        <f t="array" ref="J785">IFERROR(INDEX('Retirement Calculator'!J:J,MATCH('Isaac 401k'!N785,'Retirement Calculator'!A:A,0),0),0)</f>
        <v>7863.2184191855868</v>
      </c>
      <c r="K785" s="455">
        <f t="shared" ca="1" si="79"/>
        <v>-5106.2062757493877</v>
      </c>
      <c r="L785" s="455">
        <f t="shared" ca="1" si="80"/>
        <v>-1230595.7124556026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-1230595.7124556026</v>
      </c>
      <c r="J786" s="455">
        <f t="array" ref="J786">IFERROR(INDEX('Retirement Calculator'!J:J,MATCH('Isaac 401k'!N786,'Retirement Calculator'!A:A,0),0),0)</f>
        <v>7863.2184191855868</v>
      </c>
      <c r="K786" s="455">
        <f t="shared" ca="1" si="79"/>
        <v>-5160.2455453116172</v>
      </c>
      <c r="L786" s="455">
        <f t="shared" ca="1" si="80"/>
        <v>-1243619.1764200998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-1243619.1764200998</v>
      </c>
      <c r="J787" s="455">
        <f t="array" ref="J787">IFERROR(INDEX('Retirement Calculator'!J:J,MATCH('Isaac 401k'!N787,'Retirement Calculator'!A:A,0),0),0)</f>
        <v>7863.2184191855868</v>
      </c>
      <c r="K787" s="455">
        <f t="shared" ca="1" si="79"/>
        <v>-5214.5099784970225</v>
      </c>
      <c r="L787" s="455">
        <f t="shared" ca="1" si="80"/>
        <v>-1256696.9048177823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-1256696.9048177823</v>
      </c>
      <c r="J788" s="455">
        <f t="array" ref="J788">IFERROR(INDEX('Retirement Calculator'!J:J,MATCH('Isaac 401k'!N788,'Retirement Calculator'!A:A,0),0),0)</f>
        <v>7863.2184191855868</v>
      </c>
      <c r="K788" s="455">
        <f t="shared" ca="1" si="79"/>
        <v>-5269.0005134873663</v>
      </c>
      <c r="L788" s="455">
        <f t="shared" ca="1" si="80"/>
        <v>-1269829.1237504552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-1269829.1237504552</v>
      </c>
      <c r="J789" s="455">
        <f t="array" ref="J789">IFERROR(INDEX('Retirement Calculator'!J:J,MATCH('Isaac 401k'!N789,'Retirement Calculator'!A:A,0),0),0)</f>
        <v>7863.2184191855868</v>
      </c>
      <c r="K789" s="455">
        <f t="shared" ca="1" si="79"/>
        <v>-5323.7180923735032</v>
      </c>
      <c r="L789" s="455">
        <f t="shared" ca="1" si="80"/>
        <v>-1283016.0602620144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-1283016.0602620144</v>
      </c>
      <c r="J790" s="455">
        <f t="array" ref="J790">IFERROR(INDEX('Retirement Calculator'!J:J,MATCH('Isaac 401k'!N790,'Retirement Calculator'!A:A,0),0),0)</f>
        <v>7863.2184191855868</v>
      </c>
      <c r="K790" s="455">
        <f t="shared" ca="1" si="79"/>
        <v>-5378.6636611716667</v>
      </c>
      <c r="L790" s="455">
        <f t="shared" ca="1" si="80"/>
        <v>-1296257.9423423717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-1296257.9423423717</v>
      </c>
      <c r="J791" s="455">
        <f t="array" ref="J791">IFERROR(INDEX('Retirement Calculator'!J:J,MATCH('Isaac 401k'!N791,'Retirement Calculator'!A:A,0),0),0)</f>
        <v>7863.2184191855868</v>
      </c>
      <c r="K791" s="455">
        <f t="shared" ca="1" si="79"/>
        <v>-5433.8381698398216</v>
      </c>
      <c r="L791" s="455">
        <f t="shared" ca="1" si="80"/>
        <v>-1309554.9989313972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-1309554.9989313972</v>
      </c>
      <c r="J792" s="455">
        <f t="array" ref="J792">IFERROR(INDEX('Retirement Calculator'!J:J,MATCH('Isaac 401k'!N792,'Retirement Calculator'!A:A,0),0),0)</f>
        <v>7863.2184191855868</v>
      </c>
      <c r="K792" s="455">
        <f t="shared" ca="1" si="79"/>
        <v>-5489.2425722940952</v>
      </c>
      <c r="L792" s="455">
        <f t="shared" ca="1" si="80"/>
        <v>-1322907.4599228769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-1322907.4599228769</v>
      </c>
      <c r="J793" s="455">
        <f t="array" ref="J793">IFERROR(INDEX('Retirement Calculator'!J:J,MATCH('Isaac 401k'!N793,'Retirement Calculator'!A:A,0),0),0)</f>
        <v>7863.2184191855868</v>
      </c>
      <c r="K793" s="455">
        <f t="shared" ca="1" si="79"/>
        <v>-5544.8778264252605</v>
      </c>
      <c r="L793" s="455">
        <f t="shared" ca="1" si="80"/>
        <v>-1336315.5561684878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-1336315.5561684878</v>
      </c>
      <c r="J794" s="455">
        <f t="array" ref="J794">IFERROR(INDEX('Retirement Calculator'!J:J,MATCH('Isaac 401k'!N794,'Retirement Calculator'!A:A,0),0),0)</f>
        <v>7863.2184191855868</v>
      </c>
      <c r="K794" s="455">
        <f t="shared" ca="1" si="79"/>
        <v>-5600.7448941153052</v>
      </c>
      <c r="L794" s="455">
        <f t="shared" ca="1" si="80"/>
        <v>-1349779.5194817886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-1349779.5194817886</v>
      </c>
      <c r="J795" s="455">
        <f t="array" ref="J795">IFERROR(INDEX('Retirement Calculator'!J:J,MATCH('Isaac 401k'!N795,'Retirement Calculator'!A:A,0),0),0)</f>
        <v>7863.2184191855868</v>
      </c>
      <c r="K795" s="455">
        <f t="shared" ca="1" si="79"/>
        <v>-5656.844741254059</v>
      </c>
      <c r="L795" s="455">
        <f t="shared" ca="1" si="80"/>
        <v>-1363299.5826422283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-1363299.5826422283</v>
      </c>
      <c r="J796" s="455">
        <f t="array" ref="J796">IFERROR(INDEX('Retirement Calculator'!J:J,MATCH('Isaac 401k'!N796,'Retirement Calculator'!A:A,0),0),0)</f>
        <v>7863.2184191855868</v>
      </c>
      <c r="K796" s="455">
        <f t="shared" ca="1" si="79"/>
        <v>-5713.1783377558913</v>
      </c>
      <c r="L796" s="455">
        <f t="shared" ca="1" si="80"/>
        <v>-1376875.9793991698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-1376875.9793991698</v>
      </c>
      <c r="J797" s="455">
        <f t="array" ref="J797">IFERROR(INDEX('Retirement Calculator'!J:J,MATCH('Isaac 401k'!N797,'Retirement Calculator'!A:A,0),0),0)</f>
        <v>7863.2184191855868</v>
      </c>
      <c r="K797" s="455">
        <f t="shared" ca="1" si="79"/>
        <v>-5769.7466575764811</v>
      </c>
      <c r="L797" s="455">
        <f t="shared" ca="1" si="80"/>
        <v>-1390508.9444759318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-1390508.9444759318</v>
      </c>
      <c r="J798" s="455">
        <f t="array" ref="J798">IFERROR(INDEX('Retirement Calculator'!J:J,MATCH('Isaac 401k'!N798,'Retirement Calculator'!A:A,0),0),0)</f>
        <v>7863.2184191855868</v>
      </c>
      <c r="K798" s="455">
        <f t="shared" ca="1" si="79"/>
        <v>-5826.5506787296563</v>
      </c>
      <c r="L798" s="455">
        <f t="shared" ca="1" si="80"/>
        <v>-1404198.713573847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-1404198.713573847</v>
      </c>
      <c r="J799" s="455">
        <f t="array" ref="J799">IFERROR(INDEX('Retirement Calculator'!J:J,MATCH('Isaac 401k'!N799,'Retirement Calculator'!A:A,0),0),0)</f>
        <v>7863.2184191855868</v>
      </c>
      <c r="K799" s="455">
        <f t="shared" ca="1" si="79"/>
        <v>-5883.5913833043023</v>
      </c>
      <c r="L799" s="455">
        <f t="shared" ca="1" si="80"/>
        <v>-1417945.5233763368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-1417945.5233763368</v>
      </c>
      <c r="J800" s="455">
        <f t="array" ref="J800">IFERROR(INDEX('Retirement Calculator'!J:J,MATCH('Isaac 401k'!N800,'Retirement Calculator'!A:A,0),0),0)</f>
        <v>7863.2184191855868</v>
      </c>
      <c r="K800" s="455">
        <f t="shared" ca="1" si="79"/>
        <v>-5940.8697574813432</v>
      </c>
      <c r="L800" s="455">
        <f t="shared" ca="1" si="80"/>
        <v>-1431749.6115530038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-1431749.6115530038</v>
      </c>
      <c r="J801" s="455">
        <f t="array" ref="J801">IFERROR(INDEX('Retirement Calculator'!J:J,MATCH('Isaac 401k'!N801,'Retirement Calculator'!A:A,0),0),0)</f>
        <v>7863.2184191855868</v>
      </c>
      <c r="K801" s="455">
        <f t="shared" ca="1" si="79"/>
        <v>-5998.386791550789</v>
      </c>
      <c r="L801" s="455">
        <f t="shared" ca="1" si="80"/>
        <v>-1445611.2167637402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-1445611.2167637402</v>
      </c>
      <c r="J802" s="455">
        <f t="array" ref="J802">IFERROR(INDEX('Retirement Calculator'!J:J,MATCH('Isaac 401k'!N802,'Retirement Calculator'!A:A,0),0),0)</f>
        <v>7863.2184191855868</v>
      </c>
      <c r="K802" s="455">
        <f t="shared" ca="1" si="79"/>
        <v>-6056.1434799288572</v>
      </c>
      <c r="L802" s="455">
        <f t="shared" ca="1" si="80"/>
        <v>-1459530.5786628546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-1459530.5786628546</v>
      </c>
      <c r="J803" s="455">
        <f t="array" ref="J803">IFERROR(INDEX('Retirement Calculator'!J:J,MATCH('Isaac 401k'!N803,'Retirement Calculator'!A:A,0),0),0)</f>
        <v>7863.2184191855868</v>
      </c>
      <c r="K803" s="455">
        <f t="shared" ca="1" si="79"/>
        <v>-6114.1408211751677</v>
      </c>
      <c r="L803" s="455">
        <f t="shared" ca="1" si="80"/>
        <v>-1473507.9379032154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-1473507.9379032154</v>
      </c>
      <c r="J804" s="455">
        <f t="array" ref="J804">IFERROR(INDEX('Retirement Calculator'!J:J,MATCH('Isaac 401k'!N804,'Retirement Calculator'!A:A,0),0),0)</f>
        <v>7863.2184191855868</v>
      </c>
      <c r="K804" s="455">
        <f t="shared" ca="1" si="79"/>
        <v>-6172.3798180100039</v>
      </c>
      <c r="L804" s="455">
        <f t="shared" ca="1" si="80"/>
        <v>-1487543.5361404109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-1487543.5361404109</v>
      </c>
      <c r="J805" s="455">
        <f t="array" ref="J805">IFERROR(INDEX('Retirement Calculator'!J:J,MATCH('Isaac 401k'!N805,'Retirement Calculator'!A:A,0),0),0)</f>
        <v>7863.2184191855868</v>
      </c>
      <c r="K805" s="455">
        <f t="shared" ca="1" si="79"/>
        <v>-6230.8614773316522</v>
      </c>
      <c r="L805" s="455">
        <f t="shared" ca="1" si="80"/>
        <v>-1501637.6160369283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-1501637.6160369283</v>
      </c>
      <c r="J806" s="455">
        <f t="array" ref="J806">IFERROR(INDEX('Retirement Calculator'!J:J,MATCH('Isaac 401k'!N806,'Retirement Calculator'!A:A,0),0),0)</f>
        <v>7863.2184191855868</v>
      </c>
      <c r="K806" s="455">
        <f t="shared" ca="1" si="79"/>
        <v>-6289.5868102338081</v>
      </c>
      <c r="L806" s="455">
        <f t="shared" ca="1" si="80"/>
        <v>-1515790.4212663476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-1515790.4212663476</v>
      </c>
      <c r="J807" s="455">
        <f t="array" ref="J807">IFERROR(INDEX('Retirement Calculator'!J:J,MATCH('Isaac 401k'!N807,'Retirement Calculator'!A:A,0),0),0)</f>
        <v>7863.2184191855868</v>
      </c>
      <c r="K807" s="455">
        <f t="shared" ca="1" si="79"/>
        <v>-6348.556832023055</v>
      </c>
      <c r="L807" s="455">
        <f t="shared" ca="1" si="80"/>
        <v>-1530002.1965175562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-1530002.1965175562</v>
      </c>
      <c r="J808" s="455">
        <f t="array" ref="J808">IFERROR(INDEX('Retirement Calculator'!J:J,MATCH('Isaac 401k'!N808,'Retirement Calculator'!A:A,0),0),0)</f>
        <v>7863.2184191855868</v>
      </c>
      <c r="K808" s="455">
        <f t="shared" ca="1" si="79"/>
        <v>-6407.7725622364242</v>
      </c>
      <c r="L808" s="455">
        <f t="shared" ca="1" si="80"/>
        <v>-1544273.1874989783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-1544273.1874989783</v>
      </c>
      <c r="J809" s="455">
        <f t="array" ref="J809">IFERROR(INDEX('Retirement Calculator'!J:J,MATCH('Isaac 401k'!N809,'Retirement Calculator'!A:A,0),0),0)</f>
        <v>7863.2184191855868</v>
      </c>
      <c r="K809" s="455">
        <f t="shared" ca="1" si="79"/>
        <v>-6467.2350246590167</v>
      </c>
      <c r="L809" s="455">
        <f t="shared" ca="1" si="80"/>
        <v>-1558603.6409428229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-1558603.6409428229</v>
      </c>
      <c r="J810" s="455">
        <f t="array" ref="J810">IFERROR(INDEX('Retirement Calculator'!J:J,MATCH('Isaac 401k'!N810,'Retirement Calculator'!A:A,0),0),0)</f>
        <v>7863.2184191855868</v>
      </c>
      <c r="K810" s="455">
        <f t="shared" ca="1" si="79"/>
        <v>-6526.9452473417023</v>
      </c>
      <c r="L810" s="455">
        <f t="shared" ca="1" si="80"/>
        <v>-1572993.8046093502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-1572993.8046093502</v>
      </c>
      <c r="J811" s="455">
        <f t="array" ref="J811">IFERROR(INDEX('Retirement Calculator'!J:J,MATCH('Isaac 401k'!N811,'Retirement Calculator'!A:A,0),0),0)</f>
        <v>7863.2184191855868</v>
      </c>
      <c r="K811" s="455">
        <f t="shared" ca="1" si="79"/>
        <v>-6586.9042626188993</v>
      </c>
      <c r="L811" s="455">
        <f t="shared" ca="1" si="80"/>
        <v>-1587443.9272911546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-1587443.9272911546</v>
      </c>
      <c r="J812" s="455">
        <f t="array" ref="J812">IFERROR(INDEX('Retirement Calculator'!J:J,MATCH('Isaac 401k'!N812,'Retirement Calculator'!A:A,0),0),0)</f>
        <v>7863.2184191855868</v>
      </c>
      <c r="K812" s="455">
        <f t="shared" ca="1" si="79"/>
        <v>-6647.1131071264172</v>
      </c>
      <c r="L812" s="455">
        <f t="shared" ca="1" si="80"/>
        <v>-1601954.2588174667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-1601954.2588174667</v>
      </c>
      <c r="J813" s="455">
        <f t="array" ref="J813">IFERROR(INDEX('Retirement Calculator'!J:J,MATCH('Isaac 401k'!N813,'Retirement Calculator'!A:A,0),0),0)</f>
        <v>7863.2184191855868</v>
      </c>
      <c r="K813" s="455">
        <f t="shared" ca="1" si="79"/>
        <v>-6707.5728218193844</v>
      </c>
      <c r="L813" s="455">
        <f t="shared" ca="1" si="80"/>
        <v>-1616525.0500584717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-1616525.0500584717</v>
      </c>
      <c r="J814" s="455">
        <f t="array" ref="J814">IFERROR(INDEX('Retirement Calculator'!J:J,MATCH('Isaac 401k'!N814,'Retirement Calculator'!A:A,0),0),0)</f>
        <v>7863.2184191855868</v>
      </c>
      <c r="K814" s="455">
        <f t="shared" ca="1" si="79"/>
        <v>-6768.2844519902392</v>
      </c>
      <c r="L814" s="455">
        <f t="shared" ca="1" si="80"/>
        <v>-1631156.5529296475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-1631156.5529296475</v>
      </c>
      <c r="J815" s="455">
        <f t="array" ref="J815">IFERROR(INDEX('Retirement Calculator'!J:J,MATCH('Isaac 401k'!N815,'Retirement Calculator'!A:A,0),0),0)</f>
        <v>7863.2184191855868</v>
      </c>
      <c r="K815" s="455">
        <f t="shared" ca="1" si="79"/>
        <v>-6829.2490472868039</v>
      </c>
      <c r="L815" s="455">
        <f t="shared" ca="1" si="80"/>
        <v>-1645849.0203961199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-1645849.0203961199</v>
      </c>
      <c r="J816" s="455">
        <f t="array" ref="J816">IFERROR(INDEX('Retirement Calculator'!J:J,MATCH('Isaac 401k'!N816,'Retirement Calculator'!A:A,0),0),0)</f>
        <v>7863.2184191855868</v>
      </c>
      <c r="K816" s="455">
        <f t="shared" ca="1" si="79"/>
        <v>-6890.4676617304394</v>
      </c>
      <c r="L816" s="455">
        <f t="shared" ca="1" si="80"/>
        <v>-1660602.706477036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-1660602.706477036</v>
      </c>
      <c r="J817" s="455">
        <f t="array" ref="J817">IFERROR(INDEX('Retirement Calculator'!J:J,MATCH('Isaac 401k'!N817,'Retirement Calculator'!A:A,0),0),0)</f>
        <v>7863.2184191855868</v>
      </c>
      <c r="K817" s="455">
        <f t="shared" ca="1" si="79"/>
        <v>-6951.9413537342562</v>
      </c>
      <c r="L817" s="455">
        <f t="shared" ca="1" si="80"/>
        <v>-1675417.866249956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-1675417.866249956</v>
      </c>
      <c r="J818" s="455">
        <f t="array" ref="J818">IFERROR(INDEX('Retirement Calculator'!J:J,MATCH('Isaac 401k'!N818,'Retirement Calculator'!A:A,0),0),0)</f>
        <v>7863.2184191855868</v>
      </c>
      <c r="K818" s="455">
        <f t="shared" ca="1" si="79"/>
        <v>-7013.6711861214217</v>
      </c>
      <c r="L818" s="455">
        <f t="shared" ca="1" si="80"/>
        <v>-1690294.755855263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-1690294.755855263</v>
      </c>
      <c r="J819" s="455">
        <f t="array" ref="J819">IFERROR(INDEX('Retirement Calculator'!J:J,MATCH('Isaac 401k'!N819,'Retirement Calculator'!A:A,0),0),0)</f>
        <v>7863.2184191855868</v>
      </c>
      <c r="K819" s="455">
        <f t="shared" ca="1" si="79"/>
        <v>-7075.658226143536</v>
      </c>
      <c r="L819" s="455">
        <f t="shared" ca="1" si="80"/>
        <v>-1705233.6325005922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-1705233.6325005922</v>
      </c>
      <c r="J820" s="455">
        <f t="array" ref="J820">IFERROR(INDEX('Retirement Calculator'!J:J,MATCH('Isaac 401k'!N820,'Retirement Calculator'!A:A,0),0),0)</f>
        <v>7863.2184191855868</v>
      </c>
      <c r="K820" s="455">
        <f t="shared" ca="1" si="79"/>
        <v>-7137.9035454990726</v>
      </c>
      <c r="L820" s="455">
        <f t="shared" ca="1" si="80"/>
        <v>-1720234.7544652768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-1720234.7544652768</v>
      </c>
      <c r="J821" s="455">
        <f t="array" ref="J821">IFERROR(INDEX('Retirement Calculator'!J:J,MATCH('Isaac 401k'!N821,'Retirement Calculator'!A:A,0),0),0)</f>
        <v>7863.2184191855868</v>
      </c>
      <c r="K821" s="455">
        <f t="shared" ca="1" si="79"/>
        <v>-7200.4082203519265</v>
      </c>
      <c r="L821" s="455">
        <f t="shared" ca="1" si="80"/>
        <v>-1735298.3811048144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-1735298.3811048144</v>
      </c>
      <c r="J822" s="455">
        <f t="array" ref="J822">IFERROR(INDEX('Retirement Calculator'!J:J,MATCH('Isaac 401k'!N822,'Retirement Calculator'!A:A,0),0),0)</f>
        <v>7863.2184191855868</v>
      </c>
      <c r="K822" s="455">
        <f t="shared" ca="1" si="79"/>
        <v>-7263.1733313499999</v>
      </c>
      <c r="L822" s="455">
        <f t="shared" ca="1" si="80"/>
        <v>-1750424.77285535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-1750424.77285535</v>
      </c>
      <c r="J823" s="455">
        <f t="array" ref="J823">IFERROR(INDEX('Retirement Calculator'!J:J,MATCH('Isaac 401k'!N823,'Retirement Calculator'!A:A,0),0),0)</f>
        <v>7863.2184191855868</v>
      </c>
      <c r="K823" s="455">
        <f t="shared" ca="1" si="79"/>
        <v>-7326.1999636438977</v>
      </c>
      <c r="L823" s="455">
        <f t="shared" ca="1" si="80"/>
        <v>-1765614.1912381796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-1765614.1912381796</v>
      </c>
      <c r="J824" s="455">
        <f t="array" ref="J824">IFERROR(INDEX('Retirement Calculator'!J:J,MATCH('Isaac 401k'!N824,'Retirement Calculator'!A:A,0),0),0)</f>
        <v>7863.2184191855868</v>
      </c>
      <c r="K824" s="455">
        <f t="shared" ca="1" si="79"/>
        <v>-7389.4892069056878</v>
      </c>
      <c r="L824" s="455">
        <f t="shared" ca="1" si="80"/>
        <v>-1780866.8988642709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-1780866.8988642709</v>
      </c>
      <c r="J825" s="455">
        <f t="array" ref="J825">IFERROR(INDEX('Retirement Calculator'!J:J,MATCH('Isaac 401k'!N825,'Retirement Calculator'!A:A,0),0),0)</f>
        <v>7863.2184191855868</v>
      </c>
      <c r="K825" s="455">
        <f t="shared" ca="1" si="79"/>
        <v>-7453.0421553477354</v>
      </c>
      <c r="L825" s="455">
        <f t="shared" ca="1" si="80"/>
        <v>-1796183.1594388043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-1796183.1594388043</v>
      </c>
      <c r="J826" s="455">
        <f t="array" ref="J826">IFERROR(INDEX('Retirement Calculator'!J:J,MATCH('Isaac 401k'!N826,'Retirement Calculator'!A:A,0),0),0)</f>
        <v>7863.2184191855868</v>
      </c>
      <c r="K826" s="455">
        <f t="shared" ca="1" si="79"/>
        <v>-7516.8599077416229</v>
      </c>
      <c r="L826" s="455">
        <f t="shared" ca="1" si="80"/>
        <v>-1811563.2377657315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-1811563.2377657315</v>
      </c>
      <c r="J827" s="455">
        <f t="array" ref="J827">IFERROR(INDEX('Retirement Calculator'!J:J,MATCH('Isaac 401k'!N827,'Retirement Calculator'!A:A,0),0),0)</f>
        <v>7863.2184191855868</v>
      </c>
      <c r="K827" s="455">
        <f t="shared" ca="1" si="79"/>
        <v>-7580.9435674371543</v>
      </c>
      <c r="L827" s="455">
        <f t="shared" ca="1" si="80"/>
        <v>-1827007.3997523542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-1827007.3997523542</v>
      </c>
      <c r="J828" s="455">
        <f t="array" ref="J828">IFERROR(INDEX('Retirement Calculator'!J:J,MATCH('Isaac 401k'!N828,'Retirement Calculator'!A:A,0),0),0)</f>
        <v>7863.2184191855868</v>
      </c>
      <c r="K828" s="455">
        <f t="shared" ca="1" si="79"/>
        <v>-7645.2942423814156</v>
      </c>
      <c r="L828" s="455">
        <f t="shared" ca="1" si="80"/>
        <v>-1842515.9124139212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-1842515.9124139212</v>
      </c>
      <c r="J829" s="455">
        <f t="array" ref="J829">IFERROR(INDEX('Retirement Calculator'!J:J,MATCH('Isaac 401k'!N829,'Retirement Calculator'!A:A,0),0),0)</f>
        <v>7863.2184191855868</v>
      </c>
      <c r="K829" s="455">
        <f t="shared" ca="1" si="79"/>
        <v>-7709.913045137946</v>
      </c>
      <c r="L829" s="455">
        <f t="shared" ca="1" si="80"/>
        <v>-1858089.0438782447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-1858089.0438782447</v>
      </c>
      <c r="J830" s="455">
        <f t="array" ref="J830">IFERROR(INDEX('Retirement Calculator'!J:J,MATCH('Isaac 401k'!N830,'Retirement Calculator'!A:A,0),0),0)</f>
        <v>7863.2184191855868</v>
      </c>
      <c r="K830" s="455">
        <f t="shared" ca="1" si="79"/>
        <v>-7774.8010929059592</v>
      </c>
      <c r="L830" s="455">
        <f t="shared" ca="1" si="80"/>
        <v>-1873727.0633903362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-1873727.0633903362</v>
      </c>
      <c r="J831" s="455">
        <f t="array" ref="J831">IFERROR(INDEX('Retirement Calculator'!J:J,MATCH('Isaac 401k'!N831,'Retirement Calculator'!A:A,0),0),0)</f>
        <v>7863.2184191855868</v>
      </c>
      <c r="K831" s="455">
        <f t="shared" ca="1" si="79"/>
        <v>-7839.9595075396755</v>
      </c>
      <c r="L831" s="455">
        <f t="shared" ca="1" si="80"/>
        <v>-1889430.2413170615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-1889430.2413170615</v>
      </c>
      <c r="J832" s="455">
        <f t="array" ref="J832">IFERROR(INDEX('Retirement Calculator'!J:J,MATCH('Isaac 401k'!N832,'Retirement Calculator'!A:A,0),0),0)</f>
        <v>7863.2184191855868</v>
      </c>
      <c r="K832" s="455">
        <f t="shared" ca="1" si="79"/>
        <v>-7905.3894155676953</v>
      </c>
      <c r="L832" s="455">
        <f t="shared" ca="1" si="80"/>
        <v>-1905198.8491518148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-1905198.8491518148</v>
      </c>
      <c r="J833" s="455">
        <f t="array" ref="J833">IFERROR(INDEX('Retirement Calculator'!J:J,MATCH('Isaac 401k'!N833,'Retirement Calculator'!A:A,0),0),0)</f>
        <v>7863.2184191855868</v>
      </c>
      <c r="K833" s="455">
        <f t="shared" ca="1" si="79"/>
        <v>-7971.0919482125028</v>
      </c>
      <c r="L833" s="455">
        <f t="shared" ca="1" si="80"/>
        <v>-1921033.159519213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-1921033.159519213</v>
      </c>
      <c r="J834" s="455">
        <f t="array" ref="J834">IFERROR(INDEX('Retirement Calculator'!J:J,MATCH('Isaac 401k'!N834,'Retirement Calculator'!A:A,0),0),0)</f>
        <v>7863.2184191855868</v>
      </c>
      <c r="K834" s="455">
        <f t="shared" ca="1" si="79"/>
        <v>-8037.0682414099938</v>
      </c>
      <c r="L834" s="455">
        <f t="shared" ca="1" si="80"/>
        <v>-1936933.4461798086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-1936933.4461798086</v>
      </c>
      <c r="J835" s="455">
        <f t="array" ref="J835">IFERROR(INDEX('Retirement Calculator'!J:J,MATCH('Isaac 401k'!N835,'Retirement Calculator'!A:A,0),0),0)</f>
        <v>7863.2184191855868</v>
      </c>
      <c r="K835" s="455">
        <f t="shared" ca="1" si="79"/>
        <v>-8103.3194358291421</v>
      </c>
      <c r="L835" s="455">
        <f t="shared" ca="1" si="80"/>
        <v>-1952899.9840348233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-1952899.9840348233</v>
      </c>
      <c r="J836" s="455">
        <f t="array" ref="J836">IFERROR(INDEX('Retirement Calculator'!J:J,MATCH('Isaac 401k'!N836,'Retirement Calculator'!A:A,0),0),0)</f>
        <v>7863.2184191855868</v>
      </c>
      <c r="K836" s="455">
        <f t="shared" ca="1" si="79"/>
        <v>-8169.8466768917033</v>
      </c>
      <c r="L836" s="455">
        <f t="shared" ca="1" si="80"/>
        <v>-1968933.0491309005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-1968933.0491309005</v>
      </c>
      <c r="J837" s="455">
        <f t="array" ref="J837">IFERROR(INDEX('Retirement Calculator'!J:J,MATCH('Isaac 401k'!N837,'Retirement Calculator'!A:A,0),0),0)</f>
        <v>7863.2184191855868</v>
      </c>
      <c r="K837" s="455">
        <f t="shared" ca="1" si="79"/>
        <v>-8236.6511147920264</v>
      </c>
      <c r="L837" s="455">
        <f t="shared" ca="1" si="80"/>
        <v>-1985032.9186648782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-1985032.9186648782</v>
      </c>
      <c r="J838" s="455">
        <f t="array" ref="J838">IFERROR(INDEX('Retirement Calculator'!J:J,MATCH('Isaac 401k'!N838,'Retirement Calculator'!A:A,0),0),0)</f>
        <v>7863.2184191855868</v>
      </c>
      <c r="K838" s="455">
        <f t="shared" ca="1" si="79"/>
        <v>-8303.7339045169319</v>
      </c>
      <c r="L838" s="455">
        <f t="shared" ca="1" si="80"/>
        <v>-2001199.8709885809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-2001199.8709885809</v>
      </c>
      <c r="J839" s="455">
        <f t="array" ref="J839">IFERROR(INDEX('Retirement Calculator'!J:J,MATCH('Isaac 401k'!N839,'Retirement Calculator'!A:A,0),0),0)</f>
        <v>7863.2184191855868</v>
      </c>
      <c r="K839" s="455">
        <f t="shared" ca="1" si="79"/>
        <v>-8371.0962058656951</v>
      </c>
      <c r="L839" s="455">
        <f t="shared" ca="1" si="80"/>
        <v>-2017434.1856136322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-2017434.1856136322</v>
      </c>
      <c r="J840" s="455">
        <f t="array" ref="J840">IFERROR(INDEX('Retirement Calculator'!J:J,MATCH('Isaac 401k'!N840,'Retirement Calculator'!A:A,0),0),0)</f>
        <v>7863.2184191855868</v>
      </c>
      <c r="K840" s="455">
        <f t="shared" ca="1" si="79"/>
        <v>-8438.7391834700738</v>
      </c>
      <c r="L840" s="455">
        <f t="shared" ca="1" si="80"/>
        <v>-2033736.143216288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-2033736.143216288</v>
      </c>
      <c r="J841" s="455">
        <f t="array" ref="J841">IFERROR(INDEX('Retirement Calculator'!J:J,MATCH('Isaac 401k'!N841,'Retirement Calculator'!A:A,0),0),0)</f>
        <v>7863.2184191855868</v>
      </c>
      <c r="K841" s="455">
        <f t="shared" ca="1" si="79"/>
        <v>-8506.6640068144734</v>
      </c>
      <c r="L841" s="455">
        <f t="shared" ca="1" si="80"/>
        <v>-2050106.0256422879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-2050106.0256422879</v>
      </c>
      <c r="J842" s="455">
        <f t="array" ref="J842">IFERROR(INDEX('Retirement Calculator'!J:J,MATCH('Isaac 401k'!N842,'Retirement Calculator'!A:A,0),0),0)</f>
        <v>7863.2184191855868</v>
      </c>
      <c r="K842" s="455">
        <f t="shared" ca="1" si="79"/>
        <v>-8574.8718502561405</v>
      </c>
      <c r="L842" s="455">
        <f t="shared" ca="1" si="80"/>
        <v>-2066544.1159117296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-2066544.1159117296</v>
      </c>
      <c r="J843" s="455">
        <f t="array" ref="J843">IFERROR(INDEX('Retirement Calculator'!J:J,MATCH('Isaac 401k'!N843,'Retirement Calculator'!A:A,0),0),0)</f>
        <v>7863.2184191855868</v>
      </c>
      <c r="K843" s="455">
        <f t="shared" ca="1" si="79"/>
        <v>-8643.3638930454799</v>
      </c>
      <c r="L843" s="455">
        <f t="shared" ca="1" si="80"/>
        <v>-2083050.6982239608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-2083050.6982239608</v>
      </c>
      <c r="J844" s="455">
        <f t="array" ref="J844">IFERROR(INDEX('Retirement Calculator'!J:J,MATCH('Isaac 401k'!N844,'Retirement Calculator'!A:A,0),0),0)</f>
        <v>7863.2184191855868</v>
      </c>
      <c r="K844" s="455">
        <f t="shared" ca="1" si="79"/>
        <v>-8712.1413193464432</v>
      </c>
      <c r="L844" s="455">
        <f t="shared" ca="1" si="80"/>
        <v>-2099626.057962493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-2099626.057962493</v>
      </c>
      <c r="J845" s="455">
        <f t="array" ref="J845">IFERROR(INDEX('Retirement Calculator'!J:J,MATCH('Isaac 401k'!N845,'Retirement Calculator'!A:A,0),0),0)</f>
        <v>7863.2184191855868</v>
      </c>
      <c r="K845" s="455">
        <f t="shared" ca="1" si="79"/>
        <v>-8781.2053182569925</v>
      </c>
      <c r="L845" s="455">
        <f t="shared" ca="1" si="80"/>
        <v>-2116270.4816999356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-2116270.4816999356</v>
      </c>
      <c r="J846" s="455">
        <f t="array" ref="J846">IFERROR(INDEX('Retirement Calculator'!J:J,MATCH('Isaac 401k'!N846,'Retirement Calculator'!A:A,0),0),0)</f>
        <v>7863.2184191855868</v>
      </c>
      <c r="K846" s="455">
        <f t="shared" ca="1" si="79"/>
        <v>-8850.5570838296699</v>
      </c>
      <c r="L846" s="455">
        <f t="shared" ca="1" si="80"/>
        <v>-2132984.2572029508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-2132984.2572029508</v>
      </c>
      <c r="J847" s="455">
        <f t="array" ref="J847">IFERROR(INDEX('Retirement Calculator'!J:J,MATCH('Isaac 401k'!N847,'Retirement Calculator'!A:A,0),0),0)</f>
        <v>7863.2184191855868</v>
      </c>
      <c r="K847" s="455">
        <f t="shared" ca="1" si="79"/>
        <v>-8920.1978150922332</v>
      </c>
      <c r="L847" s="455">
        <f t="shared" ca="1" si="80"/>
        <v>-2149767.6734372284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-2149767.6734372284</v>
      </c>
      <c r="J848" s="455">
        <f t="array" ref="J848">IFERROR(INDEX('Retirement Calculator'!J:J,MATCH('Isaac 401k'!N848,'Retirement Calculator'!A:A,0),0),0)</f>
        <v>7863.2184191855868</v>
      </c>
      <c r="K848" s="455">
        <f t="shared" ca="1" si="79"/>
        <v>-8990.1287160683914</v>
      </c>
      <c r="L848" s="455">
        <f t="shared" ca="1" si="80"/>
        <v>-2166621.0205724821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-2166621.0205724821</v>
      </c>
      <c r="J849" s="455">
        <f t="array" ref="J849">IFERROR(INDEX('Retirement Calculator'!J:J,MATCH('Isaac 401k'!N849,'Retirement Calculator'!A:A,0),0),0)</f>
        <v>7863.2184191855868</v>
      </c>
      <c r="K849" s="455">
        <f t="shared" ca="1" si="79"/>
        <v>-9060.3509957986153</v>
      </c>
      <c r="L849" s="455">
        <f t="shared" ca="1" si="80"/>
        <v>-2183544.5899874661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-2183544.5899874661</v>
      </c>
      <c r="J850" s="455">
        <f t="array" ref="J850">IFERROR(INDEX('Retirement Calculator'!J:J,MATCH('Isaac 401k'!N850,'Retirement Calculator'!A:A,0),0),0)</f>
        <v>7863.2184191855868</v>
      </c>
      <c r="K850" s="455">
        <f t="shared" ca="1" si="79"/>
        <v>-9130.8658683610483</v>
      </c>
      <c r="L850" s="455">
        <f t="shared" ca="1" si="80"/>
        <v>-2200538.6742750127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-2200538.6742750127</v>
      </c>
      <c r="J851" s="455">
        <f t="array" ref="J851">IFERROR(INDEX('Retirement Calculator'!J:J,MATCH('Isaac 401k'!N851,'Retirement Calculator'!A:A,0),0),0)</f>
        <v>7863.2184191855868</v>
      </c>
      <c r="K851" s="455">
        <f t="shared" ca="1" si="79"/>
        <v>-9201.6745528924912</v>
      </c>
      <c r="L851" s="455">
        <f t="shared" ca="1" si="80"/>
        <v>-2217603.5672470904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-2217603.5672470904</v>
      </c>
      <c r="J852" s="455">
        <f t="array" ref="J852">IFERROR(INDEX('Retirement Calculator'!J:J,MATCH('Isaac 401k'!N852,'Retirement Calculator'!A:A,0),0),0)</f>
        <v>7863.2184191855868</v>
      </c>
      <c r="K852" s="455">
        <f t="shared" ca="1" si="79"/>
        <v>-9272.7782736094814</v>
      </c>
      <c r="L852" s="455">
        <f t="shared" ca="1" si="80"/>
        <v>-2234739.5639398852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-2234739.5639398852</v>
      </c>
      <c r="J853" s="455">
        <f t="array" ref="J853">IFERROR(INDEX('Retirement Calculator'!J:J,MATCH('Isaac 401k'!N853,'Retirement Calculator'!A:A,0),0),0)</f>
        <v>7863.2184191855868</v>
      </c>
      <c r="K853" s="455">
        <f t="shared" ca="1" si="79"/>
        <v>-9344.1782598294612</v>
      </c>
      <c r="L853" s="455">
        <f t="shared" ca="1" si="80"/>
        <v>-2251946.9606189001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-2251946.9606189001</v>
      </c>
      <c r="J854" s="455">
        <f t="array" ref="J854">IFERROR(INDEX('Retirement Calculator'!J:J,MATCH('Isaac 401k'!N854,'Retirement Calculator'!A:A,0),0),0)</f>
        <v>7863.2184191855868</v>
      </c>
      <c r="K854" s="455">
        <f t="shared" ca="1" si="79"/>
        <v>-9415.8757459920234</v>
      </c>
      <c r="L854" s="455">
        <f t="shared" ca="1" si="80"/>
        <v>-2269226.0547840777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-2269226.0547840777</v>
      </c>
      <c r="J855" s="455">
        <f t="array" ref="J855">IFERROR(INDEX('Retirement Calculator'!J:J,MATCH('Isaac 401k'!N855,'Retirement Calculator'!A:A,0),0),0)</f>
        <v>7863.2184191855868</v>
      </c>
      <c r="K855" s="455">
        <f t="shared" ca="1" si="79"/>
        <v>-9487.8719716802625</v>
      </c>
      <c r="L855" s="455">
        <f t="shared" ca="1" si="80"/>
        <v>-2286577.1451749434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-2286577.1451749434</v>
      </c>
      <c r="J856" s="455">
        <f t="array" ref="J856">IFERROR(INDEX('Retirement Calculator'!J:J,MATCH('Isaac 401k'!N856,'Retirement Calculator'!A:A,0),0),0)</f>
        <v>7863.2184191855868</v>
      </c>
      <c r="K856" s="455">
        <f t="shared" ca="1" si="79"/>
        <v>-9560.1681816422024</v>
      </c>
      <c r="L856" s="455">
        <f t="shared" ca="1" si="80"/>
        <v>-2304000.5317757712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-2304000.5317757712</v>
      </c>
      <c r="J857" s="455">
        <f t="array" ref="J857">IFERROR(INDEX('Retirement Calculator'!J:J,MATCH('Isaac 401k'!N857,'Retirement Calculator'!A:A,0),0),0)</f>
        <v>7863.2184191855868</v>
      </c>
      <c r="K857" s="455">
        <f t="shared" ca="1" si="79"/>
        <v>-9632.7656258123188</v>
      </c>
      <c r="L857" s="455">
        <f t="shared" ca="1" si="80"/>
        <v>-2321496.5158207687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-2321496.5158207687</v>
      </c>
      <c r="J858" s="455">
        <f t="array" ref="J858">IFERROR(INDEX('Retirement Calculator'!J:J,MATCH('Isaac 401k'!N858,'Retirement Calculator'!A:A,0),0),0)</f>
        <v>7863.2184191855868</v>
      </c>
      <c r="K858" s="455">
        <f t="shared" ca="1" si="79"/>
        <v>-9705.6655593331416</v>
      </c>
      <c r="L858" s="455">
        <f t="shared" ca="1" si="80"/>
        <v>-2339065.3997992873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-2339065.3997992873</v>
      </c>
      <c r="J859" s="455">
        <f t="array" ref="J859">IFERROR(INDEX('Retirement Calculator'!J:J,MATCH('Isaac 401k'!N859,'Retirement Calculator'!A:A,0),0),0)</f>
        <v>7863.2184191855868</v>
      </c>
      <c r="K859" s="455">
        <f t="shared" ca="1" si="79"/>
        <v>-9778.8692425769696</v>
      </c>
      <c r="L859" s="455">
        <f t="shared" ca="1" si="80"/>
        <v>-2356707.4874610496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-2356707.4874610496</v>
      </c>
      <c r="J860" s="455">
        <f t="array" ref="J860">IFERROR(INDEX('Retirement Calculator'!J:J,MATCH('Isaac 401k'!N860,'Retirement Calculator'!A:A,0),0),0)</f>
        <v>7863.2184191855868</v>
      </c>
      <c r="K860" s="455">
        <f t="shared" ca="1" si="79"/>
        <v>-9852.377941167646</v>
      </c>
      <c r="L860" s="455">
        <f t="shared" ca="1" si="80"/>
        <v>-2374423.0838214024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-2374423.0838214024</v>
      </c>
      <c r="J861" s="455">
        <f t="array" ref="J861">IFERROR(INDEX('Retirement Calculator'!J:J,MATCH('Isaac 401k'!N861,'Retirement Calculator'!A:A,0),0),0)</f>
        <v>7863.2184191855868</v>
      </c>
      <c r="K861" s="455">
        <f t="shared" ca="1" si="79"/>
        <v>-9926.1929260024481</v>
      </c>
      <c r="L861" s="455">
        <f t="shared" ca="1" si="80"/>
        <v>-2392212.4951665904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-2392212.4951665904</v>
      </c>
      <c r="J862" s="455">
        <f t="array" ref="J862">IFERROR(INDEX('Retirement Calculator'!J:J,MATCH('Isaac 401k'!N862,'Retirement Calculator'!A:A,0),0),0)</f>
        <v>7863.2184191855868</v>
      </c>
      <c r="K862" s="455">
        <f t="shared" ca="1" si="79"/>
        <v>-10000.315473274066</v>
      </c>
      <c r="L862" s="455">
        <f t="shared" ca="1" si="80"/>
        <v>-2410076.0290590497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-2410076.0290590497</v>
      </c>
      <c r="J863" s="455">
        <f t="array" ref="J863">IFERROR(INDEX('Retirement Calculator'!J:J,MATCH('Isaac 401k'!N863,'Retirement Calculator'!A:A,0),0),0)</f>
        <v>7863.2184191855868</v>
      </c>
      <c r="K863" s="455">
        <f t="shared" ca="1" si="79"/>
        <v>-10074.746864492647</v>
      </c>
      <c r="L863" s="455">
        <f t="shared" ca="1" si="80"/>
        <v>-2428013.9943427276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-2428013.9943427276</v>
      </c>
      <c r="J864" s="455">
        <f t="array" ref="J864">IFERROR(INDEX('Retirement Calculator'!J:J,MATCH('Isaac 401k'!N864,'Retirement Calculator'!A:A,0),0),0)</f>
        <v>7863.2184191855868</v>
      </c>
      <c r="K864" s="455">
        <f t="shared" ca="1" si="79"/>
        <v>-10149.48838650797</v>
      </c>
      <c r="L864" s="455">
        <f t="shared" ca="1" si="80"/>
        <v>-2446026.701148421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-2446026.701148421</v>
      </c>
      <c r="J865" s="455">
        <f t="array" ref="J865">IFERROR(INDEX('Retirement Calculator'!J:J,MATCH('Isaac 401k'!N865,'Retirement Calculator'!A:A,0),0),0)</f>
        <v>7863.2184191855868</v>
      </c>
      <c r="K865" s="455">
        <f t="shared" ca="1" si="79"/>
        <v>-10224.541331531693</v>
      </c>
      <c r="L865" s="455">
        <f t="shared" ca="1" si="80"/>
        <v>-2464114.4608991379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-2464114.4608991379</v>
      </c>
      <c r="J866" s="455">
        <f t="array" ref="J866">IFERROR(INDEX('Retirement Calculator'!J:J,MATCH('Isaac 401k'!N866,'Retirement Calculator'!A:A,0),0),0)</f>
        <v>7863.2184191855868</v>
      </c>
      <c r="K866" s="455">
        <f t="shared" ca="1" si="79"/>
        <v>-10299.90699715968</v>
      </c>
      <c r="L866" s="455">
        <f t="shared" ca="1" si="80"/>
        <v>-2482277.5863154829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-2482277.5863154829</v>
      </c>
      <c r="J867" s="455">
        <f t="array" ref="J867">IFERROR(INDEX('Retirement Calculator'!J:J,MATCH('Isaac 401k'!N867,'Retirement Calculator'!A:A,0),0),0)</f>
        <v>7863.2184191855868</v>
      </c>
      <c r="K867" s="455">
        <f t="shared" ca="1" si="79"/>
        <v>-10375.58668639445</v>
      </c>
      <c r="L867" s="455">
        <f t="shared" ca="1" si="80"/>
        <v>-2500516.3914210629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-2500516.3914210629</v>
      </c>
      <c r="J868" s="455">
        <f t="array" ref="J868">IFERROR(INDEX('Retirement Calculator'!J:J,MATCH('Isaac 401k'!N868,'Retirement Calculator'!A:A,0),0),0)</f>
        <v>7863.2184191855868</v>
      </c>
      <c r="K868" s="455">
        <f t="shared" ca="1" si="79"/>
        <v>-10451.581707667701</v>
      </c>
      <c r="L868" s="455">
        <f t="shared" ca="1" si="80"/>
        <v>-2518831.1915479158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-2518831.1915479158</v>
      </c>
      <c r="J869" s="455">
        <f t="array" ref="J869">IFERROR(INDEX('Retirement Calculator'!J:J,MATCH('Isaac 401k'!N869,'Retirement Calculator'!A:A,0),0),0)</f>
        <v>7863.2184191855868</v>
      </c>
      <c r="K869" s="455">
        <f t="shared" ca="1" si="79"/>
        <v>-10527.893374862921</v>
      </c>
      <c r="L869" s="455">
        <f t="shared" ca="1" si="80"/>
        <v>-2537222.3033419643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-2537222.3033419643</v>
      </c>
      <c r="J870" s="455">
        <f t="array" ref="J870">IFERROR(INDEX('Retirement Calculator'!J:J,MATCH('Isaac 401k'!N870,'Retirement Calculator'!A:A,0),0),0)</f>
        <v>7863.2184191855868</v>
      </c>
      <c r="K870" s="455">
        <f t="shared" ca="1" si="79"/>
        <v>-10604.523007338123</v>
      </c>
      <c r="L870" s="455">
        <f t="shared" ca="1" si="80"/>
        <v>-2555690.0447684876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-2555690.0447684876</v>
      </c>
      <c r="J871" s="455">
        <f t="array" ref="J871">IFERROR(INDEX('Retirement Calculator'!J:J,MATCH('Isaac 401k'!N871,'Retirement Calculator'!A:A,0),0),0)</f>
        <v>7863.2184191855868</v>
      </c>
      <c r="K871" s="455">
        <f t="shared" ca="1" si="79"/>
        <v>-10681.471929948637</v>
      </c>
      <c r="L871" s="455">
        <f t="shared" ca="1" si="80"/>
        <v>-2574234.7351176217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-2574234.7351176217</v>
      </c>
      <c r="J872" s="455">
        <f t="array" ref="J872">IFERROR(INDEX('Retirement Calculator'!J:J,MATCH('Isaac 401k'!N872,'Retirement Calculator'!A:A,0),0),0)</f>
        <v>7863.2184191855868</v>
      </c>
      <c r="K872" s="455">
        <f t="shared" ca="1" si="79"/>
        <v>-10758.741473070029</v>
      </c>
      <c r="L872" s="455">
        <f t="shared" ca="1" si="80"/>
        <v>-2592856.695009877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-2592856.695009877</v>
      </c>
      <c r="J873" s="455">
        <f t="array" ref="J873">IFERROR(INDEX('Retirement Calculator'!J:J,MATCH('Isaac 401k'!N873,'Retirement Calculator'!A:A,0),0),0)</f>
        <v>7863.2184191855868</v>
      </c>
      <c r="K873" s="455">
        <f t="shared" ca="1" si="79"/>
        <v>-10836.332972621092</v>
      </c>
      <c r="L873" s="455">
        <f t="shared" ca="1" si="80"/>
        <v>-2611556.2464016834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-2611556.2464016834</v>
      </c>
      <c r="J874" s="455">
        <f t="array" ref="J874">IFERROR(INDEX('Retirement Calculator'!J:J,MATCH('Isaac 401k'!N874,'Retirement Calculator'!A:A,0),0),0)</f>
        <v>7863.2184191855868</v>
      </c>
      <c r="K874" s="455">
        <f t="shared" ca="1" si="79"/>
        <v>-10914.247770086953</v>
      </c>
      <c r="L874" s="455">
        <f t="shared" ca="1" si="80"/>
        <v>-2630333.7125909557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-2630333.7125909557</v>
      </c>
      <c r="J875" s="455">
        <f t="array" ref="J875">IFERROR(INDEX('Retirement Calculator'!J:J,MATCH('Isaac 401k'!N875,'Retirement Calculator'!A:A,0),0),0)</f>
        <v>7863.2184191855868</v>
      </c>
      <c r="K875" s="455">
        <f t="shared" ca="1" si="79"/>
        <v>-10992.487212542253</v>
      </c>
      <c r="L875" s="455">
        <f t="shared" ca="1" si="80"/>
        <v>-2649189.4182226835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-2649189.4182226835</v>
      </c>
      <c r="J876" s="455">
        <f t="array" ref="J876">IFERROR(INDEX('Retirement Calculator'!J:J,MATCH('Isaac 401k'!N876,'Retirement Calculator'!A:A,0),0),0)</f>
        <v>7863.2184191855868</v>
      </c>
      <c r="K876" s="455">
        <f t="shared" ca="1" si="79"/>
        <v>-11071.052652674454</v>
      </c>
      <c r="L876" s="455">
        <f t="shared" ca="1" si="80"/>
        <v>-2668123.6892945431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-2668123.6892945431</v>
      </c>
      <c r="J877" s="455">
        <f t="array" ref="J877">IFERROR(INDEX('Retirement Calculator'!J:J,MATCH('Isaac 401k'!N877,'Retirement Calculator'!A:A,0),0),0)</f>
        <v>7863.2184191855868</v>
      </c>
      <c r="K877" s="455">
        <f t="shared" ca="1" si="79"/>
        <v>-11149.945448807202</v>
      </c>
      <c r="L877" s="455">
        <f t="shared" ca="1" si="80"/>
        <v>-2687136.8531625355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-2687136.8531625355</v>
      </c>
      <c r="J878" s="455">
        <f t="array" ref="J878">IFERROR(INDEX('Retirement Calculator'!J:J,MATCH('Isaac 401k'!N878,'Retirement Calculator'!A:A,0),0),0)</f>
        <v>7863.2184191855868</v>
      </c>
      <c r="K878" s="455">
        <f t="shared" ca="1" si="79"/>
        <v>-11229.166964923837</v>
      </c>
      <c r="L878" s="455">
        <f t="shared" ca="1" si="80"/>
        <v>-2706229.2385466448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-2706229.2385466448</v>
      </c>
      <c r="J879" s="455">
        <f t="array" ref="J879">IFERROR(INDEX('Retirement Calculator'!J:J,MATCH('Isaac 401k'!N879,'Retirement Calculator'!A:A,0),0),0)</f>
        <v>7863.2184191855868</v>
      </c>
      <c r="K879" s="455">
        <f t="shared" ca="1" si="79"/>
        <v>-11308.718570690959</v>
      </c>
      <c r="L879" s="455">
        <f t="shared" ca="1" si="80"/>
        <v>-2725401.1755365212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-2725401.1755365212</v>
      </c>
      <c r="J880" s="455">
        <f t="array" ref="J880">IFERROR(INDEX('Retirement Calculator'!J:J,MATCH('Isaac 401k'!N880,'Retirement Calculator'!A:A,0),0),0)</f>
        <v>7863.2184191855868</v>
      </c>
      <c r="K880" s="455">
        <f t="shared" ca="1" si="79"/>
        <v>-11388.601641482112</v>
      </c>
      <c r="L880" s="455">
        <f t="shared" ca="1" si="80"/>
        <v>-2744652.9955971888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-2744652.9955971888</v>
      </c>
      <c r="J881" s="455">
        <f t="array" ref="J881">IFERROR(INDEX('Retirement Calculator'!J:J,MATCH('Isaac 401k'!N881,'Retirement Calculator'!A:A,0),0),0)</f>
        <v>7863.2184191855868</v>
      </c>
      <c r="K881" s="455">
        <f t="shared" ca="1" si="79"/>
        <v>-11468.817558401559</v>
      </c>
      <c r="L881" s="455">
        <f t="shared" ca="1" si="80"/>
        <v>-2763985.0315747759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-2763985.0315747759</v>
      </c>
      <c r="J882" s="455">
        <f t="array" ref="J882">IFERROR(INDEX('Retirement Calculator'!J:J,MATCH('Isaac 401k'!N882,'Retirement Calculator'!A:A,0),0),0)</f>
        <v>7863.2184191855868</v>
      </c>
      <c r="K882" s="455">
        <f t="shared" ca="1" si="79"/>
        <v>-11549.367708308171</v>
      </c>
      <c r="L882" s="455">
        <f t="shared" ca="1" si="80"/>
        <v>-2783397.6177022695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-2783397.6177022695</v>
      </c>
      <c r="J883" s="455">
        <f t="array" ref="J883">IFERROR(INDEX('Retirement Calculator'!J:J,MATCH('Isaac 401k'!N883,'Retirement Calculator'!A:A,0),0),0)</f>
        <v>7863.2184191855868</v>
      </c>
      <c r="K883" s="455">
        <f t="shared" ca="1" si="79"/>
        <v>-11630.253483839395</v>
      </c>
      <c r="L883" s="455">
        <f t="shared" ca="1" si="80"/>
        <v>-2802891.0896052942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-2802891.0896052942</v>
      </c>
      <c r="J884" s="455">
        <f t="array" ref="J884">IFERROR(INDEX('Retirement Calculator'!J:J,MATCH('Isaac 401k'!N884,'Retirement Calculator'!A:A,0),0),0)</f>
        <v>7863.2184191855868</v>
      </c>
      <c r="K884" s="455">
        <f t="shared" ca="1" si="79"/>
        <v>-11711.476283435331</v>
      </c>
      <c r="L884" s="455">
        <f t="shared" ca="1" si="80"/>
        <v>-2822465.7843079148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-2822465.7843079148</v>
      </c>
      <c r="J885" s="455">
        <f t="array" ref="J885">IFERROR(INDEX('Retirement Calculator'!J:J,MATCH('Isaac 401k'!N885,'Retirement Calculator'!A:A,0),0),0)</f>
        <v>7863.2184191855868</v>
      </c>
      <c r="K885" s="455">
        <f t="shared" ca="1" si="79"/>
        <v>-11793.037511362918</v>
      </c>
      <c r="L885" s="455">
        <f t="shared" ca="1" si="80"/>
        <v>-2842122.0402384629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-2842122.0402384629</v>
      </c>
      <c r="J886" s="455">
        <f t="array" ref="J886">IFERROR(INDEX('Retirement Calculator'!J:J,MATCH('Isaac 401k'!N886,'Retirement Calculator'!A:A,0),0),0)</f>
        <v>7863.2184191855868</v>
      </c>
      <c r="K886" s="455">
        <f t="shared" ca="1" si="79"/>
        <v>-11874.9385777402</v>
      </c>
      <c r="L886" s="455">
        <f t="shared" ca="1" si="80"/>
        <v>-2861860.1972353882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-2861860.1972353882</v>
      </c>
      <c r="J887" s="455">
        <f t="array" ref="J887">IFERROR(INDEX('Retirement Calculator'!J:J,MATCH('Isaac 401k'!N887,'Retirement Calculator'!A:A,0),0),0)</f>
        <v>7863.2184191855868</v>
      </c>
      <c r="K887" s="455">
        <f t="shared" ca="1" si="79"/>
        <v>-11957.180898560724</v>
      </c>
      <c r="L887" s="455">
        <f t="shared" ca="1" si="80"/>
        <v>-2881680.5965531343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-2881680.5965531343</v>
      </c>
      <c r="J888" s="455">
        <f t="array" ref="J888">IFERROR(INDEX('Retirement Calculator'!J:J,MATCH('Isaac 401k'!N888,'Retirement Calculator'!A:A,0),0),0)</f>
        <v>7863.2184191855868</v>
      </c>
      <c r="K888" s="455">
        <f t="shared" ca="1" si="79"/>
        <v>-12039.765895717999</v>
      </c>
      <c r="L888" s="455">
        <f t="shared" ca="1" si="80"/>
        <v>-2901583.5808680374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-2901583.5808680374</v>
      </c>
      <c r="J889" s="455">
        <f t="array" ref="J889">IFERROR(INDEX('Retirement Calculator'!J:J,MATCH('Isaac 401k'!N889,'Retirement Calculator'!A:A,0),0),0)</f>
        <v>7863.2184191855868</v>
      </c>
      <c r="K889" s="455">
        <f t="shared" ca="1" si="79"/>
        <v>-12122.694997030096</v>
      </c>
      <c r="L889" s="455">
        <f t="shared" ca="1" si="80"/>
        <v>-2921569.4942842531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-2921569.4942842531</v>
      </c>
      <c r="J890" s="455">
        <f t="array" ref="J890">IFERROR(INDEX('Retirement Calculator'!J:J,MATCH('Isaac 401k'!N890,'Retirement Calculator'!A:A,0),0),0)</f>
        <v>7863.2184191855868</v>
      </c>
      <c r="K890" s="455">
        <f t="shared" ca="1" si="79"/>
        <v>-12205.969636264326</v>
      </c>
      <c r="L890" s="455">
        <f t="shared" ca="1" si="80"/>
        <v>-2941638.6823397027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-2941638.6823397027</v>
      </c>
      <c r="J891" s="455">
        <f t="array" ref="J891">IFERROR(INDEX('Retirement Calculator'!J:J,MATCH('Isaac 401k'!N891,'Retirement Calculator'!A:A,0),0),0)</f>
        <v>7863.2184191855868</v>
      </c>
      <c r="K891" s="455">
        <f t="shared" ca="1" si="79"/>
        <v>-12289.591253162034</v>
      </c>
      <c r="L891" s="455">
        <f t="shared" ca="1" si="80"/>
        <v>-2961791.49201205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-2961791.49201205</v>
      </c>
      <c r="J892" s="455">
        <f t="array" ref="J892">IFERROR(INDEX('Retirement Calculator'!J:J,MATCH('Isaac 401k'!N892,'Retirement Calculator'!A:A,0),0),0)</f>
        <v>7863.2184191855868</v>
      </c>
      <c r="K892" s="455">
        <f t="shared" ca="1" si="79"/>
        <v>-12373.561293463481</v>
      </c>
      <c r="L892" s="455">
        <f t="shared" ca="1" si="80"/>
        <v>-2982028.2717246991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-2982028.2717246991</v>
      </c>
      <c r="J893" s="455">
        <f t="array" ref="J893">IFERROR(INDEX('Retirement Calculator'!J:J,MATCH('Isaac 401k'!N893,'Retirement Calculator'!A:A,0),0),0)</f>
        <v>7863.2184191855868</v>
      </c>
      <c r="K893" s="455">
        <f t="shared" ca="1" si="79"/>
        <v>-12457.881208932851</v>
      </c>
      <c r="L893" s="455">
        <f t="shared" ca="1" si="80"/>
        <v>-3002349.3713528174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-3002349.3713528174</v>
      </c>
      <c r="J894" s="455">
        <f t="array" ref="J894">IFERROR(INDEX('Retirement Calculator'!J:J,MATCH('Isaac 401k'!N894,'Retirement Calculator'!A:A,0),0),0)</f>
        <v>7863.2184191855868</v>
      </c>
      <c r="K894" s="455">
        <f t="shared" ca="1" si="79"/>
        <v>-12542.552457383345</v>
      </c>
      <c r="L894" s="455">
        <f t="shared" ca="1" si="80"/>
        <v>-3022755.1422293861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-3022755.1422293861</v>
      </c>
      <c r="J895" s="455">
        <f t="array" ref="J895">IFERROR(INDEX('Retirement Calculator'!J:J,MATCH('Isaac 401k'!N895,'Retirement Calculator'!A:A,0),0),0)</f>
        <v>7863.2184191855868</v>
      </c>
      <c r="K895" s="455">
        <f t="shared" ca="1" si="79"/>
        <v>-12627.576502702381</v>
      </c>
      <c r="L895" s="455">
        <f t="shared" ca="1" si="80"/>
        <v>-3043245.9371512737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-3043245.9371512737</v>
      </c>
      <c r="J896" s="455">
        <f t="array" ref="J896">IFERROR(INDEX('Retirement Calculator'!J:J,MATCH('Isaac 401k'!N896,'Retirement Calculator'!A:A,0),0),0)</f>
        <v>7863.2184191855868</v>
      </c>
      <c r="K896" s="455">
        <f t="shared" ca="1" si="79"/>
        <v>-12712.954814876914</v>
      </c>
      <c r="L896" s="455">
        <f t="shared" ca="1" si="80"/>
        <v>-3063822.110385336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-3063822.110385336</v>
      </c>
      <c r="J897" s="455">
        <f t="array" ref="J897">IFERROR(INDEX('Retirement Calculator'!J:J,MATCH('Isaac 401k'!N897,'Retirement Calculator'!A:A,0),0),0)</f>
        <v>7863.2184191855868</v>
      </c>
      <c r="K897" s="455">
        <f t="shared" ca="1" si="79"/>
        <v>-12798.688870018839</v>
      </c>
      <c r="L897" s="455">
        <f t="shared" ca="1" si="80"/>
        <v>-3084484.0176745402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-3084484.0176745402</v>
      </c>
      <c r="J898" s="455">
        <f t="array" ref="J898">IFERROR(INDEX('Retirement Calculator'!J:J,MATCH('Isaac 401k'!N898,'Retirement Calculator'!A:A,0),0),0)</f>
        <v>7863.2184191855868</v>
      </c>
      <c r="K898" s="455">
        <f t="shared" ca="1" si="79"/>
        <v>-12884.780150390523</v>
      </c>
      <c r="L898" s="455">
        <f t="shared" ca="1" si="80"/>
        <v>-3105232.0162441162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-3105232.0162441162</v>
      </c>
      <c r="J899" s="455">
        <f t="array" ref="J899">IFERROR(INDEX('Retirement Calculator'!J:J,MATCH('Isaac 401k'!N899,'Retirement Calculator'!A:A,0),0),0)</f>
        <v>7863.2184191855868</v>
      </c>
      <c r="K899" s="455">
        <f t="shared" ca="1" si="79"/>
        <v>-12971.230144430423</v>
      </c>
      <c r="L899" s="455">
        <f t="shared" ca="1" si="80"/>
        <v>-3126066.464807732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-3126066.464807732</v>
      </c>
      <c r="J900" s="455">
        <f t="array" ref="J900">IFERROR(INDEX('Retirement Calculator'!J:J,MATCH('Isaac 401k'!N900,'Retirement Calculator'!A:A,0),0),0)</f>
        <v>7863.2184191855868</v>
      </c>
      <c r="K900" s="455">
        <f t="shared" ca="1" si="79"/>
        <v>-13058.040346778822</v>
      </c>
      <c r="L900" s="455">
        <f t="shared" ca="1" si="80"/>
        <v>-3146987.7235736963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-3146987.7235736963</v>
      </c>
      <c r="J901" s="455">
        <f t="array" ref="J901">IFERROR(INDEX('Retirement Calculator'!J:J,MATCH('Isaac 401k'!N901,'Retirement Calculator'!A:A,0),0),0)</f>
        <v>7863.2184191855868</v>
      </c>
      <c r="K901" s="455">
        <f t="shared" ca="1" si="79"/>
        <v>-13145.212258303674</v>
      </c>
      <c r="L901" s="455">
        <f t="shared" ca="1" si="80"/>
        <v>-3167996.1542511852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-3167996.1542511852</v>
      </c>
      <c r="J902" s="455">
        <f t="array" ref="J902">IFERROR(INDEX('Retirement Calculator'!J:J,MATCH('Isaac 401k'!N902,'Retirement Calculator'!A:A,0),0),0)</f>
        <v>7863.2184191855868</v>
      </c>
      <c r="K902" s="455">
        <f t="shared" ca="1" si="79"/>
        <v>-13232.747386126544</v>
      </c>
      <c r="L902" s="455">
        <f t="shared" ca="1" si="80"/>
        <v>-3189092.1200564969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-3189092.1200564969</v>
      </c>
      <c r="J903" s="455">
        <f t="array" ref="J903">IFERROR(INDEX('Retirement Calculator'!J:J,MATCH('Isaac 401k'!N903,'Retirement Calculator'!A:A,0),0),0)</f>
        <v>7863.2184191855868</v>
      </c>
      <c r="K903" s="455">
        <f t="shared" ca="1" si="79"/>
        <v>-13320.647243648677</v>
      </c>
      <c r="L903" s="455">
        <f t="shared" ca="1" si="80"/>
        <v>-3210275.9857193311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-3210275.9857193311</v>
      </c>
      <c r="J904" s="455">
        <f t="array" ref="J904">IFERROR(INDEX('Retirement Calculator'!J:J,MATCH('Isaac 401k'!N904,'Retirement Calculator'!A:A,0),0),0)</f>
        <v>7863.2184191855868</v>
      </c>
      <c r="K904" s="455">
        <f t="shared" ca="1" si="79"/>
        <v>-13408.913350577152</v>
      </c>
      <c r="L904" s="455">
        <f t="shared" ca="1" si="80"/>
        <v>-3231548.1174890934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-3231548.1174890934</v>
      </c>
      <c r="J905" s="455">
        <f t="array" ref="J905">IFERROR(INDEX('Retirement Calculator'!J:J,MATCH('Isaac 401k'!N905,'Retirement Calculator'!A:A,0),0),0)</f>
        <v>7863.2184191855868</v>
      </c>
      <c r="K905" s="455">
        <f t="shared" ca="1" si="79"/>
        <v>-13497.547232951161</v>
      </c>
      <c r="L905" s="455">
        <f t="shared" ca="1" si="80"/>
        <v>-3252908.8831412299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-3252908.8831412299</v>
      </c>
      <c r="J906" s="455">
        <f t="array" ref="J906">IFERROR(INDEX('Retirement Calculator'!J:J,MATCH('Isaac 401k'!N906,'Retirement Calculator'!A:A,0),0),0)</f>
        <v>7863.2184191855868</v>
      </c>
      <c r="K906" s="455">
        <f t="shared" ca="1" si="79"/>
        <v>-13586.550423168397</v>
      </c>
      <c r="L906" s="455">
        <f t="shared" ca="1" si="80"/>
        <v>-3274358.6519835838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-3274358.6519835838</v>
      </c>
      <c r="J907" s="455">
        <f t="array" ref="J907">IFERROR(INDEX('Retirement Calculator'!J:J,MATCH('Isaac 401k'!N907,'Retirement Calculator'!A:A,0),0),0)</f>
        <v>7863.2184191855868</v>
      </c>
      <c r="K907" s="455">
        <f t="shared" ca="1" si="79"/>
        <v>-13675.924460011538</v>
      </c>
      <c r="L907" s="455">
        <f t="shared" ca="1" si="80"/>
        <v>-3295897.7948627807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-3295897.7948627807</v>
      </c>
      <c r="J908" s="455">
        <f t="array" ref="J908">IFERROR(INDEX('Retirement Calculator'!J:J,MATCH('Isaac 401k'!N908,'Retirement Calculator'!A:A,0),0),0)</f>
        <v>7863.2184191855868</v>
      </c>
      <c r="K908" s="455">
        <f t="shared" ca="1" si="79"/>
        <v>-13765.670888674858</v>
      </c>
      <c r="L908" s="455">
        <f t="shared" ca="1" si="80"/>
        <v>-3317526.684170641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-3317526.684170641</v>
      </c>
      <c r="J909" s="455">
        <f t="array" ref="J909">IFERROR(INDEX('Retirement Calculator'!J:J,MATCH('Isaac 401k'!N909,'Retirement Calculator'!A:A,0),0),0)</f>
        <v>7863.2184191855868</v>
      </c>
      <c r="K909" s="455">
        <f t="shared" ca="1" si="79"/>
        <v>-13855.791260790946</v>
      </c>
      <c r="L909" s="455">
        <f t="shared" ca="1" si="80"/>
        <v>-3339245.6938506174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-3339245.6938506174</v>
      </c>
      <c r="J910" s="455">
        <f t="array" ref="J910">IFERROR(INDEX('Retirement Calculator'!J:J,MATCH('Isaac 401k'!N910,'Retirement Calculator'!A:A,0),0),0)</f>
        <v>7863.2184191855868</v>
      </c>
      <c r="K910" s="455">
        <f t="shared" ca="1" si="79"/>
        <v>-13946.287134457511</v>
      </c>
      <c r="L910" s="455">
        <f t="shared" ca="1" si="80"/>
        <v>-3361055.1994042601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-3361055.1994042601</v>
      </c>
      <c r="J911" s="455">
        <f t="array" ref="J911">IFERROR(INDEX('Retirement Calculator'!J:J,MATCH('Isaac 401k'!N911,'Retirement Calculator'!A:A,0),0),0)</f>
        <v>7863.2184191855868</v>
      </c>
      <c r="K911" s="455">
        <f t="shared" ca="1" si="79"/>
        <v>-14037.160074264359</v>
      </c>
      <c r="L911" s="455">
        <f t="shared" ca="1" si="80"/>
        <v>-3382955.5778977098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-3382955.5778977098</v>
      </c>
      <c r="J912" s="455">
        <f t="array" ref="J912">IFERROR(INDEX('Retirement Calculator'!J:J,MATCH('Isaac 401k'!N912,'Retirement Calculator'!A:A,0),0),0)</f>
        <v>7863.2184191855868</v>
      </c>
      <c r="K912" s="455">
        <f t="shared" ca="1" si="79"/>
        <v>-14128.411651320397</v>
      </c>
      <c r="L912" s="455">
        <f t="shared" ca="1" si="80"/>
        <v>-3404947.2079682155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-3404947.2079682155</v>
      </c>
      <c r="J913" s="455">
        <f t="array" ref="J913">IFERROR(INDEX('Retirement Calculator'!J:J,MATCH('Isaac 401k'!N913,'Retirement Calculator'!A:A,0),0),0)</f>
        <v>7863.2184191855868</v>
      </c>
      <c r="K913" s="455">
        <f t="shared" ca="1" si="79"/>
        <v>-14220.043443280834</v>
      </c>
      <c r="L913" s="455">
        <f t="shared" ca="1" si="80"/>
        <v>-3427030.4698306816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-3427030.4698306816</v>
      </c>
      <c r="J914" s="455">
        <f t="array" ref="J914">IFERROR(INDEX('Retirement Calculator'!J:J,MATCH('Isaac 401k'!N914,'Retirement Calculator'!A:A,0),0),0)</f>
        <v>7863.2184191855868</v>
      </c>
      <c r="K914" s="455">
        <f t="shared" ca="1" si="79"/>
        <v>-14312.057034374446</v>
      </c>
      <c r="L914" s="455">
        <f t="shared" ca="1" si="80"/>
        <v>-3449205.7452842412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-3449205.7452842412</v>
      </c>
      <c r="J915" s="455">
        <f t="array" ref="J915">IFERROR(INDEX('Retirement Calculator'!J:J,MATCH('Isaac 401k'!N915,'Retirement Calculator'!A:A,0),0),0)</f>
        <v>7863.2184191855868</v>
      </c>
      <c r="K915" s="455">
        <f t="shared" ca="1" si="79"/>
        <v>-14404.454015430942</v>
      </c>
      <c r="L915" s="455">
        <f t="shared" ca="1" si="80"/>
        <v>-3471473.4177188575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-3471473.4177188575</v>
      </c>
      <c r="J916" s="455">
        <f t="array" ref="J916">IFERROR(INDEX('Retirement Calculator'!J:J,MATCH('Isaac 401k'!N916,'Retirement Calculator'!A:A,0),0),0)</f>
        <v>7863.2184191855868</v>
      </c>
      <c r="K916" s="455">
        <f t="shared" ca="1" si="79"/>
        <v>-14497.235983908511</v>
      </c>
      <c r="L916" s="455">
        <f t="shared" ca="1" si="80"/>
        <v>-3493833.8721219515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-3493833.8721219515</v>
      </c>
      <c r="J917" s="455">
        <f t="array" ref="J917">IFERROR(INDEX('Retirement Calculator'!J:J,MATCH('Isaac 401k'!N917,'Retirement Calculator'!A:A,0),0),0)</f>
        <v>7863.2184191855868</v>
      </c>
      <c r="K917" s="455">
        <f t="shared" ca="1" si="79"/>
        <v>-14590.404543921404</v>
      </c>
      <c r="L917" s="455">
        <f t="shared" ca="1" si="80"/>
        <v>-3516287.4950850583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-3516287.4950850583</v>
      </c>
      <c r="J918" s="455">
        <f t="array" ref="J918">IFERROR(INDEX('Retirement Calculator'!J:J,MATCH('Isaac 401k'!N918,'Retirement Calculator'!A:A,0),0),0)</f>
        <v>7863.2184191855868</v>
      </c>
      <c r="K918" s="455">
        <f t="shared" ca="1" si="79"/>
        <v>-14683.961306267682</v>
      </c>
      <c r="L918" s="455">
        <f t="shared" ca="1" si="80"/>
        <v>-3538834.6748105115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-3538834.6748105115</v>
      </c>
      <c r="J919" s="455">
        <f t="array" ref="J919">IFERROR(INDEX('Retirement Calculator'!J:J,MATCH('Isaac 401k'!N919,'Retirement Calculator'!A:A,0),0),0)</f>
        <v>7863.2184191855868</v>
      </c>
      <c r="K919" s="455">
        <f t="shared" ca="1" si="79"/>
        <v>-14777.907888457072</v>
      </c>
      <c r="L919" s="455">
        <f t="shared" ca="1" si="80"/>
        <v>-3561475.8011181541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-3561475.8011181541</v>
      </c>
      <c r="J920" s="455">
        <f t="array" ref="J920">IFERROR(INDEX('Retirement Calculator'!J:J,MATCH('Isaac 401k'!N920,'Retirement Calculator'!A:A,0),0),0)</f>
        <v>7863.2184191855868</v>
      </c>
      <c r="K920" s="455">
        <f t="shared" ca="1" si="79"/>
        <v>-14872.245914738915</v>
      </c>
      <c r="L920" s="455">
        <f t="shared" ca="1" si="80"/>
        <v>-3584211.2654520785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-3584211.2654520785</v>
      </c>
      <c r="J921" s="455">
        <f t="array" ref="J921">IFERROR(INDEX('Retirement Calculator'!J:J,MATCH('Isaac 401k'!N921,'Retirement Calculator'!A:A,0),0),0)</f>
        <v>7863.2184191855868</v>
      </c>
      <c r="K921" s="455">
        <f t="shared" ca="1" si="79"/>
        <v>-14966.977016130266</v>
      </c>
      <c r="L921" s="455">
        <f t="shared" ca="1" si="80"/>
        <v>-3607041.4608873944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-3607041.4608873944</v>
      </c>
      <c r="J922" s="455">
        <f t="array" ref="J922">IFERROR(INDEX('Retirement Calculator'!J:J,MATCH('Isaac 401k'!N922,'Retirement Calculator'!A:A,0),0),0)</f>
        <v>7863.2184191855868</v>
      </c>
      <c r="K922" s="455">
        <f t="shared" ca="1" si="79"/>
        <v>-15062.102830444082</v>
      </c>
      <c r="L922" s="455">
        <f t="shared" ca="1" si="80"/>
        <v>-3629966.7821370238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-3629966.7821370238</v>
      </c>
      <c r="J923" s="455">
        <f t="array" ref="J923">IFERROR(INDEX('Retirement Calculator'!J:J,MATCH('Isaac 401k'!N923,'Retirement Calculator'!A:A,0),0),0)</f>
        <v>7863.2184191855868</v>
      </c>
      <c r="K923" s="455">
        <f t="shared" ca="1" si="79"/>
        <v>-15157.625002317538</v>
      </c>
      <c r="L923" s="455">
        <f t="shared" ca="1" si="80"/>
        <v>-3652987.6255585267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-3652987.6255585267</v>
      </c>
      <c r="J924" s="455">
        <f t="array" ref="J924">IFERROR(INDEX('Retirement Calculator'!J:J,MATCH('Isaac 401k'!N924,'Retirement Calculator'!A:A,0),0),0)</f>
        <v>7863.2184191855868</v>
      </c>
      <c r="K924" s="455">
        <f t="shared" ca="1" si="79"/>
        <v>-15253.545183240467</v>
      </c>
      <c r="L924" s="455">
        <f t="shared" ca="1" si="80"/>
        <v>-3676104.3891609525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-3676104.3891609525</v>
      </c>
      <c r="J925" s="455">
        <f t="array" ref="J925">IFERROR(INDEX('Retirement Calculator'!J:J,MATCH('Isaac 401k'!N925,'Retirement Calculator'!A:A,0),0),0)</f>
        <v>7863.2184191855868</v>
      </c>
      <c r="K925" s="455">
        <f t="shared" ca="1" si="79"/>
        <v>-15349.865031583906</v>
      </c>
      <c r="L925" s="455">
        <f t="shared" ca="1" si="80"/>
        <v>-3699317.4726117216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-3699317.4726117216</v>
      </c>
      <c r="J926" s="455">
        <f t="array" ref="J926">IFERROR(INDEX('Retirement Calculator'!J:J,MATCH('Isaac 401k'!N926,'Retirement Calculator'!A:A,0),0),0)</f>
        <v>7863.2184191855868</v>
      </c>
      <c r="K926" s="455">
        <f t="shared" ca="1" si="79"/>
        <v>-15446.586212628779</v>
      </c>
      <c r="L926" s="455">
        <f t="shared" ca="1" si="80"/>
        <v>-3722627.277243536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-3722627.277243536</v>
      </c>
      <c r="J927" s="455">
        <f t="array" ref="J927">IFERROR(INDEX('Retirement Calculator'!J:J,MATCH('Isaac 401k'!N927,'Retirement Calculator'!A:A,0),0),0)</f>
        <v>7863.2184191855868</v>
      </c>
      <c r="K927" s="455">
        <f t="shared" ca="1" si="79"/>
        <v>-15543.710398594672</v>
      </c>
      <c r="L927" s="455">
        <f t="shared" ca="1" si="80"/>
        <v>-3746034.2060613162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-3746034.2060613162</v>
      </c>
      <c r="J928" s="455">
        <f t="array" ref="J928">IFERROR(INDEX('Retirement Calculator'!J:J,MATCH('Isaac 401k'!N928,'Retirement Calculator'!A:A,0),0),0)</f>
        <v>7863.2184191855868</v>
      </c>
      <c r="K928" s="455">
        <f t="shared" ca="1" si="79"/>
        <v>-15641.239268668756</v>
      </c>
      <c r="L928" s="455">
        <f t="shared" ca="1" si="80"/>
        <v>-3769538.6637491705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-3769538.6637491705</v>
      </c>
      <c r="J929" s="455">
        <f t="array" ref="J929">IFERROR(INDEX('Retirement Calculator'!J:J,MATCH('Isaac 401k'!N929,'Retirement Calculator'!A:A,0),0),0)</f>
        <v>7863.2184191855868</v>
      </c>
      <c r="K929" s="455">
        <f t="shared" ca="1" si="79"/>
        <v>-15739.174509034816</v>
      </c>
      <c r="L929" s="455">
        <f t="shared" ca="1" si="80"/>
        <v>-3793141.0566773908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-3793141.0566773908</v>
      </c>
      <c r="J930" s="455">
        <f t="array" ref="J930">IFERROR(INDEX('Retirement Calculator'!J:J,MATCH('Isaac 401k'!N930,'Retirement Calculator'!A:A,0),0),0)</f>
        <v>7863.2184191855868</v>
      </c>
      <c r="K930" s="455">
        <f t="shared" ca="1" si="79"/>
        <v>-15837.517812902401</v>
      </c>
      <c r="L930" s="455">
        <f t="shared" ca="1" si="80"/>
        <v>-3816841.7929094788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-3816841.7929094788</v>
      </c>
      <c r="J931" s="455">
        <f t="array" ref="J931">IFERROR(INDEX('Retirement Calculator'!J:J,MATCH('Isaac 401k'!N931,'Retirement Calculator'!A:A,0),0),0)</f>
        <v>7863.2184191855868</v>
      </c>
      <c r="K931" s="455">
        <f t="shared" ca="1" si="79"/>
        <v>-15936.270880536098</v>
      </c>
      <c r="L931" s="455">
        <f t="shared" ca="1" si="80"/>
        <v>-3840641.2822092003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-3840641.2822092003</v>
      </c>
      <c r="J932" s="455">
        <f t="array" ref="J932">IFERROR(INDEX('Retirement Calculator'!J:J,MATCH('Isaac 401k'!N932,'Retirement Calculator'!A:A,0),0),0)</f>
        <v>7863.2184191855868</v>
      </c>
      <c r="K932" s="455">
        <f t="shared" ca="1" si="79"/>
        <v>-16035.435419284941</v>
      </c>
      <c r="L932" s="455">
        <f t="shared" ca="1" si="80"/>
        <v>-3864539.9360476704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-3864539.9360476704</v>
      </c>
      <c r="J933" s="455">
        <f t="array" ref="J933">IFERROR(INDEX('Retirement Calculator'!J:J,MATCH('Isaac 401k'!N933,'Retirement Calculator'!A:A,0),0),0)</f>
        <v>7863.2184191855868</v>
      </c>
      <c r="K933" s="455">
        <f t="shared" ca="1" si="79"/>
        <v>-16135.013143611899</v>
      </c>
      <c r="L933" s="455">
        <f t="shared" ca="1" si="80"/>
        <v>-3888538.1676104679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-3888538.1676104679</v>
      </c>
      <c r="J934" s="455">
        <f t="array" ref="J934">IFERROR(INDEX('Retirement Calculator'!J:J,MATCH('Isaac 401k'!N934,'Retirement Calculator'!A:A,0),0),0)</f>
        <v>7863.2184191855868</v>
      </c>
      <c r="K934" s="455">
        <f t="shared" ca="1" si="79"/>
        <v>-16235.005775123554</v>
      </c>
      <c r="L934" s="455">
        <f t="shared" ca="1" si="80"/>
        <v>-3912636.3918047766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-3912636.3918047766</v>
      </c>
      <c r="J935" s="455">
        <f t="array" ref="J935">IFERROR(INDEX('Retirement Calculator'!J:J,MATCH('Isaac 401k'!N935,'Retirement Calculator'!A:A,0),0),0)</f>
        <v>7863.2184191855868</v>
      </c>
      <c r="K935" s="455">
        <f t="shared" ca="1" si="79"/>
        <v>-16335.415042599841</v>
      </c>
      <c r="L935" s="455">
        <f t="shared" ca="1" si="80"/>
        <v>-3936835.0252665617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-3936835.0252665617</v>
      </c>
      <c r="J936" s="455">
        <f t="array" ref="J936">IFERROR(INDEX('Retirement Calculator'!J:J,MATCH('Isaac 401k'!N936,'Retirement Calculator'!A:A,0),0),0)</f>
        <v>7863.2184191855868</v>
      </c>
      <c r="K936" s="455">
        <f t="shared" ca="1" si="79"/>
        <v>-16436.242682023945</v>
      </c>
      <c r="L936" s="455">
        <f t="shared" ca="1" si="80"/>
        <v>-3961134.4863677709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-3961134.4863677709</v>
      </c>
      <c r="J937" s="455">
        <f t="array" ref="J937">IFERROR(INDEX('Retirement Calculator'!J:J,MATCH('Isaac 401k'!N937,'Retirement Calculator'!A:A,0),0),0)</f>
        <v>7863.2184191855868</v>
      </c>
      <c r="K937" s="455">
        <f t="shared" ca="1" si="79"/>
        <v>-16537.490436612316</v>
      </c>
      <c r="L937" s="455">
        <f t="shared" ca="1" si="80"/>
        <v>-3985535.1952235685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-3985535.1952235685</v>
      </c>
      <c r="J938" s="455">
        <f t="array" ref="J938">IFERROR(INDEX('Retirement Calculator'!J:J,MATCH('Isaac 401k'!N938,'Retirement Calculator'!A:A,0),0),0)</f>
        <v>7863.2184191855868</v>
      </c>
      <c r="K938" s="455">
        <f t="shared" ca="1" si="79"/>
        <v>-16639.160056844808</v>
      </c>
      <c r="L938" s="455">
        <f t="shared" ca="1" si="80"/>
        <v>-4010037.5736995987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-4010037.5736995987</v>
      </c>
      <c r="J939" s="455">
        <f t="array" ref="J939">IFERROR(INDEX('Retirement Calculator'!J:J,MATCH('Isaac 401k'!N939,'Retirement Calculator'!A:A,0),0),0)</f>
        <v>7863.2184191855868</v>
      </c>
      <c r="K939" s="455">
        <f t="shared" ca="1" si="79"/>
        <v>-16741.253300494933</v>
      </c>
      <c r="L939" s="455">
        <f t="shared" ca="1" si="80"/>
        <v>-4034642.045419279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-4034642.045419279</v>
      </c>
      <c r="J940" s="455">
        <f t="array" ref="J940">IFERROR(INDEX('Retirement Calculator'!J:J,MATCH('Isaac 401k'!N940,'Retirement Calculator'!A:A,0),0),0)</f>
        <v>7863.2184191855868</v>
      </c>
      <c r="K940" s="455">
        <f t="shared" ca="1" si="79"/>
        <v>-16843.771932660267</v>
      </c>
      <c r="L940" s="455">
        <f t="shared" ca="1" si="80"/>
        <v>-4059349.0357711245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-4059349.0357711245</v>
      </c>
      <c r="J941" s="455">
        <f t="array" ref="J941">IFERROR(INDEX('Retirement Calculator'!J:J,MATCH('Isaac 401k'!N941,'Retirement Calculator'!A:A,0),0),0)</f>
        <v>7863.2184191855868</v>
      </c>
      <c r="K941" s="455">
        <f t="shared" ca="1" si="79"/>
        <v>-16946.717725792958</v>
      </c>
      <c r="L941" s="455">
        <f t="shared" ca="1" si="80"/>
        <v>-4084158.9719161028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-4084158.9719161028</v>
      </c>
      <c r="J942" s="455">
        <f t="array" ref="J942">IFERROR(INDEX('Retirement Calculator'!J:J,MATCH('Isaac 401k'!N942,'Retirement Calculator'!A:A,0),0),0)</f>
        <v>7863.2184191855868</v>
      </c>
      <c r="K942" s="455">
        <f t="shared" ca="1" si="79"/>
        <v>-17050.092459730367</v>
      </c>
      <c r="L942" s="455">
        <f t="shared" ca="1" si="80"/>
        <v>-4109072.2827950185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-4109072.2827950185</v>
      </c>
      <c r="J943" s="455">
        <f t="array" ref="J943">IFERROR(INDEX('Retirement Calculator'!J:J,MATCH('Isaac 401k'!N943,'Retirement Calculator'!A:A,0),0),0)</f>
        <v>7863.2184191855868</v>
      </c>
      <c r="K943" s="455">
        <f t="shared" ca="1" si="79"/>
        <v>-17153.897921725849</v>
      </c>
      <c r="L943" s="455">
        <f t="shared" ca="1" si="80"/>
        <v>-4134089.3991359295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-4134089.3991359295</v>
      </c>
      <c r="J944" s="455">
        <f t="array" ref="J944">IFERROR(INDEX('Retirement Calculator'!J:J,MATCH('Isaac 401k'!N944,'Retirement Calculator'!A:A,0),0),0)</f>
        <v>7863.2184191855868</v>
      </c>
      <c r="K944" s="455">
        <f t="shared" ca="1" si="79"/>
        <v>-17258.135906479645</v>
      </c>
      <c r="L944" s="455">
        <f t="shared" ca="1" si="80"/>
        <v>-4159210.7534615947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-4159210.7534615947</v>
      </c>
      <c r="J945" s="455">
        <f t="array" ref="J945">IFERROR(INDEX('Retirement Calculator'!J:J,MATCH('Isaac 401k'!N945,'Retirement Calculator'!A:A,0),0),0)</f>
        <v>7863.2184191855868</v>
      </c>
      <c r="K945" s="455">
        <f t="shared" ca="1" si="79"/>
        <v>-17362.80821616992</v>
      </c>
      <c r="L945" s="455">
        <f t="shared" ca="1" si="80"/>
        <v>-4184436.78009695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-4184436.78009695</v>
      </c>
      <c r="J946" s="455">
        <f t="array" ref="J946">IFERROR(INDEX('Retirement Calculator'!J:J,MATCH('Isaac 401k'!N946,'Retirement Calculator'!A:A,0),0),0)</f>
        <v>7863.2184191855868</v>
      </c>
      <c r="K946" s="455">
        <f t="shared" ca="1" si="79"/>
        <v>-17467.916660483897</v>
      </c>
      <c r="L946" s="455">
        <f t="shared" ca="1" si="80"/>
        <v>-4209767.9151766188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-4209767.9151766188</v>
      </c>
      <c r="J947" s="455">
        <f t="array" ref="J947">IFERROR(INDEX('Retirement Calculator'!J:J,MATCH('Isaac 401k'!N947,'Retirement Calculator'!A:A,0),0),0)</f>
        <v>7863.2184191855868</v>
      </c>
      <c r="K947" s="455">
        <f t="shared" ca="1" si="79"/>
        <v>-17573.463056649187</v>
      </c>
      <c r="L947" s="455">
        <f t="shared" ca="1" si="80"/>
        <v>-4235204.5966524538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-4235204.5966524538</v>
      </c>
      <c r="J948" s="455">
        <f t="array" ref="J948">IFERROR(INDEX('Retirement Calculator'!J:J,MATCH('Isaac 401k'!N948,'Retirement Calculator'!A:A,0),0),0)</f>
        <v>7863.2184191855868</v>
      </c>
      <c r="K948" s="455">
        <f t="shared" ca="1" si="79"/>
        <v>-17679.449229465165</v>
      </c>
      <c r="L948" s="455">
        <f t="shared" ca="1" si="80"/>
        <v>-4260747.2643011045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-4260747.2643011045</v>
      </c>
      <c r="J949" s="455">
        <f t="array" ref="J949">IFERROR(INDEX('Retirement Calculator'!J:J,MATCH('Isaac 401k'!N949,'Retirement Calculator'!A:A,0),0),0)</f>
        <v>7863.2184191855868</v>
      </c>
      <c r="K949" s="455">
        <f t="shared" ca="1" si="79"/>
        <v>-17785.877011334542</v>
      </c>
      <c r="L949" s="455">
        <f t="shared" ca="1" si="80"/>
        <v>-4286396.3597316248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-4286396.3597316248</v>
      </c>
      <c r="J950" s="455">
        <f t="array" ref="J950">IFERROR(INDEX('Retirement Calculator'!J:J,MATCH('Isaac 401k'!N950,'Retirement Calculator'!A:A,0),0),0)</f>
        <v>7863.2184191855868</v>
      </c>
      <c r="K950" s="455">
        <f t="shared" ca="1" si="79"/>
        <v>-17892.748242295045</v>
      </c>
      <c r="L950" s="455">
        <f t="shared" ca="1" si="80"/>
        <v>-4312152.326393106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-4312152.326393106</v>
      </c>
      <c r="J951" s="455">
        <f t="array" ref="J951">IFERROR(INDEX('Retirement Calculator'!J:J,MATCH('Isaac 401k'!N951,'Retirement Calculator'!A:A,0),0),0)</f>
        <v>7863.2184191855868</v>
      </c>
      <c r="K951" s="455">
        <f t="shared" ca="1" si="79"/>
        <v>-18000.064770051216</v>
      </c>
      <c r="L951" s="455">
        <f t="shared" ca="1" si="80"/>
        <v>-4338015.6095823431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-4338015.6095823431</v>
      </c>
      <c r="J952" s="455">
        <f t="array" ref="J952">IFERROR(INDEX('Retirement Calculator'!J:J,MATCH('Isaac 401k'!N952,'Retirement Calculator'!A:A,0),0),0)</f>
        <v>7863.2184191855868</v>
      </c>
      <c r="K952" s="455">
        <f t="shared" ca="1" si="79"/>
        <v>-18107.828450006371</v>
      </c>
      <c r="L952" s="455">
        <f t="shared" ca="1" si="80"/>
        <v>-4363986.6564515354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-4363986.6564515354</v>
      </c>
      <c r="J953" s="455">
        <f t="array" ref="J953">IFERROR(INDEX('Retirement Calculator'!J:J,MATCH('Isaac 401k'!N953,'Retirement Calculator'!A:A,0),0),0)</f>
        <v>7863.2184191855868</v>
      </c>
      <c r="K953" s="455">
        <f t="shared" ca="1" si="79"/>
        <v>-18216.041145294672</v>
      </c>
      <c r="L953" s="455">
        <f t="shared" ca="1" si="80"/>
        <v>-4390065.9160160162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-4390065.9160160162</v>
      </c>
      <c r="J954" s="455">
        <f t="array" ref="J954">IFERROR(INDEX('Retirement Calculator'!J:J,MATCH('Isaac 401k'!N954,'Retirement Calculator'!A:A,0),0),0)</f>
        <v>7863.2184191855868</v>
      </c>
      <c r="K954" s="455">
        <f t="shared" ca="1" si="79"/>
        <v>-18324.704726813343</v>
      </c>
      <c r="L954" s="455">
        <f t="shared" ca="1" si="80"/>
        <v>-4416253.8391620154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-4416253.8391620154</v>
      </c>
      <c r="J955" s="455">
        <f t="array" ref="J955">IFERROR(INDEX('Retirement Calculator'!J:J,MATCH('Isaac 401k'!N955,'Retirement Calculator'!A:A,0),0),0)</f>
        <v>7863.2184191855868</v>
      </c>
      <c r="K955" s="455">
        <f t="shared" ca="1" si="79"/>
        <v>-18433.821073255003</v>
      </c>
      <c r="L955" s="455">
        <f t="shared" ca="1" si="80"/>
        <v>-4442550.8786544558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-4442550.8786544558</v>
      </c>
      <c r="J956" s="455">
        <f t="array" ref="J956">IFERROR(INDEX('Retirement Calculator'!J:J,MATCH('Isaac 401k'!N956,'Retirement Calculator'!A:A,0),0),0)</f>
        <v>7863.2184191855868</v>
      </c>
      <c r="K956" s="455">
        <f t="shared" ca="1" si="79"/>
        <v>-18543.392071140173</v>
      </c>
      <c r="L956" s="455">
        <f t="shared" ca="1" si="80"/>
        <v>-4468957.4891447816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-4468957.4891447816</v>
      </c>
      <c r="J957" s="455">
        <f t="array" ref="J957">IFERROR(INDEX('Retirement Calculator'!J:J,MATCH('Isaac 401k'!N957,'Retirement Calculator'!A:A,0),0),0)</f>
        <v>7863.2184191855868</v>
      </c>
      <c r="K957" s="455">
        <f t="shared" ca="1" si="79"/>
        <v>-18653.419614849863</v>
      </c>
      <c r="L957" s="455">
        <f t="shared" ca="1" si="80"/>
        <v>-4495474.1271788171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-4495474.1271788171</v>
      </c>
      <c r="J958" s="455">
        <f t="array" ref="J958">IFERROR(INDEX('Retirement Calculator'!J:J,MATCH('Isaac 401k'!N958,'Retirement Calculator'!A:A,0),0),0)</f>
        <v>7863.2184191855868</v>
      </c>
      <c r="K958" s="455">
        <f t="shared" ca="1" si="79"/>
        <v>-18763.905606658343</v>
      </c>
      <c r="L958" s="455">
        <f t="shared" ca="1" si="80"/>
        <v>-4522101.2512046611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-4522101.2512046611</v>
      </c>
      <c r="J959" s="455">
        <f t="array" ref="J959">IFERROR(INDEX('Retirement Calculator'!J:J,MATCH('Isaac 401k'!N959,'Retirement Calculator'!A:A,0),0),0)</f>
        <v>7863.2184191855868</v>
      </c>
      <c r="K959" s="455">
        <f t="shared" ca="1" si="79"/>
        <v>-18874.85195676603</v>
      </c>
      <c r="L959" s="455">
        <f t="shared" ca="1" si="80"/>
        <v>-4548839.321580613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-4548839.321580613</v>
      </c>
      <c r="J960" s="455">
        <f t="array" ref="J960">IFERROR(INDEX('Retirement Calculator'!J:J,MATCH('Isaac 401k'!N960,'Retirement Calculator'!A:A,0),0),0)</f>
        <v>7863.2184191855868</v>
      </c>
      <c r="K960" s="455">
        <f t="shared" ca="1" si="79"/>
        <v>-18986.260583332496</v>
      </c>
      <c r="L960" s="455">
        <f t="shared" ca="1" si="80"/>
        <v>-4575688.8005831316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-4575688.8005831316</v>
      </c>
      <c r="J961" s="455">
        <f t="array" ref="J961">IFERROR(INDEX('Retirement Calculator'!J:J,MATCH('Isaac 401k'!N961,'Retirement Calculator'!A:A,0),0),0)</f>
        <v>7863.2184191855868</v>
      </c>
      <c r="K961" s="455">
        <f t="shared" ca="1" si="79"/>
        <v>-19098.133412509655</v>
      </c>
      <c r="L961" s="455">
        <f t="shared" ca="1" si="80"/>
        <v>-4602650.1524148267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-4602650.1524148267</v>
      </c>
      <c r="J962" s="455">
        <f t="array" ref="J962">IFERROR(INDEX('Retirement Calculator'!J:J,MATCH('Isaac 401k'!N962,'Retirement Calculator'!A:A,0),0),0)</f>
        <v>7863.2184191855868</v>
      </c>
      <c r="K962" s="455">
        <f t="shared" ca="1" si="79"/>
        <v>-19210.472378475053</v>
      </c>
      <c r="L962" s="455">
        <f t="shared" ca="1" si="80"/>
        <v>-4629723.8432124872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-4629723.8432124872</v>
      </c>
      <c r="J963" s="455">
        <f t="array" ref="J963">IFERROR(INDEX('Retirement Calculator'!J:J,MATCH('Isaac 401k'!N963,'Retirement Calculator'!A:A,0),0),0)</f>
        <v>7863.2184191855868</v>
      </c>
      <c r="K963" s="455">
        <f t="shared" ca="1" si="79"/>
        <v>-19323.279423465305</v>
      </c>
      <c r="L963" s="455">
        <f t="shared" ca="1" si="80"/>
        <v>-4656910.341055138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-4656910.341055138</v>
      </c>
      <c r="J964" s="455">
        <f t="array" ref="J964">IFERROR(INDEX('Retirement Calculator'!J:J,MATCH('Isaac 401k'!N964,'Retirement Calculator'!A:A,0),0),0)</f>
        <v>7863.2184191855868</v>
      </c>
      <c r="K964" s="455">
        <f t="shared" ca="1" si="79"/>
        <v>-19436.556497809681</v>
      </c>
      <c r="L964" s="455">
        <f t="shared" ca="1" si="80"/>
        <v>-4684210.1159721334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-4684210.1159721334</v>
      </c>
      <c r="J965" s="455">
        <f t="array" ref="J965">IFERROR(INDEX('Retirement Calculator'!J:J,MATCH('Isaac 401k'!N965,'Retirement Calculator'!A:A,0),0),0)</f>
        <v>7863.2184191855868</v>
      </c>
      <c r="K965" s="455">
        <f t="shared" ca="1" si="79"/>
        <v>-19550.305559963828</v>
      </c>
      <c r="L965" s="455">
        <f t="shared" ca="1" si="80"/>
        <v>-4711623.6399512831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-4711623.6399512831</v>
      </c>
      <c r="J966" s="455">
        <f t="array" ref="J966">IFERROR(INDEX('Retirement Calculator'!J:J,MATCH('Isaac 401k'!N966,'Retirement Calculator'!A:A,0),0),0)</f>
        <v>7863.2184191855868</v>
      </c>
      <c r="K966" s="455">
        <f t="shared" ca="1" si="79"/>
        <v>-19664.52857654362</v>
      </c>
      <c r="L966" s="455">
        <f t="shared" ca="1" si="80"/>
        <v>-4739151.3869470125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-4739151.3869470125</v>
      </c>
      <c r="J967" s="455">
        <f t="array" ref="J967">IFERROR(INDEX('Retirement Calculator'!J:J,MATCH('Isaac 401k'!N967,'Retirement Calculator'!A:A,0),0),0)</f>
        <v>7863.2184191855868</v>
      </c>
      <c r="K967" s="455">
        <f t="shared" ca="1" si="79"/>
        <v>-19779.227522359161</v>
      </c>
      <c r="L967" s="455">
        <f t="shared" ca="1" si="80"/>
        <v>-4766793.8328885576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-4766793.8328885576</v>
      </c>
      <c r="J968" s="455">
        <f t="array" ref="J968">IFERROR(INDEX('Retirement Calculator'!J:J,MATCH('Isaac 401k'!N968,'Retirement Calculator'!A:A,0),0),0)</f>
        <v>7863.2184191855868</v>
      </c>
      <c r="K968" s="455">
        <f t="shared" ca="1" si="79"/>
        <v>-19894.40438044893</v>
      </c>
      <c r="L968" s="455">
        <f t="shared" ca="1" si="80"/>
        <v>-4794551.4556881925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-4794551.4556881925</v>
      </c>
      <c r="J969" s="455">
        <f t="array" ref="J969">IFERROR(INDEX('Retirement Calculator'!J:J,MATCH('Isaac 401k'!N969,'Retirement Calculator'!A:A,0),0),0)</f>
        <v>7863.2184191855868</v>
      </c>
      <c r="K969" s="455">
        <f t="shared" ca="1" si="79"/>
        <v>-20010.061142114075</v>
      </c>
      <c r="L969" s="455">
        <f t="shared" ca="1" si="80"/>
        <v>-4822424.7352494923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-4822424.7352494923</v>
      </c>
      <c r="J970" s="455">
        <f t="array" ref="J970">IFERROR(INDEX('Retirement Calculator'!J:J,MATCH('Isaac 401k'!N970,'Retirement Calculator'!A:A,0),0),0)</f>
        <v>7863.2184191855868</v>
      </c>
      <c r="K970" s="455">
        <f t="shared" ca="1" si="79"/>
        <v>-20126.199806952827</v>
      </c>
      <c r="L970" s="455">
        <f t="shared" ca="1" si="80"/>
        <v>-4850414.153475631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-4850414.153475631</v>
      </c>
      <c r="J971" s="455">
        <f t="array" ref="J971">IFERROR(INDEX('Retirement Calculator'!J:J,MATCH('Isaac 401k'!N971,'Retirement Calculator'!A:A,0),0),0)</f>
        <v>7863.2184191855868</v>
      </c>
      <c r="K971" s="455">
        <f t="shared" ca="1" si="79"/>
        <v>-20242.822382895069</v>
      </c>
      <c r="L971" s="455">
        <f t="shared" ca="1" si="80"/>
        <v>-4878520.1942777121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-4878520.1942777121</v>
      </c>
      <c r="J972" s="455">
        <f t="array" ref="J972">IFERROR(INDEX('Retirement Calculator'!J:J,MATCH('Isaac 401k'!N972,'Retirement Calculator'!A:A,0),0),0)</f>
        <v>7863.2184191855868</v>
      </c>
      <c r="K972" s="455">
        <f t="shared" ca="1" si="79"/>
        <v>-20359.930886237074</v>
      </c>
      <c r="L972" s="455">
        <f t="shared" ca="1" si="80"/>
        <v>-4906743.3435831349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-4906743.3435831349</v>
      </c>
      <c r="J973" s="455">
        <f t="array" ref="J973">IFERROR(INDEX('Retirement Calculator'!J:J,MATCH('Isaac 401k'!N973,'Retirement Calculator'!A:A,0),0),0)</f>
        <v>7863.2184191855868</v>
      </c>
      <c r="K973" s="455">
        <f t="shared" ca="1" si="79"/>
        <v>-20477.527341676338</v>
      </c>
      <c r="L973" s="455">
        <f t="shared" ca="1" si="80"/>
        <v>-4935084.0893439967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-4935084.0893439967</v>
      </c>
      <c r="J974" s="455">
        <f t="array" ref="J974">IFERROR(INDEX('Retirement Calculator'!J:J,MATCH('Isaac 401k'!N974,'Retirement Calculator'!A:A,0),0),0)</f>
        <v>7863.2184191855868</v>
      </c>
      <c r="K974" s="455">
        <f t="shared" ca="1" si="79"/>
        <v>-20595.613782346594</v>
      </c>
      <c r="L974" s="455">
        <f t="shared" ca="1" si="80"/>
        <v>-4963542.9215455288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-4963542.9215455288</v>
      </c>
      <c r="J975" s="455">
        <f t="array" ref="J975">IFERROR(INDEX('Retirement Calculator'!J:J,MATCH('Isaac 401k'!N975,'Retirement Calculator'!A:A,0),0),0)</f>
        <v>7863.2184191855868</v>
      </c>
      <c r="K975" s="455">
        <f t="shared" ca="1" si="79"/>
        <v>-20714.192249852978</v>
      </c>
      <c r="L975" s="455">
        <f t="shared" ca="1" si="80"/>
        <v>-4992120.3322145678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-4992120.3322145678</v>
      </c>
      <c r="J976" s="455">
        <f t="array" ref="J976">IFERROR(INDEX('Retirement Calculator'!J:J,MATCH('Isaac 401k'!N976,'Retirement Calculator'!A:A,0),0),0)</f>
        <v>7863.2184191855868</v>
      </c>
      <c r="K976" s="455">
        <f t="shared" ca="1" si="79"/>
        <v>-20833.264794307306</v>
      </c>
      <c r="L976" s="455">
        <f t="shared" ca="1" si="80"/>
        <v>-5020816.8154280614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-5020816.8154280614</v>
      </c>
      <c r="J977" s="455">
        <f t="array" ref="J977">IFERROR(INDEX('Retirement Calculator'!J:J,MATCH('Isaac 401k'!N977,'Retirement Calculator'!A:A,0),0),0)</f>
        <v>7863.2184191855868</v>
      </c>
      <c r="K977" s="455">
        <f t="shared" ca="1" si="79"/>
        <v>-20952.833474363531</v>
      </c>
      <c r="L977" s="455">
        <f t="shared" ca="1" si="80"/>
        <v>-5049632.8673216105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-5049632.8673216105</v>
      </c>
      <c r="J978" s="455">
        <f t="array" ref="J978">IFERROR(INDEX('Retirement Calculator'!J:J,MATCH('Isaac 401k'!N978,'Retirement Calculator'!A:A,0),0),0)</f>
        <v>7863.2184191855868</v>
      </c>
      <c r="K978" s="455">
        <f t="shared" ca="1" si="79"/>
        <v>-21072.900357253318</v>
      </c>
      <c r="L978" s="455">
        <f t="shared" ca="1" si="80"/>
        <v>-5078568.9860980492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-5078568.9860980492</v>
      </c>
      <c r="J979" s="455">
        <f t="array" ref="J979">IFERROR(INDEX('Retirement Calculator'!J:J,MATCH('Isaac 401k'!N979,'Retirement Calculator'!A:A,0),0),0)</f>
        <v>7863.2184191855868</v>
      </c>
      <c r="K979" s="455">
        <f t="shared" ca="1" si="79"/>
        <v>-21193.467518821813</v>
      </c>
      <c r="L979" s="455">
        <f t="shared" ca="1" si="80"/>
        <v>-5107625.6720360564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-5107625.6720360564</v>
      </c>
      <c r="J980" s="455">
        <f t="array" ref="J980">IFERROR(INDEX('Retirement Calculator'!J:J,MATCH('Isaac 401k'!N980,'Retirement Calculator'!A:A,0),0),0)</f>
        <v>7863.2184191855868</v>
      </c>
      <c r="K980" s="455">
        <f t="shared" ca="1" si="79"/>
        <v>-21314.537043563509</v>
      </c>
      <c r="L980" s="455">
        <f t="shared" ca="1" si="80"/>
        <v>-5136803.4274988053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-5136803.4274988053</v>
      </c>
      <c r="J981" s="455">
        <f t="array" ref="J981">IFERROR(INDEX('Retirement Calculator'!J:J,MATCH('Isaac 401k'!N981,'Retirement Calculator'!A:A,0),0),0)</f>
        <v>7863.2184191855868</v>
      </c>
      <c r="K981" s="455">
        <f t="shared" ca="1" si="79"/>
        <v>-21436.111024658298</v>
      </c>
      <c r="L981" s="455">
        <f t="shared" ca="1" si="80"/>
        <v>-5166102.7569426494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-5166102.7569426494</v>
      </c>
      <c r="J982" s="455">
        <f t="array" ref="J982">IFERROR(INDEX('Retirement Calculator'!J:J,MATCH('Isaac 401k'!N982,'Retirement Calculator'!A:A,0),0),0)</f>
        <v>7863.2184191855868</v>
      </c>
      <c r="K982" s="455">
        <f t="shared" ca="1" si="79"/>
        <v>-21558.191564007648</v>
      </c>
      <c r="L982" s="455">
        <f t="shared" ca="1" si="80"/>
        <v>-5195524.1669258429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-5195524.1669258429</v>
      </c>
      <c r="J983" s="455">
        <f t="array" ref="J983">IFERROR(INDEX('Retirement Calculator'!J:J,MATCH('Isaac 401k'!N983,'Retirement Calculator'!A:A,0),0),0)</f>
        <v>7863.2184191855868</v>
      </c>
      <c r="K983" s="455">
        <f t="shared" ca="1" si="79"/>
        <v>-21680.780772270951</v>
      </c>
      <c r="L983" s="455">
        <f t="shared" ca="1" si="80"/>
        <v>-5225068.1661172993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-5225068.1661172993</v>
      </c>
      <c r="J984" s="455">
        <f t="array" ref="J984">IFERROR(INDEX('Retirement Calculator'!J:J,MATCH('Isaac 401k'!N984,'Retirement Calculator'!A:A,0),0),0)</f>
        <v>7863.2184191855868</v>
      </c>
      <c r="K984" s="455">
        <f t="shared" ca="1" si="79"/>
        <v>-21803.880768902021</v>
      </c>
      <c r="L984" s="455">
        <f t="shared" ca="1" si="80"/>
        <v>-5254735.2653053869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-5254735.2653053869</v>
      </c>
      <c r="J985" s="455">
        <f t="array" ref="J985">IFERROR(INDEX('Retirement Calculator'!J:J,MATCH('Isaac 401k'!N985,'Retirement Calculator'!A:A,0),0),0)</f>
        <v>7863.2184191855868</v>
      </c>
      <c r="K985" s="455">
        <f t="shared" ca="1" si="79"/>
        <v>-21927.493682185719</v>
      </c>
      <c r="L985" s="455">
        <f t="shared" ca="1" si="80"/>
        <v>-5284525.9774067588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-5284525.9774067588</v>
      </c>
      <c r="J986" s="455">
        <f t="array" ref="J986">IFERROR(INDEX('Retirement Calculator'!J:J,MATCH('Isaac 401k'!N986,'Retirement Calculator'!A:A,0),0),0)</f>
        <v>7863.2184191855868</v>
      </c>
      <c r="K986" s="455">
        <f t="shared" ca="1" si="79"/>
        <v>-22051.62164927477</v>
      </c>
      <c r="L986" s="455">
        <f t="shared" ca="1" si="80"/>
        <v>-5314440.8174752193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-5314440.8174752193</v>
      </c>
      <c r="J987" s="455">
        <f t="array" ref="J987">IFERROR(INDEX('Retirement Calculator'!J:J,MATCH('Isaac 401k'!N987,'Retirement Calculator'!A:A,0),0),0)</f>
        <v>7863.2184191855868</v>
      </c>
      <c r="K987" s="455">
        <f t="shared" ca="1" si="79"/>
        <v>-22176.266816226689</v>
      </c>
      <c r="L987" s="455">
        <f t="shared" ca="1" si="80"/>
        <v>-5344480.3027106319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-5344480.3027106319</v>
      </c>
      <c r="J988" s="455">
        <f t="array" ref="J988">IFERROR(INDEX('Retirement Calculator'!J:J,MATCH('Isaac 401k'!N988,'Retirement Calculator'!A:A,0),0),0)</f>
        <v>7863.2184191855868</v>
      </c>
      <c r="K988" s="455">
        <f t="shared" ca="1" si="79"/>
        <v>-22301.431338040908</v>
      </c>
      <c r="L988" s="455">
        <f t="shared" ca="1" si="80"/>
        <v>-5374644.9524678588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-5374644.9524678588</v>
      </c>
      <c r="J989" s="455">
        <f t="array" ref="J989">IFERROR(INDEX('Retirement Calculator'!J:J,MATCH('Isaac 401k'!N989,'Retirement Calculator'!A:A,0),0),0)</f>
        <v>7863.2184191855868</v>
      </c>
      <c r="K989" s="455">
        <f t="shared" ca="1" si="79"/>
        <v>-22427.117378696021</v>
      </c>
      <c r="L989" s="455">
        <f t="shared" ca="1" si="80"/>
        <v>-5404935.2882657405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-5404935.2882657405</v>
      </c>
      <c r="J990" s="455">
        <f t="array" ref="J990">IFERROR(INDEX('Retirement Calculator'!J:J,MATCH('Isaac 401k'!N990,'Retirement Calculator'!A:A,0),0),0)</f>
        <v>7863.2184191855868</v>
      </c>
      <c r="K990" s="455">
        <f t="shared" ca="1" si="79"/>
        <v>-22553.327111187195</v>
      </c>
      <c r="L990" s="455">
        <f t="shared" ca="1" si="80"/>
        <v>-5435351.8337961137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-5435351.8337961137</v>
      </c>
      <c r="J991" s="455">
        <f t="array" ref="J991">IFERROR(INDEX('Retirement Calculator'!J:J,MATCH('Isaac 401k'!N991,'Retirement Calculator'!A:A,0),0),0)</f>
        <v>7863.2184191855868</v>
      </c>
      <c r="K991" s="455">
        <f t="shared" ca="1" si="79"/>
        <v>-22680.062717563749</v>
      </c>
      <c r="L991" s="455">
        <f t="shared" ca="1" si="80"/>
        <v>-5465895.114932863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-5465895.114932863</v>
      </c>
      <c r="J992" s="455">
        <f t="array" ref="J992">IFERROR(INDEX('Retirement Calculator'!J:J,MATCH('Isaac 401k'!N992,'Retirement Calculator'!A:A,0),0),0)</f>
        <v>7863.2184191855868</v>
      </c>
      <c r="K992" s="455">
        <f t="shared" ca="1" si="79"/>
        <v>-22807.326388966871</v>
      </c>
      <c r="L992" s="455">
        <f t="shared" ca="1" si="80"/>
        <v>-5496565.6597410161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-5496565.6597410161</v>
      </c>
      <c r="J993" s="455">
        <f t="array" ref="J993">IFERROR(INDEX('Retirement Calculator'!J:J,MATCH('Isaac 401k'!N993,'Retirement Calculator'!A:A,0),0),0)</f>
        <v>7863.2184191855868</v>
      </c>
      <c r="K993" s="455">
        <f t="shared" ca="1" si="79"/>
        <v>-22935.120325667507</v>
      </c>
      <c r="L993" s="455">
        <f t="shared" ca="1" si="80"/>
        <v>-5527363.9984858697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-5527363.9984858697</v>
      </c>
      <c r="J994" s="455">
        <f t="array" ref="J994">IFERROR(INDEX('Retirement Calculator'!J:J,MATCH('Isaac 401k'!N994,'Retirement Calculator'!A:A,0),0),0)</f>
        <v>7863.2184191855868</v>
      </c>
      <c r="K994" s="455">
        <f t="shared" ca="1" si="79"/>
        <v>-23063.446737104397</v>
      </c>
      <c r="L994" s="455">
        <f t="shared" ca="1" si="80"/>
        <v>-5558290.6636421597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-5558290.6636421597</v>
      </c>
      <c r="J995" s="455">
        <f t="array" ref="J995">IFERROR(INDEX('Retirement Calculator'!J:J,MATCH('Isaac 401k'!N995,'Retirement Calculator'!A:A,0),0),0)</f>
        <v>7863.2184191855868</v>
      </c>
      <c r="K995" s="455">
        <f t="shared" ca="1" si="79"/>
        <v>-23192.307841922273</v>
      </c>
      <c r="L995" s="455">
        <f t="shared" ca="1" si="80"/>
        <v>-5589346.1899032677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-5589346.1899032677</v>
      </c>
      <c r="J996" s="455">
        <f t="array" ref="J996">IFERROR(INDEX('Retirement Calculator'!J:J,MATCH('Isaac 401k'!N996,'Retirement Calculator'!A:A,0),0),0)</f>
        <v>7863.2184191855868</v>
      </c>
      <c r="K996" s="455">
        <f t="shared" ca="1" si="79"/>
        <v>-23321.705868010224</v>
      </c>
      <c r="L996" s="455">
        <f t="shared" ca="1" si="80"/>
        <v>-5620531.1141904639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-5620531.1141904639</v>
      </c>
      <c r="J997" s="455">
        <f t="array" ref="J997">IFERROR(INDEX('Retirement Calculator'!J:J,MATCH('Isaac 401k'!N997,'Retirement Calculator'!A:A,0),0),0)</f>
        <v>7863.2184191855868</v>
      </c>
      <c r="K997" s="455">
        <f t="shared" ca="1" si="79"/>
        <v>-23451.643052540207</v>
      </c>
      <c r="L997" s="455">
        <f t="shared" ca="1" si="80"/>
        <v>-5651845.9756621895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-5651845.9756621895</v>
      </c>
      <c r="J998" s="455">
        <f t="array" ref="J998">IFERROR(INDEX('Retirement Calculator'!J:J,MATCH('Isaac 401k'!N998,'Retirement Calculator'!A:A,0),0),0)</f>
        <v>7863.2184191855868</v>
      </c>
      <c r="K998" s="455">
        <f t="shared" ca="1" si="79"/>
        <v>-23582.121642005732</v>
      </c>
      <c r="L998" s="455">
        <f t="shared" ca="1" si="80"/>
        <v>-5683291.315723381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-5683291.315723381</v>
      </c>
      <c r="J999" s="455">
        <f t="array" ref="J999">IFERROR(INDEX('Retirement Calculator'!J:J,MATCH('Isaac 401k'!N999,'Retirement Calculator'!A:A,0),0),0)</f>
        <v>7863.2184191855868</v>
      </c>
      <c r="K999" s="455">
        <f t="shared" ca="1" si="79"/>
        <v>-23713.143892260694</v>
      </c>
      <c r="L999" s="455">
        <f t="shared" ca="1" si="80"/>
        <v>-5714867.6780348271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-5714867.6780348271</v>
      </c>
      <c r="J1000" s="455">
        <f t="array" ref="J1000">IFERROR(INDEX('Retirement Calculator'!J:J,MATCH('Isaac 401k'!N1000,'Retirement Calculator'!A:A,0),0),0)</f>
        <v>7863.2184191855868</v>
      </c>
      <c r="K1000" s="455">
        <f t="shared" ca="1" si="79"/>
        <v>-23844.712068558387</v>
      </c>
      <c r="L1000" s="455">
        <f t="shared" ca="1" si="80"/>
        <v>-5746575.6085225716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-5746575.6085225716</v>
      </c>
      <c r="J1001" s="455">
        <f t="array" ref="J1001">IFERROR(INDEX('Retirement Calculator'!J:J,MATCH('Isaac 401k'!N1001,'Retirement Calculator'!A:A,0),0),0)</f>
        <v>7863.2184191855868</v>
      </c>
      <c r="K1001" s="455">
        <f t="shared" ca="1" si="79"/>
        <v>-23976.828445590654</v>
      </c>
      <c r="L1001" s="455">
        <f t="shared" ca="1" si="80"/>
        <v>-5778415.6553873485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-5778415.6553873485</v>
      </c>
      <c r="J1002" s="455">
        <f t="array" ref="J1002">IFERROR(INDEX('Retirement Calculator'!J:J,MATCH('Isaac 401k'!N1002,'Retirement Calculator'!A:A,0),0),0)</f>
        <v>7863.2184191855868</v>
      </c>
      <c r="K1002" s="455">
        <f t="shared" ca="1" si="79"/>
        <v>-24109.495307527228</v>
      </c>
      <c r="L1002" s="455">
        <f t="shared" ca="1" si="80"/>
        <v>-5810388.3691140618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-5810388.3691140618</v>
      </c>
      <c r="J1003" s="455">
        <f t="array" ref="J1003">IFERROR(INDEX('Retirement Calculator'!J:J,MATCH('Isaac 401k'!N1003,'Retirement Calculator'!A:A,0),0),0)</f>
        <v>7863.2184191855868</v>
      </c>
      <c r="K1003" s="455">
        <f t="shared" ca="1" si="79"/>
        <v>-24242.7149480552</v>
      </c>
      <c r="L1003" s="455">
        <f t="shared" ca="1" si="80"/>
        <v>-5842494.302481303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>
        <f>G1003+1</f>
        <v>84</v>
      </c>
      <c r="H1004" s="470">
        <v>997</v>
      </c>
      <c r="I1004" s="455">
        <f t="shared" ca="1" si="81"/>
        <v>-5842494.302481303</v>
      </c>
      <c r="J1004" s="455">
        <f t="array" ref="J1004">IFERROR(INDEX('Retirement Calculator'!J:J,MATCH('Isaac 401k'!N1004,'Retirement Calculator'!A:A,0),0),0)</f>
        <v>7863.2184191855868</v>
      </c>
      <c r="K1004" s="455">
        <f t="shared" ca="1" si="79"/>
        <v>-24376.489670418705</v>
      </c>
      <c r="L1004" s="455">
        <f t="shared" ca="1" si="80"/>
        <v>-5874734.010570908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>
        <f t="shared" ref="G1005:G1015" si="103">G1004</f>
        <v>84</v>
      </c>
      <c r="H1005" s="470">
        <v>998</v>
      </c>
      <c r="I1005" s="455">
        <f t="shared" ca="1" si="81"/>
        <v>-5874734.010570908</v>
      </c>
      <c r="J1005" s="455">
        <f t="array" ref="J1005">IFERROR(INDEX('Retirement Calculator'!J:J,MATCH('Isaac 401k'!N1005,'Retirement Calculator'!A:A,0),0),0)</f>
        <v>7863.2184191855868</v>
      </c>
      <c r="K1005" s="455">
        <f t="shared" ca="1" si="79"/>
        <v>-24510.821787458724</v>
      </c>
      <c r="L1005" s="455">
        <f t="shared" ca="1" si="80"/>
        <v>-5907108.0507775526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>
        <f t="shared" si="103"/>
        <v>84</v>
      </c>
      <c r="H1006" s="470">
        <v>999</v>
      </c>
      <c r="I1006" s="455">
        <f t="shared" ca="1" si="81"/>
        <v>-5907108.0507775526</v>
      </c>
      <c r="J1006" s="455">
        <f t="array" ref="J1006">IFERROR(INDEX('Retirement Calculator'!J:J,MATCH('Isaac 401k'!N1006,'Retirement Calculator'!A:A,0),0),0)</f>
        <v>7863.2184191855868</v>
      </c>
      <c r="K1006" s="455">
        <f t="shared" ca="1" si="79"/>
        <v>-24645.713621653078</v>
      </c>
      <c r="L1006" s="455">
        <f t="shared" ca="1" si="80"/>
        <v>-5939616.9828183912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>
        <f t="shared" si="103"/>
        <v>84</v>
      </c>
      <c r="H1007" s="470">
        <v>1000</v>
      </c>
      <c r="I1007" s="455">
        <f t="shared" ca="1" si="81"/>
        <v>-5939616.9828183912</v>
      </c>
      <c r="J1007" s="455">
        <f t="array" ref="J1007">IFERROR(INDEX('Retirement Calculator'!J:J,MATCH('Isaac 401k'!N1007,'Retirement Calculator'!A:A,0),0),0)</f>
        <v>7863.2184191855868</v>
      </c>
      <c r="K1007" s="455">
        <f t="shared" ca="1" si="79"/>
        <v>-24781.167505156569</v>
      </c>
      <c r="L1007" s="455">
        <f t="shared" ca="1" si="80"/>
        <v>-5972261.3687427333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>
        <f t="shared" si="103"/>
        <v>84</v>
      </c>
      <c r="H1008" s="470">
        <v>1001</v>
      </c>
      <c r="I1008" s="455">
        <f t="shared" ca="1" si="81"/>
        <v>-5972261.3687427333</v>
      </c>
      <c r="J1008" s="455">
        <f t="array" ref="J1008">IFERROR(INDEX('Retirement Calculator'!J:J,MATCH('Isaac 401k'!N1008,'Retirement Calculator'!A:A,0),0),0)</f>
        <v>7863.2184191855868</v>
      </c>
      <c r="K1008" s="455">
        <f t="shared" ca="1" si="79"/>
        <v>-24917.185779841329</v>
      </c>
      <c r="L1008" s="455">
        <f t="shared" ca="1" si="80"/>
        <v>-6005041.7729417607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>
        <f t="shared" si="103"/>
        <v>84</v>
      </c>
      <c r="H1009" s="470">
        <v>1002</v>
      </c>
      <c r="I1009" s="455">
        <f t="shared" ca="1" si="81"/>
        <v>-6005041.7729417607</v>
      </c>
      <c r="J1009" s="455">
        <f t="array" ref="J1009">IFERROR(INDEX('Retirement Calculator'!J:J,MATCH('Isaac 401k'!N1009,'Retirement Calculator'!A:A,0),0),0)</f>
        <v>7863.2184191855868</v>
      </c>
      <c r="K1009" s="455">
        <f t="shared" ca="1" si="79"/>
        <v>-25053.770797337278</v>
      </c>
      <c r="L1009" s="455">
        <f t="shared" ca="1" si="80"/>
        <v>-6037958.762158284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>
        <f t="shared" si="103"/>
        <v>84</v>
      </c>
      <c r="H1010" s="470">
        <v>1003</v>
      </c>
      <c r="I1010" s="455">
        <f t="shared" ca="1" si="81"/>
        <v>-6037958.762158284</v>
      </c>
      <c r="J1010" s="455">
        <f t="array" ref="J1010">IFERROR(INDEX('Retirement Calculator'!J:J,MATCH('Isaac 401k'!N1010,'Retirement Calculator'!A:A,0),0),0)</f>
        <v>7863.2184191855868</v>
      </c>
      <c r="K1010" s="455">
        <f t="shared" ca="1" si="79"/>
        <v>-25190.92491907279</v>
      </c>
      <c r="L1010" s="455">
        <f t="shared" ca="1" si="80"/>
        <v>-6071012.9054965423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>
        <f t="shared" si="103"/>
        <v>84</v>
      </c>
      <c r="H1011" s="470">
        <v>1004</v>
      </c>
      <c r="I1011" s="455">
        <f t="shared" ca="1" si="81"/>
        <v>-6071012.9054965423</v>
      </c>
      <c r="J1011" s="455">
        <f t="array" ref="J1011">IFERROR(INDEX('Retirement Calculator'!J:J,MATCH('Isaac 401k'!N1011,'Retirement Calculator'!A:A,0),0),0)</f>
        <v>7863.2184191855868</v>
      </c>
      <c r="K1011" s="455">
        <f t="shared" ca="1" si="79"/>
        <v>-25328.650516315534</v>
      </c>
      <c r="L1011" s="455">
        <f t="shared" ca="1" si="80"/>
        <v>-6104204.7744320435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>
        <f t="shared" si="103"/>
        <v>84</v>
      </c>
      <c r="H1012" s="470">
        <v>1005</v>
      </c>
      <c r="I1012" s="455">
        <f t="shared" ca="1" si="81"/>
        <v>-6104204.7744320435</v>
      </c>
      <c r="J1012" s="455">
        <f t="array" ref="J1012">IFERROR(INDEX('Retirement Calculator'!J:J,MATCH('Isaac 401k'!N1012,'Retirement Calculator'!A:A,0),0),0)</f>
        <v>7863.2184191855868</v>
      </c>
      <c r="K1012" s="455">
        <f t="shared" ca="1" si="79"/>
        <v>-25466.949970213456</v>
      </c>
      <c r="L1012" s="455">
        <f t="shared" ca="1" si="80"/>
        <v>-6137534.9428214431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>
        <f t="shared" si="103"/>
        <v>84</v>
      </c>
      <c r="H1013" s="470">
        <v>1006</v>
      </c>
      <c r="I1013" s="455">
        <f t="shared" ca="1" si="81"/>
        <v>-6137534.9428214431</v>
      </c>
      <c r="J1013" s="455">
        <f t="array" ref="J1013">IFERROR(INDEX('Retirement Calculator'!J:J,MATCH('Isaac 401k'!N1013,'Retirement Calculator'!A:A,0),0),0)</f>
        <v>7863.2184191855868</v>
      </c>
      <c r="K1013" s="455">
        <f t="shared" ca="1" si="79"/>
        <v>-25605.825671835955</v>
      </c>
      <c r="L1013" s="455">
        <f t="shared" ca="1" si="80"/>
        <v>-6171003.9869124647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>
        <f t="shared" si="103"/>
        <v>84</v>
      </c>
      <c r="H1014" s="470">
        <v>1007</v>
      </c>
      <c r="I1014" s="455">
        <f t="shared" ca="1" si="81"/>
        <v>-6171003.9869124647</v>
      </c>
      <c r="J1014" s="455">
        <f t="array" ref="J1014">IFERROR(INDEX('Retirement Calculator'!J:J,MATCH('Isaac 401k'!N1014,'Retirement Calculator'!A:A,0),0),0)</f>
        <v>7863.2184191855868</v>
      </c>
      <c r="K1014" s="455">
        <f t="shared" ca="1" si="79"/>
        <v>-25745.280022215211</v>
      </c>
      <c r="L1014" s="455">
        <f t="shared" ca="1" si="80"/>
        <v>-6204612.4853538657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>
        <f t="shared" si="103"/>
        <v>84</v>
      </c>
      <c r="H1015" s="470">
        <v>1008</v>
      </c>
      <c r="I1015" s="455">
        <f t="shared" ca="1" si="81"/>
        <v>-6204612.4853538657</v>
      </c>
      <c r="J1015" s="455">
        <f t="array" ref="J1015">IFERROR(INDEX('Retirement Calculator'!J:J,MATCH('Isaac 401k'!N1015,'Retirement Calculator'!A:A,0),0),0)</f>
        <v>7863.2184191855868</v>
      </c>
      <c r="K1015" s="455">
        <f t="shared" ca="1" si="79"/>
        <v>-25885.315432387713</v>
      </c>
      <c r="L1015" s="455">
        <f t="shared" ca="1" si="80"/>
        <v>-6238361.0192054389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>
        <f>G1015+1</f>
        <v>85</v>
      </c>
      <c r="H1016" s="470">
        <v>1009</v>
      </c>
      <c r="I1016" s="455">
        <f t="shared" ca="1" si="81"/>
        <v>-6238361.0192054389</v>
      </c>
      <c r="J1016" s="455">
        <f t="array" ref="J1016">IFERROR(INDEX('Retirement Calculator'!J:J,MATCH('Isaac 401k'!N1016,'Retirement Calculator'!A:A,0),0),0)</f>
        <v>7863.2184191855868</v>
      </c>
      <c r="K1016" s="455">
        <f t="shared" ca="1" si="79"/>
        <v>-26025.934323435937</v>
      </c>
      <c r="L1016" s="455">
        <f t="shared" ca="1" si="80"/>
        <v>-6272250.1719480604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>
        <f t="shared" ref="G1017:G1027" si="104">G1016</f>
        <v>85</v>
      </c>
      <c r="H1017" s="470">
        <v>1010</v>
      </c>
      <c r="I1017" s="455">
        <f t="shared" ca="1" si="81"/>
        <v>-6272250.1719480604</v>
      </c>
      <c r="J1017" s="455">
        <f t="array" ref="J1017">IFERROR(INDEX('Retirement Calculator'!J:J,MATCH('Isaac 401k'!N1017,'Retirement Calculator'!A:A,0),0),0)</f>
        <v>7863.2184191855868</v>
      </c>
      <c r="K1017" s="455">
        <f t="shared" ca="1" si="79"/>
        <v>-26167.139126530194</v>
      </c>
      <c r="L1017" s="455">
        <f t="shared" ca="1" si="80"/>
        <v>-6306280.5294937762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>
        <f t="shared" si="104"/>
        <v>85</v>
      </c>
      <c r="H1018" s="470">
        <v>1011</v>
      </c>
      <c r="I1018" s="455">
        <f t="shared" ca="1" si="81"/>
        <v>-6306280.5294937762</v>
      </c>
      <c r="J1018" s="455">
        <f t="array" ref="J1018">IFERROR(INDEX('Retirement Calculator'!J:J,MATCH('Isaac 401k'!N1018,'Retirement Calculator'!A:A,0),0),0)</f>
        <v>7863.2184191855868</v>
      </c>
      <c r="K1018" s="455">
        <f t="shared" ca="1" si="79"/>
        <v>-26308.932282970676</v>
      </c>
      <c r="L1018" s="455">
        <f t="shared" ca="1" si="80"/>
        <v>-6340452.6801959323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>
        <f t="shared" si="104"/>
        <v>85</v>
      </c>
      <c r="H1019" s="470">
        <v>1012</v>
      </c>
      <c r="I1019" s="455">
        <f t="shared" ca="1" si="81"/>
        <v>-6340452.6801959323</v>
      </c>
      <c r="J1019" s="455">
        <f t="array" ref="J1019">IFERROR(INDEX('Retirement Calculator'!J:J,MATCH('Isaac 401k'!N1019,'Retirement Calculator'!A:A,0),0),0)</f>
        <v>7863.2184191855868</v>
      </c>
      <c r="K1019" s="455">
        <f t="shared" ca="1" si="79"/>
        <v>-26451.31624422966</v>
      </c>
      <c r="L1019" s="455">
        <f t="shared" ca="1" si="80"/>
        <v>-6374767.2148593478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>
        <f t="shared" si="104"/>
        <v>85</v>
      </c>
      <c r="H1020" s="470">
        <v>1013</v>
      </c>
      <c r="I1020" s="455">
        <f t="shared" ca="1" si="81"/>
        <v>-6374767.2148593478</v>
      </c>
      <c r="J1020" s="455">
        <f t="array" ref="J1020">IFERROR(INDEX('Retirement Calculator'!J:J,MATCH('Isaac 401k'!N1020,'Retirement Calculator'!A:A,0),0),0)</f>
        <v>7863.2184191855868</v>
      </c>
      <c r="K1020" s="455">
        <f t="shared" ca="1" si="79"/>
        <v>-26594.293471993889</v>
      </c>
      <c r="L1020" s="455">
        <f t="shared" ca="1" si="80"/>
        <v>-6409224.7267505275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>
        <f t="shared" si="104"/>
        <v>85</v>
      </c>
      <c r="H1021" s="470">
        <v>1014</v>
      </c>
      <c r="I1021" s="455">
        <f t="shared" ca="1" si="81"/>
        <v>-6409224.7267505275</v>
      </c>
      <c r="J1021" s="455">
        <f t="array" ref="J1021">IFERROR(INDEX('Retirement Calculator'!J:J,MATCH('Isaac 401k'!N1021,'Retirement Calculator'!A:A,0),0),0)</f>
        <v>7863.2184191855868</v>
      </c>
      <c r="K1021" s="455">
        <f t="shared" ca="1" si="79"/>
        <v>-26737.86643820714</v>
      </c>
      <c r="L1021" s="455">
        <f t="shared" ca="1" si="80"/>
        <v>-6443825.8116079206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>
        <f t="shared" si="104"/>
        <v>85</v>
      </c>
      <c r="H1022" s="470">
        <v>1015</v>
      </c>
      <c r="I1022" s="455">
        <f t="shared" ca="1" si="81"/>
        <v>-6443825.8116079206</v>
      </c>
      <c r="J1022" s="455">
        <f t="array" ref="J1022">IFERROR(INDEX('Retirement Calculator'!J:J,MATCH('Isaac 401k'!N1022,'Retirement Calculator'!A:A,0),0),0)</f>
        <v>7863.2184191855868</v>
      </c>
      <c r="K1022" s="455">
        <f t="shared" ca="1" si="79"/>
        <v>-26882.037625112942</v>
      </c>
      <c r="L1022" s="455">
        <f t="shared" ca="1" si="80"/>
        <v>-6478571.067652219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>
        <f t="shared" si="104"/>
        <v>85</v>
      </c>
      <c r="H1023" s="470">
        <v>1016</v>
      </c>
      <c r="I1023" s="455">
        <f t="shared" ca="1" si="81"/>
        <v>-6478571.067652219</v>
      </c>
      <c r="J1023" s="455">
        <f t="array" ref="J1023">IFERROR(INDEX('Retirement Calculator'!J:J,MATCH('Isaac 401k'!N1023,'Retirement Calculator'!A:A,0),0),0)</f>
        <v>7863.2184191855868</v>
      </c>
      <c r="K1023" s="455">
        <f t="shared" ca="1" si="79"/>
        <v>-27026.809525297518</v>
      </c>
      <c r="L1023" s="455">
        <f t="shared" ca="1" si="80"/>
        <v>-6513461.0955967028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>
        <f t="shared" si="104"/>
        <v>85</v>
      </c>
      <c r="H1024" s="470">
        <v>1017</v>
      </c>
      <c r="I1024" s="455">
        <f t="shared" ca="1" si="81"/>
        <v>-6513461.0955967028</v>
      </c>
      <c r="J1024" s="455">
        <f t="array" ref="J1024">IFERROR(INDEX('Retirement Calculator'!J:J,MATCH('Isaac 401k'!N1024,'Retirement Calculator'!A:A,0),0),0)</f>
        <v>7863.2184191855868</v>
      </c>
      <c r="K1024" s="455">
        <f t="shared" ca="1" si="79"/>
        <v>-27172.184641732867</v>
      </c>
      <c r="L1024" s="455">
        <f t="shared" ca="1" si="80"/>
        <v>-6548496.4986576214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>
        <f t="shared" si="104"/>
        <v>85</v>
      </c>
      <c r="H1025" s="470">
        <v>1018</v>
      </c>
      <c r="I1025" s="455">
        <f t="shared" ca="1" si="81"/>
        <v>-6548496.4986576214</v>
      </c>
      <c r="J1025" s="455">
        <f t="array" ref="J1025">IFERROR(INDEX('Retirement Calculator'!J:J,MATCH('Isaac 401k'!N1025,'Retirement Calculator'!A:A,0),0),0)</f>
        <v>7863.2184191855868</v>
      </c>
      <c r="K1025" s="455">
        <f t="shared" ca="1" si="79"/>
        <v>-27318.165487820024</v>
      </c>
      <c r="L1025" s="455">
        <f t="shared" ca="1" si="80"/>
        <v>-6583677.8825646276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>
        <f t="shared" si="104"/>
        <v>85</v>
      </c>
      <c r="H1026" s="470">
        <v>1019</v>
      </c>
      <c r="I1026" s="455">
        <f t="shared" ca="1" si="81"/>
        <v>-6583677.8825646276</v>
      </c>
      <c r="J1026" s="455">
        <f t="array" ref="J1026">IFERROR(INDEX('Retirement Calculator'!J:J,MATCH('Isaac 401k'!N1026,'Retirement Calculator'!A:A,0),0),0)</f>
        <v>7863.2184191855868</v>
      </c>
      <c r="K1026" s="455">
        <f t="shared" ca="1" si="79"/>
        <v>-27464.754587432555</v>
      </c>
      <c r="L1026" s="455">
        <f t="shared" ca="1" si="80"/>
        <v>-6619005.8555712458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>
        <f t="shared" si="104"/>
        <v>85</v>
      </c>
      <c r="H1027" s="470">
        <v>1020</v>
      </c>
      <c r="I1027" s="455">
        <f t="shared" ca="1" si="81"/>
        <v>-6619005.8555712458</v>
      </c>
      <c r="J1027" s="455">
        <f t="array" ref="J1027">IFERROR(INDEX('Retirement Calculator'!J:J,MATCH('Isaac 401k'!N1027,'Retirement Calculator'!A:A,0),0),0)</f>
        <v>7863.2184191855868</v>
      </c>
      <c r="K1027" s="455">
        <f t="shared" ca="1" si="79"/>
        <v>-27611.95447496013</v>
      </c>
      <c r="L1027" s="455">
        <f t="shared" ca="1" si="80"/>
        <v>-6654481.0284653921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>
        <f>G1027+1</f>
        <v>86</v>
      </c>
      <c r="H1028" s="470">
        <v>1021</v>
      </c>
      <c r="I1028" s="455">
        <f t="shared" ca="1" si="81"/>
        <v>-6654481.0284653921</v>
      </c>
      <c r="J1028" s="455">
        <f t="array" ref="J1028">IFERROR(INDEX('Retirement Calculator'!J:J,MATCH('Isaac 401k'!N1028,'Retirement Calculator'!A:A,0),0),0)</f>
        <v>7863.2184191855868</v>
      </c>
      <c r="K1028" s="455">
        <f t="shared" ref="K1028:K1282" ca="1" si="105">IPMT(M1028/12,1,12,-I1028+J1028,,0)</f>
        <v>-27759.767695352406</v>
      </c>
      <c r="L1028" s="455">
        <f t="shared" ref="L1028:L1282" ca="1" si="106">I1028-J1028+K1028</f>
        <v>-6690104.0145799303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>
        <f t="shared" ref="G1029:G1039" si="107">G1028</f>
        <v>86</v>
      </c>
      <c r="H1029" s="470">
        <v>1022</v>
      </c>
      <c r="I1029" s="455">
        <f t="shared" ref="I1029:I1283" ca="1" si="108">L1028</f>
        <v>-6690104.0145799303</v>
      </c>
      <c r="J1029" s="455">
        <f t="array" ref="J1029">IFERROR(INDEX('Retirement Calculator'!J:J,MATCH('Isaac 401k'!N1029,'Retirement Calculator'!A:A,0),0),0)</f>
        <v>7863.2184191855868</v>
      </c>
      <c r="K1029" s="455">
        <f t="shared" ca="1" si="105"/>
        <v>-27908.196804162984</v>
      </c>
      <c r="L1029" s="455">
        <f t="shared" ca="1" si="106"/>
        <v>-6725875.4298032792</v>
      </c>
      <c r="M1029" s="471">
        <f t="shared" ref="M1029:M1283" si="109">M1028</f>
        <v>0.05</v>
      </c>
      <c r="N1029" s="475">
        <f t="shared" ref="N1029:N1283" si="110">EDATE(N1028,1)</f>
        <v>82363</v>
      </c>
    </row>
    <row r="1030" spans="7:14" ht="11.25" customHeight="1" x14ac:dyDescent="0.3">
      <c r="G1030" s="470">
        <f t="shared" si="107"/>
        <v>86</v>
      </c>
      <c r="H1030" s="470">
        <v>1023</v>
      </c>
      <c r="I1030" s="455">
        <f t="shared" ca="1" si="108"/>
        <v>-6725875.4298032792</v>
      </c>
      <c r="J1030" s="455">
        <f t="array" ref="J1030">IFERROR(INDEX('Retirement Calculator'!J:J,MATCH('Isaac 401k'!N1030,'Retirement Calculator'!A:A,0),0),0)</f>
        <v>7863.2184191855868</v>
      </c>
      <c r="K1030" s="455">
        <f t="shared" ca="1" si="105"/>
        <v>-28057.244367593601</v>
      </c>
      <c r="L1030" s="455">
        <f t="shared" ca="1" si="106"/>
        <v>-6761795.892590059</v>
      </c>
      <c r="M1030" s="471">
        <f t="shared" si="109"/>
        <v>0.05</v>
      </c>
      <c r="N1030" s="475">
        <f t="shared" si="110"/>
        <v>82394</v>
      </c>
    </row>
    <row r="1031" spans="7:14" ht="11.25" customHeight="1" x14ac:dyDescent="0.3">
      <c r="G1031" s="470">
        <f t="shared" si="107"/>
        <v>86</v>
      </c>
      <c r="H1031" s="470">
        <v>1024</v>
      </c>
      <c r="I1031" s="455">
        <f t="shared" ca="1" si="108"/>
        <v>-6761795.892590059</v>
      </c>
      <c r="J1031" s="455">
        <f t="array" ref="J1031">IFERROR(INDEX('Retirement Calculator'!J:J,MATCH('Isaac 401k'!N1031,'Retirement Calculator'!A:A,0),0),0)</f>
        <v>7863.2184191855868</v>
      </c>
      <c r="K1031" s="455">
        <f t="shared" ca="1" si="105"/>
        <v>-28206.912962538521</v>
      </c>
      <c r="L1031" s="455">
        <f t="shared" ca="1" si="106"/>
        <v>-6797866.023971783</v>
      </c>
      <c r="M1031" s="471">
        <f t="shared" si="109"/>
        <v>0.05</v>
      </c>
      <c r="N1031" s="475">
        <f t="shared" si="110"/>
        <v>82425</v>
      </c>
    </row>
    <row r="1032" spans="7:14" ht="11.25" customHeight="1" x14ac:dyDescent="0.3">
      <c r="G1032" s="470">
        <f t="shared" si="107"/>
        <v>86</v>
      </c>
      <c r="H1032" s="470">
        <v>1025</v>
      </c>
      <c r="I1032" s="455">
        <f t="shared" ca="1" si="108"/>
        <v>-6797866.023971783</v>
      </c>
      <c r="J1032" s="455">
        <f t="array" ref="J1032">IFERROR(INDEX('Retirement Calculator'!J:J,MATCH('Isaac 401k'!N1032,'Retirement Calculator'!A:A,0),0),0)</f>
        <v>7863.2184191855868</v>
      </c>
      <c r="K1032" s="455">
        <f t="shared" ca="1" si="105"/>
        <v>-28357.205176629035</v>
      </c>
      <c r="L1032" s="455">
        <f t="shared" ca="1" si="106"/>
        <v>-6834086.447567598</v>
      </c>
      <c r="M1032" s="471">
        <f t="shared" si="109"/>
        <v>0.05</v>
      </c>
      <c r="N1032" s="475">
        <f t="shared" si="110"/>
        <v>82455</v>
      </c>
    </row>
    <row r="1033" spans="7:14" ht="11.25" customHeight="1" x14ac:dyDescent="0.3">
      <c r="G1033" s="470">
        <f t="shared" si="107"/>
        <v>86</v>
      </c>
      <c r="H1033" s="470">
        <v>1026</v>
      </c>
      <c r="I1033" s="455">
        <f t="shared" ca="1" si="108"/>
        <v>-6834086.447567598</v>
      </c>
      <c r="J1033" s="455">
        <f t="array" ref="J1033">IFERROR(INDEX('Retirement Calculator'!J:J,MATCH('Isaac 401k'!N1033,'Retirement Calculator'!A:A,0),0),0)</f>
        <v>7863.2184191855868</v>
      </c>
      <c r="K1033" s="455">
        <f t="shared" ca="1" si="105"/>
        <v>-28508.123608278271</v>
      </c>
      <c r="L1033" s="455">
        <f t="shared" ca="1" si="106"/>
        <v>-6870457.7895950619</v>
      </c>
      <c r="M1033" s="471">
        <f t="shared" si="109"/>
        <v>0.05</v>
      </c>
      <c r="N1033" s="475">
        <f t="shared" si="110"/>
        <v>82486</v>
      </c>
    </row>
    <row r="1034" spans="7:14" ht="11.25" customHeight="1" x14ac:dyDescent="0.3">
      <c r="G1034" s="470">
        <f t="shared" si="107"/>
        <v>86</v>
      </c>
      <c r="H1034" s="470">
        <v>1027</v>
      </c>
      <c r="I1034" s="455">
        <f t="shared" ca="1" si="108"/>
        <v>-6870457.7895950619</v>
      </c>
      <c r="J1034" s="455">
        <f t="array" ref="J1034">IFERROR(INDEX('Retirement Calculator'!J:J,MATCH('Isaac 401k'!N1034,'Retirement Calculator'!A:A,0),0),0)</f>
        <v>7863.2184191855868</v>
      </c>
      <c r="K1034" s="455">
        <f t="shared" ca="1" si="105"/>
        <v>-28659.670866726032</v>
      </c>
      <c r="L1034" s="455">
        <f t="shared" ca="1" si="106"/>
        <v>-6906980.6788809737</v>
      </c>
      <c r="M1034" s="471">
        <f t="shared" si="109"/>
        <v>0.05</v>
      </c>
      <c r="N1034" s="475">
        <f t="shared" si="110"/>
        <v>82516</v>
      </c>
    </row>
    <row r="1035" spans="7:14" ht="11.25" customHeight="1" x14ac:dyDescent="0.3">
      <c r="G1035" s="470">
        <f t="shared" si="107"/>
        <v>86</v>
      </c>
      <c r="H1035" s="470">
        <v>1028</v>
      </c>
      <c r="I1035" s="455">
        <f t="shared" ca="1" si="108"/>
        <v>-6906980.6788809737</v>
      </c>
      <c r="J1035" s="455">
        <f t="array" ref="J1035">IFERROR(INDEX('Retirement Calculator'!J:J,MATCH('Isaac 401k'!N1035,'Retirement Calculator'!A:A,0),0),0)</f>
        <v>7863.2184191855868</v>
      </c>
      <c r="K1035" s="455">
        <f t="shared" ca="1" si="105"/>
        <v>-28811.849572083993</v>
      </c>
      <c r="L1035" s="455">
        <f t="shared" ca="1" si="106"/>
        <v>-6943655.7468722435</v>
      </c>
      <c r="M1035" s="471">
        <f t="shared" si="109"/>
        <v>0.05</v>
      </c>
      <c r="N1035" s="475">
        <f t="shared" si="110"/>
        <v>82547</v>
      </c>
    </row>
    <row r="1036" spans="7:14" ht="11.25" customHeight="1" x14ac:dyDescent="0.3">
      <c r="G1036" s="470">
        <f t="shared" si="107"/>
        <v>86</v>
      </c>
      <c r="H1036" s="470">
        <v>1029</v>
      </c>
      <c r="I1036" s="455">
        <f t="shared" ca="1" si="108"/>
        <v>-6943655.7468722435</v>
      </c>
      <c r="J1036" s="455">
        <f t="array" ref="J1036">IFERROR(INDEX('Retirement Calculator'!J:J,MATCH('Isaac 401k'!N1036,'Retirement Calculator'!A:A,0),0),0)</f>
        <v>7863.2184191855868</v>
      </c>
      <c r="K1036" s="455">
        <f t="shared" ca="1" si="105"/>
        <v>-28964.662355380951</v>
      </c>
      <c r="L1036" s="455">
        <f t="shared" ca="1" si="106"/>
        <v>-6980483.6276468104</v>
      </c>
      <c r="M1036" s="471">
        <f t="shared" si="109"/>
        <v>0.05</v>
      </c>
      <c r="N1036" s="475">
        <f t="shared" si="110"/>
        <v>82578</v>
      </c>
    </row>
    <row r="1037" spans="7:14" ht="11.25" customHeight="1" x14ac:dyDescent="0.3">
      <c r="G1037" s="470">
        <f t="shared" si="107"/>
        <v>86</v>
      </c>
      <c r="H1037" s="470">
        <v>1030</v>
      </c>
      <c r="I1037" s="455">
        <f t="shared" ca="1" si="108"/>
        <v>-6980483.6276468104</v>
      </c>
      <c r="J1037" s="455">
        <f t="array" ref="J1037">IFERROR(INDEX('Retirement Calculator'!J:J,MATCH('Isaac 401k'!N1037,'Retirement Calculator'!A:A,0),0),0)</f>
        <v>7863.2184191855868</v>
      </c>
      <c r="K1037" s="455">
        <f t="shared" ca="1" si="105"/>
        <v>-29118.111858608318</v>
      </c>
      <c r="L1037" s="455">
        <f t="shared" ca="1" si="106"/>
        <v>-7017464.9579246044</v>
      </c>
      <c r="M1037" s="471">
        <f t="shared" si="109"/>
        <v>0.05</v>
      </c>
      <c r="N1037" s="475">
        <f t="shared" si="110"/>
        <v>82606</v>
      </c>
    </row>
    <row r="1038" spans="7:14" ht="11.25" customHeight="1" x14ac:dyDescent="0.3">
      <c r="G1038" s="470">
        <f t="shared" si="107"/>
        <v>86</v>
      </c>
      <c r="H1038" s="470">
        <v>1031</v>
      </c>
      <c r="I1038" s="455">
        <f t="shared" ca="1" si="108"/>
        <v>-7017464.9579246044</v>
      </c>
      <c r="J1038" s="455">
        <f t="array" ref="J1038">IFERROR(INDEX('Retirement Calculator'!J:J,MATCH('Isaac 401k'!N1038,'Retirement Calculator'!A:A,0),0),0)</f>
        <v>7863.2184191855868</v>
      </c>
      <c r="K1038" s="455">
        <f t="shared" ca="1" si="105"/>
        <v>-29272.200734765793</v>
      </c>
      <c r="L1038" s="455">
        <f t="shared" ca="1" si="106"/>
        <v>-7054600.3770785565</v>
      </c>
      <c r="M1038" s="471">
        <f t="shared" si="109"/>
        <v>0.05</v>
      </c>
      <c r="N1038" s="475">
        <f t="shared" si="110"/>
        <v>82637</v>
      </c>
    </row>
    <row r="1039" spans="7:14" ht="11.25" customHeight="1" x14ac:dyDescent="0.3">
      <c r="G1039" s="470">
        <f t="shared" si="107"/>
        <v>86</v>
      </c>
      <c r="H1039" s="470">
        <v>1032</v>
      </c>
      <c r="I1039" s="455">
        <f t="shared" ca="1" si="108"/>
        <v>-7054600.3770785565</v>
      </c>
      <c r="J1039" s="455">
        <f t="array" ref="J1039">IFERROR(INDEX('Retirement Calculator'!J:J,MATCH('Isaac 401k'!N1039,'Retirement Calculator'!A:A,0),0),0)</f>
        <v>7863.2184191855868</v>
      </c>
      <c r="K1039" s="455">
        <f t="shared" ca="1" si="105"/>
        <v>-29426.931647907262</v>
      </c>
      <c r="L1039" s="455">
        <f t="shared" ca="1" si="106"/>
        <v>-7091890.5271456493</v>
      </c>
      <c r="M1039" s="471">
        <f t="shared" si="109"/>
        <v>0.05</v>
      </c>
      <c r="N1039" s="475">
        <f t="shared" si="110"/>
        <v>82667</v>
      </c>
    </row>
    <row r="1040" spans="7:14" ht="11.25" customHeight="1" x14ac:dyDescent="0.3">
      <c r="G1040" s="470">
        <f>G1039+1</f>
        <v>87</v>
      </c>
      <c r="H1040" s="470">
        <v>1033</v>
      </c>
      <c r="I1040" s="455">
        <f t="shared" ca="1" si="108"/>
        <v>-7091890.5271456493</v>
      </c>
      <c r="J1040" s="455">
        <f t="array" ref="J1040">IFERROR(INDEX('Retirement Calculator'!J:J,MATCH('Isaac 401k'!N1040,'Retirement Calculator'!A:A,0),0),0)</f>
        <v>7863.2184191855868</v>
      </c>
      <c r="K1040" s="455">
        <f t="shared" ca="1" si="105"/>
        <v>-29582.307273186809</v>
      </c>
      <c r="L1040" s="455">
        <f t="shared" ca="1" si="106"/>
        <v>-7129336.0528380219</v>
      </c>
      <c r="M1040" s="471">
        <f t="shared" si="109"/>
        <v>0.05</v>
      </c>
      <c r="N1040" s="475">
        <f t="shared" si="110"/>
        <v>82698</v>
      </c>
    </row>
    <row r="1041" spans="7:14" ht="11.25" customHeight="1" x14ac:dyDescent="0.3">
      <c r="G1041" s="470">
        <f t="shared" ref="G1041:G1051" si="111">G1040</f>
        <v>87</v>
      </c>
      <c r="H1041" s="470">
        <v>1034</v>
      </c>
      <c r="I1041" s="455">
        <f t="shared" ca="1" si="108"/>
        <v>-7129336.0528380219</v>
      </c>
      <c r="J1041" s="455">
        <f t="array" ref="J1041">IFERROR(INDEX('Retirement Calculator'!J:J,MATCH('Isaac 401k'!N1041,'Retirement Calculator'!A:A,0),0),0)</f>
        <v>7863.2184191855868</v>
      </c>
      <c r="K1041" s="455">
        <f t="shared" ca="1" si="105"/>
        <v>-29738.330296905031</v>
      </c>
      <c r="L1041" s="455">
        <f t="shared" ca="1" si="106"/>
        <v>-7166937.6015541125</v>
      </c>
      <c r="M1041" s="471">
        <f t="shared" si="109"/>
        <v>0.05</v>
      </c>
      <c r="N1041" s="475">
        <f t="shared" si="110"/>
        <v>82728</v>
      </c>
    </row>
    <row r="1042" spans="7:14" ht="11.25" customHeight="1" x14ac:dyDescent="0.3">
      <c r="G1042" s="470">
        <f t="shared" si="111"/>
        <v>87</v>
      </c>
      <c r="H1042" s="470">
        <v>1035</v>
      </c>
      <c r="I1042" s="455">
        <f t="shared" ca="1" si="108"/>
        <v>-7166937.6015541125</v>
      </c>
      <c r="J1042" s="455">
        <f t="array" ref="J1042">IFERROR(INDEX('Retirement Calculator'!J:J,MATCH('Isaac 401k'!N1042,'Retirement Calculator'!A:A,0),0),0)</f>
        <v>7863.2184191855868</v>
      </c>
      <c r="K1042" s="455">
        <f t="shared" ca="1" si="105"/>
        <v>-29895.00341655541</v>
      </c>
      <c r="L1042" s="455">
        <f t="shared" ca="1" si="106"/>
        <v>-7204695.8233898534</v>
      </c>
      <c r="M1042" s="471">
        <f t="shared" si="109"/>
        <v>0.05</v>
      </c>
      <c r="N1042" s="475">
        <f t="shared" si="110"/>
        <v>82759</v>
      </c>
    </row>
    <row r="1043" spans="7:14" ht="11.25" customHeight="1" x14ac:dyDescent="0.3">
      <c r="G1043" s="470">
        <f t="shared" si="111"/>
        <v>87</v>
      </c>
      <c r="H1043" s="470">
        <v>1036</v>
      </c>
      <c r="I1043" s="455">
        <f t="shared" ca="1" si="108"/>
        <v>-7204695.8233898534</v>
      </c>
      <c r="J1043" s="455">
        <f t="array" ref="J1043">IFERROR(INDEX('Retirement Calculator'!J:J,MATCH('Isaac 401k'!N1043,'Retirement Calculator'!A:A,0),0),0)</f>
        <v>7863.2184191855868</v>
      </c>
      <c r="K1043" s="455">
        <f t="shared" ca="1" si="105"/>
        <v>-30052.329340870991</v>
      </c>
      <c r="L1043" s="455">
        <f t="shared" ca="1" si="106"/>
        <v>-7242611.3711499106</v>
      </c>
      <c r="M1043" s="471">
        <f t="shared" si="109"/>
        <v>0.05</v>
      </c>
      <c r="N1043" s="475">
        <f t="shared" si="110"/>
        <v>82790</v>
      </c>
    </row>
    <row r="1044" spans="7:14" ht="11.25" customHeight="1" x14ac:dyDescent="0.3">
      <c r="G1044" s="470">
        <f t="shared" si="111"/>
        <v>87</v>
      </c>
      <c r="H1044" s="470">
        <v>1037</v>
      </c>
      <c r="I1044" s="455">
        <f t="shared" ca="1" si="108"/>
        <v>-7242611.3711499106</v>
      </c>
      <c r="J1044" s="455">
        <f t="array" ref="J1044">IFERROR(INDEX('Retirement Calculator'!J:J,MATCH('Isaac 401k'!N1044,'Retirement Calculator'!A:A,0),0),0)</f>
        <v>7863.2184191855868</v>
      </c>
      <c r="K1044" s="455">
        <f t="shared" ca="1" si="105"/>
        <v>-30210.31078987123</v>
      </c>
      <c r="L1044" s="455">
        <f t="shared" ca="1" si="106"/>
        <v>-7280684.9003589675</v>
      </c>
      <c r="M1044" s="471">
        <f t="shared" si="109"/>
        <v>0.05</v>
      </c>
      <c r="N1044" s="475">
        <f t="shared" si="110"/>
        <v>82820</v>
      </c>
    </row>
    <row r="1045" spans="7:14" ht="11.25" customHeight="1" x14ac:dyDescent="0.3">
      <c r="G1045" s="470">
        <f t="shared" si="111"/>
        <v>87</v>
      </c>
      <c r="H1045" s="470">
        <v>1038</v>
      </c>
      <c r="I1045" s="455">
        <f t="shared" ca="1" si="108"/>
        <v>-7280684.9003589675</v>
      </c>
      <c r="J1045" s="455">
        <f t="array" ref="J1045">IFERROR(INDEX('Retirement Calculator'!J:J,MATCH('Isaac 401k'!N1045,'Retirement Calculator'!A:A,0),0),0)</f>
        <v>7863.2184191855868</v>
      </c>
      <c r="K1045" s="455">
        <f t="shared" ca="1" si="105"/>
        <v>-30368.950494908971</v>
      </c>
      <c r="L1045" s="455">
        <f t="shared" ca="1" si="106"/>
        <v>-7318917.0692730621</v>
      </c>
      <c r="M1045" s="471">
        <f t="shared" si="109"/>
        <v>0.05</v>
      </c>
      <c r="N1045" s="475">
        <f t="shared" si="110"/>
        <v>82851</v>
      </c>
    </row>
    <row r="1046" spans="7:14" ht="11.25" customHeight="1" x14ac:dyDescent="0.3">
      <c r="G1046" s="470">
        <f t="shared" si="111"/>
        <v>87</v>
      </c>
      <c r="H1046" s="470">
        <v>1039</v>
      </c>
      <c r="I1046" s="455">
        <f t="shared" ca="1" si="108"/>
        <v>-7318917.0692730621</v>
      </c>
      <c r="J1046" s="455">
        <f t="array" ref="J1046">IFERROR(INDEX('Retirement Calculator'!J:J,MATCH('Isaac 401k'!N1046,'Retirement Calculator'!A:A,0),0),0)</f>
        <v>7863.2184191855868</v>
      </c>
      <c r="K1046" s="455">
        <f t="shared" ca="1" si="105"/>
        <v>-30528.251198717699</v>
      </c>
      <c r="L1046" s="455">
        <f t="shared" ca="1" si="106"/>
        <v>-7357308.5388909653</v>
      </c>
      <c r="M1046" s="471">
        <f t="shared" si="109"/>
        <v>0.05</v>
      </c>
      <c r="N1046" s="475">
        <f t="shared" si="110"/>
        <v>82881</v>
      </c>
    </row>
    <row r="1047" spans="7:14" ht="11.25" customHeight="1" x14ac:dyDescent="0.3">
      <c r="G1047" s="470">
        <f t="shared" si="111"/>
        <v>87</v>
      </c>
      <c r="H1047" s="470">
        <v>1040</v>
      </c>
      <c r="I1047" s="455">
        <f t="shared" ca="1" si="108"/>
        <v>-7357308.5388909653</v>
      </c>
      <c r="J1047" s="455">
        <f t="array" ref="J1047">IFERROR(INDEX('Retirement Calculator'!J:J,MATCH('Isaac 401k'!N1047,'Retirement Calculator'!A:A,0),0),0)</f>
        <v>7863.2184191855868</v>
      </c>
      <c r="K1047" s="455">
        <f t="shared" ca="1" si="105"/>
        <v>-30688.21565545896</v>
      </c>
      <c r="L1047" s="455">
        <f t="shared" ca="1" si="106"/>
        <v>-7395859.9729656102</v>
      </c>
      <c r="M1047" s="471">
        <f t="shared" si="109"/>
        <v>0.05</v>
      </c>
      <c r="N1047" s="475">
        <f t="shared" si="110"/>
        <v>82912</v>
      </c>
    </row>
    <row r="1048" spans="7:14" ht="11.25" customHeight="1" x14ac:dyDescent="0.3">
      <c r="G1048" s="470">
        <f t="shared" si="111"/>
        <v>87</v>
      </c>
      <c r="H1048" s="470">
        <v>1041</v>
      </c>
      <c r="I1048" s="455">
        <f t="shared" ca="1" si="108"/>
        <v>-7395859.9729656102</v>
      </c>
      <c r="J1048" s="455">
        <f t="array" ref="J1048">IFERROR(INDEX('Retirement Calculator'!J:J,MATCH('Isaac 401k'!N1048,'Retirement Calculator'!A:A,0),0),0)</f>
        <v>7863.2184191855868</v>
      </c>
      <c r="K1048" s="455">
        <f t="shared" ca="1" si="105"/>
        <v>-30848.846630769985</v>
      </c>
      <c r="L1048" s="455">
        <f t="shared" ca="1" si="106"/>
        <v>-7434572.0380155658</v>
      </c>
      <c r="M1048" s="471">
        <f t="shared" si="109"/>
        <v>0.05</v>
      </c>
      <c r="N1048" s="475">
        <f t="shared" si="110"/>
        <v>82943</v>
      </c>
    </row>
    <row r="1049" spans="7:14" ht="11.25" customHeight="1" x14ac:dyDescent="0.3">
      <c r="G1049" s="470">
        <f t="shared" si="111"/>
        <v>87</v>
      </c>
      <c r="H1049" s="470">
        <v>1042</v>
      </c>
      <c r="I1049" s="455">
        <f t="shared" ca="1" si="108"/>
        <v>-7434572.0380155658</v>
      </c>
      <c r="J1049" s="455">
        <f t="array" ref="J1049">IFERROR(INDEX('Retirement Calculator'!J:J,MATCH('Isaac 401k'!N1049,'Retirement Calculator'!A:A,0),0),0)</f>
        <v>7863.2184191855868</v>
      </c>
      <c r="K1049" s="455">
        <f t="shared" ca="1" si="105"/>
        <v>-31010.146901811466</v>
      </c>
      <c r="L1049" s="455">
        <f t="shared" ca="1" si="106"/>
        <v>-7473445.4033365631</v>
      </c>
      <c r="M1049" s="471">
        <f t="shared" si="109"/>
        <v>0.05</v>
      </c>
      <c r="N1049" s="475">
        <f t="shared" si="110"/>
        <v>82971</v>
      </c>
    </row>
    <row r="1050" spans="7:14" ht="11.25" customHeight="1" x14ac:dyDescent="0.3">
      <c r="G1050" s="470">
        <f t="shared" si="111"/>
        <v>87</v>
      </c>
      <c r="H1050" s="470">
        <v>1043</v>
      </c>
      <c r="I1050" s="455">
        <f t="shared" ca="1" si="108"/>
        <v>-7473445.4033365631</v>
      </c>
      <c r="J1050" s="455">
        <f t="array" ref="J1050">IFERROR(INDEX('Retirement Calculator'!J:J,MATCH('Isaac 401k'!N1050,'Retirement Calculator'!A:A,0),0),0)</f>
        <v>7863.2184191855868</v>
      </c>
      <c r="K1050" s="455">
        <f t="shared" ca="1" si="105"/>
        <v>-31172.119257315619</v>
      </c>
      <c r="L1050" s="455">
        <f t="shared" ca="1" si="106"/>
        <v>-7512480.741013065</v>
      </c>
      <c r="M1050" s="471">
        <f t="shared" si="109"/>
        <v>0.05</v>
      </c>
      <c r="N1050" s="475">
        <f t="shared" si="110"/>
        <v>83002</v>
      </c>
    </row>
    <row r="1051" spans="7:14" ht="11.25" customHeight="1" x14ac:dyDescent="0.3">
      <c r="G1051" s="470">
        <f t="shared" si="111"/>
        <v>87</v>
      </c>
      <c r="H1051" s="470">
        <v>1044</v>
      </c>
      <c r="I1051" s="455">
        <f t="shared" ca="1" si="108"/>
        <v>-7512480.741013065</v>
      </c>
      <c r="J1051" s="455">
        <f t="array" ref="J1051">IFERROR(INDEX('Retirement Calculator'!J:J,MATCH('Isaac 401k'!N1051,'Retirement Calculator'!A:A,0),0),0)</f>
        <v>7863.2184191855868</v>
      </c>
      <c r="K1051" s="455">
        <f t="shared" ca="1" si="105"/>
        <v>-31334.76649763438</v>
      </c>
      <c r="L1051" s="455">
        <f t="shared" ca="1" si="106"/>
        <v>-7551678.7259298852</v>
      </c>
      <c r="M1051" s="471">
        <f t="shared" si="109"/>
        <v>0.05</v>
      </c>
      <c r="N1051" s="475">
        <f t="shared" si="110"/>
        <v>83032</v>
      </c>
    </row>
    <row r="1052" spans="7:14" ht="11.25" customHeight="1" x14ac:dyDescent="0.3">
      <c r="G1052" s="470">
        <f>G1051+1</f>
        <v>88</v>
      </c>
      <c r="H1052" s="470">
        <v>1045</v>
      </c>
      <c r="I1052" s="455">
        <f t="shared" ca="1" si="108"/>
        <v>-7551678.7259298852</v>
      </c>
      <c r="J1052" s="455">
        <f t="array" ref="J1052">IFERROR(INDEX('Retirement Calculator'!J:J,MATCH('Isaac 401k'!N1052,'Retirement Calculator'!A:A,0),0),0)</f>
        <v>7863.2184191855868</v>
      </c>
      <c r="K1052" s="455">
        <f t="shared" ca="1" si="105"/>
        <v>-31498.091434787795</v>
      </c>
      <c r="L1052" s="455">
        <f t="shared" ca="1" si="106"/>
        <v>-7591040.035783859</v>
      </c>
      <c r="M1052" s="471">
        <f t="shared" si="109"/>
        <v>0.05</v>
      </c>
      <c r="N1052" s="475">
        <f t="shared" si="110"/>
        <v>83063</v>
      </c>
    </row>
    <row r="1053" spans="7:14" ht="11.25" customHeight="1" x14ac:dyDescent="0.3">
      <c r="G1053" s="470">
        <f t="shared" ref="G1053:G1063" si="112">G1052</f>
        <v>88</v>
      </c>
      <c r="H1053" s="470">
        <v>1046</v>
      </c>
      <c r="I1053" s="455">
        <f t="shared" ca="1" si="108"/>
        <v>-7591040.035783859</v>
      </c>
      <c r="J1053" s="455">
        <f t="array" ref="J1053">IFERROR(INDEX('Retirement Calculator'!J:J,MATCH('Isaac 401k'!N1053,'Retirement Calculator'!A:A,0),0),0)</f>
        <v>7863.2184191855868</v>
      </c>
      <c r="K1053" s="455">
        <f t="shared" ca="1" si="105"/>
        <v>-31662.096892512687</v>
      </c>
      <c r="L1053" s="455">
        <f t="shared" ca="1" si="106"/>
        <v>-7630565.3510955572</v>
      </c>
      <c r="M1053" s="471">
        <f t="shared" si="109"/>
        <v>0.05</v>
      </c>
      <c r="N1053" s="475">
        <f t="shared" si="110"/>
        <v>83093</v>
      </c>
    </row>
    <row r="1054" spans="7:14" ht="11.25" customHeight="1" x14ac:dyDescent="0.3">
      <c r="G1054" s="470">
        <f t="shared" si="112"/>
        <v>88</v>
      </c>
      <c r="H1054" s="470">
        <v>1047</v>
      </c>
      <c r="I1054" s="455">
        <f t="shared" ca="1" si="108"/>
        <v>-7630565.3510955572</v>
      </c>
      <c r="J1054" s="455">
        <f t="array" ref="J1054">IFERROR(INDEX('Retirement Calculator'!J:J,MATCH('Isaac 401k'!N1054,'Retirement Calculator'!A:A,0),0),0)</f>
        <v>7863.2184191855868</v>
      </c>
      <c r="K1054" s="455">
        <f t="shared" ca="1" si="105"/>
        <v>-31826.785706311428</v>
      </c>
      <c r="L1054" s="455">
        <f t="shared" ca="1" si="106"/>
        <v>-7670255.3552210545</v>
      </c>
      <c r="M1054" s="471">
        <f t="shared" si="109"/>
        <v>0.05</v>
      </c>
      <c r="N1054" s="475">
        <f t="shared" si="110"/>
        <v>83124</v>
      </c>
    </row>
    <row r="1055" spans="7:14" ht="11.25" customHeight="1" x14ac:dyDescent="0.3">
      <c r="G1055" s="470">
        <f t="shared" si="112"/>
        <v>88</v>
      </c>
      <c r="H1055" s="470">
        <v>1048</v>
      </c>
      <c r="I1055" s="455">
        <f t="shared" ca="1" si="108"/>
        <v>-7670255.3552210545</v>
      </c>
      <c r="J1055" s="455">
        <f t="array" ref="J1055">IFERROR(INDEX('Retirement Calculator'!J:J,MATCH('Isaac 401k'!N1055,'Retirement Calculator'!A:A,0),0),0)</f>
        <v>7863.2184191855868</v>
      </c>
      <c r="K1055" s="455">
        <f t="shared" ca="1" si="105"/>
        <v>-31992.160723501001</v>
      </c>
      <c r="L1055" s="455">
        <f t="shared" ca="1" si="106"/>
        <v>-7710110.7343637412</v>
      </c>
      <c r="M1055" s="471">
        <f t="shared" si="109"/>
        <v>0.05</v>
      </c>
      <c r="N1055" s="475">
        <f t="shared" si="110"/>
        <v>83155</v>
      </c>
    </row>
    <row r="1056" spans="7:14" ht="11.25" customHeight="1" x14ac:dyDescent="0.3">
      <c r="G1056" s="470">
        <f t="shared" si="112"/>
        <v>88</v>
      </c>
      <c r="H1056" s="470">
        <v>1049</v>
      </c>
      <c r="I1056" s="455">
        <f t="shared" ca="1" si="108"/>
        <v>-7710110.7343637412</v>
      </c>
      <c r="J1056" s="455">
        <f t="array" ref="J1056">IFERROR(INDEX('Retirement Calculator'!J:J,MATCH('Isaac 401k'!N1056,'Retirement Calculator'!A:A,0),0),0)</f>
        <v>7863.2184191855868</v>
      </c>
      <c r="K1056" s="455">
        <f t="shared" ca="1" si="105"/>
        <v>-32158.224803262201</v>
      </c>
      <c r="L1056" s="455">
        <f t="shared" ca="1" si="106"/>
        <v>-7750132.1775861895</v>
      </c>
      <c r="M1056" s="471">
        <f t="shared" si="109"/>
        <v>0.05</v>
      </c>
      <c r="N1056" s="475">
        <f t="shared" si="110"/>
        <v>83185</v>
      </c>
    </row>
    <row r="1057" spans="7:14" ht="11.25" customHeight="1" x14ac:dyDescent="0.3">
      <c r="G1057" s="470">
        <f t="shared" si="112"/>
        <v>88</v>
      </c>
      <c r="H1057" s="470">
        <v>1050</v>
      </c>
      <c r="I1057" s="455">
        <f t="shared" ca="1" si="108"/>
        <v>-7750132.1775861895</v>
      </c>
      <c r="J1057" s="455">
        <f t="array" ref="J1057">IFERROR(INDEX('Retirement Calculator'!J:J,MATCH('Isaac 401k'!N1057,'Retirement Calculator'!A:A,0),0),0)</f>
        <v>7863.2184191855868</v>
      </c>
      <c r="K1057" s="455">
        <f t="shared" ca="1" si="105"/>
        <v>-32324.980816689062</v>
      </c>
      <c r="L1057" s="455">
        <f t="shared" ca="1" si="106"/>
        <v>-7790320.3768220646</v>
      </c>
      <c r="M1057" s="471">
        <f t="shared" si="109"/>
        <v>0.05</v>
      </c>
      <c r="N1057" s="475">
        <f t="shared" si="110"/>
        <v>83216</v>
      </c>
    </row>
    <row r="1058" spans="7:14" ht="11.25" customHeight="1" x14ac:dyDescent="0.3">
      <c r="G1058" s="470">
        <f t="shared" si="112"/>
        <v>88</v>
      </c>
      <c r="H1058" s="470">
        <v>1051</v>
      </c>
      <c r="I1058" s="455">
        <f t="shared" ca="1" si="108"/>
        <v>-7790320.3768220646</v>
      </c>
      <c r="J1058" s="455">
        <f t="array" ref="J1058">IFERROR(INDEX('Retirement Calculator'!J:J,MATCH('Isaac 401k'!N1058,'Retirement Calculator'!A:A,0),0),0)</f>
        <v>7863.2184191855868</v>
      </c>
      <c r="K1058" s="455">
        <f t="shared" ca="1" si="105"/>
        <v>-32492.431646838544</v>
      </c>
      <c r="L1058" s="455">
        <f t="shared" ca="1" si="106"/>
        <v>-7830676.0268880893</v>
      </c>
      <c r="M1058" s="471">
        <f t="shared" si="109"/>
        <v>0.05</v>
      </c>
      <c r="N1058" s="475">
        <f t="shared" si="110"/>
        <v>83246</v>
      </c>
    </row>
    <row r="1059" spans="7:14" ht="11.25" customHeight="1" x14ac:dyDescent="0.3">
      <c r="G1059" s="470">
        <f t="shared" si="112"/>
        <v>88</v>
      </c>
      <c r="H1059" s="470">
        <v>1052</v>
      </c>
      <c r="I1059" s="455">
        <f t="shared" ca="1" si="108"/>
        <v>-7830676.0268880893</v>
      </c>
      <c r="J1059" s="455">
        <f t="array" ref="J1059">IFERROR(INDEX('Retirement Calculator'!J:J,MATCH('Isaac 401k'!N1059,'Retirement Calculator'!A:A,0),0),0)</f>
        <v>7863.2184191855868</v>
      </c>
      <c r="K1059" s="455">
        <f t="shared" ca="1" si="105"/>
        <v>-32660.580188780314</v>
      </c>
      <c r="L1059" s="455">
        <f t="shared" ca="1" si="106"/>
        <v>-7871199.8254960552</v>
      </c>
      <c r="M1059" s="471">
        <f t="shared" si="109"/>
        <v>0.05</v>
      </c>
      <c r="N1059" s="475">
        <f t="shared" si="110"/>
        <v>83277</v>
      </c>
    </row>
    <row r="1060" spans="7:14" ht="11.25" customHeight="1" x14ac:dyDescent="0.3">
      <c r="G1060" s="470">
        <f t="shared" si="112"/>
        <v>88</v>
      </c>
      <c r="H1060" s="470">
        <v>1053</v>
      </c>
      <c r="I1060" s="455">
        <f t="shared" ca="1" si="108"/>
        <v>-7871199.8254960552</v>
      </c>
      <c r="J1060" s="455">
        <f t="array" ref="J1060">IFERROR(INDEX('Retirement Calculator'!J:J,MATCH('Isaac 401k'!N1060,'Retirement Calculator'!A:A,0),0),0)</f>
        <v>7863.2184191855868</v>
      </c>
      <c r="K1060" s="455">
        <f t="shared" ca="1" si="105"/>
        <v>-32829.429349646831</v>
      </c>
      <c r="L1060" s="455">
        <f t="shared" ca="1" si="106"/>
        <v>-7911892.4732648879</v>
      </c>
      <c r="M1060" s="471">
        <f t="shared" si="109"/>
        <v>0.05</v>
      </c>
      <c r="N1060" s="475">
        <f t="shared" si="110"/>
        <v>83308</v>
      </c>
    </row>
    <row r="1061" spans="7:14" ht="11.25" customHeight="1" x14ac:dyDescent="0.3">
      <c r="G1061" s="470">
        <f t="shared" si="112"/>
        <v>88</v>
      </c>
      <c r="H1061" s="470">
        <v>1054</v>
      </c>
      <c r="I1061" s="455">
        <f t="shared" ca="1" si="108"/>
        <v>-7911892.4732648879</v>
      </c>
      <c r="J1061" s="455">
        <f t="array" ref="J1061">IFERROR(INDEX('Retirement Calculator'!J:J,MATCH('Isaac 401k'!N1061,'Retirement Calculator'!A:A,0),0),0)</f>
        <v>7863.2184191855868</v>
      </c>
      <c r="K1061" s="455">
        <f t="shared" ca="1" si="105"/>
        <v>-32998.982048683647</v>
      </c>
      <c r="L1061" s="455">
        <f t="shared" ca="1" si="106"/>
        <v>-7952754.6737327576</v>
      </c>
      <c r="M1061" s="471">
        <f t="shared" si="109"/>
        <v>0.05</v>
      </c>
      <c r="N1061" s="475">
        <f t="shared" si="110"/>
        <v>83337</v>
      </c>
    </row>
    <row r="1062" spans="7:14" ht="11.25" customHeight="1" x14ac:dyDescent="0.3">
      <c r="G1062" s="470">
        <f t="shared" si="112"/>
        <v>88</v>
      </c>
      <c r="H1062" s="470">
        <v>1055</v>
      </c>
      <c r="I1062" s="455">
        <f t="shared" ca="1" si="108"/>
        <v>-7952754.6737327576</v>
      </c>
      <c r="J1062" s="455">
        <f t="array" ref="J1062">IFERROR(INDEX('Retirement Calculator'!J:J,MATCH('Isaac 401k'!N1062,'Retirement Calculator'!A:A,0),0),0)</f>
        <v>7863.2184191855868</v>
      </c>
      <c r="K1062" s="455">
        <f t="shared" ca="1" si="105"/>
        <v>-33169.241217299765</v>
      </c>
      <c r="L1062" s="455">
        <f t="shared" ca="1" si="106"/>
        <v>-7993787.1333692428</v>
      </c>
      <c r="M1062" s="471">
        <f t="shared" si="109"/>
        <v>0.05</v>
      </c>
      <c r="N1062" s="475">
        <f t="shared" si="110"/>
        <v>83368</v>
      </c>
    </row>
    <row r="1063" spans="7:14" ht="11.25" customHeight="1" x14ac:dyDescent="0.3">
      <c r="G1063" s="470">
        <f t="shared" si="112"/>
        <v>88</v>
      </c>
      <c r="H1063" s="470">
        <v>1056</v>
      </c>
      <c r="I1063" s="455">
        <f t="shared" ca="1" si="108"/>
        <v>-7993787.1333692428</v>
      </c>
      <c r="J1063" s="455">
        <f t="array" ref="J1063">IFERROR(INDEX('Retirement Calculator'!J:J,MATCH('Isaac 401k'!N1063,'Retirement Calculator'!A:A,0),0),0)</f>
        <v>7863.2184191855868</v>
      </c>
      <c r="K1063" s="455">
        <f t="shared" ca="1" si="105"/>
        <v>-33340.209799118449</v>
      </c>
      <c r="L1063" s="455">
        <f t="shared" ca="1" si="106"/>
        <v>-8034990.561587547</v>
      </c>
      <c r="M1063" s="471">
        <f t="shared" si="109"/>
        <v>0.05</v>
      </c>
      <c r="N1063" s="475">
        <f t="shared" si="110"/>
        <v>83398</v>
      </c>
    </row>
    <row r="1064" spans="7:14" ht="11.25" customHeight="1" x14ac:dyDescent="0.3">
      <c r="G1064" s="470">
        <f>G1063+1</f>
        <v>89</v>
      </c>
      <c r="H1064" s="470">
        <v>1057</v>
      </c>
      <c r="I1064" s="455">
        <f t="shared" ca="1" si="108"/>
        <v>-8034990.561587547</v>
      </c>
      <c r="J1064" s="455">
        <f t="array" ref="J1064">IFERROR(INDEX('Retirement Calculator'!J:J,MATCH('Isaac 401k'!N1064,'Retirement Calculator'!A:A,0),0),0)</f>
        <v>7863.2184191855868</v>
      </c>
      <c r="K1064" s="455">
        <f t="shared" ca="1" si="105"/>
        <v>-33511.890750028055</v>
      </c>
      <c r="L1064" s="455">
        <f t="shared" ca="1" si="106"/>
        <v>-8076365.670756761</v>
      </c>
      <c r="M1064" s="471">
        <f t="shared" si="109"/>
        <v>0.05</v>
      </c>
      <c r="N1064" s="475">
        <f t="shared" si="110"/>
        <v>83429</v>
      </c>
    </row>
    <row r="1065" spans="7:14" ht="11.25" customHeight="1" x14ac:dyDescent="0.3">
      <c r="G1065" s="470">
        <f t="shared" ref="G1065:G1075" si="113">G1064</f>
        <v>89</v>
      </c>
      <c r="H1065" s="470">
        <v>1058</v>
      </c>
      <c r="I1065" s="455">
        <f t="shared" ca="1" si="108"/>
        <v>-8076365.670756761</v>
      </c>
      <c r="J1065" s="455">
        <f t="array" ref="J1065">IFERROR(INDEX('Retirement Calculator'!J:J,MATCH('Isaac 401k'!N1065,'Retirement Calculator'!A:A,0),0),0)</f>
        <v>7863.2184191855868</v>
      </c>
      <c r="K1065" s="455">
        <f t="shared" ca="1" si="105"/>
        <v>-33684.287038233109</v>
      </c>
      <c r="L1065" s="455">
        <f t="shared" ca="1" si="106"/>
        <v>-8117913.17621418</v>
      </c>
      <c r="M1065" s="471">
        <f t="shared" si="109"/>
        <v>0.05</v>
      </c>
      <c r="N1065" s="475">
        <f t="shared" si="110"/>
        <v>83459</v>
      </c>
    </row>
    <row r="1066" spans="7:14" ht="11.25" customHeight="1" x14ac:dyDescent="0.3">
      <c r="G1066" s="470">
        <f t="shared" si="113"/>
        <v>89</v>
      </c>
      <c r="H1066" s="470">
        <v>1059</v>
      </c>
      <c r="I1066" s="455">
        <f t="shared" ca="1" si="108"/>
        <v>-8117913.17621418</v>
      </c>
      <c r="J1066" s="455">
        <f t="array" ref="J1066">IFERROR(INDEX('Retirement Calculator'!J:J,MATCH('Isaac 401k'!N1066,'Retirement Calculator'!A:A,0),0),0)</f>
        <v>7863.2184191855868</v>
      </c>
      <c r="K1066" s="455">
        <f t="shared" ca="1" si="105"/>
        <v>-33857.40164430569</v>
      </c>
      <c r="L1066" s="455">
        <f t="shared" ca="1" si="106"/>
        <v>-8159633.7962776711</v>
      </c>
      <c r="M1066" s="471">
        <f t="shared" si="109"/>
        <v>0.05</v>
      </c>
      <c r="N1066" s="475">
        <f t="shared" si="110"/>
        <v>83490</v>
      </c>
    </row>
    <row r="1067" spans="7:14" ht="11.25" customHeight="1" x14ac:dyDescent="0.3">
      <c r="G1067" s="470">
        <f t="shared" si="113"/>
        <v>89</v>
      </c>
      <c r="H1067" s="470">
        <v>1060</v>
      </c>
      <c r="I1067" s="455">
        <f t="shared" ca="1" si="108"/>
        <v>-8159633.7962776711</v>
      </c>
      <c r="J1067" s="455">
        <f t="array" ref="J1067">IFERROR(INDEX('Retirement Calculator'!J:J,MATCH('Isaac 401k'!N1067,'Retirement Calculator'!A:A,0),0),0)</f>
        <v>7863.2184191855868</v>
      </c>
      <c r="K1067" s="455">
        <f t="shared" ca="1" si="105"/>
        <v>-34031.2375612369</v>
      </c>
      <c r="L1067" s="455">
        <f t="shared" ca="1" si="106"/>
        <v>-8201528.252258094</v>
      </c>
      <c r="M1067" s="471">
        <f t="shared" si="109"/>
        <v>0.05</v>
      </c>
      <c r="N1067" s="475">
        <f t="shared" si="110"/>
        <v>83521</v>
      </c>
    </row>
    <row r="1068" spans="7:14" ht="11.25" customHeight="1" x14ac:dyDescent="0.3">
      <c r="G1068" s="470">
        <f t="shared" si="113"/>
        <v>89</v>
      </c>
      <c r="H1068" s="470">
        <v>1061</v>
      </c>
      <c r="I1068" s="455">
        <f t="shared" ca="1" si="108"/>
        <v>-8201528.252258094</v>
      </c>
      <c r="J1068" s="455">
        <f t="array" ref="J1068">IFERROR(INDEX('Retirement Calculator'!J:J,MATCH('Isaac 401k'!N1068,'Retirement Calculator'!A:A,0),0),0)</f>
        <v>7863.2184191855868</v>
      </c>
      <c r="K1068" s="455">
        <f t="shared" ca="1" si="105"/>
        <v>-34205.797794488666</v>
      </c>
      <c r="L1068" s="455">
        <f t="shared" ca="1" si="106"/>
        <v>-8243597.2684717681</v>
      </c>
      <c r="M1068" s="471">
        <f t="shared" si="109"/>
        <v>0.05</v>
      </c>
      <c r="N1068" s="475">
        <f t="shared" si="110"/>
        <v>83551</v>
      </c>
    </row>
    <row r="1069" spans="7:14" ht="11.25" customHeight="1" x14ac:dyDescent="0.3">
      <c r="G1069" s="470">
        <f t="shared" si="113"/>
        <v>89</v>
      </c>
      <c r="H1069" s="470">
        <v>1062</v>
      </c>
      <c r="I1069" s="455">
        <f t="shared" ca="1" si="108"/>
        <v>-8243597.2684717681</v>
      </c>
      <c r="J1069" s="455">
        <f t="array" ref="J1069">IFERROR(INDEX('Retirement Calculator'!J:J,MATCH('Isaac 401k'!N1069,'Retirement Calculator'!A:A,0),0),0)</f>
        <v>7863.2184191855868</v>
      </c>
      <c r="K1069" s="455">
        <f t="shared" ca="1" si="105"/>
        <v>-34381.085362045647</v>
      </c>
      <c r="L1069" s="455">
        <f t="shared" ca="1" si="106"/>
        <v>-8285841.572253</v>
      </c>
      <c r="M1069" s="471">
        <f t="shared" si="109"/>
        <v>0.05</v>
      </c>
      <c r="N1069" s="475">
        <f t="shared" si="110"/>
        <v>83582</v>
      </c>
    </row>
    <row r="1070" spans="7:14" ht="11.25" customHeight="1" x14ac:dyDescent="0.3">
      <c r="G1070" s="470">
        <f t="shared" si="113"/>
        <v>89</v>
      </c>
      <c r="H1070" s="470">
        <v>1063</v>
      </c>
      <c r="I1070" s="455">
        <f t="shared" ca="1" si="108"/>
        <v>-8285841.572253</v>
      </c>
      <c r="J1070" s="455">
        <f t="array" ref="J1070">IFERROR(INDEX('Retirement Calculator'!J:J,MATCH('Isaac 401k'!N1070,'Retirement Calculator'!A:A,0),0),0)</f>
        <v>7863.2184191855868</v>
      </c>
      <c r="K1070" s="455">
        <f t="shared" ca="1" si="105"/>
        <v>-34557.103294467437</v>
      </c>
      <c r="L1070" s="455">
        <f t="shared" ca="1" si="106"/>
        <v>-8328261.8939666534</v>
      </c>
      <c r="M1070" s="471">
        <f t="shared" si="109"/>
        <v>0.05</v>
      </c>
      <c r="N1070" s="475">
        <f t="shared" si="110"/>
        <v>83612</v>
      </c>
    </row>
    <row r="1071" spans="7:14" ht="11.25" customHeight="1" x14ac:dyDescent="0.3">
      <c r="G1071" s="470">
        <f t="shared" si="113"/>
        <v>89</v>
      </c>
      <c r="H1071" s="470">
        <v>1064</v>
      </c>
      <c r="I1071" s="455">
        <f t="shared" ca="1" si="108"/>
        <v>-8328261.8939666534</v>
      </c>
      <c r="J1071" s="455">
        <f t="array" ref="J1071">IFERROR(INDEX('Retirement Calculator'!J:J,MATCH('Isaac 401k'!N1071,'Retirement Calculator'!A:A,0),0),0)</f>
        <v>7863.2184191855868</v>
      </c>
      <c r="K1071" s="455">
        <f t="shared" ca="1" si="105"/>
        <v>-34733.854634940995</v>
      </c>
      <c r="L1071" s="455">
        <f t="shared" ca="1" si="106"/>
        <v>-8370858.9670207798</v>
      </c>
      <c r="M1071" s="471">
        <f t="shared" si="109"/>
        <v>0.05</v>
      </c>
      <c r="N1071" s="475">
        <f t="shared" si="110"/>
        <v>83643</v>
      </c>
    </row>
    <row r="1072" spans="7:14" ht="11.25" customHeight="1" x14ac:dyDescent="0.3">
      <c r="G1072" s="470">
        <f t="shared" si="113"/>
        <v>89</v>
      </c>
      <c r="H1072" s="470">
        <v>1065</v>
      </c>
      <c r="I1072" s="455">
        <f t="shared" ca="1" si="108"/>
        <v>-8370858.9670207798</v>
      </c>
      <c r="J1072" s="455">
        <f t="array" ref="J1072">IFERROR(INDEX('Retirement Calculator'!J:J,MATCH('Isaac 401k'!N1072,'Retirement Calculator'!A:A,0),0),0)</f>
        <v>7863.2184191855868</v>
      </c>
      <c r="K1072" s="455">
        <f t="shared" ca="1" si="105"/>
        <v>-34911.342439333188</v>
      </c>
      <c r="L1072" s="455">
        <f t="shared" ca="1" si="106"/>
        <v>-8413633.5278792996</v>
      </c>
      <c r="M1072" s="471">
        <f t="shared" si="109"/>
        <v>0.05</v>
      </c>
      <c r="N1072" s="475">
        <f t="shared" si="110"/>
        <v>83674</v>
      </c>
    </row>
    <row r="1073" spans="7:14" ht="11.25" customHeight="1" x14ac:dyDescent="0.3">
      <c r="G1073" s="470">
        <f t="shared" si="113"/>
        <v>89</v>
      </c>
      <c r="H1073" s="470">
        <v>1066</v>
      </c>
      <c r="I1073" s="455">
        <f t="shared" ca="1" si="108"/>
        <v>-8413633.5278792996</v>
      </c>
      <c r="J1073" s="455">
        <f t="array" ref="J1073">IFERROR(INDEX('Retirement Calculator'!J:J,MATCH('Isaac 401k'!N1073,'Retirement Calculator'!A:A,0),0),0)</f>
        <v>7863.2184191855868</v>
      </c>
      <c r="K1073" s="455">
        <f t="shared" ca="1" si="105"/>
        <v>-35089.569776243683</v>
      </c>
      <c r="L1073" s="455">
        <f t="shared" ca="1" si="106"/>
        <v>-8456586.316074729</v>
      </c>
      <c r="M1073" s="471">
        <f t="shared" si="109"/>
        <v>0.05</v>
      </c>
      <c r="N1073" s="475">
        <f t="shared" si="110"/>
        <v>83702</v>
      </c>
    </row>
    <row r="1074" spans="7:14" ht="11.25" customHeight="1" x14ac:dyDescent="0.3">
      <c r="G1074" s="470">
        <f t="shared" si="113"/>
        <v>89</v>
      </c>
      <c r="H1074" s="470">
        <v>1067</v>
      </c>
      <c r="I1074" s="455">
        <f t="shared" ca="1" si="108"/>
        <v>-8456586.316074729</v>
      </c>
      <c r="J1074" s="455">
        <f t="array" ref="J1074">IFERROR(INDEX('Retirement Calculator'!J:J,MATCH('Isaac 401k'!N1074,'Retirement Calculator'!A:A,0),0),0)</f>
        <v>7863.2184191855868</v>
      </c>
      <c r="K1074" s="455">
        <f t="shared" ca="1" si="105"/>
        <v>-35268.539727057971</v>
      </c>
      <c r="L1074" s="455">
        <f t="shared" ca="1" si="106"/>
        <v>-8499718.0742209721</v>
      </c>
      <c r="M1074" s="471">
        <f t="shared" si="109"/>
        <v>0.05</v>
      </c>
      <c r="N1074" s="475">
        <f t="shared" si="110"/>
        <v>83733</v>
      </c>
    </row>
    <row r="1075" spans="7:14" ht="11.25" customHeight="1" x14ac:dyDescent="0.3">
      <c r="G1075" s="470">
        <f t="shared" si="113"/>
        <v>89</v>
      </c>
      <c r="H1075" s="470">
        <v>1068</v>
      </c>
      <c r="I1075" s="455">
        <f t="shared" ca="1" si="108"/>
        <v>-8499718.0742209721</v>
      </c>
      <c r="J1075" s="455">
        <f t="array" ref="J1075">IFERROR(INDEX('Retirement Calculator'!J:J,MATCH('Isaac 401k'!N1075,'Retirement Calculator'!A:A,0),0),0)</f>
        <v>7863.2184191855868</v>
      </c>
      <c r="K1075" s="455">
        <f t="shared" ca="1" si="105"/>
        <v>-35448.255386000652</v>
      </c>
      <c r="L1075" s="455">
        <f t="shared" ca="1" si="106"/>
        <v>-8543029.5480261575</v>
      </c>
      <c r="M1075" s="471">
        <f t="shared" si="109"/>
        <v>0.05</v>
      </c>
      <c r="N1075" s="475">
        <f t="shared" si="110"/>
        <v>83763</v>
      </c>
    </row>
    <row r="1076" spans="7:14" ht="11.25" customHeight="1" x14ac:dyDescent="0.3">
      <c r="G1076" s="470">
        <f>G1075+1</f>
        <v>90</v>
      </c>
      <c r="H1076" s="470">
        <v>1069</v>
      </c>
      <c r="I1076" s="455">
        <f t="shared" ca="1" si="108"/>
        <v>-8543029.5480261575</v>
      </c>
      <c r="J1076" s="455">
        <f t="array" ref="J1076">IFERROR(INDEX('Retirement Calculator'!J:J,MATCH('Isaac 401k'!N1076,'Retirement Calculator'!A:A,0),0),0)</f>
        <v>7863.2184191855868</v>
      </c>
      <c r="K1076" s="455">
        <f t="shared" ca="1" si="105"/>
        <v>-35628.719860188925</v>
      </c>
      <c r="L1076" s="455">
        <f t="shared" ca="1" si="106"/>
        <v>-8586521.4863055311</v>
      </c>
      <c r="M1076" s="471">
        <f t="shared" si="109"/>
        <v>0.05</v>
      </c>
      <c r="N1076" s="475">
        <f t="shared" si="110"/>
        <v>83794</v>
      </c>
    </row>
    <row r="1077" spans="7:14" ht="11.25" customHeight="1" x14ac:dyDescent="0.3">
      <c r="G1077" s="470">
        <f t="shared" ref="G1077:G1087" si="114">G1076</f>
        <v>90</v>
      </c>
      <c r="H1077" s="470">
        <v>1070</v>
      </c>
      <c r="I1077" s="455">
        <f t="shared" ca="1" si="108"/>
        <v>-8586521.4863055311</v>
      </c>
      <c r="J1077" s="455">
        <f t="array" ref="J1077">IFERROR(INDEX('Retirement Calculator'!J:J,MATCH('Isaac 401k'!N1077,'Retirement Calculator'!A:A,0),0),0)</f>
        <v>7863.2184191855868</v>
      </c>
      <c r="K1077" s="455">
        <f t="shared" ca="1" si="105"/>
        <v>-35809.936269686317</v>
      </c>
      <c r="L1077" s="455">
        <f t="shared" ca="1" si="106"/>
        <v>-8630194.6409944016</v>
      </c>
      <c r="M1077" s="471">
        <f t="shared" si="109"/>
        <v>0.05</v>
      </c>
      <c r="N1077" s="475">
        <f t="shared" si="110"/>
        <v>83824</v>
      </c>
    </row>
    <row r="1078" spans="7:14" ht="11.25" customHeight="1" x14ac:dyDescent="0.3">
      <c r="G1078" s="470">
        <f t="shared" si="114"/>
        <v>90</v>
      </c>
      <c r="H1078" s="470">
        <v>1071</v>
      </c>
      <c r="I1078" s="455">
        <f t="shared" ca="1" si="108"/>
        <v>-8630194.6409944016</v>
      </c>
      <c r="J1078" s="455">
        <f t="array" ref="J1078">IFERROR(INDEX('Retirement Calculator'!J:J,MATCH('Isaac 401k'!N1078,'Retirement Calculator'!A:A,0),0),0)</f>
        <v>7863.2184191855868</v>
      </c>
      <c r="K1078" s="455">
        <f t="shared" ca="1" si="105"/>
        <v>-35991.907747556608</v>
      </c>
      <c r="L1078" s="455">
        <f t="shared" ca="1" si="106"/>
        <v>-8674049.7671611439</v>
      </c>
      <c r="M1078" s="471">
        <f t="shared" si="109"/>
        <v>0.05</v>
      </c>
      <c r="N1078" s="475">
        <f t="shared" si="110"/>
        <v>83855</v>
      </c>
    </row>
    <row r="1079" spans="7:14" ht="11.25" customHeight="1" x14ac:dyDescent="0.3">
      <c r="G1079" s="470">
        <f t="shared" si="114"/>
        <v>90</v>
      </c>
      <c r="H1079" s="470">
        <v>1072</v>
      </c>
      <c r="I1079" s="455">
        <f t="shared" ca="1" si="108"/>
        <v>-8674049.7671611439</v>
      </c>
      <c r="J1079" s="455">
        <f t="array" ref="J1079">IFERROR(INDEX('Retirement Calculator'!J:J,MATCH('Isaac 401k'!N1079,'Retirement Calculator'!A:A,0),0),0)</f>
        <v>7863.2184191855868</v>
      </c>
      <c r="K1079" s="455">
        <f t="shared" ca="1" si="105"/>
        <v>-36174.637439918035</v>
      </c>
      <c r="L1079" s="455">
        <f t="shared" ca="1" si="106"/>
        <v>-8718087.6230202466</v>
      </c>
      <c r="M1079" s="471">
        <f t="shared" si="109"/>
        <v>0.05</v>
      </c>
      <c r="N1079" s="475">
        <f t="shared" si="110"/>
        <v>83886</v>
      </c>
    </row>
    <row r="1080" spans="7:14" ht="11.25" customHeight="1" x14ac:dyDescent="0.3">
      <c r="G1080" s="470">
        <f t="shared" si="114"/>
        <v>90</v>
      </c>
      <c r="H1080" s="470">
        <v>1073</v>
      </c>
      <c r="I1080" s="455">
        <f t="shared" ca="1" si="108"/>
        <v>-8718087.6230202466</v>
      </c>
      <c r="J1080" s="455">
        <f t="array" ref="J1080">IFERROR(INDEX('Retirement Calculator'!J:J,MATCH('Isaac 401k'!N1080,'Retirement Calculator'!A:A,0),0),0)</f>
        <v>7863.2184191855868</v>
      </c>
      <c r="K1080" s="455">
        <f t="shared" ca="1" si="105"/>
        <v>-36358.128505997629</v>
      </c>
      <c r="L1080" s="455">
        <f t="shared" ca="1" si="106"/>
        <v>-8762308.9699454289</v>
      </c>
      <c r="M1080" s="471">
        <f t="shared" si="109"/>
        <v>0.05</v>
      </c>
      <c r="N1080" s="475">
        <f t="shared" si="110"/>
        <v>83916</v>
      </c>
    </row>
    <row r="1081" spans="7:14" ht="11.25" customHeight="1" x14ac:dyDescent="0.3">
      <c r="G1081" s="470">
        <f t="shared" si="114"/>
        <v>90</v>
      </c>
      <c r="H1081" s="470">
        <v>1074</v>
      </c>
      <c r="I1081" s="455">
        <f t="shared" ca="1" si="108"/>
        <v>-8762308.9699454289</v>
      </c>
      <c r="J1081" s="455">
        <f t="array" ref="J1081">IFERROR(INDEX('Retirement Calculator'!J:J,MATCH('Isaac 401k'!N1081,'Retirement Calculator'!A:A,0),0),0)</f>
        <v>7863.2184191855868</v>
      </c>
      <c r="K1081" s="455">
        <f t="shared" ca="1" si="105"/>
        <v>-36542.384118185888</v>
      </c>
      <c r="L1081" s="455">
        <f t="shared" ca="1" si="106"/>
        <v>-8806714.5724828001</v>
      </c>
      <c r="M1081" s="471">
        <f t="shared" si="109"/>
        <v>0.05</v>
      </c>
      <c r="N1081" s="475">
        <f t="shared" si="110"/>
        <v>83947</v>
      </c>
    </row>
    <row r="1082" spans="7:14" ht="11.25" customHeight="1" x14ac:dyDescent="0.3">
      <c r="G1082" s="470">
        <f t="shared" si="114"/>
        <v>90</v>
      </c>
      <c r="H1082" s="470">
        <v>1075</v>
      </c>
      <c r="I1082" s="455">
        <f t="shared" ca="1" si="108"/>
        <v>-8806714.5724828001</v>
      </c>
      <c r="J1082" s="455">
        <f t="array" ref="J1082">IFERROR(INDEX('Retirement Calculator'!J:J,MATCH('Isaac 401k'!N1082,'Retirement Calculator'!A:A,0),0),0)</f>
        <v>7863.2184191855868</v>
      </c>
      <c r="K1082" s="455">
        <f t="shared" ca="1" si="105"/>
        <v>-36727.407462091607</v>
      </c>
      <c r="L1082" s="455">
        <f t="shared" ca="1" si="106"/>
        <v>-8851305.1983640771</v>
      </c>
      <c r="M1082" s="471">
        <f t="shared" si="109"/>
        <v>0.05</v>
      </c>
      <c r="N1082" s="475">
        <f t="shared" si="110"/>
        <v>83977</v>
      </c>
    </row>
    <row r="1083" spans="7:14" ht="11.25" customHeight="1" x14ac:dyDescent="0.3">
      <c r="G1083" s="470">
        <f t="shared" si="114"/>
        <v>90</v>
      </c>
      <c r="H1083" s="470">
        <v>1076</v>
      </c>
      <c r="I1083" s="455">
        <f t="shared" ca="1" si="108"/>
        <v>-8851305.1983640771</v>
      </c>
      <c r="J1083" s="455">
        <f t="array" ref="J1083">IFERROR(INDEX('Retirement Calculator'!J:J,MATCH('Isaac 401k'!N1083,'Retirement Calculator'!A:A,0),0),0)</f>
        <v>7863.2184191855868</v>
      </c>
      <c r="K1083" s="455">
        <f t="shared" ca="1" si="105"/>
        <v>-36913.201736596922</v>
      </c>
      <c r="L1083" s="455">
        <f t="shared" ca="1" si="106"/>
        <v>-8896081.6185198594</v>
      </c>
      <c r="M1083" s="471">
        <f t="shared" si="109"/>
        <v>0.05</v>
      </c>
      <c r="N1083" s="475">
        <f t="shared" si="110"/>
        <v>84008</v>
      </c>
    </row>
    <row r="1084" spans="7:14" ht="11.25" customHeight="1" x14ac:dyDescent="0.3">
      <c r="G1084" s="470">
        <f t="shared" si="114"/>
        <v>90</v>
      </c>
      <c r="H1084" s="470">
        <v>1077</v>
      </c>
      <c r="I1084" s="455">
        <f t="shared" ca="1" si="108"/>
        <v>-8896081.6185198594</v>
      </c>
      <c r="J1084" s="455">
        <f t="array" ref="J1084">IFERROR(INDEX('Retirement Calculator'!J:J,MATCH('Isaac 401k'!N1084,'Retirement Calculator'!A:A,0),0),0)</f>
        <v>7863.2184191855868</v>
      </c>
      <c r="K1084" s="455">
        <f t="shared" ca="1" si="105"/>
        <v>-37099.770153912687</v>
      </c>
      <c r="L1084" s="455">
        <f t="shared" ca="1" si="106"/>
        <v>-8941044.6070929561</v>
      </c>
      <c r="M1084" s="471">
        <f t="shared" si="109"/>
        <v>0.05</v>
      </c>
      <c r="N1084" s="475">
        <f t="shared" si="110"/>
        <v>84039</v>
      </c>
    </row>
    <row r="1085" spans="7:14" ht="11.25" customHeight="1" x14ac:dyDescent="0.3">
      <c r="G1085" s="470">
        <f t="shared" si="114"/>
        <v>90</v>
      </c>
      <c r="H1085" s="470">
        <v>1078</v>
      </c>
      <c r="I1085" s="455">
        <f t="shared" ca="1" si="108"/>
        <v>-8941044.6070929561</v>
      </c>
      <c r="J1085" s="455">
        <f t="array" ref="J1085">IFERROR(INDEX('Retirement Calculator'!J:J,MATCH('Isaac 401k'!N1085,'Retirement Calculator'!A:A,0),0),0)</f>
        <v>7863.2184191855868</v>
      </c>
      <c r="K1085" s="455">
        <f t="shared" ca="1" si="105"/>
        <v>-37287.115939633921</v>
      </c>
      <c r="L1085" s="455">
        <f t="shared" ca="1" si="106"/>
        <v>-8986194.9414517749</v>
      </c>
      <c r="M1085" s="471">
        <f t="shared" si="109"/>
        <v>0.05</v>
      </c>
      <c r="N1085" s="475">
        <f t="shared" si="110"/>
        <v>84067</v>
      </c>
    </row>
    <row r="1086" spans="7:14" ht="11.25" customHeight="1" x14ac:dyDescent="0.3">
      <c r="G1086" s="470">
        <f t="shared" si="114"/>
        <v>90</v>
      </c>
      <c r="H1086" s="470">
        <v>1079</v>
      </c>
      <c r="I1086" s="455">
        <f t="shared" ca="1" si="108"/>
        <v>-8986194.9414517749</v>
      </c>
      <c r="J1086" s="455">
        <f t="array" ref="J1086">IFERROR(INDEX('Retirement Calculator'!J:J,MATCH('Isaac 401k'!N1086,'Retirement Calculator'!A:A,0),0),0)</f>
        <v>7863.2184191855868</v>
      </c>
      <c r="K1086" s="455">
        <f t="shared" ca="1" si="105"/>
        <v>-37475.242332795664</v>
      </c>
      <c r="L1086" s="455">
        <f t="shared" ca="1" si="106"/>
        <v>-9031533.4022037555</v>
      </c>
      <c r="M1086" s="471">
        <f t="shared" si="109"/>
        <v>0.05</v>
      </c>
      <c r="N1086" s="475">
        <f t="shared" si="110"/>
        <v>84098</v>
      </c>
    </row>
    <row r="1087" spans="7:14" ht="11.25" customHeight="1" x14ac:dyDescent="0.3">
      <c r="G1087" s="470">
        <f t="shared" si="114"/>
        <v>90</v>
      </c>
      <c r="H1087" s="470">
        <v>1080</v>
      </c>
      <c r="I1087" s="455">
        <f t="shared" ca="1" si="108"/>
        <v>-9031533.4022037555</v>
      </c>
      <c r="J1087" s="455">
        <f t="array" ref="J1087">IFERROR(INDEX('Retirement Calculator'!J:J,MATCH('Isaac 401k'!N1087,'Retirement Calculator'!A:A,0),0),0)</f>
        <v>7863.2184191855868</v>
      </c>
      <c r="K1087" s="455">
        <f t="shared" ca="1" si="105"/>
        <v>-37664.152585928918</v>
      </c>
      <c r="L1087" s="455">
        <f t="shared" ca="1" si="106"/>
        <v>-9077060.7732088696</v>
      </c>
      <c r="M1087" s="471">
        <f t="shared" si="109"/>
        <v>0.05</v>
      </c>
      <c r="N1087" s="475">
        <f t="shared" si="110"/>
        <v>84128</v>
      </c>
    </row>
    <row r="1088" spans="7:14" ht="11.25" customHeight="1" x14ac:dyDescent="0.3">
      <c r="G1088" s="470">
        <f>G1087+1</f>
        <v>91</v>
      </c>
      <c r="H1088" s="470">
        <v>1081</v>
      </c>
      <c r="I1088" s="455">
        <f t="shared" ca="1" si="108"/>
        <v>-9077060.7732088696</v>
      </c>
      <c r="J1088" s="455">
        <f t="array" ref="J1088">IFERROR(INDEX('Retirement Calculator'!J:J,MATCH('Isaac 401k'!N1088,'Retirement Calculator'!A:A,0),0),0)</f>
        <v>7863.2184191855868</v>
      </c>
      <c r="K1088" s="455">
        <f t="shared" ca="1" si="105"/>
        <v>-37853.849965116897</v>
      </c>
      <c r="L1088" s="455">
        <f t="shared" ca="1" si="106"/>
        <v>-9122777.8415931705</v>
      </c>
      <c r="M1088" s="471">
        <f t="shared" si="109"/>
        <v>0.05</v>
      </c>
      <c r="N1088" s="475">
        <f t="shared" si="110"/>
        <v>84159</v>
      </c>
    </row>
    <row r="1089" spans="7:14" ht="11.25" customHeight="1" x14ac:dyDescent="0.3">
      <c r="G1089" s="470">
        <f t="shared" ref="G1089:G1099" si="115">G1088</f>
        <v>91</v>
      </c>
      <c r="H1089" s="470">
        <v>1082</v>
      </c>
      <c r="I1089" s="455">
        <f t="shared" ca="1" si="108"/>
        <v>-9122777.8415931705</v>
      </c>
      <c r="J1089" s="455">
        <f t="array" ref="J1089">IFERROR(INDEX('Retirement Calculator'!J:J,MATCH('Isaac 401k'!N1089,'Retirement Calculator'!A:A,0),0),0)</f>
        <v>7863.2184191855868</v>
      </c>
      <c r="K1089" s="455">
        <f t="shared" ca="1" si="105"/>
        <v>-38044.337750051483</v>
      </c>
      <c r="L1089" s="455">
        <f t="shared" ca="1" si="106"/>
        <v>-9168685.3977624066</v>
      </c>
      <c r="M1089" s="471">
        <f t="shared" si="109"/>
        <v>0.05</v>
      </c>
      <c r="N1089" s="475">
        <f t="shared" si="110"/>
        <v>84189</v>
      </c>
    </row>
    <row r="1090" spans="7:14" ht="11.25" customHeight="1" x14ac:dyDescent="0.3">
      <c r="G1090" s="470">
        <f t="shared" si="115"/>
        <v>91</v>
      </c>
      <c r="H1090" s="470">
        <v>1083</v>
      </c>
      <c r="I1090" s="455">
        <f t="shared" ca="1" si="108"/>
        <v>-9168685.3977624066</v>
      </c>
      <c r="J1090" s="455">
        <f t="array" ref="J1090">IFERROR(INDEX('Retirement Calculator'!J:J,MATCH('Isaac 401k'!N1090,'Retirement Calculator'!A:A,0),0),0)</f>
        <v>7863.2184191855868</v>
      </c>
      <c r="K1090" s="455">
        <f t="shared" ca="1" si="105"/>
        <v>-38235.619234089965</v>
      </c>
      <c r="L1090" s="455">
        <f t="shared" ca="1" si="106"/>
        <v>-9214784.2354156822</v>
      </c>
      <c r="M1090" s="471">
        <f t="shared" si="109"/>
        <v>0.05</v>
      </c>
      <c r="N1090" s="475">
        <f t="shared" si="110"/>
        <v>84220</v>
      </c>
    </row>
    <row r="1091" spans="7:14" ht="11.25" customHeight="1" x14ac:dyDescent="0.3">
      <c r="G1091" s="470">
        <f t="shared" si="115"/>
        <v>91</v>
      </c>
      <c r="H1091" s="470">
        <v>1084</v>
      </c>
      <c r="I1091" s="455">
        <f t="shared" ca="1" si="108"/>
        <v>-9214784.2354156822</v>
      </c>
      <c r="J1091" s="455">
        <f t="array" ref="J1091">IFERROR(INDEX('Retirement Calculator'!J:J,MATCH('Isaac 401k'!N1091,'Retirement Calculator'!A:A,0),0),0)</f>
        <v>7863.2184191855868</v>
      </c>
      <c r="K1091" s="455">
        <f t="shared" ca="1" si="105"/>
        <v>-38427.697724311947</v>
      </c>
      <c r="L1091" s="455">
        <f t="shared" ca="1" si="106"/>
        <v>-9261075.1515591796</v>
      </c>
      <c r="M1091" s="471">
        <f t="shared" si="109"/>
        <v>0.05</v>
      </c>
      <c r="N1091" s="475">
        <f t="shared" si="110"/>
        <v>84251</v>
      </c>
    </row>
    <row r="1092" spans="7:14" ht="11.25" customHeight="1" x14ac:dyDescent="0.3">
      <c r="G1092" s="470">
        <f t="shared" si="115"/>
        <v>91</v>
      </c>
      <c r="H1092" s="470">
        <v>1085</v>
      </c>
      <c r="I1092" s="455">
        <f t="shared" ca="1" si="108"/>
        <v>-9261075.1515591796</v>
      </c>
      <c r="J1092" s="455">
        <f t="array" ref="J1092">IFERROR(INDEX('Retirement Calculator'!J:J,MATCH('Isaac 401k'!N1092,'Retirement Calculator'!A:A,0),0),0)</f>
        <v>7863.2184191855868</v>
      </c>
      <c r="K1092" s="455">
        <f t="shared" ca="1" si="105"/>
        <v>-38620.57654157652</v>
      </c>
      <c r="L1092" s="455">
        <f t="shared" ca="1" si="106"/>
        <v>-9307558.9465199411</v>
      </c>
      <c r="M1092" s="471">
        <f t="shared" si="109"/>
        <v>0.05</v>
      </c>
      <c r="N1092" s="475">
        <f t="shared" si="110"/>
        <v>84281</v>
      </c>
    </row>
    <row r="1093" spans="7:14" ht="11.25" customHeight="1" x14ac:dyDescent="0.3">
      <c r="G1093" s="470">
        <f t="shared" si="115"/>
        <v>91</v>
      </c>
      <c r="H1093" s="470">
        <v>1086</v>
      </c>
      <c r="I1093" s="455">
        <f t="shared" ca="1" si="108"/>
        <v>-9307558.9465199411</v>
      </c>
      <c r="J1093" s="455">
        <f t="array" ref="J1093">IFERROR(INDEX('Retirement Calculator'!J:J,MATCH('Isaac 401k'!N1093,'Retirement Calculator'!A:A,0),0),0)</f>
        <v>7863.2184191855868</v>
      </c>
      <c r="K1093" s="455">
        <f t="shared" ca="1" si="105"/>
        <v>-38814.259020579688</v>
      </c>
      <c r="L1093" s="455">
        <f t="shared" ca="1" si="106"/>
        <v>-9354236.423959706</v>
      </c>
      <c r="M1093" s="471">
        <f t="shared" si="109"/>
        <v>0.05</v>
      </c>
      <c r="N1093" s="475">
        <f t="shared" si="110"/>
        <v>84312</v>
      </c>
    </row>
    <row r="1094" spans="7:14" ht="11.25" customHeight="1" x14ac:dyDescent="0.3">
      <c r="G1094" s="470">
        <f t="shared" si="115"/>
        <v>91</v>
      </c>
      <c r="H1094" s="470">
        <v>1087</v>
      </c>
      <c r="I1094" s="455">
        <f t="shared" ca="1" si="108"/>
        <v>-9354236.423959706</v>
      </c>
      <c r="J1094" s="455">
        <f t="array" ref="J1094">IFERROR(INDEX('Retirement Calculator'!J:J,MATCH('Isaac 401k'!N1094,'Retirement Calculator'!A:A,0),0),0)</f>
        <v>7863.2184191855868</v>
      </c>
      <c r="K1094" s="455">
        <f t="shared" ca="1" si="105"/>
        <v>-39008.748509912046</v>
      </c>
      <c r="L1094" s="455">
        <f t="shared" ca="1" si="106"/>
        <v>-9401108.3908888027</v>
      </c>
      <c r="M1094" s="471">
        <f t="shared" si="109"/>
        <v>0.05</v>
      </c>
      <c r="N1094" s="475">
        <f t="shared" si="110"/>
        <v>84342</v>
      </c>
    </row>
    <row r="1095" spans="7:14" ht="11.25" customHeight="1" x14ac:dyDescent="0.3">
      <c r="G1095" s="470">
        <f t="shared" si="115"/>
        <v>91</v>
      </c>
      <c r="H1095" s="470">
        <v>1088</v>
      </c>
      <c r="I1095" s="455">
        <f t="shared" ca="1" si="108"/>
        <v>-9401108.3908888027</v>
      </c>
      <c r="J1095" s="455">
        <f t="array" ref="J1095">IFERROR(INDEX('Retirement Calculator'!J:J,MATCH('Isaac 401k'!N1095,'Retirement Calculator'!A:A,0),0),0)</f>
        <v>7863.2184191855868</v>
      </c>
      <c r="K1095" s="455">
        <f t="shared" ca="1" si="105"/>
        <v>-39204.048372116617</v>
      </c>
      <c r="L1095" s="455">
        <f t="shared" ca="1" si="106"/>
        <v>-9448175.6576801036</v>
      </c>
      <c r="M1095" s="471">
        <f t="shared" si="109"/>
        <v>0.05</v>
      </c>
      <c r="N1095" s="475">
        <f t="shared" si="110"/>
        <v>84373</v>
      </c>
    </row>
    <row r="1096" spans="7:14" ht="11.25" customHeight="1" x14ac:dyDescent="0.3">
      <c r="G1096" s="470">
        <f t="shared" si="115"/>
        <v>91</v>
      </c>
      <c r="H1096" s="470">
        <v>1089</v>
      </c>
      <c r="I1096" s="455">
        <f t="shared" ca="1" si="108"/>
        <v>-9448175.6576801036</v>
      </c>
      <c r="J1096" s="455">
        <f t="array" ref="J1096">IFERROR(INDEX('Retirement Calculator'!J:J,MATCH('Isaac 401k'!N1096,'Retirement Calculator'!A:A,0),0),0)</f>
        <v>7863.2184191855868</v>
      </c>
      <c r="K1096" s="455">
        <f t="shared" ca="1" si="105"/>
        <v>-39400.161983747035</v>
      </c>
      <c r="L1096" s="455">
        <f t="shared" ca="1" si="106"/>
        <v>-9495439.0380830355</v>
      </c>
      <c r="M1096" s="471">
        <f t="shared" si="109"/>
        <v>0.05</v>
      </c>
      <c r="N1096" s="475">
        <f t="shared" si="110"/>
        <v>84404</v>
      </c>
    </row>
    <row r="1097" spans="7:14" ht="11.25" customHeight="1" x14ac:dyDescent="0.3">
      <c r="G1097" s="470">
        <f t="shared" si="115"/>
        <v>91</v>
      </c>
      <c r="H1097" s="470">
        <v>1090</v>
      </c>
      <c r="I1097" s="455">
        <f t="shared" ca="1" si="108"/>
        <v>-9495439.0380830355</v>
      </c>
      <c r="J1097" s="455">
        <f t="array" ref="J1097">IFERROR(INDEX('Retirement Calculator'!J:J,MATCH('Isaac 401k'!N1097,'Retirement Calculator'!A:A,0),0),0)</f>
        <v>7863.2184191855868</v>
      </c>
      <c r="K1097" s="455">
        <f t="shared" ca="1" si="105"/>
        <v>-39597.092735425918</v>
      </c>
      <c r="L1097" s="455">
        <f t="shared" ca="1" si="106"/>
        <v>-9542899.3492376469</v>
      </c>
      <c r="M1097" s="471">
        <f t="shared" si="109"/>
        <v>0.05</v>
      </c>
      <c r="N1097" s="475">
        <f t="shared" si="110"/>
        <v>84432</v>
      </c>
    </row>
    <row r="1098" spans="7:14" ht="11.25" customHeight="1" x14ac:dyDescent="0.3">
      <c r="G1098" s="470">
        <f t="shared" si="115"/>
        <v>91</v>
      </c>
      <c r="H1098" s="470">
        <v>1091</v>
      </c>
      <c r="I1098" s="455">
        <f t="shared" ca="1" si="108"/>
        <v>-9542899.3492376469</v>
      </c>
      <c r="J1098" s="455">
        <f t="array" ref="J1098">IFERROR(INDEX('Retirement Calculator'!J:J,MATCH('Isaac 401k'!N1098,'Retirement Calculator'!A:A,0),0),0)</f>
        <v>7863.2184191855868</v>
      </c>
      <c r="K1098" s="455">
        <f t="shared" ca="1" si="105"/>
        <v>-39794.844031903463</v>
      </c>
      <c r="L1098" s="455">
        <f t="shared" ca="1" si="106"/>
        <v>-9590557.4116887357</v>
      </c>
      <c r="M1098" s="471">
        <f t="shared" si="109"/>
        <v>0.05</v>
      </c>
      <c r="N1098" s="475">
        <f t="shared" si="110"/>
        <v>84463</v>
      </c>
    </row>
    <row r="1099" spans="7:14" ht="11.25" customHeight="1" x14ac:dyDescent="0.3">
      <c r="G1099" s="470">
        <f t="shared" si="115"/>
        <v>91</v>
      </c>
      <c r="H1099" s="470">
        <v>1092</v>
      </c>
      <c r="I1099" s="455">
        <f t="shared" ca="1" si="108"/>
        <v>-9590557.4116887357</v>
      </c>
      <c r="J1099" s="455">
        <f t="array" ref="J1099">IFERROR(INDEX('Retirement Calculator'!J:J,MATCH('Isaac 401k'!N1099,'Retirement Calculator'!A:A,0),0),0)</f>
        <v>7863.2184191855868</v>
      </c>
      <c r="K1099" s="455">
        <f t="shared" ca="1" si="105"/>
        <v>-39993.419292116334</v>
      </c>
      <c r="L1099" s="455">
        <f t="shared" ca="1" si="106"/>
        <v>-9638414.0494000372</v>
      </c>
      <c r="M1099" s="471">
        <f t="shared" si="109"/>
        <v>0.05</v>
      </c>
      <c r="N1099" s="475">
        <f t="shared" si="110"/>
        <v>84493</v>
      </c>
    </row>
    <row r="1100" spans="7:14" ht="11.25" customHeight="1" x14ac:dyDescent="0.3">
      <c r="G1100" s="470">
        <f>G1099+1</f>
        <v>92</v>
      </c>
      <c r="H1100" s="470">
        <v>1093</v>
      </c>
      <c r="I1100" s="455">
        <f t="shared" ca="1" si="108"/>
        <v>-9638414.0494000372</v>
      </c>
      <c r="J1100" s="455">
        <f t="array" ref="J1100">IFERROR(INDEX('Retirement Calculator'!J:J,MATCH('Isaac 401k'!N1100,'Retirement Calculator'!A:A,0),0),0)</f>
        <v>7863.2184191855868</v>
      </c>
      <c r="K1100" s="455">
        <f t="shared" ca="1" si="105"/>
        <v>-40192.821949246762</v>
      </c>
      <c r="L1100" s="455">
        <f t="shared" ca="1" si="106"/>
        <v>-9686470.0897684693</v>
      </c>
      <c r="M1100" s="471">
        <f t="shared" si="109"/>
        <v>0.05</v>
      </c>
      <c r="N1100" s="475">
        <f t="shared" si="110"/>
        <v>84524</v>
      </c>
    </row>
    <row r="1101" spans="7:14" ht="11.25" customHeight="1" x14ac:dyDescent="0.3">
      <c r="G1101" s="470">
        <f t="shared" ref="G1101:G1111" si="116">G1100</f>
        <v>92</v>
      </c>
      <c r="H1101" s="470">
        <v>1094</v>
      </c>
      <c r="I1101" s="455">
        <f t="shared" ca="1" si="108"/>
        <v>-9686470.0897684693</v>
      </c>
      <c r="J1101" s="455">
        <f t="array" ref="J1101">IFERROR(INDEX('Retirement Calculator'!J:J,MATCH('Isaac 401k'!N1101,'Retirement Calculator'!A:A,0),0),0)</f>
        <v>7863.2184191855868</v>
      </c>
      <c r="K1101" s="455">
        <f t="shared" ca="1" si="105"/>
        <v>-40393.055450781889</v>
      </c>
      <c r="L1101" s="455">
        <f t="shared" ca="1" si="106"/>
        <v>-9734726.3636384364</v>
      </c>
      <c r="M1101" s="471">
        <f t="shared" si="109"/>
        <v>0.05</v>
      </c>
      <c r="N1101" s="475">
        <f t="shared" si="110"/>
        <v>84554</v>
      </c>
    </row>
    <row r="1102" spans="7:14" ht="11.25" customHeight="1" x14ac:dyDescent="0.3">
      <c r="G1102" s="470">
        <f t="shared" si="116"/>
        <v>92</v>
      </c>
      <c r="H1102" s="470">
        <v>1095</v>
      </c>
      <c r="I1102" s="455">
        <f t="shared" ca="1" si="108"/>
        <v>-9734726.3636384364</v>
      </c>
      <c r="J1102" s="455">
        <f t="array" ref="J1102">IFERROR(INDEX('Retirement Calculator'!J:J,MATCH('Isaac 401k'!N1102,'Retirement Calculator'!A:A,0),0),0)</f>
        <v>7863.2184191855868</v>
      </c>
      <c r="K1102" s="455">
        <f t="shared" ca="1" si="105"/>
        <v>-40594.123258573425</v>
      </c>
      <c r="L1102" s="455">
        <f t="shared" ca="1" si="106"/>
        <v>-9783183.7053161953</v>
      </c>
      <c r="M1102" s="471">
        <f t="shared" si="109"/>
        <v>0.05</v>
      </c>
      <c r="N1102" s="475">
        <f t="shared" si="110"/>
        <v>84585</v>
      </c>
    </row>
    <row r="1103" spans="7:14" ht="11.25" customHeight="1" x14ac:dyDescent="0.3">
      <c r="G1103" s="470">
        <f t="shared" si="116"/>
        <v>92</v>
      </c>
      <c r="H1103" s="470">
        <v>1096</v>
      </c>
      <c r="I1103" s="455">
        <f t="shared" ca="1" si="108"/>
        <v>-9783183.7053161953</v>
      </c>
      <c r="J1103" s="455">
        <f t="array" ref="J1103">IFERROR(INDEX('Retirement Calculator'!J:J,MATCH('Isaac 401k'!N1103,'Retirement Calculator'!A:A,0),0),0)</f>
        <v>7863.2184191855868</v>
      </c>
      <c r="K1103" s="455">
        <f t="shared" ca="1" si="105"/>
        <v>-40796.028848897418</v>
      </c>
      <c r="L1103" s="455">
        <f t="shared" ca="1" si="106"/>
        <v>-9831842.9525842778</v>
      </c>
      <c r="M1103" s="471">
        <f t="shared" si="109"/>
        <v>0.05</v>
      </c>
      <c r="N1103" s="475">
        <f t="shared" si="110"/>
        <v>84616</v>
      </c>
    </row>
    <row r="1104" spans="7:14" ht="11.25" customHeight="1" x14ac:dyDescent="0.3">
      <c r="G1104" s="470">
        <f t="shared" si="116"/>
        <v>92</v>
      </c>
      <c r="H1104" s="470">
        <v>1097</v>
      </c>
      <c r="I1104" s="455">
        <f t="shared" ca="1" si="108"/>
        <v>-9831842.9525842778</v>
      </c>
      <c r="J1104" s="455">
        <f t="array" ref="J1104">IFERROR(INDEX('Retirement Calculator'!J:J,MATCH('Isaac 401k'!N1104,'Retirement Calculator'!A:A,0),0),0)</f>
        <v>7863.2184191855868</v>
      </c>
      <c r="K1104" s="455">
        <f t="shared" ca="1" si="105"/>
        <v>-40998.775712514427</v>
      </c>
      <c r="L1104" s="455">
        <f t="shared" ca="1" si="106"/>
        <v>-9880704.946715977</v>
      </c>
      <c r="M1104" s="471">
        <f t="shared" si="109"/>
        <v>0.05</v>
      </c>
      <c r="N1104" s="475">
        <f t="shared" si="110"/>
        <v>84646</v>
      </c>
    </row>
    <row r="1105" spans="7:14" ht="11.25" customHeight="1" x14ac:dyDescent="0.3">
      <c r="G1105" s="470">
        <f t="shared" si="116"/>
        <v>92</v>
      </c>
      <c r="H1105" s="470">
        <v>1098</v>
      </c>
      <c r="I1105" s="455">
        <f t="shared" ca="1" si="108"/>
        <v>-9880704.946715977</v>
      </c>
      <c r="J1105" s="455">
        <f t="array" ref="J1105">IFERROR(INDEX('Retirement Calculator'!J:J,MATCH('Isaac 401k'!N1105,'Retirement Calculator'!A:A,0),0),0)</f>
        <v>7863.2184191855868</v>
      </c>
      <c r="K1105" s="455">
        <f t="shared" ca="1" si="105"/>
        <v>-41202.367354729839</v>
      </c>
      <c r="L1105" s="455">
        <f t="shared" ca="1" si="106"/>
        <v>-9929770.5324898921</v>
      </c>
      <c r="M1105" s="471">
        <f t="shared" si="109"/>
        <v>0.05</v>
      </c>
      <c r="N1105" s="475">
        <f t="shared" si="110"/>
        <v>84677</v>
      </c>
    </row>
    <row r="1106" spans="7:14" ht="11.25" customHeight="1" x14ac:dyDescent="0.3">
      <c r="G1106" s="470">
        <f t="shared" si="116"/>
        <v>92</v>
      </c>
      <c r="H1106" s="470">
        <v>1099</v>
      </c>
      <c r="I1106" s="455">
        <f t="shared" ca="1" si="108"/>
        <v>-9929770.5324898921</v>
      </c>
      <c r="J1106" s="455">
        <f t="array" ref="J1106">IFERROR(INDEX('Retirement Calculator'!J:J,MATCH('Isaac 401k'!N1106,'Retirement Calculator'!A:A,0),0),0)</f>
        <v>7863.2184191855868</v>
      </c>
      <c r="K1106" s="455">
        <f t="shared" ca="1" si="105"/>
        <v>-41406.807295454484</v>
      </c>
      <c r="L1106" s="455">
        <f t="shared" ca="1" si="106"/>
        <v>-9979040.5582045317</v>
      </c>
      <c r="M1106" s="471">
        <f t="shared" si="109"/>
        <v>0.05</v>
      </c>
      <c r="N1106" s="475">
        <f t="shared" si="110"/>
        <v>84707</v>
      </c>
    </row>
    <row r="1107" spans="7:14" ht="11.25" customHeight="1" x14ac:dyDescent="0.3">
      <c r="G1107" s="470">
        <f t="shared" si="116"/>
        <v>92</v>
      </c>
      <c r="H1107" s="470">
        <v>1100</v>
      </c>
      <c r="I1107" s="455">
        <f t="shared" ca="1" si="108"/>
        <v>-9979040.5582045317</v>
      </c>
      <c r="J1107" s="455">
        <f t="array" ref="J1107">IFERROR(INDEX('Retirement Calculator'!J:J,MATCH('Isaac 401k'!N1107,'Retirement Calculator'!A:A,0),0),0)</f>
        <v>7863.2184191855868</v>
      </c>
      <c r="K1107" s="455">
        <f t="shared" ca="1" si="105"/>
        <v>-41612.099069265489</v>
      </c>
      <c r="L1107" s="455">
        <f t="shared" ca="1" si="106"/>
        <v>-10028515.875692982</v>
      </c>
      <c r="M1107" s="471">
        <f t="shared" si="109"/>
        <v>0.05</v>
      </c>
      <c r="N1107" s="475">
        <f t="shared" si="110"/>
        <v>84738</v>
      </c>
    </row>
    <row r="1108" spans="7:14" ht="11.25" customHeight="1" x14ac:dyDescent="0.3">
      <c r="G1108" s="470">
        <f t="shared" si="116"/>
        <v>92</v>
      </c>
      <c r="H1108" s="470">
        <v>1101</v>
      </c>
      <c r="I1108" s="455">
        <f t="shared" ca="1" si="108"/>
        <v>-10028515.875692982</v>
      </c>
      <c r="J1108" s="455">
        <f t="array" ref="J1108">IFERROR(INDEX('Retirement Calculator'!J:J,MATCH('Isaac 401k'!N1108,'Retirement Calculator'!A:A,0),0),0)</f>
        <v>7863.2184191855868</v>
      </c>
      <c r="K1108" s="455">
        <f t="shared" ca="1" si="105"/>
        <v>-41818.246225467359</v>
      </c>
      <c r="L1108" s="455">
        <f t="shared" ca="1" si="106"/>
        <v>-10078197.340337634</v>
      </c>
      <c r="M1108" s="471">
        <f t="shared" si="109"/>
        <v>0.05</v>
      </c>
      <c r="N1108" s="475">
        <f t="shared" si="110"/>
        <v>84769</v>
      </c>
    </row>
    <row r="1109" spans="7:14" ht="11.25" customHeight="1" x14ac:dyDescent="0.3">
      <c r="G1109" s="470">
        <f t="shared" si="116"/>
        <v>92</v>
      </c>
      <c r="H1109" s="470">
        <v>1102</v>
      </c>
      <c r="I1109" s="455">
        <f t="shared" ca="1" si="108"/>
        <v>-10078197.340337634</v>
      </c>
      <c r="J1109" s="455">
        <f t="array" ref="J1109">IFERROR(INDEX('Retirement Calculator'!J:J,MATCH('Isaac 401k'!N1109,'Retirement Calculator'!A:A,0),0),0)</f>
        <v>7863.2184191855868</v>
      </c>
      <c r="K1109" s="455">
        <f t="shared" ca="1" si="105"/>
        <v>-42025.252328153409</v>
      </c>
      <c r="L1109" s="455">
        <f t="shared" ca="1" si="106"/>
        <v>-10128085.811084973</v>
      </c>
      <c r="M1109" s="471">
        <f t="shared" si="109"/>
        <v>0.05</v>
      </c>
      <c r="N1109" s="475">
        <f t="shared" si="110"/>
        <v>84798</v>
      </c>
    </row>
    <row r="1110" spans="7:14" ht="11.25" customHeight="1" x14ac:dyDescent="0.3">
      <c r="G1110" s="470">
        <f t="shared" si="116"/>
        <v>92</v>
      </c>
      <c r="H1110" s="470">
        <v>1103</v>
      </c>
      <c r="I1110" s="455">
        <f t="shared" ca="1" si="108"/>
        <v>-10128085.811084973</v>
      </c>
      <c r="J1110" s="455">
        <f t="array" ref="J1110">IFERROR(INDEX('Retirement Calculator'!J:J,MATCH('Isaac 401k'!N1110,'Retirement Calculator'!A:A,0),0),0)</f>
        <v>7863.2184191855868</v>
      </c>
      <c r="K1110" s="455">
        <f t="shared" ca="1" si="105"/>
        <v>-42233.120956267325</v>
      </c>
      <c r="L1110" s="455">
        <f t="shared" ca="1" si="106"/>
        <v>-10178182.150460426</v>
      </c>
      <c r="M1110" s="471">
        <f t="shared" si="109"/>
        <v>0.05</v>
      </c>
      <c r="N1110" s="475">
        <f t="shared" si="110"/>
        <v>84829</v>
      </c>
    </row>
    <row r="1111" spans="7:14" ht="11.25" customHeight="1" x14ac:dyDescent="0.3">
      <c r="G1111" s="470">
        <f t="shared" si="116"/>
        <v>92</v>
      </c>
      <c r="H1111" s="470">
        <v>1104</v>
      </c>
      <c r="I1111" s="455">
        <f t="shared" ca="1" si="108"/>
        <v>-10178182.150460426</v>
      </c>
      <c r="J1111" s="455">
        <f t="array" ref="J1111">IFERROR(INDEX('Retirement Calculator'!J:J,MATCH('Isaac 401k'!N1111,'Retirement Calculator'!A:A,0),0),0)</f>
        <v>7863.2184191855868</v>
      </c>
      <c r="K1111" s="455">
        <f t="shared" ca="1" si="105"/>
        <v>-42441.855703665045</v>
      </c>
      <c r="L1111" s="455">
        <f t="shared" ca="1" si="106"/>
        <v>-10228487.224583276</v>
      </c>
      <c r="M1111" s="471">
        <f t="shared" si="109"/>
        <v>0.05</v>
      </c>
      <c r="N1111" s="475">
        <f t="shared" si="110"/>
        <v>84859</v>
      </c>
    </row>
    <row r="1112" spans="7:14" ht="11.25" customHeight="1" x14ac:dyDescent="0.3">
      <c r="G1112" s="470">
        <f>G1111+1</f>
        <v>93</v>
      </c>
      <c r="H1112" s="470">
        <v>1105</v>
      </c>
      <c r="I1112" s="455">
        <f t="shared" ca="1" si="108"/>
        <v>-10228487.224583276</v>
      </c>
      <c r="J1112" s="455">
        <f t="array" ref="J1112">IFERROR(INDEX('Retirement Calculator'!J:J,MATCH('Isaac 401k'!N1112,'Retirement Calculator'!A:A,0),0),0)</f>
        <v>7863.2184191855868</v>
      </c>
      <c r="K1112" s="455">
        <f t="shared" ca="1" si="105"/>
        <v>-42651.460179176916</v>
      </c>
      <c r="L1112" s="455">
        <f t="shared" ca="1" si="106"/>
        <v>-10279001.903181637</v>
      </c>
      <c r="M1112" s="471">
        <f t="shared" si="109"/>
        <v>0.05</v>
      </c>
      <c r="N1112" s="475">
        <f t="shared" si="110"/>
        <v>84890</v>
      </c>
    </row>
    <row r="1113" spans="7:14" ht="11.25" customHeight="1" x14ac:dyDescent="0.3">
      <c r="G1113" s="470">
        <f t="shared" ref="G1113:G1123" si="117">G1112</f>
        <v>93</v>
      </c>
      <c r="H1113" s="470">
        <v>1106</v>
      </c>
      <c r="I1113" s="455">
        <f t="shared" ca="1" si="108"/>
        <v>-10279001.903181637</v>
      </c>
      <c r="J1113" s="455">
        <f t="array" ref="J1113">IFERROR(INDEX('Retirement Calculator'!J:J,MATCH('Isaac 401k'!N1113,'Retirement Calculator'!A:A,0),0),0)</f>
        <v>7863.2184191855868</v>
      </c>
      <c r="K1113" s="455">
        <f t="shared" ca="1" si="105"/>
        <v>-42861.938006670091</v>
      </c>
      <c r="L1113" s="455">
        <f t="shared" ca="1" si="106"/>
        <v>-10329727.059607491</v>
      </c>
      <c r="M1113" s="471">
        <f t="shared" si="109"/>
        <v>0.05</v>
      </c>
      <c r="N1113" s="475">
        <f t="shared" si="110"/>
        <v>84920</v>
      </c>
    </row>
    <row r="1114" spans="7:14" ht="11.25" customHeight="1" x14ac:dyDescent="0.3">
      <c r="G1114" s="470">
        <f t="shared" si="117"/>
        <v>93</v>
      </c>
      <c r="H1114" s="470">
        <v>1107</v>
      </c>
      <c r="I1114" s="455">
        <f t="shared" ca="1" si="108"/>
        <v>-10329727.059607491</v>
      </c>
      <c r="J1114" s="455">
        <f t="array" ref="J1114">IFERROR(INDEX('Retirement Calculator'!J:J,MATCH('Isaac 401k'!N1114,'Retirement Calculator'!A:A,0),0),0)</f>
        <v>7863.2184191855868</v>
      </c>
      <c r="K1114" s="455">
        <f t="shared" ca="1" si="105"/>
        <v>-43073.292825111152</v>
      </c>
      <c r="L1114" s="455">
        <f t="shared" ca="1" si="106"/>
        <v>-10380663.570851786</v>
      </c>
      <c r="M1114" s="471">
        <f t="shared" si="109"/>
        <v>0.05</v>
      </c>
      <c r="N1114" s="475">
        <f t="shared" si="110"/>
        <v>84951</v>
      </c>
    </row>
    <row r="1115" spans="7:14" ht="11.25" customHeight="1" x14ac:dyDescent="0.3">
      <c r="G1115" s="470">
        <f t="shared" si="117"/>
        <v>93</v>
      </c>
      <c r="H1115" s="470">
        <v>1108</v>
      </c>
      <c r="I1115" s="455">
        <f t="shared" ca="1" si="108"/>
        <v>-10380663.570851786</v>
      </c>
      <c r="J1115" s="455">
        <f t="array" ref="J1115">IFERROR(INDEX('Retirement Calculator'!J:J,MATCH('Isaac 401k'!N1115,'Retirement Calculator'!A:A,0),0),0)</f>
        <v>7863.2184191855868</v>
      </c>
      <c r="K1115" s="455">
        <f t="shared" ca="1" si="105"/>
        <v>-43285.528288629044</v>
      </c>
      <c r="L1115" s="455">
        <f t="shared" ca="1" si="106"/>
        <v>-10431812.3175596</v>
      </c>
      <c r="M1115" s="471">
        <f t="shared" si="109"/>
        <v>0.05</v>
      </c>
      <c r="N1115" s="475">
        <f t="shared" si="110"/>
        <v>84982</v>
      </c>
    </row>
    <row r="1116" spans="7:14" ht="11.25" customHeight="1" x14ac:dyDescent="0.3">
      <c r="G1116" s="470">
        <f t="shared" si="117"/>
        <v>93</v>
      </c>
      <c r="H1116" s="470">
        <v>1109</v>
      </c>
      <c r="I1116" s="455">
        <f t="shared" ca="1" si="108"/>
        <v>-10431812.3175596</v>
      </c>
      <c r="J1116" s="455">
        <f t="array" ref="J1116">IFERROR(INDEX('Retirement Calculator'!J:J,MATCH('Isaac 401k'!N1116,'Retirement Calculator'!A:A,0),0),0)</f>
        <v>7863.2184191855868</v>
      </c>
      <c r="K1116" s="455">
        <f t="shared" ca="1" si="105"/>
        <v>-43498.648066578273</v>
      </c>
      <c r="L1116" s="455">
        <f t="shared" ca="1" si="106"/>
        <v>-10483174.184045363</v>
      </c>
      <c r="M1116" s="471">
        <f t="shared" si="109"/>
        <v>0.05</v>
      </c>
      <c r="N1116" s="475">
        <f t="shared" si="110"/>
        <v>85012</v>
      </c>
    </row>
    <row r="1117" spans="7:14" ht="11.25" customHeight="1" x14ac:dyDescent="0.3">
      <c r="G1117" s="470">
        <f t="shared" si="117"/>
        <v>93</v>
      </c>
      <c r="H1117" s="470">
        <v>1110</v>
      </c>
      <c r="I1117" s="455">
        <f t="shared" ca="1" si="108"/>
        <v>-10483174.184045363</v>
      </c>
      <c r="J1117" s="455">
        <f t="array" ref="J1117">IFERROR(INDEX('Retirement Calculator'!J:J,MATCH('Isaac 401k'!N1117,'Retirement Calculator'!A:A,0),0),0)</f>
        <v>7863.2184191855868</v>
      </c>
      <c r="K1117" s="455">
        <f t="shared" ca="1" si="105"/>
        <v>-43712.655843602282</v>
      </c>
      <c r="L1117" s="455">
        <f t="shared" ca="1" si="106"/>
        <v>-10534750.058308151</v>
      </c>
      <c r="M1117" s="471">
        <f t="shared" si="109"/>
        <v>0.05</v>
      </c>
      <c r="N1117" s="475">
        <f t="shared" si="110"/>
        <v>85043</v>
      </c>
    </row>
    <row r="1118" spans="7:14" ht="11.25" customHeight="1" x14ac:dyDescent="0.3">
      <c r="G1118" s="470">
        <f t="shared" si="117"/>
        <v>93</v>
      </c>
      <c r="H1118" s="470">
        <v>1111</v>
      </c>
      <c r="I1118" s="455">
        <f t="shared" ca="1" si="108"/>
        <v>-10534750.058308151</v>
      </c>
      <c r="J1118" s="455">
        <f t="array" ref="J1118">IFERROR(INDEX('Retirement Calculator'!J:J,MATCH('Isaac 401k'!N1118,'Retirement Calculator'!A:A,0),0),0)</f>
        <v>7863.2184191855868</v>
      </c>
      <c r="K1118" s="455">
        <f t="shared" ca="1" si="105"/>
        <v>-43927.555319697232</v>
      </c>
      <c r="L1118" s="455">
        <f t="shared" ca="1" si="106"/>
        <v>-10586540.832047032</v>
      </c>
      <c r="M1118" s="471">
        <f t="shared" si="109"/>
        <v>0.05</v>
      </c>
      <c r="N1118" s="475">
        <f t="shared" si="110"/>
        <v>85073</v>
      </c>
    </row>
    <row r="1119" spans="7:14" ht="11.25" customHeight="1" x14ac:dyDescent="0.3">
      <c r="G1119" s="470">
        <f t="shared" si="117"/>
        <v>93</v>
      </c>
      <c r="H1119" s="470">
        <v>1112</v>
      </c>
      <c r="I1119" s="455">
        <f t="shared" ca="1" si="108"/>
        <v>-10586540.832047032</v>
      </c>
      <c r="J1119" s="455">
        <f t="array" ref="J1119">IFERROR(INDEX('Retirement Calculator'!J:J,MATCH('Isaac 401k'!N1119,'Retirement Calculator'!A:A,0),0),0)</f>
        <v>7863.2184191855868</v>
      </c>
      <c r="K1119" s="455">
        <f t="shared" ca="1" si="105"/>
        <v>-44143.350210275901</v>
      </c>
      <c r="L1119" s="455">
        <f t="shared" ca="1" si="106"/>
        <v>-10638547.400676493</v>
      </c>
      <c r="M1119" s="471">
        <f t="shared" si="109"/>
        <v>0.05</v>
      </c>
      <c r="N1119" s="475">
        <f t="shared" si="110"/>
        <v>85104</v>
      </c>
    </row>
    <row r="1120" spans="7:14" ht="11.25" customHeight="1" x14ac:dyDescent="0.3">
      <c r="G1120" s="470">
        <f t="shared" si="117"/>
        <v>93</v>
      </c>
      <c r="H1120" s="470">
        <v>1113</v>
      </c>
      <c r="I1120" s="455">
        <f t="shared" ca="1" si="108"/>
        <v>-10638547.400676493</v>
      </c>
      <c r="J1120" s="455">
        <f t="array" ref="J1120">IFERROR(INDEX('Retirement Calculator'!J:J,MATCH('Isaac 401k'!N1120,'Retirement Calculator'!A:A,0),0),0)</f>
        <v>7863.2184191855868</v>
      </c>
      <c r="K1120" s="455">
        <f t="shared" ca="1" si="105"/>
        <v>-44360.044246231992</v>
      </c>
      <c r="L1120" s="455">
        <f t="shared" ca="1" si="106"/>
        <v>-10690770.66334191</v>
      </c>
      <c r="M1120" s="471">
        <f t="shared" si="109"/>
        <v>0.05</v>
      </c>
      <c r="N1120" s="475">
        <f t="shared" si="110"/>
        <v>85135</v>
      </c>
    </row>
    <row r="1121" spans="7:14" ht="11.25" customHeight="1" x14ac:dyDescent="0.3">
      <c r="G1121" s="470">
        <f t="shared" si="117"/>
        <v>93</v>
      </c>
      <c r="H1121" s="470">
        <v>1114</v>
      </c>
      <c r="I1121" s="455">
        <f t="shared" ca="1" si="108"/>
        <v>-10690770.66334191</v>
      </c>
      <c r="J1121" s="455">
        <f t="array" ref="J1121">IFERROR(INDEX('Retirement Calculator'!J:J,MATCH('Isaac 401k'!N1121,'Retirement Calculator'!A:A,0),0),0)</f>
        <v>7863.2184191855868</v>
      </c>
      <c r="K1121" s="455">
        <f t="shared" ca="1" si="105"/>
        <v>-44577.641174004559</v>
      </c>
      <c r="L1121" s="455">
        <f t="shared" ca="1" si="106"/>
        <v>-10743211.5229351</v>
      </c>
      <c r="M1121" s="471">
        <f t="shared" si="109"/>
        <v>0.05</v>
      </c>
      <c r="N1121" s="475">
        <f t="shared" si="110"/>
        <v>85163</v>
      </c>
    </row>
    <row r="1122" spans="7:14" ht="11.25" customHeight="1" x14ac:dyDescent="0.3">
      <c r="G1122" s="470">
        <f t="shared" si="117"/>
        <v>93</v>
      </c>
      <c r="H1122" s="470">
        <v>1115</v>
      </c>
      <c r="I1122" s="455">
        <f t="shared" ca="1" si="108"/>
        <v>-10743211.5229351</v>
      </c>
      <c r="J1122" s="455">
        <f t="array" ref="J1122">IFERROR(INDEX('Retirement Calculator'!J:J,MATCH('Isaac 401k'!N1122,'Retirement Calculator'!A:A,0),0),0)</f>
        <v>7863.2184191855868</v>
      </c>
      <c r="K1122" s="455">
        <f t="shared" ca="1" si="105"/>
        <v>-44796.144755642854</v>
      </c>
      <c r="L1122" s="455">
        <f t="shared" ca="1" si="106"/>
        <v>-10795870.886109928</v>
      </c>
      <c r="M1122" s="471">
        <f t="shared" si="109"/>
        <v>0.05</v>
      </c>
      <c r="N1122" s="475">
        <f t="shared" si="110"/>
        <v>85194</v>
      </c>
    </row>
    <row r="1123" spans="7:14" ht="11.25" customHeight="1" x14ac:dyDescent="0.3">
      <c r="G1123" s="470">
        <f t="shared" si="117"/>
        <v>93</v>
      </c>
      <c r="H1123" s="470">
        <v>1116</v>
      </c>
      <c r="I1123" s="455">
        <f t="shared" ca="1" si="108"/>
        <v>-10795870.886109928</v>
      </c>
      <c r="J1123" s="455">
        <f t="array" ref="J1123">IFERROR(INDEX('Retirement Calculator'!J:J,MATCH('Isaac 401k'!N1123,'Retirement Calculator'!A:A,0),0),0)</f>
        <v>7863.2184191855868</v>
      </c>
      <c r="K1123" s="455">
        <f t="shared" ca="1" si="105"/>
        <v>-45015.558768871299</v>
      </c>
      <c r="L1123" s="455">
        <f t="shared" ca="1" si="106"/>
        <v>-10848749.663297985</v>
      </c>
      <c r="M1123" s="471">
        <f t="shared" si="109"/>
        <v>0.05</v>
      </c>
      <c r="N1123" s="475">
        <f t="shared" si="110"/>
        <v>85224</v>
      </c>
    </row>
    <row r="1124" spans="7:14" ht="11.25" customHeight="1" x14ac:dyDescent="0.3">
      <c r="G1124" s="470">
        <f>G1123+1</f>
        <v>94</v>
      </c>
      <c r="H1124" s="470">
        <v>1117</v>
      </c>
      <c r="I1124" s="455">
        <f t="shared" ca="1" si="108"/>
        <v>-10848749.663297985</v>
      </c>
      <c r="J1124" s="455">
        <f t="array" ref="J1124">IFERROR(INDEX('Retirement Calculator'!J:J,MATCH('Isaac 401k'!N1124,'Retirement Calculator'!A:A,0),0),0)</f>
        <v>7863.2184191855868</v>
      </c>
      <c r="K1124" s="455">
        <f t="shared" ca="1" si="105"/>
        <v>-45235.887007154874</v>
      </c>
      <c r="L1124" s="455">
        <f t="shared" ca="1" si="106"/>
        <v>-10901848.768724324</v>
      </c>
      <c r="M1124" s="471">
        <f t="shared" si="109"/>
        <v>0.05</v>
      </c>
      <c r="N1124" s="475">
        <f t="shared" si="110"/>
        <v>85255</v>
      </c>
    </row>
    <row r="1125" spans="7:14" ht="11.25" customHeight="1" x14ac:dyDescent="0.3">
      <c r="G1125" s="470">
        <f t="shared" ref="G1125:G1135" si="118">G1124</f>
        <v>94</v>
      </c>
      <c r="H1125" s="470">
        <v>1118</v>
      </c>
      <c r="I1125" s="455">
        <f t="shared" ca="1" si="108"/>
        <v>-10901848.768724324</v>
      </c>
      <c r="J1125" s="455">
        <f t="array" ref="J1125">IFERROR(INDEX('Retirement Calculator'!J:J,MATCH('Isaac 401k'!N1125,'Retirement Calculator'!A:A,0),0),0)</f>
        <v>7863.2184191855868</v>
      </c>
      <c r="K1125" s="455">
        <f t="shared" ca="1" si="105"/>
        <v>-45457.133279764617</v>
      </c>
      <c r="L1125" s="455">
        <f t="shared" ca="1" si="106"/>
        <v>-10955169.120423274</v>
      </c>
      <c r="M1125" s="471">
        <f t="shared" si="109"/>
        <v>0.05</v>
      </c>
      <c r="N1125" s="475">
        <f t="shared" si="110"/>
        <v>85285</v>
      </c>
    </row>
    <row r="1126" spans="7:14" ht="11.25" customHeight="1" x14ac:dyDescent="0.3">
      <c r="G1126" s="470">
        <f t="shared" si="118"/>
        <v>94</v>
      </c>
      <c r="H1126" s="470">
        <v>1119</v>
      </c>
      <c r="I1126" s="455">
        <f t="shared" ca="1" si="108"/>
        <v>-10955169.120423274</v>
      </c>
      <c r="J1126" s="455">
        <f t="array" ref="J1126">IFERROR(INDEX('Retirement Calculator'!J:J,MATCH('Isaac 401k'!N1126,'Retirement Calculator'!A:A,0),0),0)</f>
        <v>7863.2184191855868</v>
      </c>
      <c r="K1126" s="455">
        <f t="shared" ca="1" si="105"/>
        <v>-45679.301411843582</v>
      </c>
      <c r="L1126" s="455">
        <f t="shared" ca="1" si="106"/>
        <v>-11008711.640254302</v>
      </c>
      <c r="M1126" s="471">
        <f t="shared" si="109"/>
        <v>0.05</v>
      </c>
      <c r="N1126" s="475">
        <f t="shared" si="110"/>
        <v>85316</v>
      </c>
    </row>
    <row r="1127" spans="7:14" ht="11.25" customHeight="1" x14ac:dyDescent="0.3">
      <c r="G1127" s="470">
        <f t="shared" si="118"/>
        <v>94</v>
      </c>
      <c r="H1127" s="470">
        <v>1120</v>
      </c>
      <c r="I1127" s="455">
        <f t="shared" ca="1" si="108"/>
        <v>-11008711.640254302</v>
      </c>
      <c r="J1127" s="455">
        <f t="array" ref="J1127">IFERROR(INDEX('Retirement Calculator'!J:J,MATCH('Isaac 401k'!N1127,'Retirement Calculator'!A:A,0),0),0)</f>
        <v>7863.2184191855868</v>
      </c>
      <c r="K1127" s="455">
        <f t="shared" ca="1" si="105"/>
        <v>-45902.395244472864</v>
      </c>
      <c r="L1127" s="455">
        <f t="shared" ca="1" si="106"/>
        <v>-11062477.25391796</v>
      </c>
      <c r="M1127" s="471">
        <f t="shared" si="109"/>
        <v>0.05</v>
      </c>
      <c r="N1127" s="475">
        <f t="shared" si="110"/>
        <v>85347</v>
      </c>
    </row>
    <row r="1128" spans="7:14" ht="11.25" customHeight="1" x14ac:dyDescent="0.3">
      <c r="G1128" s="470">
        <f t="shared" si="118"/>
        <v>94</v>
      </c>
      <c r="H1128" s="470">
        <v>1121</v>
      </c>
      <c r="I1128" s="455">
        <f t="shared" ca="1" si="108"/>
        <v>-11062477.25391796</v>
      </c>
      <c r="J1128" s="455">
        <f t="array" ref="J1128">IFERROR(INDEX('Retirement Calculator'!J:J,MATCH('Isaac 401k'!N1128,'Retirement Calculator'!A:A,0),0),0)</f>
        <v>7863.2184191855868</v>
      </c>
      <c r="K1128" s="455">
        <f t="shared" ca="1" si="105"/>
        <v>-46126.418634738104</v>
      </c>
      <c r="L1128" s="455">
        <f t="shared" ca="1" si="106"/>
        <v>-11116466.890971884</v>
      </c>
      <c r="M1128" s="471">
        <f t="shared" si="109"/>
        <v>0.05</v>
      </c>
      <c r="N1128" s="475">
        <f t="shared" si="110"/>
        <v>85377</v>
      </c>
    </row>
    <row r="1129" spans="7:14" ht="11.25" customHeight="1" x14ac:dyDescent="0.3">
      <c r="G1129" s="470">
        <f t="shared" si="118"/>
        <v>94</v>
      </c>
      <c r="H1129" s="470">
        <v>1122</v>
      </c>
      <c r="I1129" s="455">
        <f t="shared" ca="1" si="108"/>
        <v>-11116466.890971884</v>
      </c>
      <c r="J1129" s="455">
        <f t="array" ref="J1129">IFERROR(INDEX('Retirement Calculator'!J:J,MATCH('Isaac 401k'!N1129,'Retirement Calculator'!A:A,0),0),0)</f>
        <v>7863.2184191855868</v>
      </c>
      <c r="K1129" s="455">
        <f t="shared" ca="1" si="105"/>
        <v>-46351.375455796122</v>
      </c>
      <c r="L1129" s="455">
        <f t="shared" ca="1" si="106"/>
        <v>-11170681.484846866</v>
      </c>
      <c r="M1129" s="471">
        <f t="shared" si="109"/>
        <v>0.05</v>
      </c>
      <c r="N1129" s="475">
        <f t="shared" si="110"/>
        <v>85408</v>
      </c>
    </row>
    <row r="1130" spans="7:14" ht="11.25" customHeight="1" x14ac:dyDescent="0.3">
      <c r="G1130" s="470">
        <f t="shared" si="118"/>
        <v>94</v>
      </c>
      <c r="H1130" s="470">
        <v>1123</v>
      </c>
      <c r="I1130" s="455">
        <f t="shared" ca="1" si="108"/>
        <v>-11170681.484846866</v>
      </c>
      <c r="J1130" s="455">
        <f t="array" ref="J1130">IFERROR(INDEX('Retirement Calculator'!J:J,MATCH('Isaac 401k'!N1130,'Retirement Calculator'!A:A,0),0),0)</f>
        <v>7863.2184191855868</v>
      </c>
      <c r="K1130" s="455">
        <f t="shared" ca="1" si="105"/>
        <v>-46577.269596941878</v>
      </c>
      <c r="L1130" s="455">
        <f t="shared" ca="1" si="106"/>
        <v>-11225121.972862992</v>
      </c>
      <c r="M1130" s="471">
        <f t="shared" si="109"/>
        <v>0.05</v>
      </c>
      <c r="N1130" s="475">
        <f t="shared" si="110"/>
        <v>85438</v>
      </c>
    </row>
    <row r="1131" spans="7:14" ht="11.25" customHeight="1" x14ac:dyDescent="0.3">
      <c r="G1131" s="470">
        <f t="shared" si="118"/>
        <v>94</v>
      </c>
      <c r="H1131" s="470">
        <v>1124</v>
      </c>
      <c r="I1131" s="455">
        <f t="shared" ca="1" si="108"/>
        <v>-11225121.972862992</v>
      </c>
      <c r="J1131" s="455">
        <f t="array" ref="J1131">IFERROR(INDEX('Retirement Calculator'!J:J,MATCH('Isaac 401k'!N1131,'Retirement Calculator'!A:A,0),0),0)</f>
        <v>7863.2184191855868</v>
      </c>
      <c r="K1131" s="455">
        <f t="shared" ca="1" si="105"/>
        <v>-46804.104963675738</v>
      </c>
      <c r="L1131" s="455">
        <f t="shared" ca="1" si="106"/>
        <v>-11279789.296245852</v>
      </c>
      <c r="M1131" s="471">
        <f t="shared" si="109"/>
        <v>0.05</v>
      </c>
      <c r="N1131" s="475">
        <f t="shared" si="110"/>
        <v>85469</v>
      </c>
    </row>
    <row r="1132" spans="7:14" ht="11.25" customHeight="1" x14ac:dyDescent="0.3">
      <c r="G1132" s="470">
        <f t="shared" si="118"/>
        <v>94</v>
      </c>
      <c r="H1132" s="470">
        <v>1125</v>
      </c>
      <c r="I1132" s="455">
        <f t="shared" ca="1" si="108"/>
        <v>-11279789.296245852</v>
      </c>
      <c r="J1132" s="455">
        <f t="array" ref="J1132">IFERROR(INDEX('Retirement Calculator'!J:J,MATCH('Isaac 401k'!N1132,'Retirement Calculator'!A:A,0),0),0)</f>
        <v>7863.2184191855868</v>
      </c>
      <c r="K1132" s="455">
        <f t="shared" ca="1" si="105"/>
        <v>-47031.885477770986</v>
      </c>
      <c r="L1132" s="455">
        <f t="shared" ca="1" si="106"/>
        <v>-11334684.400142808</v>
      </c>
      <c r="M1132" s="471">
        <f t="shared" si="109"/>
        <v>0.05</v>
      </c>
      <c r="N1132" s="475">
        <f t="shared" si="110"/>
        <v>85500</v>
      </c>
    </row>
    <row r="1133" spans="7:14" ht="11.25" customHeight="1" x14ac:dyDescent="0.3">
      <c r="G1133" s="470">
        <f t="shared" si="118"/>
        <v>94</v>
      </c>
      <c r="H1133" s="470">
        <v>1126</v>
      </c>
      <c r="I1133" s="455">
        <f t="shared" ca="1" si="108"/>
        <v>-11334684.400142808</v>
      </c>
      <c r="J1133" s="455">
        <f t="array" ref="J1133">IFERROR(INDEX('Retirement Calculator'!J:J,MATCH('Isaac 401k'!N1133,'Retirement Calculator'!A:A,0),0),0)</f>
        <v>7863.2184191855868</v>
      </c>
      <c r="K1133" s="455">
        <f t="shared" ca="1" si="105"/>
        <v>-47260.615077341638</v>
      </c>
      <c r="L1133" s="455">
        <f t="shared" ca="1" si="106"/>
        <v>-11389808.233639333</v>
      </c>
      <c r="M1133" s="471">
        <f t="shared" si="109"/>
        <v>0.05</v>
      </c>
      <c r="N1133" s="475">
        <f t="shared" si="110"/>
        <v>85528</v>
      </c>
    </row>
    <row r="1134" spans="7:14" ht="11.25" customHeight="1" x14ac:dyDescent="0.3">
      <c r="G1134" s="470">
        <f t="shared" si="118"/>
        <v>94</v>
      </c>
      <c r="H1134" s="470">
        <v>1127</v>
      </c>
      <c r="I1134" s="455">
        <f t="shared" ca="1" si="108"/>
        <v>-11389808.233639333</v>
      </c>
      <c r="J1134" s="455">
        <f t="array" ref="J1134">IFERROR(INDEX('Retirement Calculator'!J:J,MATCH('Isaac 401k'!N1134,'Retirement Calculator'!A:A,0),0),0)</f>
        <v>7863.2184191855868</v>
      </c>
      <c r="K1134" s="455">
        <f t="shared" ca="1" si="105"/>
        <v>-47490.297716910492</v>
      </c>
      <c r="L1134" s="455">
        <f t="shared" ca="1" si="106"/>
        <v>-11445161.749775428</v>
      </c>
      <c r="M1134" s="471">
        <f t="shared" si="109"/>
        <v>0.05</v>
      </c>
      <c r="N1134" s="475">
        <f t="shared" si="110"/>
        <v>85559</v>
      </c>
    </row>
    <row r="1135" spans="7:14" ht="11.25" customHeight="1" x14ac:dyDescent="0.3">
      <c r="G1135" s="470">
        <f t="shared" si="118"/>
        <v>94</v>
      </c>
      <c r="H1135" s="470">
        <v>1128</v>
      </c>
      <c r="I1135" s="455">
        <f t="shared" ca="1" si="108"/>
        <v>-11445161.749775428</v>
      </c>
      <c r="J1135" s="455">
        <f t="array" ref="J1135">IFERROR(INDEX('Retirement Calculator'!J:J,MATCH('Isaac 401k'!N1135,'Retirement Calculator'!A:A,0),0),0)</f>
        <v>7863.2184191855868</v>
      </c>
      <c r="K1135" s="455">
        <f t="shared" ca="1" si="105"/>
        <v>-47720.937367477556</v>
      </c>
      <c r="L1135" s="455">
        <f t="shared" ca="1" si="106"/>
        <v>-11500745.905562092</v>
      </c>
      <c r="M1135" s="471">
        <f t="shared" si="109"/>
        <v>0.05</v>
      </c>
      <c r="N1135" s="475">
        <f t="shared" si="110"/>
        <v>85589</v>
      </c>
    </row>
    <row r="1136" spans="7:14" ht="11.25" customHeight="1" x14ac:dyDescent="0.3">
      <c r="G1136" s="470">
        <f>G1135+1</f>
        <v>95</v>
      </c>
      <c r="H1136" s="470">
        <v>1129</v>
      </c>
      <c r="I1136" s="455">
        <f t="shared" ca="1" si="108"/>
        <v>-11500745.905562092</v>
      </c>
      <c r="J1136" s="455">
        <f t="array" ref="J1136">IFERROR(INDEX('Retirement Calculator'!J:J,MATCH('Isaac 401k'!N1136,'Retirement Calculator'!A:A,0),0),0)</f>
        <v>7863.2184191855868</v>
      </c>
      <c r="K1136" s="455">
        <f t="shared" ca="1" si="105"/>
        <v>-47952.538016588653</v>
      </c>
      <c r="L1136" s="455">
        <f t="shared" ca="1" si="106"/>
        <v>-11556561.661997866</v>
      </c>
      <c r="M1136" s="471">
        <f t="shared" si="109"/>
        <v>0.05</v>
      </c>
      <c r="N1136" s="475">
        <f t="shared" si="110"/>
        <v>85620</v>
      </c>
    </row>
    <row r="1137" spans="7:14" ht="11.25" customHeight="1" x14ac:dyDescent="0.3">
      <c r="G1137" s="470">
        <f t="shared" ref="G1137:G1147" si="119">G1136</f>
        <v>95</v>
      </c>
      <c r="H1137" s="470">
        <v>1130</v>
      </c>
      <c r="I1137" s="455">
        <f t="shared" ca="1" si="108"/>
        <v>-11556561.661997866</v>
      </c>
      <c r="J1137" s="455">
        <f t="array" ref="J1137">IFERROR(INDEX('Retirement Calculator'!J:J,MATCH('Isaac 401k'!N1137,'Retirement Calculator'!A:A,0),0),0)</f>
        <v>7863.2184191855868</v>
      </c>
      <c r="K1137" s="455">
        <f t="shared" ca="1" si="105"/>
        <v>-48185.103668404379</v>
      </c>
      <c r="L1137" s="455">
        <f t="shared" ca="1" si="106"/>
        <v>-11612609.984085456</v>
      </c>
      <c r="M1137" s="471">
        <f t="shared" si="109"/>
        <v>0.05</v>
      </c>
      <c r="N1137" s="475">
        <f t="shared" si="110"/>
        <v>85650</v>
      </c>
    </row>
    <row r="1138" spans="7:14" ht="11.25" customHeight="1" x14ac:dyDescent="0.3">
      <c r="G1138" s="470">
        <f t="shared" si="119"/>
        <v>95</v>
      </c>
      <c r="H1138" s="470">
        <v>1131</v>
      </c>
      <c r="I1138" s="455">
        <f t="shared" ca="1" si="108"/>
        <v>-11612609.984085456</v>
      </c>
      <c r="J1138" s="455">
        <f t="array" ref="J1138">IFERROR(INDEX('Retirement Calculator'!J:J,MATCH('Isaac 401k'!N1138,'Retirement Calculator'!A:A,0),0),0)</f>
        <v>7863.2184191855868</v>
      </c>
      <c r="K1138" s="455">
        <f t="shared" ca="1" si="105"/>
        <v>-48418.638343769337</v>
      </c>
      <c r="L1138" s="455">
        <f t="shared" ca="1" si="106"/>
        <v>-11668891.840848411</v>
      </c>
      <c r="M1138" s="471">
        <f t="shared" si="109"/>
        <v>0.05</v>
      </c>
      <c r="N1138" s="475">
        <f t="shared" si="110"/>
        <v>85681</v>
      </c>
    </row>
    <row r="1139" spans="7:14" ht="11.25" customHeight="1" x14ac:dyDescent="0.3">
      <c r="G1139" s="470">
        <f t="shared" si="119"/>
        <v>95</v>
      </c>
      <c r="H1139" s="470">
        <v>1132</v>
      </c>
      <c r="I1139" s="455">
        <f t="shared" ca="1" si="108"/>
        <v>-11668891.840848411</v>
      </c>
      <c r="J1139" s="455">
        <f t="array" ref="J1139">IFERROR(INDEX('Retirement Calculator'!J:J,MATCH('Isaac 401k'!N1139,'Retirement Calculator'!A:A,0),0),0)</f>
        <v>7863.2184191855868</v>
      </c>
      <c r="K1139" s="455">
        <f t="shared" ca="1" si="105"/>
        <v>-48653.146080281644</v>
      </c>
      <c r="L1139" s="455">
        <f t="shared" ca="1" si="106"/>
        <v>-11725408.205347877</v>
      </c>
      <c r="M1139" s="471">
        <f t="shared" si="109"/>
        <v>0.05</v>
      </c>
      <c r="N1139" s="475">
        <f t="shared" si="110"/>
        <v>85712</v>
      </c>
    </row>
    <row r="1140" spans="7:14" ht="11.25" customHeight="1" x14ac:dyDescent="0.3">
      <c r="G1140" s="470">
        <f t="shared" si="119"/>
        <v>95</v>
      </c>
      <c r="H1140" s="470">
        <v>1133</v>
      </c>
      <c r="I1140" s="455">
        <f t="shared" ca="1" si="108"/>
        <v>-11725408.205347877</v>
      </c>
      <c r="J1140" s="455">
        <f t="array" ref="J1140">IFERROR(INDEX('Retirement Calculator'!J:J,MATCH('Isaac 401k'!N1140,'Retirement Calculator'!A:A,0),0),0)</f>
        <v>7863.2184191855868</v>
      </c>
      <c r="K1140" s="455">
        <f t="shared" ca="1" si="105"/>
        <v>-48888.630932362757</v>
      </c>
      <c r="L1140" s="455">
        <f t="shared" ca="1" si="106"/>
        <v>-11782160.054699425</v>
      </c>
      <c r="M1140" s="471">
        <f t="shared" si="109"/>
        <v>0.05</v>
      </c>
      <c r="N1140" s="475">
        <f t="shared" si="110"/>
        <v>85742</v>
      </c>
    </row>
    <row r="1141" spans="7:14" ht="11.25" customHeight="1" x14ac:dyDescent="0.3">
      <c r="G1141" s="470">
        <f t="shared" si="119"/>
        <v>95</v>
      </c>
      <c r="H1141" s="470">
        <v>1134</v>
      </c>
      <c r="I1141" s="455">
        <f t="shared" ca="1" si="108"/>
        <v>-11782160.054699425</v>
      </c>
      <c r="J1141" s="455">
        <f t="array" ref="J1141">IFERROR(INDEX('Retirement Calculator'!J:J,MATCH('Isaac 401k'!N1141,'Retirement Calculator'!A:A,0),0),0)</f>
        <v>7863.2184191855868</v>
      </c>
      <c r="K1141" s="455">
        <f t="shared" ca="1" si="105"/>
        <v>-49125.096971327541</v>
      </c>
      <c r="L1141" s="455">
        <f t="shared" ca="1" si="106"/>
        <v>-11839148.370089937</v>
      </c>
      <c r="M1141" s="471">
        <f t="shared" si="109"/>
        <v>0.05</v>
      </c>
      <c r="N1141" s="475">
        <f t="shared" si="110"/>
        <v>85773</v>
      </c>
    </row>
    <row r="1142" spans="7:14" ht="11.25" customHeight="1" x14ac:dyDescent="0.3">
      <c r="G1142" s="470">
        <f t="shared" si="119"/>
        <v>95</v>
      </c>
      <c r="H1142" s="470">
        <v>1135</v>
      </c>
      <c r="I1142" s="455">
        <f t="shared" ca="1" si="108"/>
        <v>-11839148.370089937</v>
      </c>
      <c r="J1142" s="455">
        <f t="array" ref="J1142">IFERROR(INDEX('Retirement Calculator'!J:J,MATCH('Isaac 401k'!N1142,'Retirement Calculator'!A:A,0),0),0)</f>
        <v>7863.2184191855868</v>
      </c>
      <c r="K1142" s="455">
        <f t="shared" ca="1" si="105"/>
        <v>-49362.548285454672</v>
      </c>
      <c r="L1142" s="455">
        <f t="shared" ca="1" si="106"/>
        <v>-11896374.136794576</v>
      </c>
      <c r="M1142" s="471">
        <f t="shared" si="109"/>
        <v>0.05</v>
      </c>
      <c r="N1142" s="475">
        <f t="shared" si="110"/>
        <v>85803</v>
      </c>
    </row>
    <row r="1143" spans="7:14" ht="11.25" customHeight="1" x14ac:dyDescent="0.3">
      <c r="G1143" s="470">
        <f t="shared" si="119"/>
        <v>95</v>
      </c>
      <c r="H1143" s="470">
        <v>1136</v>
      </c>
      <c r="I1143" s="455">
        <f t="shared" ca="1" si="108"/>
        <v>-11896374.136794576</v>
      </c>
      <c r="J1143" s="455">
        <f t="array" ref="J1143">IFERROR(INDEX('Retirement Calculator'!J:J,MATCH('Isaac 401k'!N1143,'Retirement Calculator'!A:A,0),0),0)</f>
        <v>7863.2184191855868</v>
      </c>
      <c r="K1143" s="455">
        <f t="shared" ca="1" si="105"/>
        <v>-49600.988980057336</v>
      </c>
      <c r="L1143" s="455">
        <f t="shared" ca="1" si="106"/>
        <v>-11953838.344193818</v>
      </c>
      <c r="M1143" s="471">
        <f t="shared" si="109"/>
        <v>0.05</v>
      </c>
      <c r="N1143" s="475">
        <f t="shared" si="110"/>
        <v>85834</v>
      </c>
    </row>
    <row r="1144" spans="7:14" ht="11.25" customHeight="1" x14ac:dyDescent="0.3">
      <c r="G1144" s="470">
        <f t="shared" si="119"/>
        <v>95</v>
      </c>
      <c r="H1144" s="470">
        <v>1137</v>
      </c>
      <c r="I1144" s="455">
        <f t="shared" ca="1" si="108"/>
        <v>-11953838.344193818</v>
      </c>
      <c r="J1144" s="455">
        <f t="array" ref="J1144">IFERROR(INDEX('Retirement Calculator'!J:J,MATCH('Isaac 401k'!N1144,'Retirement Calculator'!A:A,0),0),0)</f>
        <v>7863.2184191855868</v>
      </c>
      <c r="K1144" s="455">
        <f t="shared" ca="1" si="105"/>
        <v>-49840.423177554178</v>
      </c>
      <c r="L1144" s="455">
        <f t="shared" ca="1" si="106"/>
        <v>-12011541.985790556</v>
      </c>
      <c r="M1144" s="471">
        <f t="shared" si="109"/>
        <v>0.05</v>
      </c>
      <c r="N1144" s="475">
        <f t="shared" si="110"/>
        <v>85865</v>
      </c>
    </row>
    <row r="1145" spans="7:14" ht="11.25" customHeight="1" x14ac:dyDescent="0.3">
      <c r="G1145" s="470">
        <f t="shared" si="119"/>
        <v>95</v>
      </c>
      <c r="H1145" s="470">
        <v>1138</v>
      </c>
      <c r="I1145" s="455">
        <f t="shared" ca="1" si="108"/>
        <v>-12011541.985790556</v>
      </c>
      <c r="J1145" s="455">
        <f t="array" ref="J1145">IFERROR(INDEX('Retirement Calculator'!J:J,MATCH('Isaac 401k'!N1145,'Retirement Calculator'!A:A,0),0),0)</f>
        <v>7863.2184191855868</v>
      </c>
      <c r="K1145" s="455">
        <f t="shared" ca="1" si="105"/>
        <v>-50080.855017540591</v>
      </c>
      <c r="L1145" s="455">
        <f t="shared" ca="1" si="106"/>
        <v>-12069486.059227282</v>
      </c>
      <c r="M1145" s="471">
        <f t="shared" si="109"/>
        <v>0.05</v>
      </c>
      <c r="N1145" s="475">
        <f t="shared" si="110"/>
        <v>85893</v>
      </c>
    </row>
    <row r="1146" spans="7:14" ht="11.25" customHeight="1" x14ac:dyDescent="0.3">
      <c r="G1146" s="470">
        <f t="shared" si="119"/>
        <v>95</v>
      </c>
      <c r="H1146" s="470">
        <v>1139</v>
      </c>
      <c r="I1146" s="455">
        <f t="shared" ca="1" si="108"/>
        <v>-12069486.059227282</v>
      </c>
      <c r="J1146" s="455">
        <f t="array" ref="J1146">IFERROR(INDEX('Retirement Calculator'!J:J,MATCH('Isaac 401k'!N1146,'Retirement Calculator'!A:A,0),0),0)</f>
        <v>7863.2184191855868</v>
      </c>
      <c r="K1146" s="455">
        <f t="shared" ca="1" si="105"/>
        <v>-50322.288656860277</v>
      </c>
      <c r="L1146" s="455">
        <f t="shared" ca="1" si="106"/>
        <v>-12127671.566303328</v>
      </c>
      <c r="M1146" s="471">
        <f t="shared" si="109"/>
        <v>0.05</v>
      </c>
      <c r="N1146" s="475">
        <f t="shared" si="110"/>
        <v>85924</v>
      </c>
    </row>
    <row r="1147" spans="7:14" ht="11.25" customHeight="1" x14ac:dyDescent="0.3">
      <c r="G1147" s="470">
        <f t="shared" si="119"/>
        <v>95</v>
      </c>
      <c r="H1147" s="470">
        <v>1140</v>
      </c>
      <c r="I1147" s="455">
        <f t="shared" ca="1" si="108"/>
        <v>-12127671.566303328</v>
      </c>
      <c r="J1147" s="455">
        <f t="array" ref="J1147">IFERROR(INDEX('Retirement Calculator'!J:J,MATCH('Isaac 401k'!N1147,'Retirement Calculator'!A:A,0),0),0)</f>
        <v>7863.2184191855868</v>
      </c>
      <c r="K1147" s="455">
        <f t="shared" ca="1" si="105"/>
        <v>-50564.728269677136</v>
      </c>
      <c r="L1147" s="455">
        <f t="shared" ca="1" si="106"/>
        <v>-12186099.51299219</v>
      </c>
      <c r="M1147" s="471">
        <f t="shared" si="109"/>
        <v>0.05</v>
      </c>
      <c r="N1147" s="475">
        <f t="shared" si="110"/>
        <v>85954</v>
      </c>
    </row>
    <row r="1148" spans="7:14" ht="11.25" customHeight="1" x14ac:dyDescent="0.3">
      <c r="G1148" s="470">
        <f>G1147+1</f>
        <v>96</v>
      </c>
      <c r="H1148" s="470">
        <v>1141</v>
      </c>
      <c r="I1148" s="455">
        <f t="shared" ca="1" si="108"/>
        <v>-12186099.51299219</v>
      </c>
      <c r="J1148" s="455">
        <f t="array" ref="J1148">IFERROR(INDEX('Retirement Calculator'!J:J,MATCH('Isaac 401k'!N1148,'Retirement Calculator'!A:A,0),0),0)</f>
        <v>7863.2184191855868</v>
      </c>
      <c r="K1148" s="455">
        <f t="shared" ca="1" si="105"/>
        <v>-50808.178047547393</v>
      </c>
      <c r="L1148" s="455">
        <f t="shared" ca="1" si="106"/>
        <v>-12244770.909458922</v>
      </c>
      <c r="M1148" s="471">
        <f t="shared" si="109"/>
        <v>0.05</v>
      </c>
      <c r="N1148" s="475">
        <f t="shared" si="110"/>
        <v>85985</v>
      </c>
    </row>
    <row r="1149" spans="7:14" ht="11.25" customHeight="1" x14ac:dyDescent="0.3">
      <c r="G1149" s="470">
        <f t="shared" ref="G1149:G1159" si="120">G1148</f>
        <v>96</v>
      </c>
      <c r="H1149" s="470">
        <v>1142</v>
      </c>
      <c r="I1149" s="455">
        <f t="shared" ca="1" si="108"/>
        <v>-12244770.909458922</v>
      </c>
      <c r="J1149" s="455">
        <f t="array" ref="J1149">IFERROR(INDEX('Retirement Calculator'!J:J,MATCH('Isaac 401k'!N1149,'Retirement Calculator'!A:A,0),0),0)</f>
        <v>7863.2184191855868</v>
      </c>
      <c r="K1149" s="455">
        <f t="shared" ca="1" si="105"/>
        <v>-51052.642199492111</v>
      </c>
      <c r="L1149" s="455">
        <f t="shared" ca="1" si="106"/>
        <v>-12303686.770077599</v>
      </c>
      <c r="M1149" s="471">
        <f t="shared" si="109"/>
        <v>0.05</v>
      </c>
      <c r="N1149" s="475">
        <f t="shared" si="110"/>
        <v>86015</v>
      </c>
    </row>
    <row r="1150" spans="7:14" ht="11.25" customHeight="1" x14ac:dyDescent="0.3">
      <c r="G1150" s="470">
        <f t="shared" si="120"/>
        <v>96</v>
      </c>
      <c r="H1150" s="470">
        <v>1143</v>
      </c>
      <c r="I1150" s="455">
        <f t="shared" ca="1" si="108"/>
        <v>-12303686.770077599</v>
      </c>
      <c r="J1150" s="455">
        <f t="array" ref="J1150">IFERROR(INDEX('Retirement Calculator'!J:J,MATCH('Isaac 401k'!N1150,'Retirement Calculator'!A:A,0),0),0)</f>
        <v>7863.2184191855868</v>
      </c>
      <c r="K1150" s="455">
        <f t="shared" ca="1" si="105"/>
        <v>-51298.124952069935</v>
      </c>
      <c r="L1150" s="455">
        <f t="shared" ca="1" si="106"/>
        <v>-12362848.113448855</v>
      </c>
      <c r="M1150" s="471">
        <f t="shared" si="109"/>
        <v>0.05</v>
      </c>
      <c r="N1150" s="475">
        <f t="shared" si="110"/>
        <v>86046</v>
      </c>
    </row>
    <row r="1151" spans="7:14" ht="11.25" customHeight="1" x14ac:dyDescent="0.3">
      <c r="G1151" s="470">
        <f t="shared" si="120"/>
        <v>96</v>
      </c>
      <c r="H1151" s="470">
        <v>1144</v>
      </c>
      <c r="I1151" s="455">
        <f t="shared" ca="1" si="108"/>
        <v>-12362848.113448855</v>
      </c>
      <c r="J1151" s="455">
        <f t="array" ref="J1151">IFERROR(INDEX('Retirement Calculator'!J:J,MATCH('Isaac 401k'!N1151,'Retirement Calculator'!A:A,0),0),0)</f>
        <v>7863.2184191855868</v>
      </c>
      <c r="K1151" s="455">
        <f t="shared" ca="1" si="105"/>
        <v>-51544.630549450165</v>
      </c>
      <c r="L1151" s="455">
        <f t="shared" ca="1" si="106"/>
        <v>-12422255.962417489</v>
      </c>
      <c r="M1151" s="471">
        <f t="shared" si="109"/>
        <v>0.05</v>
      </c>
      <c r="N1151" s="475">
        <f t="shared" si="110"/>
        <v>86077</v>
      </c>
    </row>
    <row r="1152" spans="7:14" ht="11.25" customHeight="1" x14ac:dyDescent="0.3">
      <c r="G1152" s="470">
        <f t="shared" si="120"/>
        <v>96</v>
      </c>
      <c r="H1152" s="470">
        <v>1145</v>
      </c>
      <c r="I1152" s="455">
        <f t="shared" ca="1" si="108"/>
        <v>-12422255.962417489</v>
      </c>
      <c r="J1152" s="455">
        <f t="array" ref="J1152">IFERROR(INDEX('Retirement Calculator'!J:J,MATCH('Isaac 401k'!N1152,'Retirement Calculator'!A:A,0),0),0)</f>
        <v>7863.2184191855868</v>
      </c>
      <c r="K1152" s="455">
        <f t="shared" ca="1" si="105"/>
        <v>-51792.163253486142</v>
      </c>
      <c r="L1152" s="455">
        <f t="shared" ca="1" si="106"/>
        <v>-12481911.34409016</v>
      </c>
      <c r="M1152" s="471">
        <f t="shared" si="109"/>
        <v>0.05</v>
      </c>
      <c r="N1152" s="475">
        <f t="shared" si="110"/>
        <v>86107</v>
      </c>
    </row>
    <row r="1153" spans="7:14" ht="11.25" customHeight="1" x14ac:dyDescent="0.3">
      <c r="G1153" s="470">
        <f t="shared" si="120"/>
        <v>96</v>
      </c>
      <c r="H1153" s="470">
        <v>1146</v>
      </c>
      <c r="I1153" s="455">
        <f t="shared" ca="1" si="108"/>
        <v>-12481911.34409016</v>
      </c>
      <c r="J1153" s="455">
        <f t="array" ref="J1153">IFERROR(INDEX('Retirement Calculator'!J:J,MATCH('Isaac 401k'!N1153,'Retirement Calculator'!A:A,0),0),0)</f>
        <v>7863.2184191855868</v>
      </c>
      <c r="K1153" s="455">
        <f t="shared" ca="1" si="105"/>
        <v>-52040.727343788938</v>
      </c>
      <c r="L1153" s="455">
        <f t="shared" ca="1" si="106"/>
        <v>-12541815.289853133</v>
      </c>
      <c r="M1153" s="471">
        <f t="shared" si="109"/>
        <v>0.05</v>
      </c>
      <c r="N1153" s="475">
        <f t="shared" si="110"/>
        <v>86138</v>
      </c>
    </row>
    <row r="1154" spans="7:14" ht="11.25" customHeight="1" x14ac:dyDescent="0.3">
      <c r="G1154" s="470">
        <f t="shared" si="120"/>
        <v>96</v>
      </c>
      <c r="H1154" s="470">
        <v>1147</v>
      </c>
      <c r="I1154" s="455">
        <f t="shared" ca="1" si="108"/>
        <v>-12541815.289853133</v>
      </c>
      <c r="J1154" s="455">
        <f t="array" ref="J1154">IFERROR(INDEX('Retirement Calculator'!J:J,MATCH('Isaac 401k'!N1154,'Retirement Calculator'!A:A,0),0),0)</f>
        <v>7863.2184191855868</v>
      </c>
      <c r="K1154" s="455">
        <f t="shared" ca="1" si="105"/>
        <v>-52290.327117801324</v>
      </c>
      <c r="L1154" s="455">
        <f t="shared" ca="1" si="106"/>
        <v>-12601968.835390119</v>
      </c>
      <c r="M1154" s="471">
        <f t="shared" si="109"/>
        <v>0.05</v>
      </c>
      <c r="N1154" s="475">
        <f t="shared" si="110"/>
        <v>86168</v>
      </c>
    </row>
    <row r="1155" spans="7:14" ht="11.25" customHeight="1" x14ac:dyDescent="0.3">
      <c r="G1155" s="470">
        <f t="shared" si="120"/>
        <v>96</v>
      </c>
      <c r="H1155" s="470">
        <v>1148</v>
      </c>
      <c r="I1155" s="455">
        <f t="shared" ca="1" si="108"/>
        <v>-12601968.835390119</v>
      </c>
      <c r="J1155" s="455">
        <f t="array" ref="J1155">IFERROR(INDEX('Retirement Calculator'!J:J,MATCH('Isaac 401k'!N1155,'Retirement Calculator'!A:A,0),0),0)</f>
        <v>7863.2184191855868</v>
      </c>
      <c r="K1155" s="455">
        <f t="shared" ca="1" si="105"/>
        <v>-52540.9668908721</v>
      </c>
      <c r="L1155" s="455">
        <f t="shared" ca="1" si="106"/>
        <v>-12662373.020700175</v>
      </c>
      <c r="M1155" s="471">
        <f t="shared" si="109"/>
        <v>0.05</v>
      </c>
      <c r="N1155" s="475">
        <f t="shared" si="110"/>
        <v>86199</v>
      </c>
    </row>
    <row r="1156" spans="7:14" ht="11.25" customHeight="1" x14ac:dyDescent="0.3">
      <c r="G1156" s="470">
        <f t="shared" si="120"/>
        <v>96</v>
      </c>
      <c r="H1156" s="470">
        <v>1149</v>
      </c>
      <c r="I1156" s="455">
        <f t="shared" ca="1" si="108"/>
        <v>-12662373.020700175</v>
      </c>
      <c r="J1156" s="455">
        <f t="array" ref="J1156">IFERROR(INDEX('Retirement Calculator'!J:J,MATCH('Isaac 401k'!N1156,'Retirement Calculator'!A:A,0),0),0)</f>
        <v>7863.2184191855868</v>
      </c>
      <c r="K1156" s="455">
        <f t="shared" ca="1" si="105"/>
        <v>-52792.650996330667</v>
      </c>
      <c r="L1156" s="455">
        <f t="shared" ca="1" si="106"/>
        <v>-12723028.890115691</v>
      </c>
      <c r="M1156" s="471">
        <f t="shared" si="109"/>
        <v>0.05</v>
      </c>
      <c r="N1156" s="475">
        <f t="shared" si="110"/>
        <v>86230</v>
      </c>
    </row>
    <row r="1157" spans="7:14" ht="11.25" customHeight="1" x14ac:dyDescent="0.3">
      <c r="G1157" s="470">
        <f t="shared" si="120"/>
        <v>96</v>
      </c>
      <c r="H1157" s="470">
        <v>1150</v>
      </c>
      <c r="I1157" s="455">
        <f t="shared" ca="1" si="108"/>
        <v>-12723028.890115691</v>
      </c>
      <c r="J1157" s="455">
        <f t="array" ref="J1157">IFERROR(INDEX('Retirement Calculator'!J:J,MATCH('Isaac 401k'!N1157,'Retirement Calculator'!A:A,0),0),0)</f>
        <v>7863.2184191855868</v>
      </c>
      <c r="K1157" s="455">
        <f t="shared" ca="1" si="105"/>
        <v>-53045.383785561986</v>
      </c>
      <c r="L1157" s="455">
        <f t="shared" ca="1" si="106"/>
        <v>-12783937.492320439</v>
      </c>
      <c r="M1157" s="471">
        <f t="shared" si="109"/>
        <v>0.05</v>
      </c>
      <c r="N1157" s="475">
        <f t="shared" si="110"/>
        <v>86259</v>
      </c>
    </row>
    <row r="1158" spans="7:14" ht="11.25" customHeight="1" x14ac:dyDescent="0.3">
      <c r="G1158" s="470">
        <f t="shared" si="120"/>
        <v>96</v>
      </c>
      <c r="H1158" s="470">
        <v>1151</v>
      </c>
      <c r="I1158" s="455">
        <f t="shared" ca="1" si="108"/>
        <v>-12783937.492320439</v>
      </c>
      <c r="J1158" s="455">
        <f t="array" ref="J1158">IFERROR(INDEX('Retirement Calculator'!J:J,MATCH('Isaac 401k'!N1158,'Retirement Calculator'!A:A,0),0),0)</f>
        <v>7863.2184191855868</v>
      </c>
      <c r="K1158" s="455">
        <f t="shared" ca="1" si="105"/>
        <v>-53299.169628081763</v>
      </c>
      <c r="L1158" s="455">
        <f t="shared" ca="1" si="106"/>
        <v>-12845099.880367706</v>
      </c>
      <c r="M1158" s="471">
        <f t="shared" si="109"/>
        <v>0.05</v>
      </c>
      <c r="N1158" s="475">
        <f t="shared" si="110"/>
        <v>86290</v>
      </c>
    </row>
    <row r="1159" spans="7:14" ht="11.25" customHeight="1" x14ac:dyDescent="0.3">
      <c r="G1159" s="470">
        <f t="shared" si="120"/>
        <v>96</v>
      </c>
      <c r="H1159" s="470">
        <v>1152</v>
      </c>
      <c r="I1159" s="455">
        <f t="shared" ca="1" si="108"/>
        <v>-12845099.880367706</v>
      </c>
      <c r="J1159" s="455">
        <f t="array" ref="J1159">IFERROR(INDEX('Retirement Calculator'!J:J,MATCH('Isaac 401k'!N1159,'Retirement Calculator'!A:A,0),0),0)</f>
        <v>7863.2184191855868</v>
      </c>
      <c r="K1159" s="455">
        <f t="shared" ca="1" si="105"/>
        <v>-53554.012911612044</v>
      </c>
      <c r="L1159" s="455">
        <f t="shared" ca="1" si="106"/>
        <v>-12906517.111698503</v>
      </c>
      <c r="M1159" s="471">
        <f t="shared" si="109"/>
        <v>0.05</v>
      </c>
      <c r="N1159" s="475">
        <f t="shared" si="110"/>
        <v>86320</v>
      </c>
    </row>
    <row r="1160" spans="7:14" ht="11.25" customHeight="1" x14ac:dyDescent="0.3">
      <c r="G1160" s="470">
        <f>G1159+1</f>
        <v>97</v>
      </c>
      <c r="H1160" s="470">
        <v>1153</v>
      </c>
      <c r="I1160" s="455">
        <f t="shared" ca="1" si="108"/>
        <v>-12906517.111698503</v>
      </c>
      <c r="J1160" s="455">
        <f t="array" ref="J1160">IFERROR(INDEX('Retirement Calculator'!J:J,MATCH('Isaac 401k'!N1160,'Retirement Calculator'!A:A,0),0),0)</f>
        <v>7863.2184191855868</v>
      </c>
      <c r="K1160" s="455">
        <f t="shared" ca="1" si="105"/>
        <v>-53809.918042157027</v>
      </c>
      <c r="L1160" s="455">
        <f t="shared" ca="1" si="106"/>
        <v>-12968190.248159844</v>
      </c>
      <c r="M1160" s="471">
        <f t="shared" si="109"/>
        <v>0.05</v>
      </c>
      <c r="N1160" s="475">
        <f t="shared" si="110"/>
        <v>86351</v>
      </c>
    </row>
    <row r="1161" spans="7:14" ht="11.25" customHeight="1" x14ac:dyDescent="0.3">
      <c r="G1161" s="470">
        <f t="shared" ref="G1161:G1171" si="121">G1160</f>
        <v>97</v>
      </c>
      <c r="H1161" s="470">
        <v>1154</v>
      </c>
      <c r="I1161" s="455">
        <f t="shared" ca="1" si="108"/>
        <v>-12968190.248159844</v>
      </c>
      <c r="J1161" s="455">
        <f t="array" ref="J1161">IFERROR(INDEX('Retirement Calculator'!J:J,MATCH('Isaac 401k'!N1161,'Retirement Calculator'!A:A,0),0),0)</f>
        <v>7863.2184191855868</v>
      </c>
      <c r="K1161" s="455">
        <f t="shared" ca="1" si="105"/>
        <v>-54066.889444079286</v>
      </c>
      <c r="L1161" s="455">
        <f t="shared" ca="1" si="106"/>
        <v>-13030120.356023109</v>
      </c>
      <c r="M1161" s="471">
        <f t="shared" si="109"/>
        <v>0.05</v>
      </c>
      <c r="N1161" s="475">
        <f t="shared" si="110"/>
        <v>86381</v>
      </c>
    </row>
    <row r="1162" spans="7:14" ht="11.25" customHeight="1" x14ac:dyDescent="0.3">
      <c r="G1162" s="470">
        <f t="shared" si="121"/>
        <v>97</v>
      </c>
      <c r="H1162" s="470">
        <v>1155</v>
      </c>
      <c r="I1162" s="455">
        <f t="shared" ca="1" si="108"/>
        <v>-13030120.356023109</v>
      </c>
      <c r="J1162" s="455">
        <f t="array" ref="J1162">IFERROR(INDEX('Retirement Calculator'!J:J,MATCH('Isaac 401k'!N1162,'Retirement Calculator'!A:A,0),0),0)</f>
        <v>7863.2184191855868</v>
      </c>
      <c r="K1162" s="455">
        <f t="shared" ca="1" si="105"/>
        <v>-54324.931560176221</v>
      </c>
      <c r="L1162" s="455">
        <f t="shared" ca="1" si="106"/>
        <v>-13092308.506002469</v>
      </c>
      <c r="M1162" s="471">
        <f t="shared" si="109"/>
        <v>0.05</v>
      </c>
      <c r="N1162" s="475">
        <f t="shared" si="110"/>
        <v>86412</v>
      </c>
    </row>
    <row r="1163" spans="7:14" ht="11.25" customHeight="1" x14ac:dyDescent="0.3">
      <c r="G1163" s="470">
        <f t="shared" si="121"/>
        <v>97</v>
      </c>
      <c r="H1163" s="470">
        <v>1156</v>
      </c>
      <c r="I1163" s="455">
        <f t="shared" ca="1" si="108"/>
        <v>-13092308.506002469</v>
      </c>
      <c r="J1163" s="455">
        <f t="array" ref="J1163">IFERROR(INDEX('Retirement Calculator'!J:J,MATCH('Isaac 401k'!N1163,'Retirement Calculator'!A:A,0),0),0)</f>
        <v>7863.2184191855868</v>
      </c>
      <c r="K1163" s="455">
        <f t="shared" ca="1" si="105"/>
        <v>-54584.048851756888</v>
      </c>
      <c r="L1163" s="455">
        <f t="shared" ca="1" si="106"/>
        <v>-13154755.77327341</v>
      </c>
      <c r="M1163" s="471">
        <f t="shared" si="109"/>
        <v>0.05</v>
      </c>
      <c r="N1163" s="475">
        <f t="shared" si="110"/>
        <v>86443</v>
      </c>
    </row>
    <row r="1164" spans="7:14" ht="11.25" customHeight="1" x14ac:dyDescent="0.3">
      <c r="G1164" s="470">
        <f t="shared" si="121"/>
        <v>97</v>
      </c>
      <c r="H1164" s="470">
        <v>1157</v>
      </c>
      <c r="I1164" s="455">
        <f t="shared" ca="1" si="108"/>
        <v>-13154755.77327341</v>
      </c>
      <c r="J1164" s="455">
        <f t="array" ref="J1164">IFERROR(INDEX('Retirement Calculator'!J:J,MATCH('Isaac 401k'!N1164,'Retirement Calculator'!A:A,0),0),0)</f>
        <v>7863.2184191855868</v>
      </c>
      <c r="K1164" s="455">
        <f t="shared" ca="1" si="105"/>
        <v>-54844.245798719145</v>
      </c>
      <c r="L1164" s="455">
        <f t="shared" ca="1" si="106"/>
        <v>-13217463.237491315</v>
      </c>
      <c r="M1164" s="471">
        <f t="shared" si="109"/>
        <v>0.05</v>
      </c>
      <c r="N1164" s="475">
        <f t="shared" si="110"/>
        <v>86473</v>
      </c>
    </row>
    <row r="1165" spans="7:14" ht="11.25" customHeight="1" x14ac:dyDescent="0.3">
      <c r="G1165" s="470">
        <f t="shared" si="121"/>
        <v>97</v>
      </c>
      <c r="H1165" s="470">
        <v>1158</v>
      </c>
      <c r="I1165" s="455">
        <f t="shared" ca="1" si="108"/>
        <v>-13217463.237491315</v>
      </c>
      <c r="J1165" s="455">
        <f t="array" ref="J1165">IFERROR(INDEX('Retirement Calculator'!J:J,MATCH('Isaac 401k'!N1165,'Retirement Calculator'!A:A,0),0),0)</f>
        <v>7863.2184191855868</v>
      </c>
      <c r="K1165" s="455">
        <f t="shared" ca="1" si="105"/>
        <v>-55105.526899627075</v>
      </c>
      <c r="L1165" s="455">
        <f t="shared" ca="1" si="106"/>
        <v>-13280431.982810127</v>
      </c>
      <c r="M1165" s="471">
        <f t="shared" si="109"/>
        <v>0.05</v>
      </c>
      <c r="N1165" s="475">
        <f t="shared" si="110"/>
        <v>86504</v>
      </c>
    </row>
    <row r="1166" spans="7:14" ht="11.25" customHeight="1" x14ac:dyDescent="0.3">
      <c r="G1166" s="470">
        <f t="shared" si="121"/>
        <v>97</v>
      </c>
      <c r="H1166" s="470">
        <v>1159</v>
      </c>
      <c r="I1166" s="455">
        <f t="shared" ca="1" si="108"/>
        <v>-13280431.982810127</v>
      </c>
      <c r="J1166" s="455">
        <f t="array" ref="J1166">IFERROR(INDEX('Retirement Calculator'!J:J,MATCH('Isaac 401k'!N1166,'Retirement Calculator'!A:A,0),0),0)</f>
        <v>7863.2184191855868</v>
      </c>
      <c r="K1166" s="455">
        <f t="shared" ca="1" si="105"/>
        <v>-55367.896671788789</v>
      </c>
      <c r="L1166" s="455">
        <f t="shared" ca="1" si="106"/>
        <v>-13343663.0979011</v>
      </c>
      <c r="M1166" s="471">
        <f t="shared" si="109"/>
        <v>0.05</v>
      </c>
      <c r="N1166" s="475">
        <f t="shared" si="110"/>
        <v>86534</v>
      </c>
    </row>
    <row r="1167" spans="7:14" ht="11.25" customHeight="1" x14ac:dyDescent="0.3">
      <c r="G1167" s="470">
        <f t="shared" si="121"/>
        <v>97</v>
      </c>
      <c r="H1167" s="470">
        <v>1160</v>
      </c>
      <c r="I1167" s="455">
        <f t="shared" ca="1" si="108"/>
        <v>-13343663.0979011</v>
      </c>
      <c r="J1167" s="455">
        <f t="array" ref="J1167">IFERROR(INDEX('Retirement Calculator'!J:J,MATCH('Isaac 401k'!N1167,'Retirement Calculator'!A:A,0),0),0)</f>
        <v>7863.2184191855868</v>
      </c>
      <c r="K1167" s="455">
        <f t="shared" ca="1" si="105"/>
        <v>-55631.359651334518</v>
      </c>
      <c r="L1167" s="455">
        <f t="shared" ca="1" si="106"/>
        <v>-13407157.67597162</v>
      </c>
      <c r="M1167" s="471">
        <f t="shared" si="109"/>
        <v>0.05</v>
      </c>
      <c r="N1167" s="475">
        <f t="shared" si="110"/>
        <v>86565</v>
      </c>
    </row>
    <row r="1168" spans="7:14" ht="11.25" customHeight="1" x14ac:dyDescent="0.3">
      <c r="G1168" s="470">
        <f t="shared" si="121"/>
        <v>97</v>
      </c>
      <c r="H1168" s="470">
        <v>1161</v>
      </c>
      <c r="I1168" s="455">
        <f t="shared" ca="1" si="108"/>
        <v>-13407157.67597162</v>
      </c>
      <c r="J1168" s="455">
        <f t="array" ref="J1168">IFERROR(INDEX('Retirement Calculator'!J:J,MATCH('Isaac 401k'!N1168,'Retirement Calculator'!A:A,0),0),0)</f>
        <v>7863.2184191855868</v>
      </c>
      <c r="K1168" s="455">
        <f t="shared" ca="1" si="105"/>
        <v>-55895.920393295026</v>
      </c>
      <c r="L1168" s="455">
        <f t="shared" ca="1" si="106"/>
        <v>-13470916.8147841</v>
      </c>
      <c r="M1168" s="471">
        <f t="shared" si="109"/>
        <v>0.05</v>
      </c>
      <c r="N1168" s="475">
        <f t="shared" si="110"/>
        <v>86596</v>
      </c>
    </row>
    <row r="1169" spans="7:14" ht="11.25" customHeight="1" x14ac:dyDescent="0.3">
      <c r="G1169" s="470">
        <f t="shared" si="121"/>
        <v>97</v>
      </c>
      <c r="H1169" s="470">
        <v>1162</v>
      </c>
      <c r="I1169" s="455">
        <f t="shared" ca="1" si="108"/>
        <v>-13470916.8147841</v>
      </c>
      <c r="J1169" s="455">
        <f t="array" ref="J1169">IFERROR(INDEX('Retirement Calculator'!J:J,MATCH('Isaac 401k'!N1169,'Retirement Calculator'!A:A,0),0),0)</f>
        <v>0</v>
      </c>
      <c r="K1169" s="455">
        <f t="shared" ca="1" si="105"/>
        <v>-56128.820061600418</v>
      </c>
      <c r="L1169" s="455">
        <f t="shared" ca="1" si="106"/>
        <v>-13527045.6348457</v>
      </c>
      <c r="M1169" s="471">
        <f t="shared" si="109"/>
        <v>0.05</v>
      </c>
      <c r="N1169" s="475">
        <f t="shared" si="110"/>
        <v>86624</v>
      </c>
    </row>
    <row r="1170" spans="7:14" ht="11.25" customHeight="1" x14ac:dyDescent="0.3">
      <c r="G1170" s="470">
        <f t="shared" si="121"/>
        <v>97</v>
      </c>
      <c r="H1170" s="470">
        <v>1163</v>
      </c>
      <c r="I1170" s="455">
        <f t="shared" ca="1" si="108"/>
        <v>-13527045.6348457</v>
      </c>
      <c r="J1170" s="455">
        <f t="array" ref="J1170">IFERROR(INDEX('Retirement Calculator'!J:J,MATCH('Isaac 401k'!N1170,'Retirement Calculator'!A:A,0),0),0)</f>
        <v>0</v>
      </c>
      <c r="K1170" s="455">
        <f t="shared" ca="1" si="105"/>
        <v>-56362.690145190427</v>
      </c>
      <c r="L1170" s="455">
        <f t="shared" ca="1" si="106"/>
        <v>-13583408.324990891</v>
      </c>
      <c r="M1170" s="471">
        <f t="shared" si="109"/>
        <v>0.05</v>
      </c>
      <c r="N1170" s="475">
        <f t="shared" si="110"/>
        <v>86655</v>
      </c>
    </row>
    <row r="1171" spans="7:14" ht="11.25" customHeight="1" x14ac:dyDescent="0.3">
      <c r="G1171" s="470">
        <f t="shared" si="121"/>
        <v>97</v>
      </c>
      <c r="H1171" s="470">
        <v>1164</v>
      </c>
      <c r="I1171" s="455">
        <f t="shared" ca="1" si="108"/>
        <v>-13583408.324990891</v>
      </c>
      <c r="J1171" s="455">
        <f t="array" ref="J1171">IFERROR(INDEX('Retirement Calculator'!J:J,MATCH('Isaac 401k'!N1171,'Retirement Calculator'!A:A,0),0),0)</f>
        <v>0</v>
      </c>
      <c r="K1171" s="455">
        <f t="shared" ca="1" si="105"/>
        <v>-56597.534687462052</v>
      </c>
      <c r="L1171" s="455">
        <f t="shared" ca="1" si="106"/>
        <v>-13640005.859678352</v>
      </c>
      <c r="M1171" s="471">
        <f t="shared" si="109"/>
        <v>0.05</v>
      </c>
      <c r="N1171" s="475">
        <f t="shared" si="110"/>
        <v>86685</v>
      </c>
    </row>
    <row r="1172" spans="7:14" ht="11.25" customHeight="1" x14ac:dyDescent="0.3">
      <c r="G1172" s="470">
        <f>G1171+1</f>
        <v>98</v>
      </c>
      <c r="H1172" s="470">
        <v>1165</v>
      </c>
      <c r="I1172" s="455">
        <f t="shared" ca="1" si="108"/>
        <v>-13640005.859678352</v>
      </c>
      <c r="J1172" s="455">
        <f t="array" ref="J1172">IFERROR(INDEX('Retirement Calculator'!J:J,MATCH('Isaac 401k'!N1172,'Retirement Calculator'!A:A,0),0),0)</f>
        <v>0</v>
      </c>
      <c r="K1172" s="455">
        <f t="shared" ca="1" si="105"/>
        <v>-56833.357748659801</v>
      </c>
      <c r="L1172" s="455">
        <f t="shared" ca="1" si="106"/>
        <v>-13696839.217427012</v>
      </c>
      <c r="M1172" s="471">
        <f t="shared" si="109"/>
        <v>0.05</v>
      </c>
      <c r="N1172" s="475">
        <f t="shared" si="110"/>
        <v>86716</v>
      </c>
    </row>
    <row r="1173" spans="7:14" ht="11.25" customHeight="1" x14ac:dyDescent="0.3">
      <c r="G1173" s="470">
        <f t="shared" ref="G1173:G1183" si="122">G1172</f>
        <v>98</v>
      </c>
      <c r="H1173" s="470">
        <v>1166</v>
      </c>
      <c r="I1173" s="455">
        <f t="shared" ca="1" si="108"/>
        <v>-13696839.217427012</v>
      </c>
      <c r="J1173" s="455">
        <f t="array" ref="J1173">IFERROR(INDEX('Retirement Calculator'!J:J,MATCH('Isaac 401k'!N1173,'Retirement Calculator'!A:A,0),0),0)</f>
        <v>0</v>
      </c>
      <c r="K1173" s="455">
        <f t="shared" ca="1" si="105"/>
        <v>-57070.163405945881</v>
      </c>
      <c r="L1173" s="455">
        <f t="shared" ca="1" si="106"/>
        <v>-13753909.380832957</v>
      </c>
      <c r="M1173" s="471">
        <f t="shared" si="109"/>
        <v>0.05</v>
      </c>
      <c r="N1173" s="475">
        <f t="shared" si="110"/>
        <v>86746</v>
      </c>
    </row>
    <row r="1174" spans="7:14" ht="11.25" customHeight="1" x14ac:dyDescent="0.3">
      <c r="G1174" s="470">
        <f t="shared" si="122"/>
        <v>98</v>
      </c>
      <c r="H1174" s="470">
        <v>1167</v>
      </c>
      <c r="I1174" s="455">
        <f t="shared" ca="1" si="108"/>
        <v>-13753909.380832957</v>
      </c>
      <c r="J1174" s="455">
        <f t="array" ref="J1174">IFERROR(INDEX('Retirement Calculator'!J:J,MATCH('Isaac 401k'!N1174,'Retirement Calculator'!A:A,0),0),0)</f>
        <v>0</v>
      </c>
      <c r="K1174" s="455">
        <f t="shared" ca="1" si="105"/>
        <v>-57307.955753470662</v>
      </c>
      <c r="L1174" s="455">
        <f t="shared" ca="1" si="106"/>
        <v>-13811217.336586427</v>
      </c>
      <c r="M1174" s="471">
        <f t="shared" si="109"/>
        <v>0.05</v>
      </c>
      <c r="N1174" s="475">
        <f t="shared" si="110"/>
        <v>86777</v>
      </c>
    </row>
    <row r="1175" spans="7:14" ht="11.25" customHeight="1" x14ac:dyDescent="0.3">
      <c r="G1175" s="470">
        <f t="shared" si="122"/>
        <v>98</v>
      </c>
      <c r="H1175" s="470">
        <v>1168</v>
      </c>
      <c r="I1175" s="455">
        <f t="shared" ca="1" si="108"/>
        <v>-13811217.336586427</v>
      </c>
      <c r="J1175" s="455">
        <f t="array" ref="J1175">IFERROR(INDEX('Retirement Calculator'!J:J,MATCH('Isaac 401k'!N1175,'Retirement Calculator'!A:A,0),0),0)</f>
        <v>0</v>
      </c>
      <c r="K1175" s="455">
        <f t="shared" ca="1" si="105"/>
        <v>-57546.738902443445</v>
      </c>
      <c r="L1175" s="455">
        <f t="shared" ca="1" si="106"/>
        <v>-13868764.075488871</v>
      </c>
      <c r="M1175" s="471">
        <f t="shared" si="109"/>
        <v>0.05</v>
      </c>
      <c r="N1175" s="475">
        <f t="shared" si="110"/>
        <v>86808</v>
      </c>
    </row>
    <row r="1176" spans="7:14" ht="11.25" customHeight="1" x14ac:dyDescent="0.3">
      <c r="G1176" s="470">
        <f t="shared" si="122"/>
        <v>98</v>
      </c>
      <c r="H1176" s="470">
        <v>1169</v>
      </c>
      <c r="I1176" s="455">
        <f t="shared" ca="1" si="108"/>
        <v>-13868764.075488871</v>
      </c>
      <c r="J1176" s="455">
        <f t="array" ref="J1176">IFERROR(INDEX('Retirement Calculator'!J:J,MATCH('Isaac 401k'!N1176,'Retirement Calculator'!A:A,0),0),0)</f>
        <v>0</v>
      </c>
      <c r="K1176" s="455">
        <f t="shared" ca="1" si="105"/>
        <v>-57786.516981203626</v>
      </c>
      <c r="L1176" s="455">
        <f t="shared" ca="1" si="106"/>
        <v>-13926550.592470074</v>
      </c>
      <c r="M1176" s="471">
        <f t="shared" si="109"/>
        <v>0.05</v>
      </c>
      <c r="N1176" s="475">
        <f t="shared" si="110"/>
        <v>86838</v>
      </c>
    </row>
    <row r="1177" spans="7:14" ht="11.25" customHeight="1" x14ac:dyDescent="0.3">
      <c r="G1177" s="470">
        <f t="shared" si="122"/>
        <v>98</v>
      </c>
      <c r="H1177" s="470">
        <v>1170</v>
      </c>
      <c r="I1177" s="455">
        <f t="shared" ca="1" si="108"/>
        <v>-13926550.592470074</v>
      </c>
      <c r="J1177" s="455">
        <f t="array" ref="J1177">IFERROR(INDEX('Retirement Calculator'!J:J,MATCH('Isaac 401k'!N1177,'Retirement Calculator'!A:A,0),0),0)</f>
        <v>0</v>
      </c>
      <c r="K1177" s="455">
        <f t="shared" ca="1" si="105"/>
        <v>-58027.294135291981</v>
      </c>
      <c r="L1177" s="455">
        <f t="shared" ca="1" si="106"/>
        <v>-13984577.886605365</v>
      </c>
      <c r="M1177" s="471">
        <f t="shared" si="109"/>
        <v>0.05</v>
      </c>
      <c r="N1177" s="475">
        <f t="shared" si="110"/>
        <v>86869</v>
      </c>
    </row>
    <row r="1178" spans="7:14" ht="11.25" customHeight="1" x14ac:dyDescent="0.3">
      <c r="G1178" s="470">
        <f t="shared" si="122"/>
        <v>98</v>
      </c>
      <c r="H1178" s="470">
        <v>1171</v>
      </c>
      <c r="I1178" s="455">
        <f t="shared" ca="1" si="108"/>
        <v>-13984577.886605365</v>
      </c>
      <c r="J1178" s="455">
        <f t="array" ref="J1178">IFERROR(INDEX('Retirement Calculator'!J:J,MATCH('Isaac 401k'!N1178,'Retirement Calculator'!A:A,0),0),0)</f>
        <v>0</v>
      </c>
      <c r="K1178" s="455">
        <f t="shared" ca="1" si="105"/>
        <v>-58269.074527522353</v>
      </c>
      <c r="L1178" s="455">
        <f t="shared" ca="1" si="106"/>
        <v>-14042846.961132888</v>
      </c>
      <c r="M1178" s="471">
        <f t="shared" si="109"/>
        <v>0.05</v>
      </c>
      <c r="N1178" s="475">
        <f t="shared" si="110"/>
        <v>86899</v>
      </c>
    </row>
    <row r="1179" spans="7:14" ht="11.25" customHeight="1" x14ac:dyDescent="0.3">
      <c r="G1179" s="470">
        <f t="shared" si="122"/>
        <v>98</v>
      </c>
      <c r="H1179" s="470">
        <v>1172</v>
      </c>
      <c r="I1179" s="455">
        <f t="shared" ca="1" si="108"/>
        <v>-14042846.961132888</v>
      </c>
      <c r="J1179" s="455">
        <f t="array" ref="J1179">IFERROR(INDEX('Retirement Calculator'!J:J,MATCH('Isaac 401k'!N1179,'Retirement Calculator'!A:A,0),0),0)</f>
        <v>0</v>
      </c>
      <c r="K1179" s="455">
        <f t="shared" ca="1" si="105"/>
        <v>-58511.862338053696</v>
      </c>
      <c r="L1179" s="455">
        <f t="shared" ca="1" si="106"/>
        <v>-14101358.823470941</v>
      </c>
      <c r="M1179" s="471">
        <f t="shared" si="109"/>
        <v>0.05</v>
      </c>
      <c r="N1179" s="475">
        <f t="shared" si="110"/>
        <v>86930</v>
      </c>
    </row>
    <row r="1180" spans="7:14" ht="11.25" customHeight="1" x14ac:dyDescent="0.3">
      <c r="G1180" s="470">
        <f t="shared" si="122"/>
        <v>98</v>
      </c>
      <c r="H1180" s="470">
        <v>1173</v>
      </c>
      <c r="I1180" s="455">
        <f t="shared" ca="1" si="108"/>
        <v>-14101358.823470941</v>
      </c>
      <c r="J1180" s="455">
        <f t="array" ref="J1180">IFERROR(INDEX('Retirement Calculator'!J:J,MATCH('Isaac 401k'!N1180,'Retirement Calculator'!A:A,0),0),0)</f>
        <v>0</v>
      </c>
      <c r="K1180" s="455">
        <f t="shared" ca="1" si="105"/>
        <v>-58755.661764462246</v>
      </c>
      <c r="L1180" s="455">
        <f t="shared" ca="1" si="106"/>
        <v>-14160114.485235402</v>
      </c>
      <c r="M1180" s="471">
        <f t="shared" si="109"/>
        <v>0.05</v>
      </c>
      <c r="N1180" s="475">
        <f t="shared" si="110"/>
        <v>86961</v>
      </c>
    </row>
    <row r="1181" spans="7:14" ht="11.25" customHeight="1" x14ac:dyDescent="0.3">
      <c r="G1181" s="470">
        <f t="shared" si="122"/>
        <v>98</v>
      </c>
      <c r="H1181" s="470">
        <v>1174</v>
      </c>
      <c r="I1181" s="455">
        <f t="shared" ca="1" si="108"/>
        <v>-14160114.485235402</v>
      </c>
      <c r="J1181" s="455">
        <f t="array" ref="J1181">IFERROR(INDEX('Retirement Calculator'!J:J,MATCH('Isaac 401k'!N1181,'Retirement Calculator'!A:A,0),0),0)</f>
        <v>0</v>
      </c>
      <c r="K1181" s="455">
        <f t="shared" ca="1" si="105"/>
        <v>-59000.477021814178</v>
      </c>
      <c r="L1181" s="455">
        <f t="shared" ca="1" si="106"/>
        <v>-14219114.962257216</v>
      </c>
      <c r="M1181" s="471">
        <f t="shared" si="109"/>
        <v>0.05</v>
      </c>
      <c r="N1181" s="475">
        <f t="shared" si="110"/>
        <v>86989</v>
      </c>
    </row>
    <row r="1182" spans="7:14" ht="11.25" customHeight="1" x14ac:dyDescent="0.3">
      <c r="G1182" s="470">
        <f t="shared" si="122"/>
        <v>98</v>
      </c>
      <c r="H1182" s="470">
        <v>1175</v>
      </c>
      <c r="I1182" s="455">
        <f t="shared" ca="1" si="108"/>
        <v>-14219114.962257216</v>
      </c>
      <c r="J1182" s="455">
        <f t="array" ref="J1182">IFERROR(INDEX('Retirement Calculator'!J:J,MATCH('Isaac 401k'!N1182,'Retirement Calculator'!A:A,0),0),0)</f>
        <v>0</v>
      </c>
      <c r="K1182" s="455">
        <f t="shared" ca="1" si="105"/>
        <v>-59246.312342738398</v>
      </c>
      <c r="L1182" s="455">
        <f t="shared" ca="1" si="106"/>
        <v>-14278361.274599954</v>
      </c>
      <c r="M1182" s="471">
        <f t="shared" si="109"/>
        <v>0.05</v>
      </c>
      <c r="N1182" s="475">
        <f t="shared" si="110"/>
        <v>87020</v>
      </c>
    </row>
    <row r="1183" spans="7:14" ht="11.25" customHeight="1" x14ac:dyDescent="0.3">
      <c r="G1183" s="470">
        <f t="shared" si="122"/>
        <v>98</v>
      </c>
      <c r="H1183" s="470">
        <v>1176</v>
      </c>
      <c r="I1183" s="455">
        <f t="shared" ca="1" si="108"/>
        <v>-14278361.274599954</v>
      </c>
      <c r="J1183" s="455">
        <f t="array" ref="J1183">IFERROR(INDEX('Retirement Calculator'!J:J,MATCH('Isaac 401k'!N1183,'Retirement Calculator'!A:A,0),0),0)</f>
        <v>0</v>
      </c>
      <c r="K1183" s="455">
        <f t="shared" ca="1" si="105"/>
        <v>-59493.171977499813</v>
      </c>
      <c r="L1183" s="455">
        <f t="shared" ca="1" si="106"/>
        <v>-14337854.446577454</v>
      </c>
      <c r="M1183" s="471">
        <f t="shared" si="109"/>
        <v>0.05</v>
      </c>
      <c r="N1183" s="475">
        <f t="shared" si="110"/>
        <v>87050</v>
      </c>
    </row>
    <row r="1184" spans="7:14" ht="11.25" customHeight="1" x14ac:dyDescent="0.3">
      <c r="G1184" s="470">
        <f>G1183+1</f>
        <v>99</v>
      </c>
      <c r="H1184" s="470">
        <v>1177</v>
      </c>
      <c r="I1184" s="455">
        <f t="shared" ca="1" si="108"/>
        <v>-14337854.446577454</v>
      </c>
      <c r="J1184" s="455">
        <f t="array" ref="J1184">IFERROR(INDEX('Retirement Calculator'!J:J,MATCH('Isaac 401k'!N1184,'Retirement Calculator'!A:A,0),0),0)</f>
        <v>0</v>
      </c>
      <c r="K1184" s="455">
        <f t="shared" ca="1" si="105"/>
        <v>-59741.060194072721</v>
      </c>
      <c r="L1184" s="455">
        <f t="shared" ca="1" si="106"/>
        <v>-14397595.506771527</v>
      </c>
      <c r="M1184" s="471">
        <f t="shared" si="109"/>
        <v>0.05</v>
      </c>
      <c r="N1184" s="475">
        <f t="shared" si="110"/>
        <v>87081</v>
      </c>
    </row>
    <row r="1185" spans="7:14" ht="11.25" customHeight="1" x14ac:dyDescent="0.3">
      <c r="G1185" s="470">
        <f t="shared" ref="G1185:G1195" si="123">G1184</f>
        <v>99</v>
      </c>
      <c r="H1185" s="470">
        <v>1178</v>
      </c>
      <c r="I1185" s="455">
        <f t="shared" ca="1" si="108"/>
        <v>-14397595.506771527</v>
      </c>
      <c r="J1185" s="455">
        <f t="array" ref="J1185">IFERROR(INDEX('Retirement Calculator'!J:J,MATCH('Isaac 401k'!N1185,'Retirement Calculator'!A:A,0),0),0)</f>
        <v>0</v>
      </c>
      <c r="K1185" s="455">
        <f t="shared" ca="1" si="105"/>
        <v>-59989.981278214698</v>
      </c>
      <c r="L1185" s="455">
        <f t="shared" ca="1" si="106"/>
        <v>-14457585.488049742</v>
      </c>
      <c r="M1185" s="471">
        <f t="shared" si="109"/>
        <v>0.05</v>
      </c>
      <c r="N1185" s="475">
        <f t="shared" si="110"/>
        <v>87111</v>
      </c>
    </row>
    <row r="1186" spans="7:14" ht="11.25" customHeight="1" x14ac:dyDescent="0.3">
      <c r="G1186" s="470">
        <f t="shared" si="123"/>
        <v>99</v>
      </c>
      <c r="H1186" s="470">
        <v>1179</v>
      </c>
      <c r="I1186" s="455">
        <f t="shared" ca="1" si="108"/>
        <v>-14457585.488049742</v>
      </c>
      <c r="J1186" s="455">
        <f t="array" ref="J1186">IFERROR(INDEX('Retirement Calculator'!J:J,MATCH('Isaac 401k'!N1186,'Retirement Calculator'!A:A,0),0),0)</f>
        <v>0</v>
      </c>
      <c r="K1186" s="455">
        <f t="shared" ca="1" si="105"/>
        <v>-60239.939533540601</v>
      </c>
      <c r="L1186" s="455">
        <f t="shared" ca="1" si="106"/>
        <v>-14517825.427583283</v>
      </c>
      <c r="M1186" s="471">
        <f t="shared" si="109"/>
        <v>0.05</v>
      </c>
      <c r="N1186" s="475">
        <f t="shared" si="110"/>
        <v>87142</v>
      </c>
    </row>
    <row r="1187" spans="7:14" ht="11.25" customHeight="1" x14ac:dyDescent="0.3">
      <c r="G1187" s="470">
        <f t="shared" si="123"/>
        <v>99</v>
      </c>
      <c r="H1187" s="470">
        <v>1180</v>
      </c>
      <c r="I1187" s="455">
        <f t="shared" ca="1" si="108"/>
        <v>-14517825.427583283</v>
      </c>
      <c r="J1187" s="455">
        <f t="array" ref="J1187">IFERROR(INDEX('Retirement Calculator'!J:J,MATCH('Isaac 401k'!N1187,'Retirement Calculator'!A:A,0),0),0)</f>
        <v>0</v>
      </c>
      <c r="K1187" s="455">
        <f t="shared" ca="1" si="105"/>
        <v>-60490.939281597013</v>
      </c>
      <c r="L1187" s="455">
        <f t="shared" ca="1" si="106"/>
        <v>-14578316.366864881</v>
      </c>
      <c r="M1187" s="471">
        <f t="shared" si="109"/>
        <v>0.05</v>
      </c>
      <c r="N1187" s="475">
        <f t="shared" si="110"/>
        <v>87173</v>
      </c>
    </row>
    <row r="1188" spans="7:14" ht="11.25" customHeight="1" x14ac:dyDescent="0.3">
      <c r="G1188" s="470">
        <f t="shared" si="123"/>
        <v>99</v>
      </c>
      <c r="H1188" s="470">
        <v>1181</v>
      </c>
      <c r="I1188" s="455">
        <f t="shared" ca="1" si="108"/>
        <v>-14578316.366864881</v>
      </c>
      <c r="J1188" s="455">
        <f t="array" ref="J1188">IFERROR(INDEX('Retirement Calculator'!J:J,MATCH('Isaac 401k'!N1188,'Retirement Calculator'!A:A,0),0),0)</f>
        <v>0</v>
      </c>
      <c r="K1188" s="455">
        <f t="shared" ca="1" si="105"/>
        <v>-60742.984861937002</v>
      </c>
      <c r="L1188" s="455">
        <f t="shared" ca="1" si="106"/>
        <v>-14639059.351726817</v>
      </c>
      <c r="M1188" s="471">
        <f t="shared" si="109"/>
        <v>0.05</v>
      </c>
      <c r="N1188" s="475">
        <f t="shared" si="110"/>
        <v>87203</v>
      </c>
    </row>
    <row r="1189" spans="7:14" ht="11.25" customHeight="1" x14ac:dyDescent="0.3">
      <c r="G1189" s="470">
        <f t="shared" si="123"/>
        <v>99</v>
      </c>
      <c r="H1189" s="470">
        <v>1182</v>
      </c>
      <c r="I1189" s="455">
        <f t="shared" ca="1" si="108"/>
        <v>-14639059.351726817</v>
      </c>
      <c r="J1189" s="455">
        <f t="array" ref="J1189">IFERROR(INDEX('Retirement Calculator'!J:J,MATCH('Isaac 401k'!N1189,'Retirement Calculator'!A:A,0),0),0)</f>
        <v>0</v>
      </c>
      <c r="K1189" s="455">
        <f t="shared" ca="1" si="105"/>
        <v>-60996.080632195073</v>
      </c>
      <c r="L1189" s="455">
        <f t="shared" ca="1" si="106"/>
        <v>-14700055.432359012</v>
      </c>
      <c r="M1189" s="471">
        <f t="shared" si="109"/>
        <v>0.05</v>
      </c>
      <c r="N1189" s="475">
        <f t="shared" si="110"/>
        <v>87234</v>
      </c>
    </row>
    <row r="1190" spans="7:14" ht="11.25" customHeight="1" x14ac:dyDescent="0.3">
      <c r="G1190" s="470">
        <f t="shared" si="123"/>
        <v>99</v>
      </c>
      <c r="H1190" s="470">
        <v>1183</v>
      </c>
      <c r="I1190" s="455">
        <f t="shared" ca="1" si="108"/>
        <v>-14700055.432359012</v>
      </c>
      <c r="J1190" s="455">
        <f t="array" ref="J1190">IFERROR(INDEX('Retirement Calculator'!J:J,MATCH('Isaac 401k'!N1190,'Retirement Calculator'!A:A,0),0),0)</f>
        <v>0</v>
      </c>
      <c r="K1190" s="455">
        <f t="shared" ca="1" si="105"/>
        <v>-61250.230968162548</v>
      </c>
      <c r="L1190" s="455">
        <f t="shared" ca="1" si="106"/>
        <v>-14761305.663327174</v>
      </c>
      <c r="M1190" s="471">
        <f t="shared" si="109"/>
        <v>0.05</v>
      </c>
      <c r="N1190" s="475">
        <f t="shared" si="110"/>
        <v>87264</v>
      </c>
    </row>
    <row r="1191" spans="7:14" ht="11.25" customHeight="1" x14ac:dyDescent="0.3">
      <c r="G1191" s="470">
        <f t="shared" si="123"/>
        <v>99</v>
      </c>
      <c r="H1191" s="470">
        <v>1184</v>
      </c>
      <c r="I1191" s="455">
        <f t="shared" ca="1" si="108"/>
        <v>-14761305.663327174</v>
      </c>
      <c r="J1191" s="455">
        <f t="array" ref="J1191">IFERROR(INDEX('Retirement Calculator'!J:J,MATCH('Isaac 401k'!N1191,'Retirement Calculator'!A:A,0),0),0)</f>
        <v>0</v>
      </c>
      <c r="K1191" s="455">
        <f t="shared" ca="1" si="105"/>
        <v>-61505.440263863224</v>
      </c>
      <c r="L1191" s="455">
        <f t="shared" ca="1" si="106"/>
        <v>-14822811.103591038</v>
      </c>
      <c r="M1191" s="471">
        <f t="shared" si="109"/>
        <v>0.05</v>
      </c>
      <c r="N1191" s="475">
        <f t="shared" si="110"/>
        <v>87295</v>
      </c>
    </row>
    <row r="1192" spans="7:14" ht="11.25" customHeight="1" x14ac:dyDescent="0.3">
      <c r="G1192" s="470">
        <f t="shared" si="123"/>
        <v>99</v>
      </c>
      <c r="H1192" s="470">
        <v>1185</v>
      </c>
      <c r="I1192" s="455">
        <f t="shared" ca="1" si="108"/>
        <v>-14822811.103591038</v>
      </c>
      <c r="J1192" s="455">
        <f t="array" ref="J1192">IFERROR(INDEX('Retirement Calculator'!J:J,MATCH('Isaac 401k'!N1192,'Retirement Calculator'!A:A,0),0),0)</f>
        <v>0</v>
      </c>
      <c r="K1192" s="455">
        <f t="shared" ca="1" si="105"/>
        <v>-61761.712931629329</v>
      </c>
      <c r="L1192" s="455">
        <f t="shared" ca="1" si="106"/>
        <v>-14884572.816522667</v>
      </c>
      <c r="M1192" s="471">
        <f t="shared" si="109"/>
        <v>0.05</v>
      </c>
      <c r="N1192" s="475">
        <f t="shared" si="110"/>
        <v>87326</v>
      </c>
    </row>
    <row r="1193" spans="7:14" ht="11.25" customHeight="1" x14ac:dyDescent="0.3">
      <c r="G1193" s="470">
        <f t="shared" si="123"/>
        <v>99</v>
      </c>
      <c r="H1193" s="470">
        <v>1186</v>
      </c>
      <c r="I1193" s="455">
        <f t="shared" ca="1" si="108"/>
        <v>-14884572.816522667</v>
      </c>
      <c r="J1193" s="455">
        <f t="array" ref="J1193">IFERROR(INDEX('Retirement Calculator'!J:J,MATCH('Isaac 401k'!N1193,'Retirement Calculator'!A:A,0),0),0)</f>
        <v>0</v>
      </c>
      <c r="K1193" s="455">
        <f t="shared" ca="1" si="105"/>
        <v>-62019.053402177778</v>
      </c>
      <c r="L1193" s="455">
        <f t="shared" ca="1" si="106"/>
        <v>-14946591.869924845</v>
      </c>
      <c r="M1193" s="471">
        <f t="shared" si="109"/>
        <v>0.05</v>
      </c>
      <c r="N1193" s="475">
        <f t="shared" si="110"/>
        <v>87354</v>
      </c>
    </row>
    <row r="1194" spans="7:14" ht="11.25" customHeight="1" x14ac:dyDescent="0.3">
      <c r="G1194" s="470">
        <f t="shared" si="123"/>
        <v>99</v>
      </c>
      <c r="H1194" s="470">
        <v>1187</v>
      </c>
      <c r="I1194" s="455">
        <f t="shared" ca="1" si="108"/>
        <v>-14946591.869924845</v>
      </c>
      <c r="J1194" s="455">
        <f t="array" ref="J1194">IFERROR(INDEX('Retirement Calculator'!J:J,MATCH('Isaac 401k'!N1194,'Retirement Calculator'!A:A,0),0),0)</f>
        <v>0</v>
      </c>
      <c r="K1194" s="455">
        <f t="shared" ca="1" si="105"/>
        <v>-62277.466124686856</v>
      </c>
      <c r="L1194" s="455">
        <f t="shared" ca="1" si="106"/>
        <v>-15008869.336049533</v>
      </c>
      <c r="M1194" s="471">
        <f t="shared" si="109"/>
        <v>0.05</v>
      </c>
      <c r="N1194" s="475">
        <f t="shared" si="110"/>
        <v>87385</v>
      </c>
    </row>
    <row r="1195" spans="7:14" ht="11.25" customHeight="1" x14ac:dyDescent="0.3">
      <c r="G1195" s="470">
        <f t="shared" si="123"/>
        <v>99</v>
      </c>
      <c r="H1195" s="470">
        <v>1188</v>
      </c>
      <c r="I1195" s="455">
        <f t="shared" ca="1" si="108"/>
        <v>-15008869.336049533</v>
      </c>
      <c r="J1195" s="455">
        <f t="array" ref="J1195">IFERROR(INDEX('Retirement Calculator'!J:J,MATCH('Isaac 401k'!N1195,'Retirement Calculator'!A:A,0),0),0)</f>
        <v>0</v>
      </c>
      <c r="K1195" s="455">
        <f t="shared" ca="1" si="105"/>
        <v>-62536.955566873054</v>
      </c>
      <c r="L1195" s="455">
        <f t="shared" ca="1" si="106"/>
        <v>-15071406.291616406</v>
      </c>
      <c r="M1195" s="471">
        <f t="shared" si="109"/>
        <v>0.05</v>
      </c>
      <c r="N1195" s="475">
        <f t="shared" si="110"/>
        <v>87415</v>
      </c>
    </row>
    <row r="1196" spans="7:14" ht="11.25" customHeight="1" x14ac:dyDescent="0.3">
      <c r="G1196" s="470">
        <f>G1195+1</f>
        <v>100</v>
      </c>
      <c r="H1196" s="470">
        <v>1189</v>
      </c>
      <c r="I1196" s="455">
        <f t="shared" ca="1" si="108"/>
        <v>-15071406.291616406</v>
      </c>
      <c r="J1196" s="455">
        <f t="array" ref="J1196">IFERROR(INDEX('Retirement Calculator'!J:J,MATCH('Isaac 401k'!N1196,'Retirement Calculator'!A:A,0),0),0)</f>
        <v>0</v>
      </c>
      <c r="K1196" s="455">
        <f t="shared" ca="1" si="105"/>
        <v>-62797.526215068348</v>
      </c>
      <c r="L1196" s="455">
        <f t="shared" ca="1" si="106"/>
        <v>-15134203.817831475</v>
      </c>
      <c r="M1196" s="471">
        <f t="shared" si="109"/>
        <v>0.05</v>
      </c>
      <c r="N1196" s="475">
        <f t="shared" si="110"/>
        <v>87446</v>
      </c>
    </row>
    <row r="1197" spans="7:14" ht="11.25" customHeight="1" x14ac:dyDescent="0.3">
      <c r="G1197" s="470">
        <f t="shared" ref="G1197:G1207" si="124">G1196</f>
        <v>100</v>
      </c>
      <c r="H1197" s="470">
        <v>1190</v>
      </c>
      <c r="I1197" s="455">
        <f t="shared" ca="1" si="108"/>
        <v>-15134203.817831475</v>
      </c>
      <c r="J1197" s="455">
        <f t="array" ref="J1197">IFERROR(INDEX('Retirement Calculator'!J:J,MATCH('Isaac 401k'!N1197,'Retirement Calculator'!A:A,0),0),0)</f>
        <v>0</v>
      </c>
      <c r="K1197" s="455">
        <f t="shared" ca="1" si="105"/>
        <v>-63059.182574297811</v>
      </c>
      <c r="L1197" s="455">
        <f t="shared" ca="1" si="106"/>
        <v>-15197263.000405774</v>
      </c>
      <c r="M1197" s="471">
        <f t="shared" si="109"/>
        <v>0.05</v>
      </c>
      <c r="N1197" s="475">
        <f t="shared" si="110"/>
        <v>87476</v>
      </c>
    </row>
    <row r="1198" spans="7:14" ht="11.25" customHeight="1" x14ac:dyDescent="0.3">
      <c r="G1198" s="470">
        <f t="shared" si="124"/>
        <v>100</v>
      </c>
      <c r="H1198" s="470">
        <v>1191</v>
      </c>
      <c r="I1198" s="455">
        <f t="shared" ca="1" si="108"/>
        <v>-15197263.000405774</v>
      </c>
      <c r="J1198" s="455">
        <f t="array" ref="J1198">IFERROR(INDEX('Retirement Calculator'!J:J,MATCH('Isaac 401k'!N1198,'Retirement Calculator'!A:A,0),0),0)</f>
        <v>0</v>
      </c>
      <c r="K1198" s="455">
        <f t="shared" ca="1" si="105"/>
        <v>-63321.929168357383</v>
      </c>
      <c r="L1198" s="455">
        <f t="shared" ca="1" si="106"/>
        <v>-15260584.92957413</v>
      </c>
      <c r="M1198" s="471">
        <f t="shared" si="109"/>
        <v>0.05</v>
      </c>
      <c r="N1198" s="475">
        <f t="shared" si="110"/>
        <v>87507</v>
      </c>
    </row>
    <row r="1199" spans="7:14" ht="11.25" customHeight="1" x14ac:dyDescent="0.3">
      <c r="G1199" s="470">
        <f t="shared" si="124"/>
        <v>100</v>
      </c>
      <c r="H1199" s="470">
        <v>1192</v>
      </c>
      <c r="I1199" s="455">
        <f t="shared" ca="1" si="108"/>
        <v>-15260584.92957413</v>
      </c>
      <c r="J1199" s="455">
        <f t="array" ref="J1199">IFERROR(INDEX('Retirement Calculator'!J:J,MATCH('Isaac 401k'!N1199,'Retirement Calculator'!A:A,0),0),0)</f>
        <v>0</v>
      </c>
      <c r="K1199" s="455">
        <f t="shared" ca="1" si="105"/>
        <v>-63585.770539892197</v>
      </c>
      <c r="L1199" s="455">
        <f t="shared" ca="1" si="106"/>
        <v>-15324170.700114023</v>
      </c>
      <c r="M1199" s="471">
        <f t="shared" si="109"/>
        <v>0.05</v>
      </c>
      <c r="N1199" s="475">
        <f t="shared" si="110"/>
        <v>87538</v>
      </c>
    </row>
    <row r="1200" spans="7:14" ht="11.25" customHeight="1" x14ac:dyDescent="0.3">
      <c r="G1200" s="470">
        <f t="shared" si="124"/>
        <v>100</v>
      </c>
      <c r="H1200" s="470">
        <v>1193</v>
      </c>
      <c r="I1200" s="455">
        <f t="shared" ca="1" si="108"/>
        <v>-15324170.700114023</v>
      </c>
      <c r="J1200" s="455">
        <f t="array" ref="J1200">IFERROR(INDEX('Retirement Calculator'!J:J,MATCH('Isaac 401k'!N1200,'Retirement Calculator'!A:A,0),0),0)</f>
        <v>0</v>
      </c>
      <c r="K1200" s="455">
        <f t="shared" ca="1" si="105"/>
        <v>-63850.711250475106</v>
      </c>
      <c r="L1200" s="455">
        <f t="shared" ca="1" si="106"/>
        <v>-15388021.411364498</v>
      </c>
      <c r="M1200" s="471">
        <f t="shared" si="109"/>
        <v>0.05</v>
      </c>
      <c r="N1200" s="475">
        <f t="shared" si="110"/>
        <v>87568</v>
      </c>
    </row>
    <row r="1201" spans="7:14" ht="11.25" customHeight="1" x14ac:dyDescent="0.3">
      <c r="G1201" s="470">
        <f t="shared" si="124"/>
        <v>100</v>
      </c>
      <c r="H1201" s="470">
        <v>1194</v>
      </c>
      <c r="I1201" s="455">
        <f t="shared" ca="1" si="108"/>
        <v>-15388021.411364498</v>
      </c>
      <c r="J1201" s="455">
        <f t="array" ref="J1201">IFERROR(INDEX('Retirement Calculator'!J:J,MATCH('Isaac 401k'!N1201,'Retirement Calculator'!A:A,0),0),0)</f>
        <v>0</v>
      </c>
      <c r="K1201" s="455">
        <f t="shared" ca="1" si="105"/>
        <v>-64116.755880685399</v>
      </c>
      <c r="L1201" s="455">
        <f t="shared" ca="1" si="106"/>
        <v>-15452138.167245183</v>
      </c>
      <c r="M1201" s="471">
        <f t="shared" si="109"/>
        <v>0.05</v>
      </c>
      <c r="N1201" s="475">
        <f t="shared" si="110"/>
        <v>87599</v>
      </c>
    </row>
    <row r="1202" spans="7:14" ht="11.25" customHeight="1" x14ac:dyDescent="0.3">
      <c r="G1202" s="470">
        <f t="shared" si="124"/>
        <v>100</v>
      </c>
      <c r="H1202" s="470">
        <v>1195</v>
      </c>
      <c r="I1202" s="455">
        <f t="shared" ca="1" si="108"/>
        <v>-15452138.167245183</v>
      </c>
      <c r="J1202" s="455">
        <f t="array" ref="J1202">IFERROR(INDEX('Retirement Calculator'!J:J,MATCH('Isaac 401k'!N1202,'Retirement Calculator'!A:A,0),0),0)</f>
        <v>0</v>
      </c>
      <c r="K1202" s="455">
        <f t="shared" ca="1" si="105"/>
        <v>-64383.909030188253</v>
      </c>
      <c r="L1202" s="455">
        <f t="shared" ca="1" si="106"/>
        <v>-15516522.076275371</v>
      </c>
      <c r="M1202" s="471">
        <f t="shared" si="109"/>
        <v>0.05</v>
      </c>
      <c r="N1202" s="475">
        <f t="shared" si="110"/>
        <v>87629</v>
      </c>
    </row>
    <row r="1203" spans="7:14" ht="11.25" customHeight="1" x14ac:dyDescent="0.3">
      <c r="G1203" s="470">
        <f t="shared" si="124"/>
        <v>100</v>
      </c>
      <c r="H1203" s="470">
        <v>1196</v>
      </c>
      <c r="I1203" s="455">
        <f t="shared" ca="1" si="108"/>
        <v>-15516522.076275371</v>
      </c>
      <c r="J1203" s="455">
        <f t="array" ref="J1203">IFERROR(INDEX('Retirement Calculator'!J:J,MATCH('Isaac 401k'!N1203,'Retirement Calculator'!A:A,0),0),0)</f>
        <v>0</v>
      </c>
      <c r="K1203" s="455">
        <f t="shared" ca="1" si="105"/>
        <v>-64652.175317814043</v>
      </c>
      <c r="L1203" s="455">
        <f t="shared" ca="1" si="106"/>
        <v>-15581174.251593186</v>
      </c>
      <c r="M1203" s="471">
        <f t="shared" si="109"/>
        <v>0.05</v>
      </c>
      <c r="N1203" s="475">
        <f t="shared" si="110"/>
        <v>87660</v>
      </c>
    </row>
    <row r="1204" spans="7:14" ht="11.25" customHeight="1" x14ac:dyDescent="0.3">
      <c r="G1204" s="470">
        <f t="shared" si="124"/>
        <v>100</v>
      </c>
      <c r="H1204" s="470">
        <v>1197</v>
      </c>
      <c r="I1204" s="455">
        <f t="shared" ca="1" si="108"/>
        <v>-15581174.251593186</v>
      </c>
      <c r="J1204" s="455">
        <f t="array" ref="J1204">IFERROR(INDEX('Retirement Calculator'!J:J,MATCH('Isaac 401k'!N1204,'Retirement Calculator'!A:A,0),0),0)</f>
        <v>0</v>
      </c>
      <c r="K1204" s="455">
        <f t="shared" ca="1" si="105"/>
        <v>-64921.559381638283</v>
      </c>
      <c r="L1204" s="455">
        <f t="shared" ca="1" si="106"/>
        <v>-15646095.810974823</v>
      </c>
      <c r="M1204" s="471">
        <f t="shared" si="109"/>
        <v>0.05</v>
      </c>
      <c r="N1204" s="475">
        <f t="shared" si="110"/>
        <v>87691</v>
      </c>
    </row>
    <row r="1205" spans="7:14" ht="11.25" customHeight="1" x14ac:dyDescent="0.3">
      <c r="G1205" s="470">
        <f t="shared" si="124"/>
        <v>100</v>
      </c>
      <c r="H1205" s="470">
        <v>1198</v>
      </c>
      <c r="I1205" s="455">
        <f t="shared" ca="1" si="108"/>
        <v>-15646095.810974823</v>
      </c>
      <c r="J1205" s="455">
        <f t="array" ref="J1205">IFERROR(INDEX('Retirement Calculator'!J:J,MATCH('Isaac 401k'!N1205,'Retirement Calculator'!A:A,0),0),0)</f>
        <v>0</v>
      </c>
      <c r="K1205" s="455">
        <f t="shared" ca="1" si="105"/>
        <v>-65192.065879061753</v>
      </c>
      <c r="L1205" s="455">
        <f t="shared" ca="1" si="106"/>
        <v>-15711287.876853885</v>
      </c>
      <c r="M1205" s="471">
        <f t="shared" si="109"/>
        <v>0.05</v>
      </c>
      <c r="N1205" s="475">
        <f t="shared" si="110"/>
        <v>87720</v>
      </c>
    </row>
    <row r="1206" spans="7:14" ht="11.25" customHeight="1" x14ac:dyDescent="0.3">
      <c r="G1206" s="470">
        <f t="shared" si="124"/>
        <v>100</v>
      </c>
      <c r="H1206" s="470">
        <v>1199</v>
      </c>
      <c r="I1206" s="455">
        <f t="shared" ca="1" si="108"/>
        <v>-15711287.876853885</v>
      </c>
      <c r="J1206" s="455">
        <f t="array" ref="J1206">IFERROR(INDEX('Retirement Calculator'!J:J,MATCH('Isaac 401k'!N1206,'Retirement Calculator'!A:A,0),0),0)</f>
        <v>0</v>
      </c>
      <c r="K1206" s="455">
        <f t="shared" ca="1" si="105"/>
        <v>-65463.699486891186</v>
      </c>
      <c r="L1206" s="455">
        <f t="shared" ca="1" si="106"/>
        <v>-15776751.576340776</v>
      </c>
      <c r="M1206" s="471">
        <f t="shared" si="109"/>
        <v>0.05</v>
      </c>
      <c r="N1206" s="475">
        <f t="shared" si="110"/>
        <v>87751</v>
      </c>
    </row>
    <row r="1207" spans="7:14" ht="11.25" customHeight="1" x14ac:dyDescent="0.3">
      <c r="G1207" s="470">
        <f t="shared" si="124"/>
        <v>100</v>
      </c>
      <c r="H1207" s="470">
        <v>1200</v>
      </c>
      <c r="I1207" s="455">
        <f t="shared" ca="1" si="108"/>
        <v>-15776751.576340776</v>
      </c>
      <c r="J1207" s="455">
        <f t="array" ref="J1207">IFERROR(INDEX('Retirement Calculator'!J:J,MATCH('Isaac 401k'!N1207,'Retirement Calculator'!A:A,0),0),0)</f>
        <v>0</v>
      </c>
      <c r="K1207" s="455">
        <f t="shared" ca="1" si="105"/>
        <v>-65736.464901419895</v>
      </c>
      <c r="L1207" s="455">
        <f t="shared" ca="1" si="106"/>
        <v>-15842488.041242195</v>
      </c>
      <c r="M1207" s="471">
        <f t="shared" si="109"/>
        <v>0.05</v>
      </c>
      <c r="N1207" s="475">
        <f t="shared" si="110"/>
        <v>87781</v>
      </c>
    </row>
    <row r="1208" spans="7:14" ht="11.25" customHeight="1" x14ac:dyDescent="0.3">
      <c r="G1208" s="470">
        <f>G1207+1</f>
        <v>101</v>
      </c>
      <c r="H1208" s="470">
        <v>1201</v>
      </c>
      <c r="I1208" s="455">
        <f t="shared" ca="1" si="108"/>
        <v>-15842488.041242195</v>
      </c>
      <c r="J1208" s="455">
        <f t="array" ref="J1208">IFERROR(INDEX('Retirement Calculator'!J:J,MATCH('Isaac 401k'!N1208,'Retirement Calculator'!A:A,0),0),0)</f>
        <v>0</v>
      </c>
      <c r="K1208" s="455">
        <f t="shared" ca="1" si="105"/>
        <v>-66010.366838509144</v>
      </c>
      <c r="L1208" s="455">
        <f t="shared" ca="1" si="106"/>
        <v>-15908498.408080705</v>
      </c>
      <c r="M1208" s="471">
        <f t="shared" si="109"/>
        <v>0.05</v>
      </c>
      <c r="N1208" s="475">
        <f t="shared" si="110"/>
        <v>87812</v>
      </c>
    </row>
    <row r="1209" spans="7:14" ht="11.25" customHeight="1" x14ac:dyDescent="0.3">
      <c r="G1209" s="470">
        <f t="shared" ref="G1209:G1219" si="125">G1208</f>
        <v>101</v>
      </c>
      <c r="H1209" s="470">
        <v>1202</v>
      </c>
      <c r="I1209" s="455">
        <f t="shared" ca="1" si="108"/>
        <v>-15908498.408080705</v>
      </c>
      <c r="J1209" s="455">
        <f t="array" ref="J1209">IFERROR(INDEX('Retirement Calculator'!J:J,MATCH('Isaac 401k'!N1209,'Retirement Calculator'!A:A,0),0),0)</f>
        <v>0</v>
      </c>
      <c r="K1209" s="455">
        <f t="shared" ca="1" si="105"/>
        <v>-66285.410033669599</v>
      </c>
      <c r="L1209" s="455">
        <f t="shared" ca="1" si="106"/>
        <v>-15974783.818114374</v>
      </c>
      <c r="M1209" s="471">
        <f t="shared" si="109"/>
        <v>0.05</v>
      </c>
      <c r="N1209" s="475">
        <f t="shared" si="110"/>
        <v>87842</v>
      </c>
    </row>
    <row r="1210" spans="7:14" ht="11.25" customHeight="1" x14ac:dyDescent="0.3">
      <c r="G1210" s="470">
        <f t="shared" si="125"/>
        <v>101</v>
      </c>
      <c r="H1210" s="470">
        <v>1203</v>
      </c>
      <c r="I1210" s="455">
        <f t="shared" ca="1" si="108"/>
        <v>-15974783.818114374</v>
      </c>
      <c r="J1210" s="455">
        <f t="array" ref="J1210">IFERROR(INDEX('Retirement Calculator'!J:J,MATCH('Isaac 401k'!N1210,'Retirement Calculator'!A:A,0),0),0)</f>
        <v>0</v>
      </c>
      <c r="K1210" s="455">
        <f t="shared" ca="1" si="105"/>
        <v>-66561.599242143217</v>
      </c>
      <c r="L1210" s="455">
        <f t="shared" ca="1" si="106"/>
        <v>-16041345.417356517</v>
      </c>
      <c r="M1210" s="471">
        <f t="shared" si="109"/>
        <v>0.05</v>
      </c>
      <c r="N1210" s="475">
        <f t="shared" si="110"/>
        <v>87873</v>
      </c>
    </row>
    <row r="1211" spans="7:14" ht="11.25" customHeight="1" x14ac:dyDescent="0.3">
      <c r="G1211" s="470">
        <f t="shared" si="125"/>
        <v>101</v>
      </c>
      <c r="H1211" s="470">
        <v>1204</v>
      </c>
      <c r="I1211" s="455">
        <f t="shared" ca="1" si="108"/>
        <v>-16041345.417356517</v>
      </c>
      <c r="J1211" s="455">
        <f t="array" ref="J1211">IFERROR(INDEX('Retirement Calculator'!J:J,MATCH('Isaac 401k'!N1211,'Retirement Calculator'!A:A,0),0),0)</f>
        <v>0</v>
      </c>
      <c r="K1211" s="455">
        <f t="shared" ca="1" si="105"/>
        <v>-66838.939238985491</v>
      </c>
      <c r="L1211" s="455">
        <f t="shared" ca="1" si="106"/>
        <v>-16108184.356595503</v>
      </c>
      <c r="M1211" s="471">
        <f t="shared" si="109"/>
        <v>0.05</v>
      </c>
      <c r="N1211" s="475">
        <f t="shared" si="110"/>
        <v>87904</v>
      </c>
    </row>
    <row r="1212" spans="7:14" ht="11.25" customHeight="1" x14ac:dyDescent="0.3">
      <c r="G1212" s="470">
        <f t="shared" si="125"/>
        <v>101</v>
      </c>
      <c r="H1212" s="470">
        <v>1205</v>
      </c>
      <c r="I1212" s="455">
        <f t="shared" ca="1" si="108"/>
        <v>-16108184.356595503</v>
      </c>
      <c r="J1212" s="455">
        <f t="array" ref="J1212">IFERROR(INDEX('Retirement Calculator'!J:J,MATCH('Isaac 401k'!N1212,'Retirement Calculator'!A:A,0),0),0)</f>
        <v>0</v>
      </c>
      <c r="K1212" s="455">
        <f t="shared" ca="1" si="105"/>
        <v>-67117.434819147922</v>
      </c>
      <c r="L1212" s="455">
        <f t="shared" ca="1" si="106"/>
        <v>-16175301.791414652</v>
      </c>
      <c r="M1212" s="471">
        <f t="shared" si="109"/>
        <v>0.05</v>
      </c>
      <c r="N1212" s="475">
        <f t="shared" si="110"/>
        <v>87934</v>
      </c>
    </row>
    <row r="1213" spans="7:14" ht="11.25" customHeight="1" x14ac:dyDescent="0.3">
      <c r="G1213" s="470">
        <f t="shared" si="125"/>
        <v>101</v>
      </c>
      <c r="H1213" s="470">
        <v>1206</v>
      </c>
      <c r="I1213" s="455">
        <f t="shared" ca="1" si="108"/>
        <v>-16175301.791414652</v>
      </c>
      <c r="J1213" s="455">
        <f t="array" ref="J1213">IFERROR(INDEX('Retirement Calculator'!J:J,MATCH('Isaac 401k'!N1213,'Retirement Calculator'!A:A,0),0),0)</f>
        <v>0</v>
      </c>
      <c r="K1213" s="455">
        <f t="shared" ca="1" si="105"/>
        <v>-67397.090797561046</v>
      </c>
      <c r="L1213" s="455">
        <f t="shared" ca="1" si="106"/>
        <v>-16242698.882212212</v>
      </c>
      <c r="M1213" s="471">
        <f t="shared" si="109"/>
        <v>0.05</v>
      </c>
      <c r="N1213" s="475">
        <f t="shared" si="110"/>
        <v>87965</v>
      </c>
    </row>
    <row r="1214" spans="7:14" ht="11.25" customHeight="1" x14ac:dyDescent="0.3">
      <c r="G1214" s="470">
        <f t="shared" si="125"/>
        <v>101</v>
      </c>
      <c r="H1214" s="470">
        <v>1207</v>
      </c>
      <c r="I1214" s="455">
        <f t="shared" ca="1" si="108"/>
        <v>-16242698.882212212</v>
      </c>
      <c r="J1214" s="455">
        <f t="array" ref="J1214">IFERROR(INDEX('Retirement Calculator'!J:J,MATCH('Isaac 401k'!N1214,'Retirement Calculator'!A:A,0),0),0)</f>
        <v>0</v>
      </c>
      <c r="K1214" s="455">
        <f t="shared" ca="1" si="105"/>
        <v>-67677.912009217544</v>
      </c>
      <c r="L1214" s="455">
        <f t="shared" ca="1" si="106"/>
        <v>-16310376.794221429</v>
      </c>
      <c r="M1214" s="471">
        <f t="shared" si="109"/>
        <v>0.05</v>
      </c>
      <c r="N1214" s="475">
        <f t="shared" si="110"/>
        <v>87995</v>
      </c>
    </row>
    <row r="1215" spans="7:14" ht="11.25" customHeight="1" x14ac:dyDescent="0.3">
      <c r="G1215" s="470">
        <f t="shared" si="125"/>
        <v>101</v>
      </c>
      <c r="H1215" s="470">
        <v>1208</v>
      </c>
      <c r="I1215" s="455">
        <f t="shared" ca="1" si="108"/>
        <v>-16310376.794221429</v>
      </c>
      <c r="J1215" s="455">
        <f t="array" ref="J1215">IFERROR(INDEX('Retirement Calculator'!J:J,MATCH('Isaac 401k'!N1215,'Retirement Calculator'!A:A,0),0),0)</f>
        <v>0</v>
      </c>
      <c r="K1215" s="455">
        <f t="shared" ca="1" si="105"/>
        <v>-67959.903309255955</v>
      </c>
      <c r="L1215" s="455">
        <f t="shared" ca="1" si="106"/>
        <v>-16378336.697530685</v>
      </c>
      <c r="M1215" s="471">
        <f t="shared" si="109"/>
        <v>0.05</v>
      </c>
      <c r="N1215" s="475">
        <f t="shared" si="110"/>
        <v>88026</v>
      </c>
    </row>
    <row r="1216" spans="7:14" ht="11.25" customHeight="1" x14ac:dyDescent="0.3">
      <c r="G1216" s="470">
        <f t="shared" si="125"/>
        <v>101</v>
      </c>
      <c r="H1216" s="470">
        <v>1209</v>
      </c>
      <c r="I1216" s="455">
        <f t="shared" ca="1" si="108"/>
        <v>-16378336.697530685</v>
      </c>
      <c r="J1216" s="455">
        <f t="array" ref="J1216">IFERROR(INDEX('Retirement Calculator'!J:J,MATCH('Isaac 401k'!N1216,'Retirement Calculator'!A:A,0),0),0)</f>
        <v>0</v>
      </c>
      <c r="K1216" s="455">
        <f t="shared" ca="1" si="105"/>
        <v>-68243.069573044515</v>
      </c>
      <c r="L1216" s="455">
        <f t="shared" ca="1" si="106"/>
        <v>-16446579.76710373</v>
      </c>
      <c r="M1216" s="471">
        <f t="shared" si="109"/>
        <v>0.05</v>
      </c>
      <c r="N1216" s="475">
        <f t="shared" si="110"/>
        <v>88057</v>
      </c>
    </row>
    <row r="1217" spans="7:14" ht="11.25" customHeight="1" x14ac:dyDescent="0.3">
      <c r="G1217" s="470">
        <f t="shared" si="125"/>
        <v>101</v>
      </c>
      <c r="H1217" s="470">
        <v>1210</v>
      </c>
      <c r="I1217" s="455">
        <f t="shared" ca="1" si="108"/>
        <v>-16446579.76710373</v>
      </c>
      <c r="J1217" s="455">
        <f t="array" ref="J1217">IFERROR(INDEX('Retirement Calculator'!J:J,MATCH('Isaac 401k'!N1217,'Retirement Calculator'!A:A,0),0),0)</f>
        <v>0</v>
      </c>
      <c r="K1217" s="455">
        <f t="shared" ca="1" si="105"/>
        <v>-68527.41569626554</v>
      </c>
      <c r="L1217" s="455">
        <f t="shared" ca="1" si="106"/>
        <v>-16515107.182799995</v>
      </c>
      <c r="M1217" s="471">
        <f t="shared" si="109"/>
        <v>0.05</v>
      </c>
      <c r="N1217" s="475">
        <f t="shared" si="110"/>
        <v>88085</v>
      </c>
    </row>
    <row r="1218" spans="7:14" ht="11.25" customHeight="1" x14ac:dyDescent="0.3">
      <c r="G1218" s="470">
        <f t="shared" si="125"/>
        <v>101</v>
      </c>
      <c r="H1218" s="470">
        <v>1211</v>
      </c>
      <c r="I1218" s="455">
        <f t="shared" ca="1" si="108"/>
        <v>-16515107.182799995</v>
      </c>
      <c r="J1218" s="455">
        <f t="array" ref="J1218">IFERROR(INDEX('Retirement Calculator'!J:J,MATCH('Isaac 401k'!N1218,'Retirement Calculator'!A:A,0),0),0)</f>
        <v>0</v>
      </c>
      <c r="K1218" s="455">
        <f t="shared" ca="1" si="105"/>
        <v>-68812.946594999972</v>
      </c>
      <c r="L1218" s="455">
        <f t="shared" ca="1" si="106"/>
        <v>-16583920.129394995</v>
      </c>
      <c r="M1218" s="471">
        <f t="shared" si="109"/>
        <v>0.05</v>
      </c>
      <c r="N1218" s="475">
        <f t="shared" si="110"/>
        <v>88116</v>
      </c>
    </row>
    <row r="1219" spans="7:14" ht="11.25" customHeight="1" x14ac:dyDescent="0.3">
      <c r="G1219" s="470">
        <f t="shared" si="125"/>
        <v>101</v>
      </c>
      <c r="H1219" s="470">
        <v>1212</v>
      </c>
      <c r="I1219" s="455">
        <f t="shared" ca="1" si="108"/>
        <v>-16583920.129394995</v>
      </c>
      <c r="J1219" s="455">
        <f t="array" ref="J1219">IFERROR(INDEX('Retirement Calculator'!J:J,MATCH('Isaac 401k'!N1219,'Retirement Calculator'!A:A,0),0),0)</f>
        <v>0</v>
      </c>
      <c r="K1219" s="455">
        <f t="shared" ca="1" si="105"/>
        <v>-69099.667205812468</v>
      </c>
      <c r="L1219" s="455">
        <f t="shared" ca="1" si="106"/>
        <v>-16653019.796600807</v>
      </c>
      <c r="M1219" s="471">
        <f t="shared" si="109"/>
        <v>0.05</v>
      </c>
      <c r="N1219" s="475">
        <f t="shared" si="110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8"/>
        <v>-16653019.796600807</v>
      </c>
      <c r="J1220" s="455">
        <f t="array" ref="J1220">IFERROR(INDEX('Retirement Calculator'!J:J,MATCH('Isaac 401k'!N1220,'Retirement Calculator'!A:A,0),0),0)</f>
        <v>0</v>
      </c>
      <c r="K1220" s="455">
        <f t="shared" ca="1" si="105"/>
        <v>-69387.582485836698</v>
      </c>
      <c r="L1220" s="455">
        <f t="shared" ca="1" si="106"/>
        <v>-16722407.379086643</v>
      </c>
      <c r="M1220" s="471">
        <f t="shared" si="109"/>
        <v>0.05</v>
      </c>
      <c r="N1220" s="475">
        <f t="shared" si="110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8"/>
        <v>-16722407.379086643</v>
      </c>
      <c r="J1221" s="455">
        <f t="array" ref="J1221">IFERROR(INDEX('Retirement Calculator'!J:J,MATCH('Isaac 401k'!N1221,'Retirement Calculator'!A:A,0),0),0)</f>
        <v>0</v>
      </c>
      <c r="K1221" s="455">
        <f t="shared" ca="1" si="105"/>
        <v>-69676.697412861016</v>
      </c>
      <c r="L1221" s="455">
        <f t="shared" ca="1" si="106"/>
        <v>-16792084.076499503</v>
      </c>
      <c r="M1221" s="471">
        <f t="shared" si="109"/>
        <v>0.05</v>
      </c>
      <c r="N1221" s="475">
        <f t="shared" si="110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8"/>
        <v>-16792084.076499503</v>
      </c>
      <c r="J1222" s="455">
        <f t="array" ref="J1222">IFERROR(INDEX('Retirement Calculator'!J:J,MATCH('Isaac 401k'!N1222,'Retirement Calculator'!A:A,0),0),0)</f>
        <v>0</v>
      </c>
      <c r="K1222" s="455">
        <f t="shared" ca="1" si="105"/>
        <v>-69967.016985414593</v>
      </c>
      <c r="L1222" s="455">
        <f t="shared" ca="1" si="106"/>
        <v>-16862051.09348492</v>
      </c>
      <c r="M1222" s="471">
        <f t="shared" si="109"/>
        <v>0.05</v>
      </c>
      <c r="N1222" s="475">
        <f t="shared" si="110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8"/>
        <v>-16862051.09348492</v>
      </c>
      <c r="J1223" s="455">
        <f t="array" ref="J1223">IFERROR(INDEX('Retirement Calculator'!J:J,MATCH('Isaac 401k'!N1223,'Retirement Calculator'!A:A,0),0),0)</f>
        <v>0</v>
      </c>
      <c r="K1223" s="455">
        <f t="shared" ca="1" si="105"/>
        <v>-70258.546222853824</v>
      </c>
      <c r="L1223" s="455">
        <f t="shared" ca="1" si="106"/>
        <v>-16932309.639707774</v>
      </c>
      <c r="M1223" s="471">
        <f t="shared" si="109"/>
        <v>0.05</v>
      </c>
      <c r="N1223" s="475">
        <f t="shared" si="110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8"/>
        <v>-16932309.639707774</v>
      </c>
      <c r="J1224" s="455">
        <f t="array" ref="J1224">IFERROR(INDEX('Retirement Calculator'!J:J,MATCH('Isaac 401k'!N1224,'Retirement Calculator'!A:A,0),0),0)</f>
        <v>0</v>
      </c>
      <c r="K1224" s="455">
        <f t="shared" ca="1" si="105"/>
        <v>-70551.290165449056</v>
      </c>
      <c r="L1224" s="455">
        <f t="shared" ca="1" si="106"/>
        <v>-17002860.929873224</v>
      </c>
      <c r="M1224" s="471">
        <f t="shared" si="109"/>
        <v>0.05</v>
      </c>
      <c r="N1224" s="475">
        <f t="shared" si="110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8"/>
        <v>-17002860.929873224</v>
      </c>
      <c r="J1225" s="455">
        <f t="array" ref="J1225">IFERROR(INDEX('Retirement Calculator'!J:J,MATCH('Isaac 401k'!N1225,'Retirement Calculator'!A:A,0),0),0)</f>
        <v>0</v>
      </c>
      <c r="K1225" s="455">
        <f t="shared" ca="1" si="105"/>
        <v>-70845.25387447176</v>
      </c>
      <c r="L1225" s="455">
        <f t="shared" ca="1" si="106"/>
        <v>-17073706.183747698</v>
      </c>
      <c r="M1225" s="471">
        <f t="shared" si="109"/>
        <v>0.05</v>
      </c>
      <c r="N1225" s="475">
        <f t="shared" si="110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8"/>
        <v>-17073706.183747698</v>
      </c>
      <c r="J1226" s="455">
        <f t="array" ref="J1226">IFERROR(INDEX('Retirement Calculator'!J:J,MATCH('Isaac 401k'!N1226,'Retirement Calculator'!A:A,0),0),0)</f>
        <v>0</v>
      </c>
      <c r="K1226" s="455">
        <f t="shared" ca="1" si="105"/>
        <v>-71140.442432282071</v>
      </c>
      <c r="L1226" s="455">
        <f t="shared" ca="1" si="106"/>
        <v>-17144846.626179978</v>
      </c>
      <c r="M1226" s="471">
        <f t="shared" si="109"/>
        <v>0.05</v>
      </c>
      <c r="N1226" s="475">
        <f t="shared" si="110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8"/>
        <v>-17144846.626179978</v>
      </c>
      <c r="J1227" s="455">
        <f t="array" ref="J1227">IFERROR(INDEX('Retirement Calculator'!J:J,MATCH('Isaac 401k'!N1227,'Retirement Calculator'!A:A,0),0),0)</f>
        <v>0</v>
      </c>
      <c r="K1227" s="455">
        <f t="shared" ca="1" si="105"/>
        <v>-71436.860942416577</v>
      </c>
      <c r="L1227" s="455">
        <f t="shared" ca="1" si="106"/>
        <v>-17216283.487122394</v>
      </c>
      <c r="M1227" s="471">
        <f t="shared" si="109"/>
        <v>0.05</v>
      </c>
      <c r="N1227" s="475">
        <f t="shared" si="110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8"/>
        <v>-17216283.487122394</v>
      </c>
      <c r="J1228" s="455">
        <f t="array" ref="J1228">IFERROR(INDEX('Retirement Calculator'!J:J,MATCH('Isaac 401k'!N1228,'Retirement Calculator'!A:A,0),0),0)</f>
        <v>0</v>
      </c>
      <c r="K1228" s="455">
        <f t="shared" ca="1" si="105"/>
        <v>-71734.514529676642</v>
      </c>
      <c r="L1228" s="455">
        <f t="shared" ca="1" si="106"/>
        <v>-17288018.001652069</v>
      </c>
      <c r="M1228" s="471">
        <f t="shared" si="109"/>
        <v>0.05</v>
      </c>
      <c r="N1228" s="475">
        <f t="shared" si="110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8"/>
        <v>-17288018.001652069</v>
      </c>
      <c r="J1229" s="455">
        <f t="array" ref="J1229">IFERROR(INDEX('Retirement Calculator'!J:J,MATCH('Isaac 401k'!N1229,'Retirement Calculator'!A:A,0),0),0)</f>
        <v>0</v>
      </c>
      <c r="K1229" s="455">
        <f t="shared" ca="1" si="105"/>
        <v>-72033.408340216949</v>
      </c>
      <c r="L1229" s="455">
        <f t="shared" ca="1" si="106"/>
        <v>-17360051.409992285</v>
      </c>
      <c r="M1229" s="471">
        <f t="shared" si="109"/>
        <v>0.05</v>
      </c>
      <c r="N1229" s="475">
        <f t="shared" si="110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8"/>
        <v>-17360051.409992285</v>
      </c>
      <c r="J1230" s="455">
        <f t="array" ref="J1230">IFERROR(INDEX('Retirement Calculator'!J:J,MATCH('Isaac 401k'!N1230,'Retirement Calculator'!A:A,0),0),0)</f>
        <v>0</v>
      </c>
      <c r="K1230" s="455">
        <f t="shared" ca="1" si="105"/>
        <v>-72333.547541634514</v>
      </c>
      <c r="L1230" s="455">
        <f t="shared" ca="1" si="106"/>
        <v>-17432384.957533918</v>
      </c>
      <c r="M1230" s="471">
        <f t="shared" si="109"/>
        <v>0.05</v>
      </c>
      <c r="N1230" s="475">
        <f t="shared" si="110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8"/>
        <v>-17432384.957533918</v>
      </c>
      <c r="J1231" s="455">
        <f t="array" ref="J1231">IFERROR(INDEX('Retirement Calculator'!J:J,MATCH('Isaac 401k'!N1231,'Retirement Calculator'!A:A,0),0),0)</f>
        <v>0</v>
      </c>
      <c r="K1231" s="455">
        <f t="shared" ca="1" si="105"/>
        <v>-72634.937323057995</v>
      </c>
      <c r="L1231" s="455">
        <f t="shared" ca="1" si="106"/>
        <v>-17505019.894856974</v>
      </c>
      <c r="M1231" s="471">
        <f t="shared" si="109"/>
        <v>0.05</v>
      </c>
      <c r="N1231" s="475">
        <f t="shared" si="110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8"/>
        <v>-17505019.894856974</v>
      </c>
      <c r="J1232" s="455">
        <f t="array" ref="J1232">IFERROR(INDEX('Retirement Calculator'!J:J,MATCH('Isaac 401k'!N1232,'Retirement Calculator'!A:A,0),0),0)</f>
        <v>0</v>
      </c>
      <c r="K1232" s="455">
        <f t="shared" ca="1" si="105"/>
        <v>-72937.582895237399</v>
      </c>
      <c r="L1232" s="455">
        <f t="shared" ca="1" si="106"/>
        <v>-17577957.477752212</v>
      </c>
      <c r="M1232" s="471">
        <f t="shared" si="109"/>
        <v>0.05</v>
      </c>
      <c r="N1232" s="475">
        <f t="shared" si="110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8"/>
        <v>-17577957.477752212</v>
      </c>
      <c r="J1233" s="455">
        <f t="array" ref="J1233">IFERROR(INDEX('Retirement Calculator'!J:J,MATCH('Isaac 401k'!N1233,'Retirement Calculator'!A:A,0),0),0)</f>
        <v>0</v>
      </c>
      <c r="K1233" s="455">
        <f t="shared" ca="1" si="105"/>
        <v>-73241.489490634223</v>
      </c>
      <c r="L1233" s="455">
        <f t="shared" ca="1" si="106"/>
        <v>-17651198.967242848</v>
      </c>
      <c r="M1233" s="471">
        <f t="shared" si="109"/>
        <v>0.05</v>
      </c>
      <c r="N1233" s="475">
        <f t="shared" si="110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8"/>
        <v>-17651198.967242848</v>
      </c>
      <c r="J1234" s="455">
        <f t="array" ref="J1234">IFERROR(INDEX('Retirement Calculator'!J:J,MATCH('Isaac 401k'!N1234,'Retirement Calculator'!A:A,0),0),0)</f>
        <v>0</v>
      </c>
      <c r="K1234" s="455">
        <f t="shared" ca="1" si="105"/>
        <v>-73546.662363511859</v>
      </c>
      <c r="L1234" s="455">
        <f t="shared" ca="1" si="106"/>
        <v>-17724745.629606359</v>
      </c>
      <c r="M1234" s="471">
        <f t="shared" si="109"/>
        <v>0.05</v>
      </c>
      <c r="N1234" s="475">
        <f t="shared" si="110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8"/>
        <v>-17724745.629606359</v>
      </c>
      <c r="J1235" s="455">
        <f t="array" ref="J1235">IFERROR(INDEX('Retirement Calculator'!J:J,MATCH('Isaac 401k'!N1235,'Retirement Calculator'!A:A,0),0),0)</f>
        <v>0</v>
      </c>
      <c r="K1235" s="455">
        <f t="shared" ca="1" si="105"/>
        <v>-73853.10679002649</v>
      </c>
      <c r="L1235" s="455">
        <f t="shared" ca="1" si="106"/>
        <v>-17798598.736396383</v>
      </c>
      <c r="M1235" s="471">
        <f t="shared" si="109"/>
        <v>0.05</v>
      </c>
      <c r="N1235" s="475">
        <f t="shared" si="110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8"/>
        <v>-17798598.736396383</v>
      </c>
      <c r="J1236" s="455">
        <f t="array" ref="J1236">IFERROR(INDEX('Retirement Calculator'!J:J,MATCH('Isaac 401k'!N1236,'Retirement Calculator'!A:A,0),0),0)</f>
        <v>0</v>
      </c>
      <c r="K1236" s="455">
        <f t="shared" ca="1" si="105"/>
        <v>-74160.828068318267</v>
      </c>
      <c r="L1236" s="455">
        <f t="shared" ca="1" si="106"/>
        <v>-17872759.564464703</v>
      </c>
      <c r="M1236" s="471">
        <f t="shared" si="109"/>
        <v>0.05</v>
      </c>
      <c r="N1236" s="475">
        <f t="shared" si="110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8"/>
        <v>-17872759.564464703</v>
      </c>
      <c r="J1237" s="455">
        <f t="array" ref="J1237">IFERROR(INDEX('Retirement Calculator'!J:J,MATCH('Isaac 401k'!N1237,'Retirement Calculator'!A:A,0),0),0)</f>
        <v>0</v>
      </c>
      <c r="K1237" s="455">
        <f t="shared" ca="1" si="105"/>
        <v>-74469.831518602936</v>
      </c>
      <c r="L1237" s="455">
        <f t="shared" ca="1" si="106"/>
        <v>-17947229.395983305</v>
      </c>
      <c r="M1237" s="471">
        <f t="shared" si="109"/>
        <v>0.05</v>
      </c>
      <c r="N1237" s="475">
        <f t="shared" si="110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8"/>
        <v>-17947229.395983305</v>
      </c>
      <c r="J1238" s="455">
        <f t="array" ref="J1238">IFERROR(INDEX('Retirement Calculator'!J:J,MATCH('Isaac 401k'!N1238,'Retirement Calculator'!A:A,0),0),0)</f>
        <v>0</v>
      </c>
      <c r="K1238" s="455">
        <f t="shared" ca="1" si="105"/>
        <v>-74780.122483263767</v>
      </c>
      <c r="L1238" s="455">
        <f t="shared" ca="1" si="106"/>
        <v>-18022009.518466569</v>
      </c>
      <c r="M1238" s="471">
        <f t="shared" si="109"/>
        <v>0.05</v>
      </c>
      <c r="N1238" s="475">
        <f t="shared" si="110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8"/>
        <v>-18022009.518466569</v>
      </c>
      <c r="J1239" s="455">
        <f t="array" ref="J1239">IFERROR(INDEX('Retirement Calculator'!J:J,MATCH('Isaac 401k'!N1239,'Retirement Calculator'!A:A,0),0),0)</f>
        <v>0</v>
      </c>
      <c r="K1239" s="455">
        <f t="shared" ca="1" si="105"/>
        <v>-75091.70632694404</v>
      </c>
      <c r="L1239" s="455">
        <f t="shared" ca="1" si="106"/>
        <v>-18097101.224793512</v>
      </c>
      <c r="M1239" s="471">
        <f t="shared" si="109"/>
        <v>0.05</v>
      </c>
      <c r="N1239" s="475">
        <f t="shared" si="110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8"/>
        <v>-18097101.224793512</v>
      </c>
      <c r="J1240" s="455">
        <f t="array" ref="J1240">IFERROR(INDEX('Retirement Calculator'!J:J,MATCH('Isaac 401k'!N1240,'Retirement Calculator'!A:A,0),0),0)</f>
        <v>0</v>
      </c>
      <c r="K1240" s="455">
        <f t="shared" ca="1" si="105"/>
        <v>-75404.588436639635</v>
      </c>
      <c r="L1240" s="455">
        <f t="shared" ca="1" si="106"/>
        <v>-18172505.813230153</v>
      </c>
      <c r="M1240" s="471">
        <f t="shared" si="109"/>
        <v>0.05</v>
      </c>
      <c r="N1240" s="475">
        <f t="shared" si="110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8"/>
        <v>-18172505.813230153</v>
      </c>
      <c r="J1241" s="455">
        <f t="array" ref="J1241">IFERROR(INDEX('Retirement Calculator'!J:J,MATCH('Isaac 401k'!N1241,'Retirement Calculator'!A:A,0),0),0)</f>
        <v>0</v>
      </c>
      <c r="K1241" s="455">
        <f t="shared" ca="1" si="105"/>
        <v>-75718.774221792308</v>
      </c>
      <c r="L1241" s="455">
        <f t="shared" ca="1" si="106"/>
        <v>-18248224.587451946</v>
      </c>
      <c r="M1241" s="471">
        <f t="shared" si="109"/>
        <v>0.05</v>
      </c>
      <c r="N1241" s="475">
        <f t="shared" si="110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8"/>
        <v>-18248224.587451946</v>
      </c>
      <c r="J1242" s="455">
        <f t="array" ref="J1242">IFERROR(INDEX('Retirement Calculator'!J:J,MATCH('Isaac 401k'!N1242,'Retirement Calculator'!A:A,0),0),0)</f>
        <v>0</v>
      </c>
      <c r="K1242" s="455">
        <f t="shared" ca="1" si="105"/>
        <v>-76034.269114383103</v>
      </c>
      <c r="L1242" s="455">
        <f t="shared" ca="1" si="106"/>
        <v>-18324258.856566329</v>
      </c>
      <c r="M1242" s="471">
        <f t="shared" si="109"/>
        <v>0.05</v>
      </c>
      <c r="N1242" s="475">
        <f t="shared" si="110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8"/>
        <v>-18324258.856566329</v>
      </c>
      <c r="J1243" s="455">
        <f t="array" ref="J1243">IFERROR(INDEX('Retirement Calculator'!J:J,MATCH('Isaac 401k'!N1243,'Retirement Calculator'!A:A,0),0),0)</f>
        <v>0</v>
      </c>
      <c r="K1243" s="455">
        <f t="shared" ca="1" si="105"/>
        <v>-76351.078569026373</v>
      </c>
      <c r="L1243" s="455">
        <f t="shared" ca="1" si="106"/>
        <v>-18400609.935135353</v>
      </c>
      <c r="M1243" s="471">
        <f t="shared" si="109"/>
        <v>0.05</v>
      </c>
      <c r="N1243" s="475">
        <f t="shared" si="110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8"/>
        <v>-18400609.935135353</v>
      </c>
      <c r="J1244" s="455">
        <f t="array" ref="J1244">IFERROR(INDEX('Retirement Calculator'!J:J,MATCH('Isaac 401k'!N1244,'Retirement Calculator'!A:A,0),0),0)</f>
        <v>0</v>
      </c>
      <c r="K1244" s="455">
        <f t="shared" ca="1" si="105"/>
        <v>-76669.208063063968</v>
      </c>
      <c r="L1244" s="455">
        <f t="shared" ca="1" si="106"/>
        <v>-18477279.143198416</v>
      </c>
      <c r="M1244" s="471">
        <f t="shared" si="109"/>
        <v>0.05</v>
      </c>
      <c r="N1244" s="475">
        <f t="shared" si="110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8"/>
        <v>-18477279.143198416</v>
      </c>
      <c r="J1245" s="455">
        <f t="array" ref="J1245">IFERROR(INDEX('Retirement Calculator'!J:J,MATCH('Isaac 401k'!N1245,'Retirement Calculator'!A:A,0),0),0)</f>
        <v>0</v>
      </c>
      <c r="K1245" s="455">
        <f t="shared" ca="1" si="105"/>
        <v>-76988.663096660064</v>
      </c>
      <c r="L1245" s="455">
        <f t="shared" ca="1" si="106"/>
        <v>-18554267.806295075</v>
      </c>
      <c r="M1245" s="471">
        <f t="shared" si="109"/>
        <v>0.05</v>
      </c>
      <c r="N1245" s="475">
        <f t="shared" si="110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8"/>
        <v>-18554267.806295075</v>
      </c>
      <c r="J1246" s="455">
        <f t="array" ref="J1246">IFERROR(INDEX('Retirement Calculator'!J:J,MATCH('Isaac 401k'!N1246,'Retirement Calculator'!A:A,0),0),0)</f>
        <v>0</v>
      </c>
      <c r="K1246" s="455">
        <f t="shared" ca="1" si="105"/>
        <v>-77309.449192896136</v>
      </c>
      <c r="L1246" s="455">
        <f t="shared" ca="1" si="106"/>
        <v>-18631577.255487971</v>
      </c>
      <c r="M1246" s="471">
        <f t="shared" si="109"/>
        <v>0.05</v>
      </c>
      <c r="N1246" s="475">
        <f t="shared" si="110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8"/>
        <v>-18631577.255487971</v>
      </c>
      <c r="J1247" s="455">
        <f t="array" ref="J1247">IFERROR(INDEX('Retirement Calculator'!J:J,MATCH('Isaac 401k'!N1247,'Retirement Calculator'!A:A,0),0),0)</f>
        <v>0</v>
      </c>
      <c r="K1247" s="455">
        <f t="shared" ca="1" si="105"/>
        <v>-77631.571897866539</v>
      </c>
      <c r="L1247" s="455">
        <f t="shared" ca="1" si="106"/>
        <v>-18709208.827385839</v>
      </c>
      <c r="M1247" s="471">
        <f t="shared" si="109"/>
        <v>0.05</v>
      </c>
      <c r="N1247" s="475">
        <f t="shared" si="110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8"/>
        <v>-18709208.827385839</v>
      </c>
      <c r="J1248" s="455">
        <f t="array" ref="J1248">IFERROR(INDEX('Retirement Calculator'!J:J,MATCH('Isaac 401k'!N1248,'Retirement Calculator'!A:A,0),0),0)</f>
        <v>0</v>
      </c>
      <c r="K1248" s="455">
        <f t="shared" ca="1" si="105"/>
        <v>-77955.036780774331</v>
      </c>
      <c r="L1248" s="455">
        <f t="shared" ca="1" si="106"/>
        <v>-18787163.864166614</v>
      </c>
      <c r="M1248" s="471">
        <f t="shared" si="109"/>
        <v>0.05</v>
      </c>
      <c r="N1248" s="475">
        <f t="shared" si="110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8"/>
        <v>-18787163.864166614</v>
      </c>
      <c r="J1249" s="455">
        <f t="array" ref="J1249">IFERROR(INDEX('Retirement Calculator'!J:J,MATCH('Isaac 401k'!N1249,'Retirement Calculator'!A:A,0),0),0)</f>
        <v>0</v>
      </c>
      <c r="K1249" s="455">
        <f t="shared" ca="1" si="105"/>
        <v>-78279.84943402755</v>
      </c>
      <c r="L1249" s="455">
        <f t="shared" ca="1" si="106"/>
        <v>-18865443.713600643</v>
      </c>
      <c r="M1249" s="471">
        <f t="shared" si="109"/>
        <v>0.05</v>
      </c>
      <c r="N1249" s="475">
        <f t="shared" si="110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8"/>
        <v>-18865443.713600643</v>
      </c>
      <c r="J1250" s="455">
        <f t="array" ref="J1250">IFERROR(INDEX('Retirement Calculator'!J:J,MATCH('Isaac 401k'!N1250,'Retirement Calculator'!A:A,0),0),0)</f>
        <v>0</v>
      </c>
      <c r="K1250" s="455">
        <f t="shared" ca="1" si="105"/>
        <v>-78606.01547333601</v>
      </c>
      <c r="L1250" s="455">
        <f t="shared" ca="1" si="106"/>
        <v>-18944049.729073979</v>
      </c>
      <c r="M1250" s="471">
        <f t="shared" si="109"/>
        <v>0.05</v>
      </c>
      <c r="N1250" s="475">
        <f t="shared" si="110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8"/>
        <v>-18944049.729073979</v>
      </c>
      <c r="J1251" s="455">
        <f t="array" ref="J1251">IFERROR(INDEX('Retirement Calculator'!J:J,MATCH('Isaac 401k'!N1251,'Retirement Calculator'!A:A,0),0),0)</f>
        <v>0</v>
      </c>
      <c r="K1251" s="455">
        <f t="shared" ca="1" si="105"/>
        <v>-78933.540537808251</v>
      </c>
      <c r="L1251" s="455">
        <f t="shared" ca="1" si="106"/>
        <v>-19022983.269611787</v>
      </c>
      <c r="M1251" s="471">
        <f t="shared" si="109"/>
        <v>0.05</v>
      </c>
      <c r="N1251" s="475">
        <f t="shared" si="110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8"/>
        <v>-19022983.269611787</v>
      </c>
      <c r="J1252" s="455">
        <f t="array" ref="J1252">IFERROR(INDEX('Retirement Calculator'!J:J,MATCH('Isaac 401k'!N1252,'Retirement Calculator'!A:A,0),0),0)</f>
        <v>0</v>
      </c>
      <c r="K1252" s="455">
        <f t="shared" ca="1" si="105"/>
        <v>-79262.430290049117</v>
      </c>
      <c r="L1252" s="455">
        <f t="shared" ca="1" si="106"/>
        <v>-19102245.699901838</v>
      </c>
      <c r="M1252" s="471">
        <f t="shared" si="109"/>
        <v>0.05</v>
      </c>
      <c r="N1252" s="475">
        <f t="shared" si="110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8"/>
        <v>-19102245.699901838</v>
      </c>
      <c r="J1253" s="455">
        <f t="array" ref="J1253">IFERROR(INDEX('Retirement Calculator'!J:J,MATCH('Isaac 401k'!N1253,'Retirement Calculator'!A:A,0),0),0)</f>
        <v>0</v>
      </c>
      <c r="K1253" s="455">
        <f t="shared" ca="1" si="105"/>
        <v>-79592.690416257654</v>
      </c>
      <c r="L1253" s="455">
        <f t="shared" ca="1" si="106"/>
        <v>-19181838.390318096</v>
      </c>
      <c r="M1253" s="471">
        <f t="shared" si="109"/>
        <v>0.05</v>
      </c>
      <c r="N1253" s="475">
        <f t="shared" si="110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8"/>
        <v>-19181838.390318096</v>
      </c>
      <c r="J1254" s="455">
        <f t="array" ref="J1254">IFERROR(INDEX('Retirement Calculator'!J:J,MATCH('Isaac 401k'!N1254,'Retirement Calculator'!A:A,0),0),0)</f>
        <v>0</v>
      </c>
      <c r="K1254" s="455">
        <f t="shared" ca="1" si="105"/>
        <v>-79924.326626325405</v>
      </c>
      <c r="L1254" s="455">
        <f t="shared" ca="1" si="106"/>
        <v>-19261762.716944423</v>
      </c>
      <c r="M1254" s="471">
        <f t="shared" si="109"/>
        <v>0.05</v>
      </c>
      <c r="N1254" s="475">
        <f t="shared" si="110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8"/>
        <v>-19261762.716944423</v>
      </c>
      <c r="J1255" s="455">
        <f t="array" ref="J1255">IFERROR(INDEX('Retirement Calculator'!J:J,MATCH('Isaac 401k'!N1255,'Retirement Calculator'!A:A,0),0),0)</f>
        <v>0</v>
      </c>
      <c r="K1255" s="455">
        <f t="shared" ca="1" si="105"/>
        <v>-80257.344653935099</v>
      </c>
      <c r="L1255" s="455">
        <f t="shared" ca="1" si="106"/>
        <v>-19342020.061598357</v>
      </c>
      <c r="M1255" s="471">
        <f t="shared" si="109"/>
        <v>0.05</v>
      </c>
      <c r="N1255" s="475">
        <f t="shared" si="110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8"/>
        <v>-19342020.061598357</v>
      </c>
      <c r="J1256" s="455">
        <f t="array" ref="J1256">IFERROR(INDEX('Retirement Calculator'!J:J,MATCH('Isaac 401k'!N1256,'Retirement Calculator'!A:A,0),0),0)</f>
        <v>0</v>
      </c>
      <c r="K1256" s="455">
        <f t="shared" ca="1" si="105"/>
        <v>-80591.750256659812</v>
      </c>
      <c r="L1256" s="455">
        <f t="shared" ca="1" si="106"/>
        <v>-19422611.811855018</v>
      </c>
      <c r="M1256" s="471">
        <f t="shared" si="109"/>
        <v>0.05</v>
      </c>
      <c r="N1256" s="475">
        <f t="shared" si="110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8"/>
        <v>-19422611.811855018</v>
      </c>
      <c r="J1257" s="455">
        <f t="array" ref="J1257">IFERROR(INDEX('Retirement Calculator'!J:J,MATCH('Isaac 401k'!N1257,'Retirement Calculator'!A:A,0),0),0)</f>
        <v>0</v>
      </c>
      <c r="K1257" s="455">
        <f t="shared" ca="1" si="105"/>
        <v>-80927.549216062573</v>
      </c>
      <c r="L1257" s="455">
        <f t="shared" ca="1" si="106"/>
        <v>-19503539.36107108</v>
      </c>
      <c r="M1257" s="471">
        <f t="shared" si="109"/>
        <v>0.05</v>
      </c>
      <c r="N1257" s="475">
        <f t="shared" si="110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8"/>
        <v>-19503539.36107108</v>
      </c>
      <c r="J1258" s="455">
        <f t="array" ref="J1258">IFERROR(INDEX('Retirement Calculator'!J:J,MATCH('Isaac 401k'!N1258,'Retirement Calculator'!A:A,0),0),0)</f>
        <v>0</v>
      </c>
      <c r="K1258" s="455">
        <f t="shared" ca="1" si="105"/>
        <v>-81264.747337796172</v>
      </c>
      <c r="L1258" s="455">
        <f t="shared" ca="1" si="106"/>
        <v>-19584804.108408876</v>
      </c>
      <c r="M1258" s="471">
        <f t="shared" si="109"/>
        <v>0.05</v>
      </c>
      <c r="N1258" s="475">
        <f t="shared" si="110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8"/>
        <v>-19584804.108408876</v>
      </c>
      <c r="J1259" s="455">
        <f t="array" ref="J1259">IFERROR(INDEX('Retirement Calculator'!J:J,MATCH('Isaac 401k'!N1259,'Retirement Calculator'!A:A,0),0),0)</f>
        <v>0</v>
      </c>
      <c r="K1259" s="455">
        <f t="shared" ca="1" si="105"/>
        <v>-81603.350451703649</v>
      </c>
      <c r="L1259" s="455">
        <f t="shared" ca="1" si="106"/>
        <v>-19666407.45886058</v>
      </c>
      <c r="M1259" s="471">
        <f t="shared" si="109"/>
        <v>0.05</v>
      </c>
      <c r="N1259" s="475">
        <f t="shared" si="110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8"/>
        <v>-19666407.45886058</v>
      </c>
      <c r="J1260" s="455">
        <f t="array" ref="J1260">IFERROR(INDEX('Retirement Calculator'!J:J,MATCH('Isaac 401k'!N1260,'Retirement Calculator'!A:A,0),0),0)</f>
        <v>0</v>
      </c>
      <c r="K1260" s="455">
        <f t="shared" ca="1" si="105"/>
        <v>-81943.364411919087</v>
      </c>
      <c r="L1260" s="455">
        <f t="shared" ca="1" si="106"/>
        <v>-19748350.8232725</v>
      </c>
      <c r="M1260" s="471">
        <f t="shared" si="109"/>
        <v>0.05</v>
      </c>
      <c r="N1260" s="475">
        <f t="shared" si="110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8"/>
        <v>-19748350.8232725</v>
      </c>
      <c r="J1261" s="455">
        <f t="array" ref="J1261">IFERROR(INDEX('Retirement Calculator'!J:J,MATCH('Isaac 401k'!N1261,'Retirement Calculator'!A:A,0),0),0)</f>
        <v>0</v>
      </c>
      <c r="K1261" s="455">
        <f t="shared" ca="1" si="105"/>
        <v>-82284.795096968752</v>
      </c>
      <c r="L1261" s="455">
        <f t="shared" ca="1" si="106"/>
        <v>-19830635.618369468</v>
      </c>
      <c r="M1261" s="471">
        <f t="shared" si="109"/>
        <v>0.05</v>
      </c>
      <c r="N1261" s="475">
        <f t="shared" si="110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8"/>
        <v>-19830635.618369468</v>
      </c>
      <c r="J1262" s="455">
        <f t="array" ref="J1262">IFERROR(INDEX('Retirement Calculator'!J:J,MATCH('Isaac 401k'!N1262,'Retirement Calculator'!A:A,0),0),0)</f>
        <v>0</v>
      </c>
      <c r="K1262" s="455">
        <f t="shared" ca="1" si="105"/>
        <v>-82627.648409872781</v>
      </c>
      <c r="L1262" s="455">
        <f t="shared" ca="1" si="106"/>
        <v>-19913263.266779341</v>
      </c>
      <c r="M1262" s="471">
        <f t="shared" si="109"/>
        <v>0.05</v>
      </c>
      <c r="N1262" s="475">
        <f t="shared" si="110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8"/>
        <v>-19913263.266779341</v>
      </c>
      <c r="J1263" s="455">
        <f t="array" ref="J1263">IFERROR(INDEX('Retirement Calculator'!J:J,MATCH('Isaac 401k'!N1263,'Retirement Calculator'!A:A,0),0),0)</f>
        <v>0</v>
      </c>
      <c r="K1263" s="455">
        <f t="shared" ca="1" si="105"/>
        <v>-82971.930278247251</v>
      </c>
      <c r="L1263" s="455">
        <f t="shared" ca="1" si="106"/>
        <v>-19996235.19705759</v>
      </c>
      <c r="M1263" s="471">
        <f t="shared" si="109"/>
        <v>0.05</v>
      </c>
      <c r="N1263" s="475">
        <f t="shared" si="110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8"/>
        <v>-19996235.19705759</v>
      </c>
      <c r="J1264" s="455">
        <f t="array" ref="J1264">IFERROR(INDEX('Retirement Calculator'!J:J,MATCH('Isaac 401k'!N1264,'Retirement Calculator'!A:A,0),0),0)</f>
        <v>0</v>
      </c>
      <c r="K1264" s="455">
        <f t="shared" ca="1" si="105"/>
        <v>-83317.646654406621</v>
      </c>
      <c r="L1264" s="455">
        <f t="shared" ca="1" si="106"/>
        <v>-20079552.843711998</v>
      </c>
      <c r="M1264" s="471">
        <f t="shared" si="109"/>
        <v>0.05</v>
      </c>
      <c r="N1264" s="475">
        <f t="shared" si="110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8"/>
        <v>-20079552.843711998</v>
      </c>
      <c r="J1265" s="455">
        <f t="array" ref="J1265">IFERROR(INDEX('Retirement Calculator'!J:J,MATCH('Isaac 401k'!N1265,'Retirement Calculator'!A:A,0),0),0)</f>
        <v>0</v>
      </c>
      <c r="K1265" s="455">
        <f t="shared" ca="1" si="105"/>
        <v>-83664.803515466658</v>
      </c>
      <c r="L1265" s="455">
        <f t="shared" ca="1" si="106"/>
        <v>-20163217.647227466</v>
      </c>
      <c r="M1265" s="471">
        <f t="shared" si="109"/>
        <v>0.05</v>
      </c>
      <c r="N1265" s="475">
        <f t="shared" si="110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8"/>
        <v>-20163217.647227466</v>
      </c>
      <c r="J1266" s="455">
        <f t="array" ref="J1266">IFERROR(INDEX('Retirement Calculator'!J:J,MATCH('Isaac 401k'!N1266,'Retirement Calculator'!A:A,0),0),0)</f>
        <v>0</v>
      </c>
      <c r="K1266" s="455">
        <f t="shared" ca="1" si="105"/>
        <v>-84013.406863447774</v>
      </c>
      <c r="L1266" s="455">
        <f t="shared" ca="1" si="106"/>
        <v>-20247231.054090913</v>
      </c>
      <c r="M1266" s="471">
        <f t="shared" si="109"/>
        <v>0.05</v>
      </c>
      <c r="N1266" s="475">
        <f t="shared" si="110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8"/>
        <v>-20247231.054090913</v>
      </c>
      <c r="J1267" s="455">
        <f t="array" ref="J1267">IFERROR(INDEX('Retirement Calculator'!J:J,MATCH('Isaac 401k'!N1267,'Retirement Calculator'!A:A,0),0),0)</f>
        <v>0</v>
      </c>
      <c r="K1267" s="455">
        <f t="shared" ca="1" si="105"/>
        <v>-84363.462725378806</v>
      </c>
      <c r="L1267" s="455">
        <f t="shared" ca="1" si="106"/>
        <v>-20331594.516816292</v>
      </c>
      <c r="M1267" s="471">
        <f t="shared" si="109"/>
        <v>0.05</v>
      </c>
      <c r="N1267" s="475">
        <f t="shared" si="110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8"/>
        <v>-20331594.516816292</v>
      </c>
      <c r="J1268" s="455">
        <f t="array" ref="J1268">IFERROR(INDEX('Retirement Calculator'!J:J,MATCH('Isaac 401k'!N1268,'Retirement Calculator'!A:A,0),0),0)</f>
        <v>0</v>
      </c>
      <c r="K1268" s="455">
        <f t="shared" ca="1" si="105"/>
        <v>-84714.977153401211</v>
      </c>
      <c r="L1268" s="455">
        <f t="shared" ca="1" si="106"/>
        <v>-20416309.493969694</v>
      </c>
      <c r="M1268" s="471">
        <f t="shared" si="109"/>
        <v>0.05</v>
      </c>
      <c r="N1268" s="475">
        <f t="shared" si="110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8"/>
        <v>-20416309.493969694</v>
      </c>
      <c r="J1269" s="455">
        <f t="array" ref="J1269">IFERROR(INDEX('Retirement Calculator'!J:J,MATCH('Isaac 401k'!N1269,'Retirement Calculator'!A:A,0),0),0)</f>
        <v>0</v>
      </c>
      <c r="K1269" s="455">
        <f t="shared" ca="1" si="105"/>
        <v>-85067.95622487372</v>
      </c>
      <c r="L1269" s="455">
        <f t="shared" ca="1" si="106"/>
        <v>-20501377.450194567</v>
      </c>
      <c r="M1269" s="471">
        <f t="shared" si="109"/>
        <v>0.05</v>
      </c>
      <c r="N1269" s="475">
        <f t="shared" si="110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8"/>
        <v>-20501377.450194567</v>
      </c>
      <c r="J1270" s="455">
        <f t="array" ref="J1270">IFERROR(INDEX('Retirement Calculator'!J:J,MATCH('Isaac 401k'!N1270,'Retirement Calculator'!A:A,0),0),0)</f>
        <v>0</v>
      </c>
      <c r="K1270" s="455">
        <f t="shared" ca="1" si="105"/>
        <v>-85422.406042477363</v>
      </c>
      <c r="L1270" s="455">
        <f t="shared" ca="1" si="106"/>
        <v>-20586799.856237046</v>
      </c>
      <c r="M1270" s="471">
        <f t="shared" si="109"/>
        <v>0.05</v>
      </c>
      <c r="N1270" s="475">
        <f t="shared" si="110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8"/>
        <v>-20586799.856237046</v>
      </c>
      <c r="J1271" s="455">
        <f t="array" ref="J1271">IFERROR(INDEX('Retirement Calculator'!J:J,MATCH('Isaac 401k'!N1271,'Retirement Calculator'!A:A,0),0),0)</f>
        <v>0</v>
      </c>
      <c r="K1271" s="455">
        <f t="shared" ca="1" si="105"/>
        <v>-85778.332734321026</v>
      </c>
      <c r="L1271" s="455">
        <f t="shared" ca="1" si="106"/>
        <v>-20672578.188971367</v>
      </c>
      <c r="M1271" s="471">
        <f t="shared" si="109"/>
        <v>0.05</v>
      </c>
      <c r="N1271" s="475">
        <f t="shared" si="110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8"/>
        <v>-20672578.188971367</v>
      </c>
      <c r="J1272" s="455">
        <f t="array" ref="J1272">IFERROR(INDEX('Retirement Calculator'!J:J,MATCH('Isaac 401k'!N1272,'Retirement Calculator'!A:A,0),0),0)</f>
        <v>0</v>
      </c>
      <c r="K1272" s="455">
        <f t="shared" ca="1" si="105"/>
        <v>-86135.742454047358</v>
      </c>
      <c r="L1272" s="455">
        <f t="shared" ca="1" si="106"/>
        <v>-20758713.931425415</v>
      </c>
      <c r="M1272" s="471">
        <f t="shared" si="109"/>
        <v>0.05</v>
      </c>
      <c r="N1272" s="475">
        <f t="shared" si="110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8"/>
        <v>-20758713.931425415</v>
      </c>
      <c r="J1273" s="455">
        <f t="array" ref="J1273">IFERROR(INDEX('Retirement Calculator'!J:J,MATCH('Isaac 401k'!N1273,'Retirement Calculator'!A:A,0),0),0)</f>
        <v>0</v>
      </c>
      <c r="K1273" s="455">
        <f t="shared" ca="1" si="105"/>
        <v>-86494.641380939225</v>
      </c>
      <c r="L1273" s="455">
        <f t="shared" ca="1" si="106"/>
        <v>-20845208.572806355</v>
      </c>
      <c r="M1273" s="471">
        <f t="shared" si="109"/>
        <v>0.05</v>
      </c>
      <c r="N1273" s="475">
        <f t="shared" si="110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8"/>
        <v>-20845208.572806355</v>
      </c>
      <c r="J1274" s="455">
        <f t="array" ref="J1274">IFERROR(INDEX('Retirement Calculator'!J:J,MATCH('Isaac 401k'!N1274,'Retirement Calculator'!A:A,0),0),0)</f>
        <v>0</v>
      </c>
      <c r="K1274" s="455">
        <f t="shared" ca="1" si="105"/>
        <v>-86855.03572002647</v>
      </c>
      <c r="L1274" s="455">
        <f t="shared" ca="1" si="106"/>
        <v>-20932063.608526383</v>
      </c>
      <c r="M1274" s="471">
        <f t="shared" si="109"/>
        <v>0.05</v>
      </c>
      <c r="N1274" s="475">
        <f t="shared" si="110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8"/>
        <v>-20932063.608526383</v>
      </c>
      <c r="J1275" s="455">
        <f t="array" ref="J1275">IFERROR(INDEX('Retirement Calculator'!J:J,MATCH('Isaac 401k'!N1275,'Retirement Calculator'!A:A,0),0),0)</f>
        <v>0</v>
      </c>
      <c r="K1275" s="455">
        <f t="shared" ca="1" si="105"/>
        <v>-87216.931702193266</v>
      </c>
      <c r="L1275" s="455">
        <f t="shared" ca="1" si="106"/>
        <v>-21019280.540228575</v>
      </c>
      <c r="M1275" s="471">
        <f t="shared" si="109"/>
        <v>0.05</v>
      </c>
      <c r="N1275" s="475">
        <f t="shared" si="110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8"/>
        <v>-21019280.540228575</v>
      </c>
      <c r="J1276" s="455">
        <f t="array" ref="J1276">IFERROR(INDEX('Retirement Calculator'!J:J,MATCH('Isaac 401k'!N1276,'Retirement Calculator'!A:A,0),0),0)</f>
        <v>0</v>
      </c>
      <c r="K1276" s="455">
        <f t="shared" ca="1" si="105"/>
        <v>-87580.335584285727</v>
      </c>
      <c r="L1276" s="455">
        <f t="shared" ca="1" si="106"/>
        <v>-21106860.875812862</v>
      </c>
      <c r="M1276" s="471">
        <f t="shared" si="109"/>
        <v>0.05</v>
      </c>
      <c r="N1276" s="475">
        <f t="shared" si="110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8"/>
        <v>-21106860.875812862</v>
      </c>
      <c r="J1277" s="455">
        <f t="array" ref="J1277">IFERROR(INDEX('Retirement Calculator'!J:J,MATCH('Isaac 401k'!N1277,'Retirement Calculator'!A:A,0),0),0)</f>
        <v>0</v>
      </c>
      <c r="K1277" s="455">
        <f t="shared" ca="1" si="105"/>
        <v>-87945.253649220263</v>
      </c>
      <c r="L1277" s="455">
        <f t="shared" ca="1" si="106"/>
        <v>-21194806.129462082</v>
      </c>
      <c r="M1277" s="471">
        <f t="shared" si="109"/>
        <v>0.05</v>
      </c>
      <c r="N1277" s="475">
        <f t="shared" si="110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8"/>
        <v>-21194806.129462082</v>
      </c>
      <c r="J1278" s="455">
        <f t="array" ref="J1278">IFERROR(INDEX('Retirement Calculator'!J:J,MATCH('Isaac 401k'!N1278,'Retirement Calculator'!A:A,0),0),0)</f>
        <v>0</v>
      </c>
      <c r="K1278" s="455">
        <f t="shared" ca="1" si="105"/>
        <v>-88311.692206092004</v>
      </c>
      <c r="L1278" s="455">
        <f t="shared" ca="1" si="106"/>
        <v>-21283117.821668174</v>
      </c>
      <c r="M1278" s="471">
        <f t="shared" si="109"/>
        <v>0.05</v>
      </c>
      <c r="N1278" s="475">
        <f t="shared" si="110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8"/>
        <v>-21283117.821668174</v>
      </c>
      <c r="J1279" s="455">
        <f t="array" ref="J1279">IFERROR(INDEX('Retirement Calculator'!J:J,MATCH('Isaac 401k'!N1279,'Retirement Calculator'!A:A,0),0),0)</f>
        <v>0</v>
      </c>
      <c r="K1279" s="455">
        <f t="shared" ca="1" si="105"/>
        <v>-88679.657590284056</v>
      </c>
      <c r="L1279" s="455">
        <f t="shared" ca="1" si="106"/>
        <v>-21371797.479258459</v>
      </c>
      <c r="M1279" s="471">
        <f t="shared" si="109"/>
        <v>0.05</v>
      </c>
      <c r="N1279" s="475">
        <f t="shared" si="110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8"/>
        <v>-21371797.479258459</v>
      </c>
      <c r="J1280" s="455">
        <f t="array" ref="J1280">IFERROR(INDEX('Retirement Calculator'!J:J,MATCH('Isaac 401k'!N1280,'Retirement Calculator'!A:A,0),0),0)</f>
        <v>0</v>
      </c>
      <c r="K1280" s="455">
        <f t="shared" ca="1" si="105"/>
        <v>-89049.156163576918</v>
      </c>
      <c r="L1280" s="455">
        <f t="shared" ca="1" si="106"/>
        <v>-21460846.635422036</v>
      </c>
      <c r="M1280" s="471">
        <f t="shared" si="109"/>
        <v>0.05</v>
      </c>
      <c r="N1280" s="475">
        <f t="shared" si="110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8"/>
        <v>-21460846.635422036</v>
      </c>
      <c r="J1281" s="455">
        <f t="array" ref="J1281">IFERROR(INDEX('Retirement Calculator'!J:J,MATCH('Isaac 401k'!N1281,'Retirement Calculator'!A:A,0),0),0)</f>
        <v>0</v>
      </c>
      <c r="K1281" s="455">
        <f t="shared" ca="1" si="105"/>
        <v>-89420.194314258479</v>
      </c>
      <c r="L1281" s="455">
        <f t="shared" ca="1" si="106"/>
        <v>-21550266.829736296</v>
      </c>
      <c r="M1281" s="471">
        <f t="shared" si="109"/>
        <v>0.05</v>
      </c>
      <c r="N1281" s="475">
        <f t="shared" si="110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8"/>
        <v>-21550266.829736296</v>
      </c>
      <c r="J1282" s="455">
        <f t="array" ref="J1282">IFERROR(INDEX('Retirement Calculator'!J:J,MATCH('Isaac 401k'!N1282,'Retirement Calculator'!A:A,0),0),0)</f>
        <v>0</v>
      </c>
      <c r="K1282" s="455">
        <f t="shared" ca="1" si="105"/>
        <v>-89792.77845723457</v>
      </c>
      <c r="L1282" s="455">
        <f t="shared" ca="1" si="106"/>
        <v>-21640059.608193532</v>
      </c>
      <c r="M1282" s="471">
        <f t="shared" si="109"/>
        <v>0.05</v>
      </c>
      <c r="N1282" s="475">
        <f t="shared" si="110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8"/>
        <v>-21640059.608193532</v>
      </c>
      <c r="J1283" s="455">
        <f t="array" ref="J1283">IFERROR(INDEX('Retirement Calculator'!J:J,MATCH('Isaac 401k'!N1283,'Retirement Calculator'!A:A,0),0),0)</f>
        <v>0</v>
      </c>
      <c r="K1283" s="455">
        <f t="shared" ref="K1283:K1537" ca="1" si="126">IPMT(M1283/12,1,12,-I1283+J1283,,0)</f>
        <v>-90166.915034139718</v>
      </c>
      <c r="L1283" s="455">
        <f t="shared" ref="L1283:L1537" ca="1" si="127">I1283-J1283+K1283</f>
        <v>-21730226.523227673</v>
      </c>
      <c r="M1283" s="471">
        <f t="shared" si="109"/>
        <v>0.05</v>
      </c>
      <c r="N1283" s="475">
        <f t="shared" si="110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28">L1283</f>
        <v>-21730226.523227673</v>
      </c>
      <c r="J1284" s="455">
        <f t="array" ref="J1284">IFERROR(INDEX('Retirement Calculator'!J:J,MATCH('Isaac 401k'!N1284,'Retirement Calculator'!A:A,0),0),0)</f>
        <v>0</v>
      </c>
      <c r="K1284" s="455">
        <f t="shared" ca="1" si="126"/>
        <v>-90542.610513448642</v>
      </c>
      <c r="L1284" s="455">
        <f t="shared" ca="1" si="127"/>
        <v>-21820769.133741122</v>
      </c>
      <c r="M1284" s="471">
        <f t="shared" ref="M1284:M1538" si="129">M1283</f>
        <v>0.05</v>
      </c>
      <c r="N1284" s="475">
        <f t="shared" ref="N1284:N1538" si="130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28"/>
        <v>-21820769.133741122</v>
      </c>
      <c r="J1285" s="455">
        <f t="array" ref="J1285">IFERROR(INDEX('Retirement Calculator'!J:J,MATCH('Isaac 401k'!N1285,'Retirement Calculator'!A:A,0),0),0)</f>
        <v>0</v>
      </c>
      <c r="K1285" s="455">
        <f t="shared" ca="1" si="126"/>
        <v>-90919.871390587999</v>
      </c>
      <c r="L1285" s="455">
        <f t="shared" ca="1" si="127"/>
        <v>-21911689.00513171</v>
      </c>
      <c r="M1285" s="471">
        <f t="shared" si="129"/>
        <v>0.05</v>
      </c>
      <c r="N1285" s="475">
        <f t="shared" si="130"/>
        <v>90156</v>
      </c>
    </row>
    <row r="1286" spans="7:14" ht="11.25" customHeight="1" x14ac:dyDescent="0.3">
      <c r="G1286" s="470"/>
      <c r="H1286" s="470">
        <v>1279</v>
      </c>
      <c r="I1286" s="455">
        <f t="shared" ca="1" si="128"/>
        <v>-21911689.00513171</v>
      </c>
      <c r="J1286" s="455">
        <f t="array" ref="J1286">IFERROR(INDEX('Retirement Calculator'!J:J,MATCH('Isaac 401k'!N1286,'Retirement Calculator'!A:A,0),0),0)</f>
        <v>0</v>
      </c>
      <c r="K1286" s="455">
        <f t="shared" ca="1" si="126"/>
        <v>-91298.704188048796</v>
      </c>
      <c r="L1286" s="455">
        <f t="shared" ca="1" si="127"/>
        <v>-22002987.709319759</v>
      </c>
      <c r="M1286" s="471">
        <f t="shared" si="129"/>
        <v>0.05</v>
      </c>
      <c r="N1286" s="475">
        <f t="shared" si="130"/>
        <v>90186</v>
      </c>
    </row>
    <row r="1287" spans="7:14" ht="11.25" customHeight="1" x14ac:dyDescent="0.3">
      <c r="G1287" s="470"/>
      <c r="H1287" s="470">
        <v>1280</v>
      </c>
      <c r="I1287" s="455">
        <f t="shared" ca="1" si="128"/>
        <v>-22002987.709319759</v>
      </c>
      <c r="J1287" s="455">
        <f t="array" ref="J1287">IFERROR(INDEX('Retirement Calculator'!J:J,MATCH('Isaac 401k'!N1287,'Retirement Calculator'!A:A,0),0),0)</f>
        <v>0</v>
      </c>
      <c r="K1287" s="455">
        <f t="shared" ca="1" si="126"/>
        <v>-91679.115455498992</v>
      </c>
      <c r="L1287" s="455">
        <f t="shared" ca="1" si="127"/>
        <v>-22094666.82477526</v>
      </c>
      <c r="M1287" s="471">
        <f t="shared" si="129"/>
        <v>0.05</v>
      </c>
      <c r="N1287" s="475">
        <f t="shared" si="130"/>
        <v>90217</v>
      </c>
    </row>
    <row r="1288" spans="7:14" ht="11.25" customHeight="1" x14ac:dyDescent="0.3">
      <c r="G1288" s="470"/>
      <c r="H1288" s="470">
        <v>1281</v>
      </c>
      <c r="I1288" s="455">
        <f t="shared" ca="1" si="128"/>
        <v>-22094666.82477526</v>
      </c>
      <c r="J1288" s="455">
        <f t="array" ref="J1288">IFERROR(INDEX('Retirement Calculator'!J:J,MATCH('Isaac 401k'!N1288,'Retirement Calculator'!A:A,0),0),0)</f>
        <v>0</v>
      </c>
      <c r="K1288" s="455">
        <f t="shared" ca="1" si="126"/>
        <v>-92061.111769896917</v>
      </c>
      <c r="L1288" s="455">
        <f t="shared" ca="1" si="127"/>
        <v>-22186727.936545156</v>
      </c>
      <c r="M1288" s="471">
        <f t="shared" si="129"/>
        <v>0.05</v>
      </c>
      <c r="N1288" s="475">
        <f t="shared" si="130"/>
        <v>90248</v>
      </c>
    </row>
    <row r="1289" spans="7:14" ht="11.25" customHeight="1" x14ac:dyDescent="0.3">
      <c r="G1289" s="470"/>
      <c r="H1289" s="470">
        <v>1282</v>
      </c>
      <c r="I1289" s="455">
        <f t="shared" ca="1" si="128"/>
        <v>-22186727.936545156</v>
      </c>
      <c r="J1289" s="455">
        <f t="array" ref="J1289">IFERROR(INDEX('Retirement Calculator'!J:J,MATCH('Isaac 401k'!N1289,'Retirement Calculator'!A:A,0),0),0)</f>
        <v>0</v>
      </c>
      <c r="K1289" s="455">
        <f t="shared" ca="1" si="126"/>
        <v>-92444.699735604809</v>
      </c>
      <c r="L1289" s="455">
        <f t="shared" ca="1" si="127"/>
        <v>-22279172.63628076</v>
      </c>
      <c r="M1289" s="471">
        <f t="shared" si="129"/>
        <v>0.05</v>
      </c>
      <c r="N1289" s="475">
        <f t="shared" si="130"/>
        <v>90276</v>
      </c>
    </row>
    <row r="1290" spans="7:14" ht="11.25" customHeight="1" x14ac:dyDescent="0.3">
      <c r="G1290" s="470"/>
      <c r="H1290" s="470">
        <v>1283</v>
      </c>
      <c r="I1290" s="455">
        <f t="shared" ca="1" si="128"/>
        <v>-22279172.63628076</v>
      </c>
      <c r="J1290" s="455">
        <f t="array" ref="J1290">IFERROR(INDEX('Retirement Calculator'!J:J,MATCH('Isaac 401k'!N1290,'Retirement Calculator'!A:A,0),0),0)</f>
        <v>0</v>
      </c>
      <c r="K1290" s="455">
        <f t="shared" ca="1" si="126"/>
        <v>-92829.885984503169</v>
      </c>
      <c r="L1290" s="455">
        <f t="shared" ca="1" si="127"/>
        <v>-22372002.522265263</v>
      </c>
      <c r="M1290" s="471">
        <f t="shared" si="129"/>
        <v>0.05</v>
      </c>
      <c r="N1290" s="475">
        <f t="shared" si="130"/>
        <v>90307</v>
      </c>
    </row>
    <row r="1291" spans="7:14" ht="11.25" customHeight="1" x14ac:dyDescent="0.3">
      <c r="G1291" s="470"/>
      <c r="H1291" s="470">
        <v>1284</v>
      </c>
      <c r="I1291" s="455">
        <f t="shared" ca="1" si="128"/>
        <v>-22372002.522265263</v>
      </c>
      <c r="J1291" s="455">
        <f t="array" ref="J1291">IFERROR(INDEX('Retirement Calculator'!J:J,MATCH('Isaac 401k'!N1291,'Retirement Calculator'!A:A,0),0),0)</f>
        <v>0</v>
      </c>
      <c r="K1291" s="455">
        <f t="shared" ca="1" si="126"/>
        <v>-93216.677176105266</v>
      </c>
      <c r="L1291" s="455">
        <f t="shared" ca="1" si="127"/>
        <v>-22465219.19944137</v>
      </c>
      <c r="M1291" s="471">
        <f t="shared" si="129"/>
        <v>0.05</v>
      </c>
      <c r="N1291" s="475">
        <f t="shared" si="130"/>
        <v>90337</v>
      </c>
    </row>
    <row r="1292" spans="7:14" ht="11.25" customHeight="1" x14ac:dyDescent="0.3">
      <c r="G1292" s="470"/>
      <c r="H1292" s="470">
        <v>1285</v>
      </c>
      <c r="I1292" s="455">
        <f t="shared" ca="1" si="128"/>
        <v>-22465219.19944137</v>
      </c>
      <c r="J1292" s="455">
        <f t="array" ref="J1292">IFERROR(INDEX('Retirement Calculator'!J:J,MATCH('Isaac 401k'!N1292,'Retirement Calculator'!A:A,0),0),0)</f>
        <v>0</v>
      </c>
      <c r="K1292" s="455">
        <f t="shared" ca="1" si="126"/>
        <v>-93605.079997672379</v>
      </c>
      <c r="L1292" s="455">
        <f t="shared" ca="1" si="127"/>
        <v>-22558824.279439043</v>
      </c>
      <c r="M1292" s="471">
        <f t="shared" si="129"/>
        <v>0.05</v>
      </c>
      <c r="N1292" s="475">
        <f t="shared" si="130"/>
        <v>90368</v>
      </c>
    </row>
    <row r="1293" spans="7:14" ht="11.25" customHeight="1" x14ac:dyDescent="0.3">
      <c r="G1293" s="470"/>
      <c r="H1293" s="470">
        <v>1286</v>
      </c>
      <c r="I1293" s="455">
        <f t="shared" ca="1" si="128"/>
        <v>-22558824.279439043</v>
      </c>
      <c r="J1293" s="455">
        <f t="array" ref="J1293">IFERROR(INDEX('Retirement Calculator'!J:J,MATCH('Isaac 401k'!N1293,'Retirement Calculator'!A:A,0),0),0)</f>
        <v>0</v>
      </c>
      <c r="K1293" s="455">
        <f t="shared" ca="1" si="126"/>
        <v>-93995.101164329346</v>
      </c>
      <c r="L1293" s="455">
        <f t="shared" ca="1" si="127"/>
        <v>-22652819.380603373</v>
      </c>
      <c r="M1293" s="471">
        <f t="shared" si="129"/>
        <v>0.05</v>
      </c>
      <c r="N1293" s="475">
        <f t="shared" si="130"/>
        <v>90398</v>
      </c>
    </row>
    <row r="1294" spans="7:14" ht="11.25" customHeight="1" x14ac:dyDescent="0.3">
      <c r="G1294" s="470"/>
      <c r="H1294" s="470">
        <v>1287</v>
      </c>
      <c r="I1294" s="455">
        <f t="shared" ca="1" si="128"/>
        <v>-22652819.380603373</v>
      </c>
      <c r="J1294" s="455">
        <f t="array" ref="J1294">IFERROR(INDEX('Retirement Calculator'!J:J,MATCH('Isaac 401k'!N1294,'Retirement Calculator'!A:A,0),0),0)</f>
        <v>0</v>
      </c>
      <c r="K1294" s="455">
        <f t="shared" ca="1" si="126"/>
        <v>-94386.747419180727</v>
      </c>
      <c r="L1294" s="455">
        <f t="shared" ca="1" si="127"/>
        <v>-22747206.128022555</v>
      </c>
      <c r="M1294" s="471">
        <f t="shared" si="129"/>
        <v>0.05</v>
      </c>
      <c r="N1294" s="475">
        <f t="shared" si="130"/>
        <v>90429</v>
      </c>
    </row>
    <row r="1295" spans="7:14" ht="11.25" customHeight="1" x14ac:dyDescent="0.3">
      <c r="G1295" s="470"/>
      <c r="H1295" s="470">
        <v>1288</v>
      </c>
      <c r="I1295" s="455">
        <f t="shared" ca="1" si="128"/>
        <v>-22747206.128022555</v>
      </c>
      <c r="J1295" s="455">
        <f t="array" ref="J1295">IFERROR(INDEX('Retirement Calculator'!J:J,MATCH('Isaac 401k'!N1295,'Retirement Calculator'!A:A,0),0),0)</f>
        <v>0</v>
      </c>
      <c r="K1295" s="455">
        <f t="shared" ca="1" si="126"/>
        <v>-94780.02553342731</v>
      </c>
      <c r="L1295" s="455">
        <f t="shared" ca="1" si="127"/>
        <v>-22841986.153555982</v>
      </c>
      <c r="M1295" s="471">
        <f t="shared" si="129"/>
        <v>0.05</v>
      </c>
      <c r="N1295" s="475">
        <f t="shared" si="130"/>
        <v>90460</v>
      </c>
    </row>
    <row r="1296" spans="7:14" ht="11.25" customHeight="1" x14ac:dyDescent="0.3">
      <c r="G1296" s="470"/>
      <c r="H1296" s="470">
        <v>1289</v>
      </c>
      <c r="I1296" s="455">
        <f t="shared" ca="1" si="128"/>
        <v>-22841986.153555982</v>
      </c>
      <c r="J1296" s="455">
        <f t="array" ref="J1296">IFERROR(INDEX('Retirement Calculator'!J:J,MATCH('Isaac 401k'!N1296,'Retirement Calculator'!A:A,0),0),0)</f>
        <v>0</v>
      </c>
      <c r="K1296" s="455">
        <f t="shared" ca="1" si="126"/>
        <v>-95174.942306483252</v>
      </c>
      <c r="L1296" s="455">
        <f t="shared" ca="1" si="127"/>
        <v>-22937161.095862467</v>
      </c>
      <c r="M1296" s="471">
        <f t="shared" si="129"/>
        <v>0.05</v>
      </c>
      <c r="N1296" s="475">
        <f t="shared" si="130"/>
        <v>90490</v>
      </c>
    </row>
    <row r="1297" spans="7:14" ht="11.25" customHeight="1" x14ac:dyDescent="0.3">
      <c r="G1297" s="470"/>
      <c r="H1297" s="470">
        <v>1290</v>
      </c>
      <c r="I1297" s="455">
        <f t="shared" ca="1" si="128"/>
        <v>-22937161.095862467</v>
      </c>
      <c r="J1297" s="455">
        <f t="array" ref="J1297">IFERROR(INDEX('Retirement Calculator'!J:J,MATCH('Isaac 401k'!N1297,'Retirement Calculator'!A:A,0),0),0)</f>
        <v>0</v>
      </c>
      <c r="K1297" s="455">
        <f t="shared" ca="1" si="126"/>
        <v>-95571.504566093616</v>
      </c>
      <c r="L1297" s="455">
        <f t="shared" ca="1" si="127"/>
        <v>-23032732.600428559</v>
      </c>
      <c r="M1297" s="471">
        <f t="shared" si="129"/>
        <v>0.05</v>
      </c>
      <c r="N1297" s="475">
        <f t="shared" si="130"/>
        <v>90521</v>
      </c>
    </row>
    <row r="1298" spans="7:14" ht="11.25" customHeight="1" x14ac:dyDescent="0.3">
      <c r="G1298" s="470"/>
      <c r="H1298" s="470">
        <v>1291</v>
      </c>
      <c r="I1298" s="455">
        <f t="shared" ca="1" si="128"/>
        <v>-23032732.600428559</v>
      </c>
      <c r="J1298" s="455">
        <f t="array" ref="J1298">IFERROR(INDEX('Retirement Calculator'!J:J,MATCH('Isaac 401k'!N1298,'Retirement Calculator'!A:A,0),0),0)</f>
        <v>0</v>
      </c>
      <c r="K1298" s="455">
        <f t="shared" ca="1" si="126"/>
        <v>-95969.719168452328</v>
      </c>
      <c r="L1298" s="455">
        <f t="shared" ca="1" si="127"/>
        <v>-23128702.31959701</v>
      </c>
      <c r="M1298" s="471">
        <f t="shared" si="129"/>
        <v>0.05</v>
      </c>
      <c r="N1298" s="475">
        <f t="shared" si="130"/>
        <v>90551</v>
      </c>
    </row>
    <row r="1299" spans="7:14" ht="11.25" customHeight="1" x14ac:dyDescent="0.3">
      <c r="G1299" s="470"/>
      <c r="H1299" s="470">
        <v>1292</v>
      </c>
      <c r="I1299" s="455">
        <f t="shared" ca="1" si="128"/>
        <v>-23128702.31959701</v>
      </c>
      <c r="J1299" s="455">
        <f t="array" ref="J1299">IFERROR(INDEX('Retirement Calculator'!J:J,MATCH('Isaac 401k'!N1299,'Retirement Calculator'!A:A,0),0),0)</f>
        <v>0</v>
      </c>
      <c r="K1299" s="455">
        <f t="shared" ca="1" si="126"/>
        <v>-96369.592998320877</v>
      </c>
      <c r="L1299" s="455">
        <f t="shared" ca="1" si="127"/>
        <v>-23225071.912595332</v>
      </c>
      <c r="M1299" s="471">
        <f t="shared" si="129"/>
        <v>0.05</v>
      </c>
      <c r="N1299" s="475">
        <f t="shared" si="130"/>
        <v>90582</v>
      </c>
    </row>
    <row r="1300" spans="7:14" ht="11.25" customHeight="1" x14ac:dyDescent="0.3">
      <c r="G1300" s="470"/>
      <c r="H1300" s="470">
        <v>1293</v>
      </c>
      <c r="I1300" s="455">
        <f t="shared" ca="1" si="128"/>
        <v>-23225071.912595332</v>
      </c>
      <c r="J1300" s="455">
        <f t="array" ref="J1300">IFERROR(INDEX('Retirement Calculator'!J:J,MATCH('Isaac 401k'!N1300,'Retirement Calculator'!A:A,0),0),0)</f>
        <v>0</v>
      </c>
      <c r="K1300" s="455">
        <f t="shared" ca="1" si="126"/>
        <v>-96771.13296914722</v>
      </c>
      <c r="L1300" s="455">
        <f t="shared" ca="1" si="127"/>
        <v>-23321843.04556448</v>
      </c>
      <c r="M1300" s="471">
        <f t="shared" si="129"/>
        <v>0.05</v>
      </c>
      <c r="N1300" s="475">
        <f t="shared" si="130"/>
        <v>90613</v>
      </c>
    </row>
    <row r="1301" spans="7:14" ht="11.25" customHeight="1" x14ac:dyDescent="0.3">
      <c r="G1301" s="470"/>
      <c r="H1301" s="470">
        <v>1294</v>
      </c>
      <c r="I1301" s="455">
        <f t="shared" ca="1" si="128"/>
        <v>-23321843.04556448</v>
      </c>
      <c r="J1301" s="455">
        <f t="array" ref="J1301">IFERROR(INDEX('Retirement Calculator'!J:J,MATCH('Isaac 401k'!N1301,'Retirement Calculator'!A:A,0),0),0)</f>
        <v>0</v>
      </c>
      <c r="K1301" s="455">
        <f t="shared" ca="1" si="126"/>
        <v>-97174.346023185339</v>
      </c>
      <c r="L1301" s="455">
        <f t="shared" ca="1" si="127"/>
        <v>-23419017.391587667</v>
      </c>
      <c r="M1301" s="471">
        <f t="shared" si="129"/>
        <v>0.05</v>
      </c>
      <c r="N1301" s="475">
        <f t="shared" si="130"/>
        <v>90642</v>
      </c>
    </row>
    <row r="1302" spans="7:14" ht="11.25" customHeight="1" x14ac:dyDescent="0.3">
      <c r="G1302" s="470"/>
      <c r="H1302" s="470">
        <v>1295</v>
      </c>
      <c r="I1302" s="455">
        <f t="shared" ca="1" si="128"/>
        <v>-23419017.391587667</v>
      </c>
      <c r="J1302" s="455">
        <f t="array" ref="J1302">IFERROR(INDEX('Retirement Calculator'!J:J,MATCH('Isaac 401k'!N1302,'Retirement Calculator'!A:A,0),0),0)</f>
        <v>0</v>
      </c>
      <c r="K1302" s="455">
        <f t="shared" ca="1" si="126"/>
        <v>-97579.239131615279</v>
      </c>
      <c r="L1302" s="455">
        <f t="shared" ca="1" si="127"/>
        <v>-23516596.630719282</v>
      </c>
      <c r="M1302" s="471">
        <f t="shared" si="129"/>
        <v>0.05</v>
      </c>
      <c r="N1302" s="475">
        <f t="shared" si="130"/>
        <v>90673</v>
      </c>
    </row>
    <row r="1303" spans="7:14" ht="11.25" customHeight="1" x14ac:dyDescent="0.3">
      <c r="G1303" s="470"/>
      <c r="H1303" s="470">
        <v>1296</v>
      </c>
      <c r="I1303" s="455">
        <f t="shared" ca="1" si="128"/>
        <v>-23516596.630719282</v>
      </c>
      <c r="J1303" s="455">
        <f t="array" ref="J1303">IFERROR(INDEX('Retirement Calculator'!J:J,MATCH('Isaac 401k'!N1303,'Retirement Calculator'!A:A,0),0),0)</f>
        <v>0</v>
      </c>
      <c r="K1303" s="455">
        <f t="shared" ca="1" si="126"/>
        <v>-97985.81929466367</v>
      </c>
      <c r="L1303" s="455">
        <f t="shared" ca="1" si="127"/>
        <v>-23614582.450013947</v>
      </c>
      <c r="M1303" s="471">
        <f t="shared" si="129"/>
        <v>0.05</v>
      </c>
      <c r="N1303" s="475">
        <f t="shared" si="130"/>
        <v>90703</v>
      </c>
    </row>
    <row r="1304" spans="7:14" ht="11.25" customHeight="1" x14ac:dyDescent="0.3">
      <c r="G1304" s="470"/>
      <c r="H1304" s="470">
        <v>1297</v>
      </c>
      <c r="I1304" s="455">
        <f t="shared" ca="1" si="128"/>
        <v>-23614582.450013947</v>
      </c>
      <c r="J1304" s="455">
        <f t="array" ref="J1304">IFERROR(INDEX('Retirement Calculator'!J:J,MATCH('Isaac 401k'!N1304,'Retirement Calculator'!A:A,0),0),0)</f>
        <v>0</v>
      </c>
      <c r="K1304" s="455">
        <f t="shared" ca="1" si="126"/>
        <v>-98394.093541724782</v>
      </c>
      <c r="L1304" s="455">
        <f t="shared" ca="1" si="127"/>
        <v>-23712976.543555673</v>
      </c>
      <c r="M1304" s="471">
        <f t="shared" si="129"/>
        <v>0.05</v>
      </c>
      <c r="N1304" s="475">
        <f t="shared" si="130"/>
        <v>90734</v>
      </c>
    </row>
    <row r="1305" spans="7:14" ht="11.25" customHeight="1" x14ac:dyDescent="0.3">
      <c r="G1305" s="470"/>
      <c r="H1305" s="470">
        <v>1298</v>
      </c>
      <c r="I1305" s="455">
        <f t="shared" ca="1" si="128"/>
        <v>-23712976.543555673</v>
      </c>
      <c r="J1305" s="455">
        <f t="array" ref="J1305">IFERROR(INDEX('Retirement Calculator'!J:J,MATCH('Isaac 401k'!N1305,'Retirement Calculator'!A:A,0),0),0)</f>
        <v>0</v>
      </c>
      <c r="K1305" s="455">
        <f t="shared" ca="1" si="126"/>
        <v>-98804.068931481976</v>
      </c>
      <c r="L1305" s="455">
        <f t="shared" ca="1" si="127"/>
        <v>-23811780.612487156</v>
      </c>
      <c r="M1305" s="471">
        <f t="shared" si="129"/>
        <v>0.05</v>
      </c>
      <c r="N1305" s="475">
        <f t="shared" si="130"/>
        <v>90764</v>
      </c>
    </row>
    <row r="1306" spans="7:14" ht="11.25" customHeight="1" x14ac:dyDescent="0.3">
      <c r="G1306" s="470"/>
      <c r="H1306" s="470">
        <v>1299</v>
      </c>
      <c r="I1306" s="455">
        <f t="shared" ca="1" si="128"/>
        <v>-23811780.612487156</v>
      </c>
      <c r="J1306" s="455">
        <f t="array" ref="J1306">IFERROR(INDEX('Retirement Calculator'!J:J,MATCH('Isaac 401k'!N1306,'Retirement Calculator'!A:A,0),0),0)</f>
        <v>0</v>
      </c>
      <c r="K1306" s="455">
        <f t="shared" ca="1" si="126"/>
        <v>-99215.752552029822</v>
      </c>
      <c r="L1306" s="455">
        <f t="shared" ca="1" si="127"/>
        <v>-23910996.365039185</v>
      </c>
      <c r="M1306" s="471">
        <f t="shared" si="129"/>
        <v>0.05</v>
      </c>
      <c r="N1306" s="475">
        <f t="shared" si="130"/>
        <v>90795</v>
      </c>
    </row>
    <row r="1307" spans="7:14" ht="11.25" customHeight="1" x14ac:dyDescent="0.3">
      <c r="G1307" s="470"/>
      <c r="H1307" s="470">
        <v>1300</v>
      </c>
      <c r="I1307" s="455">
        <f t="shared" ca="1" si="128"/>
        <v>-23910996.365039185</v>
      </c>
      <c r="J1307" s="455">
        <f t="array" ref="J1307">IFERROR(INDEX('Retirement Calculator'!J:J,MATCH('Isaac 401k'!N1307,'Retirement Calculator'!A:A,0),0),0)</f>
        <v>0</v>
      </c>
      <c r="K1307" s="455">
        <f t="shared" ca="1" si="126"/>
        <v>-99629.151520996602</v>
      </c>
      <c r="L1307" s="455">
        <f t="shared" ca="1" si="127"/>
        <v>-24010625.516560182</v>
      </c>
      <c r="M1307" s="471">
        <f t="shared" si="129"/>
        <v>0.05</v>
      </c>
      <c r="N1307" s="475">
        <f t="shared" si="130"/>
        <v>90826</v>
      </c>
    </row>
    <row r="1308" spans="7:14" ht="11.25" customHeight="1" x14ac:dyDescent="0.3">
      <c r="G1308" s="470"/>
      <c r="H1308" s="470">
        <v>1301</v>
      </c>
      <c r="I1308" s="455">
        <f t="shared" ca="1" si="128"/>
        <v>-24010625.516560182</v>
      </c>
      <c r="J1308" s="455">
        <f t="array" ref="J1308">IFERROR(INDEX('Retirement Calculator'!J:J,MATCH('Isaac 401k'!N1308,'Retirement Calculator'!A:A,0),0),0)</f>
        <v>0</v>
      </c>
      <c r="K1308" s="455">
        <f t="shared" ca="1" si="126"/>
        <v>-100044.27298566743</v>
      </c>
      <c r="L1308" s="455">
        <f t="shared" ca="1" si="127"/>
        <v>-24110669.789545849</v>
      </c>
      <c r="M1308" s="471">
        <f t="shared" si="129"/>
        <v>0.05</v>
      </c>
      <c r="N1308" s="475">
        <f t="shared" si="130"/>
        <v>90856</v>
      </c>
    </row>
    <row r="1309" spans="7:14" ht="11.25" customHeight="1" x14ac:dyDescent="0.3">
      <c r="G1309" s="470"/>
      <c r="H1309" s="470">
        <v>1302</v>
      </c>
      <c r="I1309" s="455">
        <f t="shared" ca="1" si="128"/>
        <v>-24110669.789545849</v>
      </c>
      <c r="J1309" s="455">
        <f t="array" ref="J1309">IFERROR(INDEX('Retirement Calculator'!J:J,MATCH('Isaac 401k'!N1309,'Retirement Calculator'!A:A,0),0),0)</f>
        <v>0</v>
      </c>
      <c r="K1309" s="455">
        <f t="shared" ca="1" si="126"/>
        <v>-100461.1241231077</v>
      </c>
      <c r="L1309" s="455">
        <f t="shared" ca="1" si="127"/>
        <v>-24211130.913668957</v>
      </c>
      <c r="M1309" s="471">
        <f t="shared" si="129"/>
        <v>0.05</v>
      </c>
      <c r="N1309" s="475">
        <f t="shared" si="130"/>
        <v>90887</v>
      </c>
    </row>
    <row r="1310" spans="7:14" ht="11.25" customHeight="1" x14ac:dyDescent="0.3">
      <c r="G1310" s="470"/>
      <c r="H1310" s="470">
        <v>1303</v>
      </c>
      <c r="I1310" s="455">
        <f t="shared" ca="1" si="128"/>
        <v>-24211130.913668957</v>
      </c>
      <c r="J1310" s="455">
        <f t="array" ref="J1310">IFERROR(INDEX('Retirement Calculator'!J:J,MATCH('Isaac 401k'!N1310,'Retirement Calculator'!A:A,0),0),0)</f>
        <v>0</v>
      </c>
      <c r="K1310" s="455">
        <f t="shared" ca="1" si="126"/>
        <v>-100879.71214028732</v>
      </c>
      <c r="L1310" s="455">
        <f t="shared" ca="1" si="127"/>
        <v>-24312010.625809245</v>
      </c>
      <c r="M1310" s="471">
        <f t="shared" si="129"/>
        <v>0.05</v>
      </c>
      <c r="N1310" s="475">
        <f t="shared" si="130"/>
        <v>90917</v>
      </c>
    </row>
    <row r="1311" spans="7:14" ht="11.25" customHeight="1" x14ac:dyDescent="0.3">
      <c r="G1311" s="470"/>
      <c r="H1311" s="470">
        <v>1304</v>
      </c>
      <c r="I1311" s="455">
        <f t="shared" ca="1" si="128"/>
        <v>-24312010.625809245</v>
      </c>
      <c r="J1311" s="455">
        <f t="array" ref="J1311">IFERROR(INDEX('Retirement Calculator'!J:J,MATCH('Isaac 401k'!N1311,'Retirement Calculator'!A:A,0),0),0)</f>
        <v>0</v>
      </c>
      <c r="K1311" s="455">
        <f t="shared" ca="1" si="126"/>
        <v>-101300.04427420518</v>
      </c>
      <c r="L1311" s="455">
        <f t="shared" ca="1" si="127"/>
        <v>-24413310.670083448</v>
      </c>
      <c r="M1311" s="471">
        <f t="shared" si="129"/>
        <v>0.05</v>
      </c>
      <c r="N1311" s="475">
        <f t="shared" si="130"/>
        <v>90948</v>
      </c>
    </row>
    <row r="1312" spans="7:14" ht="11.25" customHeight="1" x14ac:dyDescent="0.3">
      <c r="G1312" s="470"/>
      <c r="H1312" s="470">
        <v>1305</v>
      </c>
      <c r="I1312" s="455">
        <f t="shared" ca="1" si="128"/>
        <v>-24413310.670083448</v>
      </c>
      <c r="J1312" s="455">
        <f t="array" ref="J1312">IFERROR(INDEX('Retirement Calculator'!J:J,MATCH('Isaac 401k'!N1312,'Retirement Calculator'!A:A,0),0),0)</f>
        <v>0</v>
      </c>
      <c r="K1312" s="455">
        <f t="shared" ca="1" si="126"/>
        <v>-101722.12779201436</v>
      </c>
      <c r="L1312" s="455">
        <f t="shared" ca="1" si="127"/>
        <v>-24515032.797875464</v>
      </c>
      <c r="M1312" s="471">
        <f t="shared" si="129"/>
        <v>0.05</v>
      </c>
      <c r="N1312" s="475">
        <f t="shared" si="130"/>
        <v>90979</v>
      </c>
    </row>
    <row r="1313" spans="7:14" ht="11.25" customHeight="1" x14ac:dyDescent="0.3">
      <c r="G1313" s="470"/>
      <c r="H1313" s="470">
        <v>1306</v>
      </c>
      <c r="I1313" s="455">
        <f t="shared" ca="1" si="128"/>
        <v>-24515032.797875464</v>
      </c>
      <c r="J1313" s="455">
        <f t="array" ref="J1313">IFERROR(INDEX('Retirement Calculator'!J:J,MATCH('Isaac 401k'!N1313,'Retirement Calculator'!A:A,0),0),0)</f>
        <v>0</v>
      </c>
      <c r="K1313" s="455">
        <f t="shared" ca="1" si="126"/>
        <v>-102145.96999114777</v>
      </c>
      <c r="L1313" s="455">
        <f t="shared" ca="1" si="127"/>
        <v>-24617178.767866611</v>
      </c>
      <c r="M1313" s="471">
        <f t="shared" si="129"/>
        <v>0.05</v>
      </c>
      <c r="N1313" s="475">
        <f t="shared" si="130"/>
        <v>91007</v>
      </c>
    </row>
    <row r="1314" spans="7:14" ht="11.25" customHeight="1" x14ac:dyDescent="0.3">
      <c r="G1314" s="470"/>
      <c r="H1314" s="470">
        <v>1307</v>
      </c>
      <c r="I1314" s="455">
        <f t="shared" ca="1" si="128"/>
        <v>-24617178.767866611</v>
      </c>
      <c r="J1314" s="455">
        <f t="array" ref="J1314">IFERROR(INDEX('Retirement Calculator'!J:J,MATCH('Isaac 401k'!N1314,'Retirement Calculator'!A:A,0),0),0)</f>
        <v>0</v>
      </c>
      <c r="K1314" s="455">
        <f t="shared" ca="1" si="126"/>
        <v>-102571.57819944421</v>
      </c>
      <c r="L1314" s="455">
        <f t="shared" ca="1" si="127"/>
        <v>-24719750.346066054</v>
      </c>
      <c r="M1314" s="471">
        <f t="shared" si="129"/>
        <v>0.05</v>
      </c>
      <c r="N1314" s="475">
        <f t="shared" si="130"/>
        <v>91038</v>
      </c>
    </row>
    <row r="1315" spans="7:14" ht="11.25" customHeight="1" x14ac:dyDescent="0.3">
      <c r="G1315" s="470"/>
      <c r="H1315" s="470">
        <v>1308</v>
      </c>
      <c r="I1315" s="455">
        <f t="shared" ca="1" si="128"/>
        <v>-24719750.346066054</v>
      </c>
      <c r="J1315" s="455">
        <f t="array" ref="J1315">IFERROR(INDEX('Retirement Calculator'!J:J,MATCH('Isaac 401k'!N1315,'Retirement Calculator'!A:A,0),0),0)</f>
        <v>0</v>
      </c>
      <c r="K1315" s="455">
        <f t="shared" ca="1" si="126"/>
        <v>-102998.95977527523</v>
      </c>
      <c r="L1315" s="455">
        <f t="shared" ca="1" si="127"/>
        <v>-24822749.30584133</v>
      </c>
      <c r="M1315" s="471">
        <f t="shared" si="129"/>
        <v>0.05</v>
      </c>
      <c r="N1315" s="475">
        <f t="shared" si="130"/>
        <v>91068</v>
      </c>
    </row>
    <row r="1316" spans="7:14" ht="11.25" customHeight="1" x14ac:dyDescent="0.3">
      <c r="G1316" s="470"/>
      <c r="H1316" s="470">
        <v>1309</v>
      </c>
      <c r="I1316" s="455">
        <f t="shared" ca="1" si="128"/>
        <v>-24822749.30584133</v>
      </c>
      <c r="J1316" s="455">
        <f t="array" ref="J1316">IFERROR(INDEX('Retirement Calculator'!J:J,MATCH('Isaac 401k'!N1316,'Retirement Calculator'!A:A,0),0),0)</f>
        <v>0</v>
      </c>
      <c r="K1316" s="455">
        <f t="shared" ca="1" si="126"/>
        <v>-103428.12210767221</v>
      </c>
      <c r="L1316" s="455">
        <f t="shared" ca="1" si="127"/>
        <v>-24926177.427949004</v>
      </c>
      <c r="M1316" s="471">
        <f t="shared" si="129"/>
        <v>0.05</v>
      </c>
      <c r="N1316" s="475">
        <f t="shared" si="130"/>
        <v>91099</v>
      </c>
    </row>
    <row r="1317" spans="7:14" ht="11.25" customHeight="1" x14ac:dyDescent="0.3">
      <c r="G1317" s="470"/>
      <c r="H1317" s="470">
        <v>1310</v>
      </c>
      <c r="I1317" s="455">
        <f t="shared" ca="1" si="128"/>
        <v>-24926177.427949004</v>
      </c>
      <c r="J1317" s="455">
        <f t="array" ref="J1317">IFERROR(INDEX('Retirement Calculator'!J:J,MATCH('Isaac 401k'!N1317,'Retirement Calculator'!A:A,0),0),0)</f>
        <v>0</v>
      </c>
      <c r="K1317" s="455">
        <f t="shared" ca="1" si="126"/>
        <v>-103859.07261645418</v>
      </c>
      <c r="L1317" s="455">
        <f t="shared" ca="1" si="127"/>
        <v>-25030036.500565458</v>
      </c>
      <c r="M1317" s="471">
        <f t="shared" si="129"/>
        <v>0.05</v>
      </c>
      <c r="N1317" s="475">
        <f t="shared" si="130"/>
        <v>91129</v>
      </c>
    </row>
    <row r="1318" spans="7:14" ht="11.25" customHeight="1" x14ac:dyDescent="0.3">
      <c r="G1318" s="470"/>
      <c r="H1318" s="470">
        <v>1311</v>
      </c>
      <c r="I1318" s="455">
        <f t="shared" ca="1" si="128"/>
        <v>-25030036.500565458</v>
      </c>
      <c r="J1318" s="455">
        <f t="array" ref="J1318">IFERROR(INDEX('Retirement Calculator'!J:J,MATCH('Isaac 401k'!N1318,'Retirement Calculator'!A:A,0),0),0)</f>
        <v>0</v>
      </c>
      <c r="K1318" s="455">
        <f t="shared" ca="1" si="126"/>
        <v>-104291.81875235608</v>
      </c>
      <c r="L1318" s="455">
        <f t="shared" ca="1" si="127"/>
        <v>-25134328.319317814</v>
      </c>
      <c r="M1318" s="471">
        <f t="shared" si="129"/>
        <v>0.05</v>
      </c>
      <c r="N1318" s="475">
        <f t="shared" si="130"/>
        <v>91160</v>
      </c>
    </row>
    <row r="1319" spans="7:14" ht="11.25" customHeight="1" x14ac:dyDescent="0.3">
      <c r="G1319" s="470"/>
      <c r="H1319" s="470">
        <v>1312</v>
      </c>
      <c r="I1319" s="455">
        <f t="shared" ca="1" si="128"/>
        <v>-25134328.319317814</v>
      </c>
      <c r="J1319" s="455">
        <f t="array" ref="J1319">IFERROR(INDEX('Retirement Calculator'!J:J,MATCH('Isaac 401k'!N1319,'Retirement Calculator'!A:A,0),0),0)</f>
        <v>0</v>
      </c>
      <c r="K1319" s="455">
        <f t="shared" ca="1" si="126"/>
        <v>-104726.36799715756</v>
      </c>
      <c r="L1319" s="455">
        <f t="shared" ca="1" si="127"/>
        <v>-25239054.687314972</v>
      </c>
      <c r="M1319" s="471">
        <f t="shared" si="129"/>
        <v>0.05</v>
      </c>
      <c r="N1319" s="475">
        <f t="shared" si="130"/>
        <v>91191</v>
      </c>
    </row>
    <row r="1320" spans="7:14" ht="11.25" customHeight="1" x14ac:dyDescent="0.3">
      <c r="G1320" s="470"/>
      <c r="H1320" s="470">
        <v>1313</v>
      </c>
      <c r="I1320" s="455">
        <f t="shared" ca="1" si="128"/>
        <v>-25239054.687314972</v>
      </c>
      <c r="J1320" s="455">
        <f t="array" ref="J1320">IFERROR(INDEX('Retirement Calculator'!J:J,MATCH('Isaac 401k'!N1320,'Retirement Calculator'!A:A,0),0),0)</f>
        <v>0</v>
      </c>
      <c r="K1320" s="455">
        <f t="shared" ca="1" si="126"/>
        <v>-105162.72786381238</v>
      </c>
      <c r="L1320" s="455">
        <f t="shared" ca="1" si="127"/>
        <v>-25344217.415178783</v>
      </c>
      <c r="M1320" s="471">
        <f t="shared" si="129"/>
        <v>0.05</v>
      </c>
      <c r="N1320" s="475">
        <f t="shared" si="130"/>
        <v>91221</v>
      </c>
    </row>
    <row r="1321" spans="7:14" ht="11.25" customHeight="1" x14ac:dyDescent="0.3">
      <c r="G1321" s="470"/>
      <c r="H1321" s="470">
        <v>1314</v>
      </c>
      <c r="I1321" s="455">
        <f t="shared" ca="1" si="128"/>
        <v>-25344217.415178783</v>
      </c>
      <c r="J1321" s="455">
        <f t="array" ref="J1321">IFERROR(INDEX('Retirement Calculator'!J:J,MATCH('Isaac 401k'!N1321,'Retirement Calculator'!A:A,0),0),0)</f>
        <v>0</v>
      </c>
      <c r="K1321" s="455">
        <f t="shared" ca="1" si="126"/>
        <v>-105600.90589657826</v>
      </c>
      <c r="L1321" s="455">
        <f t="shared" ca="1" si="127"/>
        <v>-25449818.321075361</v>
      </c>
      <c r="M1321" s="471">
        <f t="shared" si="129"/>
        <v>0.05</v>
      </c>
      <c r="N1321" s="475">
        <f t="shared" si="130"/>
        <v>91252</v>
      </c>
    </row>
    <row r="1322" spans="7:14" ht="11.25" customHeight="1" x14ac:dyDescent="0.3">
      <c r="G1322" s="470"/>
      <c r="H1322" s="470">
        <v>1315</v>
      </c>
      <c r="I1322" s="455">
        <f t="shared" ca="1" si="128"/>
        <v>-25449818.321075361</v>
      </c>
      <c r="J1322" s="455">
        <f t="array" ref="J1322">IFERROR(INDEX('Retirement Calculator'!J:J,MATCH('Isaac 401k'!N1322,'Retirement Calculator'!A:A,0),0),0)</f>
        <v>0</v>
      </c>
      <c r="K1322" s="455">
        <f t="shared" ca="1" si="126"/>
        <v>-106040.90967114734</v>
      </c>
      <c r="L1322" s="455">
        <f t="shared" ca="1" si="127"/>
        <v>-25555859.230746508</v>
      </c>
      <c r="M1322" s="471">
        <f t="shared" si="129"/>
        <v>0.05</v>
      </c>
      <c r="N1322" s="475">
        <f t="shared" si="130"/>
        <v>91282</v>
      </c>
    </row>
    <row r="1323" spans="7:14" ht="11.25" customHeight="1" x14ac:dyDescent="0.3">
      <c r="G1323" s="470"/>
      <c r="H1323" s="470">
        <v>1316</v>
      </c>
      <c r="I1323" s="455">
        <f t="shared" ca="1" si="128"/>
        <v>-25555859.230746508</v>
      </c>
      <c r="J1323" s="455">
        <f t="array" ref="J1323">IFERROR(INDEX('Retirement Calculator'!J:J,MATCH('Isaac 401k'!N1323,'Retirement Calculator'!A:A,0),0),0)</f>
        <v>0</v>
      </c>
      <c r="K1323" s="455">
        <f t="shared" ca="1" si="126"/>
        <v>-106482.74679477711</v>
      </c>
      <c r="L1323" s="455">
        <f t="shared" ca="1" si="127"/>
        <v>-25662341.977541286</v>
      </c>
      <c r="M1323" s="471">
        <f t="shared" si="129"/>
        <v>0.05</v>
      </c>
      <c r="N1323" s="475">
        <f t="shared" si="130"/>
        <v>91313</v>
      </c>
    </row>
    <row r="1324" spans="7:14" ht="11.25" customHeight="1" x14ac:dyDescent="0.3">
      <c r="G1324" s="470"/>
      <c r="H1324" s="470">
        <v>1317</v>
      </c>
      <c r="I1324" s="455">
        <f t="shared" ca="1" si="128"/>
        <v>-25662341.977541286</v>
      </c>
      <c r="J1324" s="455">
        <f t="array" ref="J1324">IFERROR(INDEX('Retirement Calculator'!J:J,MATCH('Isaac 401k'!N1324,'Retirement Calculator'!A:A,0),0),0)</f>
        <v>0</v>
      </c>
      <c r="K1324" s="455">
        <f t="shared" ca="1" si="126"/>
        <v>-106926.42490642202</v>
      </c>
      <c r="L1324" s="455">
        <f t="shared" ca="1" si="127"/>
        <v>-25769268.402447708</v>
      </c>
      <c r="M1324" s="471">
        <f t="shared" si="129"/>
        <v>0.05</v>
      </c>
      <c r="N1324" s="475">
        <f t="shared" si="130"/>
        <v>91344</v>
      </c>
    </row>
    <row r="1325" spans="7:14" ht="11.25" customHeight="1" x14ac:dyDescent="0.3">
      <c r="G1325" s="470"/>
      <c r="H1325" s="470">
        <v>1318</v>
      </c>
      <c r="I1325" s="455">
        <f t="shared" ca="1" si="128"/>
        <v>-25769268.402447708</v>
      </c>
      <c r="J1325" s="455">
        <f t="array" ref="J1325">IFERROR(INDEX('Retirement Calculator'!J:J,MATCH('Isaac 401k'!N1325,'Retirement Calculator'!A:A,0),0),0)</f>
        <v>0</v>
      </c>
      <c r="K1325" s="455">
        <f t="shared" ca="1" si="126"/>
        <v>-107371.95167686544</v>
      </c>
      <c r="L1325" s="455">
        <f t="shared" ca="1" si="127"/>
        <v>-25876640.354124572</v>
      </c>
      <c r="M1325" s="471">
        <f t="shared" si="129"/>
        <v>0.05</v>
      </c>
      <c r="N1325" s="475">
        <f t="shared" si="130"/>
        <v>91372</v>
      </c>
    </row>
    <row r="1326" spans="7:14" ht="11.25" customHeight="1" x14ac:dyDescent="0.3">
      <c r="G1326" s="470"/>
      <c r="H1326" s="470">
        <v>1319</v>
      </c>
      <c r="I1326" s="455">
        <f t="shared" ca="1" si="128"/>
        <v>-25876640.354124572</v>
      </c>
      <c r="J1326" s="455">
        <f t="array" ref="J1326">IFERROR(INDEX('Retirement Calculator'!J:J,MATCH('Isaac 401k'!N1326,'Retirement Calculator'!A:A,0),0),0)</f>
        <v>0</v>
      </c>
      <c r="K1326" s="455">
        <f t="shared" ca="1" si="126"/>
        <v>-107819.33480885238</v>
      </c>
      <c r="L1326" s="455">
        <f t="shared" ca="1" si="127"/>
        <v>-25984459.688933425</v>
      </c>
      <c r="M1326" s="471">
        <f t="shared" si="129"/>
        <v>0.05</v>
      </c>
      <c r="N1326" s="475">
        <f t="shared" si="130"/>
        <v>91403</v>
      </c>
    </row>
    <row r="1327" spans="7:14" ht="11.25" customHeight="1" x14ac:dyDescent="0.3">
      <c r="G1327" s="470"/>
      <c r="H1327" s="470">
        <v>1320</v>
      </c>
      <c r="I1327" s="455">
        <f t="shared" ca="1" si="128"/>
        <v>-25984459.688933425</v>
      </c>
      <c r="J1327" s="455">
        <f t="array" ref="J1327">IFERROR(INDEX('Retirement Calculator'!J:J,MATCH('Isaac 401k'!N1327,'Retirement Calculator'!A:A,0),0),0)</f>
        <v>0</v>
      </c>
      <c r="K1327" s="455">
        <f t="shared" ca="1" si="126"/>
        <v>-108268.5820372226</v>
      </c>
      <c r="L1327" s="455">
        <f t="shared" ca="1" si="127"/>
        <v>-26092728.270970646</v>
      </c>
      <c r="M1327" s="471">
        <f t="shared" si="129"/>
        <v>0.05</v>
      </c>
      <c r="N1327" s="475">
        <f t="shared" si="130"/>
        <v>91433</v>
      </c>
    </row>
    <row r="1328" spans="7:14" ht="11.25" customHeight="1" x14ac:dyDescent="0.3">
      <c r="G1328" s="470"/>
      <c r="H1328" s="470">
        <v>1321</v>
      </c>
      <c r="I1328" s="455">
        <f t="shared" ca="1" si="128"/>
        <v>-26092728.270970646</v>
      </c>
      <c r="J1328" s="455">
        <f t="array" ref="J1328">IFERROR(INDEX('Retirement Calculator'!J:J,MATCH('Isaac 401k'!N1328,'Retirement Calculator'!A:A,0),0),0)</f>
        <v>0</v>
      </c>
      <c r="K1328" s="455">
        <f t="shared" ca="1" si="126"/>
        <v>-108719.70112904436</v>
      </c>
      <c r="L1328" s="455">
        <f t="shared" ca="1" si="127"/>
        <v>-26201447.972099692</v>
      </c>
      <c r="M1328" s="471">
        <f t="shared" si="129"/>
        <v>0.05</v>
      </c>
      <c r="N1328" s="475">
        <f t="shared" si="130"/>
        <v>91464</v>
      </c>
    </row>
    <row r="1329" spans="7:14" ht="11.25" customHeight="1" x14ac:dyDescent="0.3">
      <c r="G1329" s="470"/>
      <c r="H1329" s="470">
        <v>1322</v>
      </c>
      <c r="I1329" s="455">
        <f t="shared" ca="1" si="128"/>
        <v>-26201447.972099692</v>
      </c>
      <c r="J1329" s="455">
        <f t="array" ref="J1329">IFERROR(INDEX('Retirement Calculator'!J:J,MATCH('Isaac 401k'!N1329,'Retirement Calculator'!A:A,0),0),0)</f>
        <v>0</v>
      </c>
      <c r="K1329" s="455">
        <f t="shared" ca="1" si="126"/>
        <v>-109172.69988374873</v>
      </c>
      <c r="L1329" s="455">
        <f t="shared" ca="1" si="127"/>
        <v>-26310620.671983439</v>
      </c>
      <c r="M1329" s="471">
        <f t="shared" si="129"/>
        <v>0.05</v>
      </c>
      <c r="N1329" s="475">
        <f t="shared" si="130"/>
        <v>91494</v>
      </c>
    </row>
    <row r="1330" spans="7:14" ht="11.25" customHeight="1" x14ac:dyDescent="0.3">
      <c r="G1330" s="470"/>
      <c r="H1330" s="470">
        <v>1323</v>
      </c>
      <c r="I1330" s="455">
        <f t="shared" ca="1" si="128"/>
        <v>-26310620.671983439</v>
      </c>
      <c r="J1330" s="455">
        <f t="array" ref="J1330">IFERROR(INDEX('Retirement Calculator'!J:J,MATCH('Isaac 401k'!N1330,'Retirement Calculator'!A:A,0),0),0)</f>
        <v>0</v>
      </c>
      <c r="K1330" s="455">
        <f t="shared" ca="1" si="126"/>
        <v>-109627.58613326433</v>
      </c>
      <c r="L1330" s="455">
        <f t="shared" ca="1" si="127"/>
        <v>-26420248.258116703</v>
      </c>
      <c r="M1330" s="471">
        <f t="shared" si="129"/>
        <v>0.05</v>
      </c>
      <c r="N1330" s="475">
        <f t="shared" si="130"/>
        <v>91525</v>
      </c>
    </row>
    <row r="1331" spans="7:14" ht="11.25" customHeight="1" x14ac:dyDescent="0.3">
      <c r="G1331" s="470"/>
      <c r="H1331" s="470">
        <v>1324</v>
      </c>
      <c r="I1331" s="455">
        <f t="shared" ca="1" si="128"/>
        <v>-26420248.258116703</v>
      </c>
      <c r="J1331" s="455">
        <f t="array" ref="J1331">IFERROR(INDEX('Retirement Calculator'!J:J,MATCH('Isaac 401k'!N1331,'Retirement Calculator'!A:A,0),0),0)</f>
        <v>0</v>
      </c>
      <c r="K1331" s="455">
        <f t="shared" ca="1" si="126"/>
        <v>-110084.36774215294</v>
      </c>
      <c r="L1331" s="455">
        <f t="shared" ca="1" si="127"/>
        <v>-26530332.625858858</v>
      </c>
      <c r="M1331" s="471">
        <f t="shared" si="129"/>
        <v>0.05</v>
      </c>
      <c r="N1331" s="475">
        <f t="shared" si="130"/>
        <v>91556</v>
      </c>
    </row>
    <row r="1332" spans="7:14" ht="11.25" customHeight="1" x14ac:dyDescent="0.3">
      <c r="G1332" s="470"/>
      <c r="H1332" s="470">
        <v>1325</v>
      </c>
      <c r="I1332" s="455">
        <f t="shared" ca="1" si="128"/>
        <v>-26530332.625858858</v>
      </c>
      <c r="J1332" s="455">
        <f t="array" ref="J1332">IFERROR(INDEX('Retirement Calculator'!J:J,MATCH('Isaac 401k'!N1332,'Retirement Calculator'!A:A,0),0),0)</f>
        <v>0</v>
      </c>
      <c r="K1332" s="455">
        <f t="shared" ca="1" si="126"/>
        <v>-110543.05260774522</v>
      </c>
      <c r="L1332" s="455">
        <f t="shared" ca="1" si="127"/>
        <v>-26640875.678466603</v>
      </c>
      <c r="M1332" s="471">
        <f t="shared" si="129"/>
        <v>0.05</v>
      </c>
      <c r="N1332" s="475">
        <f t="shared" si="130"/>
        <v>91586</v>
      </c>
    </row>
    <row r="1333" spans="7:14" ht="11.25" customHeight="1" x14ac:dyDescent="0.3">
      <c r="G1333" s="470"/>
      <c r="H1333" s="470">
        <v>1326</v>
      </c>
      <c r="I1333" s="455">
        <f t="shared" ca="1" si="128"/>
        <v>-26640875.678466603</v>
      </c>
      <c r="J1333" s="455">
        <f t="array" ref="J1333">IFERROR(INDEX('Retirement Calculator'!J:J,MATCH('Isaac 401k'!N1333,'Retirement Calculator'!A:A,0),0),0)</f>
        <v>0</v>
      </c>
      <c r="K1333" s="455">
        <f t="shared" ca="1" si="126"/>
        <v>-111003.64866027753</v>
      </c>
      <c r="L1333" s="455">
        <f t="shared" ca="1" si="127"/>
        <v>-26751879.327126879</v>
      </c>
      <c r="M1333" s="471">
        <f t="shared" si="129"/>
        <v>0.05</v>
      </c>
      <c r="N1333" s="475">
        <f t="shared" si="130"/>
        <v>91617</v>
      </c>
    </row>
    <row r="1334" spans="7:14" ht="11.25" customHeight="1" x14ac:dyDescent="0.3">
      <c r="G1334" s="470"/>
      <c r="H1334" s="470">
        <v>1327</v>
      </c>
      <c r="I1334" s="455">
        <f t="shared" ca="1" si="128"/>
        <v>-26751879.327126879</v>
      </c>
      <c r="J1334" s="455">
        <f t="array" ref="J1334">IFERROR(INDEX('Retirement Calculator'!J:J,MATCH('Isaac 401k'!N1334,'Retirement Calculator'!A:A,0),0),0)</f>
        <v>0</v>
      </c>
      <c r="K1334" s="455">
        <f t="shared" ca="1" si="126"/>
        <v>-111466.16386302866</v>
      </c>
      <c r="L1334" s="455">
        <f t="shared" ca="1" si="127"/>
        <v>-26863345.490989909</v>
      </c>
      <c r="M1334" s="471">
        <f t="shared" si="129"/>
        <v>0.05</v>
      </c>
      <c r="N1334" s="475">
        <f t="shared" si="130"/>
        <v>91647</v>
      </c>
    </row>
    <row r="1335" spans="7:14" ht="11.25" customHeight="1" x14ac:dyDescent="0.3">
      <c r="G1335" s="470"/>
      <c r="H1335" s="470">
        <v>1328</v>
      </c>
      <c r="I1335" s="455">
        <f t="shared" ca="1" si="128"/>
        <v>-26863345.490989909</v>
      </c>
      <c r="J1335" s="455">
        <f t="array" ref="J1335">IFERROR(INDEX('Retirement Calculator'!J:J,MATCH('Isaac 401k'!N1335,'Retirement Calculator'!A:A,0),0),0)</f>
        <v>0</v>
      </c>
      <c r="K1335" s="455">
        <f t="shared" ca="1" si="126"/>
        <v>-111930.60621245795</v>
      </c>
      <c r="L1335" s="455">
        <f t="shared" ca="1" si="127"/>
        <v>-26975276.097202368</v>
      </c>
      <c r="M1335" s="471">
        <f t="shared" si="129"/>
        <v>0.05</v>
      </c>
      <c r="N1335" s="475">
        <f t="shared" si="130"/>
        <v>91678</v>
      </c>
    </row>
    <row r="1336" spans="7:14" ht="11.25" customHeight="1" x14ac:dyDescent="0.3">
      <c r="G1336" s="470"/>
      <c r="H1336" s="470">
        <v>1329</v>
      </c>
      <c r="I1336" s="455">
        <f t="shared" ca="1" si="128"/>
        <v>-26975276.097202368</v>
      </c>
      <c r="J1336" s="455">
        <f t="array" ref="J1336">IFERROR(INDEX('Retirement Calculator'!J:J,MATCH('Isaac 401k'!N1336,'Retirement Calculator'!A:A,0),0),0)</f>
        <v>0</v>
      </c>
      <c r="K1336" s="455">
        <f t="shared" ca="1" si="126"/>
        <v>-112396.9837383432</v>
      </c>
      <c r="L1336" s="455">
        <f t="shared" ca="1" si="127"/>
        <v>-27087673.080940712</v>
      </c>
      <c r="M1336" s="471">
        <f t="shared" si="129"/>
        <v>0.05</v>
      </c>
      <c r="N1336" s="475">
        <f t="shared" si="130"/>
        <v>91709</v>
      </c>
    </row>
    <row r="1337" spans="7:14" ht="11.25" customHeight="1" x14ac:dyDescent="0.3">
      <c r="G1337" s="470"/>
      <c r="H1337" s="470">
        <v>1330</v>
      </c>
      <c r="I1337" s="455">
        <f t="shared" ca="1" si="128"/>
        <v>-27087673.080940712</v>
      </c>
      <c r="J1337" s="455">
        <f t="array" ref="J1337">IFERROR(INDEX('Retirement Calculator'!J:J,MATCH('Isaac 401k'!N1337,'Retirement Calculator'!A:A,0),0),0)</f>
        <v>0</v>
      </c>
      <c r="K1337" s="455">
        <f t="shared" ca="1" si="126"/>
        <v>-112865.30450391961</v>
      </c>
      <c r="L1337" s="455">
        <f t="shared" ca="1" si="127"/>
        <v>-27200538.385444634</v>
      </c>
      <c r="M1337" s="471">
        <f t="shared" si="129"/>
        <v>0.05</v>
      </c>
      <c r="N1337" s="475">
        <f t="shared" si="130"/>
        <v>91737</v>
      </c>
    </row>
    <row r="1338" spans="7:14" ht="11.25" customHeight="1" x14ac:dyDescent="0.3">
      <c r="G1338" s="470"/>
      <c r="H1338" s="470">
        <v>1331</v>
      </c>
      <c r="I1338" s="455">
        <f t="shared" ca="1" si="128"/>
        <v>-27200538.385444634</v>
      </c>
      <c r="J1338" s="455">
        <f t="array" ref="J1338">IFERROR(INDEX('Retirement Calculator'!J:J,MATCH('Isaac 401k'!N1338,'Retirement Calculator'!A:A,0),0),0)</f>
        <v>0</v>
      </c>
      <c r="K1338" s="455">
        <f t="shared" ca="1" si="126"/>
        <v>-113335.5766060193</v>
      </c>
      <c r="L1338" s="455">
        <f t="shared" ca="1" si="127"/>
        <v>-27313873.962050654</v>
      </c>
      <c r="M1338" s="471">
        <f t="shared" si="129"/>
        <v>0.05</v>
      </c>
      <c r="N1338" s="475">
        <f t="shared" si="130"/>
        <v>91768</v>
      </c>
    </row>
    <row r="1339" spans="7:14" ht="11.25" customHeight="1" x14ac:dyDescent="0.3">
      <c r="G1339" s="470"/>
      <c r="H1339" s="470">
        <v>1332</v>
      </c>
      <c r="I1339" s="455">
        <f t="shared" ca="1" si="128"/>
        <v>-27313873.962050654</v>
      </c>
      <c r="J1339" s="455">
        <f t="array" ref="J1339">IFERROR(INDEX('Retirement Calculator'!J:J,MATCH('Isaac 401k'!N1339,'Retirement Calculator'!A:A,0),0),0)</f>
        <v>0</v>
      </c>
      <c r="K1339" s="455">
        <f t="shared" ca="1" si="126"/>
        <v>-113807.80817521106</v>
      </c>
      <c r="L1339" s="455">
        <f t="shared" ca="1" si="127"/>
        <v>-27427681.770225864</v>
      </c>
      <c r="M1339" s="471">
        <f t="shared" si="129"/>
        <v>0.05</v>
      </c>
      <c r="N1339" s="475">
        <f t="shared" si="130"/>
        <v>91798</v>
      </c>
    </row>
    <row r="1340" spans="7:14" ht="11.25" customHeight="1" x14ac:dyDescent="0.3">
      <c r="G1340" s="470"/>
      <c r="H1340" s="470">
        <v>1333</v>
      </c>
      <c r="I1340" s="455">
        <f t="shared" ca="1" si="128"/>
        <v>-27427681.770225864</v>
      </c>
      <c r="J1340" s="455">
        <f t="array" ref="J1340">IFERROR(INDEX('Retirement Calculator'!J:J,MATCH('Isaac 401k'!N1340,'Retirement Calculator'!A:A,0),0),0)</f>
        <v>0</v>
      </c>
      <c r="K1340" s="455">
        <f t="shared" ca="1" si="126"/>
        <v>-114282.00737594109</v>
      </c>
      <c r="L1340" s="455">
        <f t="shared" ca="1" si="127"/>
        <v>-27541963.777601805</v>
      </c>
      <c r="M1340" s="471">
        <f t="shared" si="129"/>
        <v>0.05</v>
      </c>
      <c r="N1340" s="475">
        <f t="shared" si="130"/>
        <v>91829</v>
      </c>
    </row>
    <row r="1341" spans="7:14" ht="11.25" customHeight="1" x14ac:dyDescent="0.3">
      <c r="G1341" s="470"/>
      <c r="H1341" s="470">
        <v>1334</v>
      </c>
      <c r="I1341" s="455">
        <f t="shared" ca="1" si="128"/>
        <v>-27541963.777601805</v>
      </c>
      <c r="J1341" s="455">
        <f t="array" ref="J1341">IFERROR(INDEX('Retirement Calculator'!J:J,MATCH('Isaac 401k'!N1341,'Retirement Calculator'!A:A,0),0),0)</f>
        <v>0</v>
      </c>
      <c r="K1341" s="455">
        <f t="shared" ca="1" si="126"/>
        <v>-114758.18240667418</v>
      </c>
      <c r="L1341" s="455">
        <f t="shared" ca="1" si="127"/>
        <v>-27656721.96000848</v>
      </c>
      <c r="M1341" s="471">
        <f t="shared" si="129"/>
        <v>0.05</v>
      </c>
      <c r="N1341" s="475">
        <f t="shared" si="130"/>
        <v>91859</v>
      </c>
    </row>
    <row r="1342" spans="7:14" ht="11.25" customHeight="1" x14ac:dyDescent="0.3">
      <c r="G1342" s="470"/>
      <c r="H1342" s="470">
        <v>1335</v>
      </c>
      <c r="I1342" s="455">
        <f t="shared" ca="1" si="128"/>
        <v>-27656721.96000848</v>
      </c>
      <c r="J1342" s="455">
        <f t="array" ref="J1342">IFERROR(INDEX('Retirement Calculator'!J:J,MATCH('Isaac 401k'!N1342,'Retirement Calculator'!A:A,0),0),0)</f>
        <v>0</v>
      </c>
      <c r="K1342" s="455">
        <f t="shared" ca="1" si="126"/>
        <v>-115236.34150003533</v>
      </c>
      <c r="L1342" s="455">
        <f t="shared" ca="1" si="127"/>
        <v>-27771958.301508516</v>
      </c>
      <c r="M1342" s="471">
        <f t="shared" si="129"/>
        <v>0.05</v>
      </c>
      <c r="N1342" s="475">
        <f t="shared" si="130"/>
        <v>91890</v>
      </c>
    </row>
    <row r="1343" spans="7:14" ht="11.25" customHeight="1" x14ac:dyDescent="0.3">
      <c r="G1343" s="470"/>
      <c r="H1343" s="470">
        <v>1336</v>
      </c>
      <c r="I1343" s="455">
        <f t="shared" ca="1" si="128"/>
        <v>-27771958.301508516</v>
      </c>
      <c r="J1343" s="455">
        <f t="array" ref="J1343">IFERROR(INDEX('Retirement Calculator'!J:J,MATCH('Isaac 401k'!N1343,'Retirement Calculator'!A:A,0),0),0)</f>
        <v>0</v>
      </c>
      <c r="K1343" s="455">
        <f t="shared" ca="1" si="126"/>
        <v>-115716.49292295214</v>
      </c>
      <c r="L1343" s="455">
        <f t="shared" ca="1" si="127"/>
        <v>-27887674.794431467</v>
      </c>
      <c r="M1343" s="471">
        <f t="shared" si="129"/>
        <v>0.05</v>
      </c>
      <c r="N1343" s="475">
        <f t="shared" si="130"/>
        <v>91921</v>
      </c>
    </row>
    <row r="1344" spans="7:14" ht="11.25" customHeight="1" x14ac:dyDescent="0.3">
      <c r="G1344" s="470"/>
      <c r="H1344" s="470">
        <v>1337</v>
      </c>
      <c r="I1344" s="455">
        <f t="shared" ca="1" si="128"/>
        <v>-27887674.794431467</v>
      </c>
      <c r="J1344" s="455">
        <f t="array" ref="J1344">IFERROR(INDEX('Retirement Calculator'!J:J,MATCH('Isaac 401k'!N1344,'Retirement Calculator'!A:A,0),0),0)</f>
        <v>0</v>
      </c>
      <c r="K1344" s="455">
        <f t="shared" ca="1" si="126"/>
        <v>-116198.64497679778</v>
      </c>
      <c r="L1344" s="455">
        <f t="shared" ca="1" si="127"/>
        <v>-28003873.439408265</v>
      </c>
      <c r="M1344" s="471">
        <f t="shared" si="129"/>
        <v>0.05</v>
      </c>
      <c r="N1344" s="475">
        <f t="shared" si="130"/>
        <v>91951</v>
      </c>
    </row>
    <row r="1345" spans="7:14" ht="11.25" customHeight="1" x14ac:dyDescent="0.3">
      <c r="G1345" s="470"/>
      <c r="H1345" s="470">
        <v>1338</v>
      </c>
      <c r="I1345" s="455">
        <f t="shared" ca="1" si="128"/>
        <v>-28003873.439408265</v>
      </c>
      <c r="J1345" s="455">
        <f t="array" ref="J1345">IFERROR(INDEX('Retirement Calculator'!J:J,MATCH('Isaac 401k'!N1345,'Retirement Calculator'!A:A,0),0),0)</f>
        <v>0</v>
      </c>
      <c r="K1345" s="455">
        <f t="shared" ca="1" si="126"/>
        <v>-116682.80599753444</v>
      </c>
      <c r="L1345" s="455">
        <f t="shared" ca="1" si="127"/>
        <v>-28120556.245405801</v>
      </c>
      <c r="M1345" s="471">
        <f t="shared" si="129"/>
        <v>0.05</v>
      </c>
      <c r="N1345" s="475">
        <f t="shared" si="130"/>
        <v>91982</v>
      </c>
    </row>
    <row r="1346" spans="7:14" ht="11.25" customHeight="1" x14ac:dyDescent="0.3">
      <c r="G1346" s="470"/>
      <c r="H1346" s="470">
        <v>1339</v>
      </c>
      <c r="I1346" s="455">
        <f t="shared" ca="1" si="128"/>
        <v>-28120556.245405801</v>
      </c>
      <c r="J1346" s="455">
        <f t="array" ref="J1346">IFERROR(INDEX('Retirement Calculator'!J:J,MATCH('Isaac 401k'!N1346,'Retirement Calculator'!A:A,0),0),0)</f>
        <v>0</v>
      </c>
      <c r="K1346" s="455">
        <f t="shared" ca="1" si="126"/>
        <v>-117168.98435585749</v>
      </c>
      <c r="L1346" s="455">
        <f t="shared" ca="1" si="127"/>
        <v>-28237725.229761656</v>
      </c>
      <c r="M1346" s="471">
        <f t="shared" si="129"/>
        <v>0.05</v>
      </c>
      <c r="N1346" s="475">
        <f t="shared" si="130"/>
        <v>92012</v>
      </c>
    </row>
    <row r="1347" spans="7:14" ht="11.25" customHeight="1" x14ac:dyDescent="0.3">
      <c r="G1347" s="470"/>
      <c r="H1347" s="470">
        <v>1340</v>
      </c>
      <c r="I1347" s="455">
        <f t="shared" ca="1" si="128"/>
        <v>-28237725.229761656</v>
      </c>
      <c r="J1347" s="455">
        <f t="array" ref="J1347">IFERROR(INDEX('Retirement Calculator'!J:J,MATCH('Isaac 401k'!N1347,'Retirement Calculator'!A:A,0),0),0)</f>
        <v>0</v>
      </c>
      <c r="K1347" s="455">
        <f t="shared" ca="1" si="126"/>
        <v>-117657.18845734023</v>
      </c>
      <c r="L1347" s="455">
        <f t="shared" ca="1" si="127"/>
        <v>-28355382.418218996</v>
      </c>
      <c r="M1347" s="471">
        <f t="shared" si="129"/>
        <v>0.05</v>
      </c>
      <c r="N1347" s="475">
        <f t="shared" si="130"/>
        <v>92043</v>
      </c>
    </row>
    <row r="1348" spans="7:14" ht="11.25" customHeight="1" x14ac:dyDescent="0.3">
      <c r="G1348" s="470"/>
      <c r="H1348" s="470">
        <v>1341</v>
      </c>
      <c r="I1348" s="455">
        <f t="shared" ca="1" si="128"/>
        <v>-28355382.418218996</v>
      </c>
      <c r="J1348" s="455">
        <f t="array" ref="J1348">IFERROR(INDEX('Retirement Calculator'!J:J,MATCH('Isaac 401k'!N1348,'Retirement Calculator'!A:A,0),0),0)</f>
        <v>0</v>
      </c>
      <c r="K1348" s="455">
        <f t="shared" ca="1" si="126"/>
        <v>-118147.42674257915</v>
      </c>
      <c r="L1348" s="455">
        <f t="shared" ca="1" si="127"/>
        <v>-28473529.844961576</v>
      </c>
      <c r="M1348" s="471">
        <f t="shared" si="129"/>
        <v>0.05</v>
      </c>
      <c r="N1348" s="475">
        <f t="shared" si="130"/>
        <v>92074</v>
      </c>
    </row>
    <row r="1349" spans="7:14" ht="11.25" customHeight="1" x14ac:dyDescent="0.3">
      <c r="G1349" s="470"/>
      <c r="H1349" s="470">
        <v>1342</v>
      </c>
      <c r="I1349" s="455">
        <f t="shared" ca="1" si="128"/>
        <v>-28473529.844961576</v>
      </c>
      <c r="J1349" s="455">
        <f t="array" ref="J1349">IFERROR(INDEX('Retirement Calculator'!J:J,MATCH('Isaac 401k'!N1349,'Retirement Calculator'!A:A,0),0),0)</f>
        <v>0</v>
      </c>
      <c r="K1349" s="455">
        <f t="shared" ca="1" si="126"/>
        <v>-118639.70768733991</v>
      </c>
      <c r="L1349" s="455">
        <f t="shared" ca="1" si="127"/>
        <v>-28592169.552648917</v>
      </c>
      <c r="M1349" s="471">
        <f t="shared" si="129"/>
        <v>0.05</v>
      </c>
      <c r="N1349" s="475">
        <f t="shared" si="130"/>
        <v>92103</v>
      </c>
    </row>
    <row r="1350" spans="7:14" ht="11.25" customHeight="1" x14ac:dyDescent="0.3">
      <c r="G1350" s="470"/>
      <c r="H1350" s="470">
        <v>1343</v>
      </c>
      <c r="I1350" s="455">
        <f t="shared" ca="1" si="128"/>
        <v>-28592169.552648917</v>
      </c>
      <c r="J1350" s="455">
        <f t="array" ref="J1350">IFERROR(INDEX('Retirement Calculator'!J:J,MATCH('Isaac 401k'!N1350,'Retirement Calculator'!A:A,0),0),0)</f>
        <v>0</v>
      </c>
      <c r="K1350" s="455">
        <f t="shared" ca="1" si="126"/>
        <v>-119134.0398027038</v>
      </c>
      <c r="L1350" s="455">
        <f t="shared" ca="1" si="127"/>
        <v>-28711303.592451621</v>
      </c>
      <c r="M1350" s="471">
        <f t="shared" si="129"/>
        <v>0.05</v>
      </c>
      <c r="N1350" s="475">
        <f t="shared" si="130"/>
        <v>92134</v>
      </c>
    </row>
    <row r="1351" spans="7:14" ht="11.25" customHeight="1" x14ac:dyDescent="0.3">
      <c r="G1351" s="470"/>
      <c r="H1351" s="470">
        <v>1344</v>
      </c>
      <c r="I1351" s="455">
        <f t="shared" ca="1" si="128"/>
        <v>-28711303.592451621</v>
      </c>
      <c r="J1351" s="455">
        <f t="array" ref="J1351">IFERROR(INDEX('Retirement Calculator'!J:J,MATCH('Isaac 401k'!N1351,'Retirement Calculator'!A:A,0),0),0)</f>
        <v>0</v>
      </c>
      <c r="K1351" s="455">
        <f t="shared" ca="1" si="126"/>
        <v>-119630.43163521511</v>
      </c>
      <c r="L1351" s="455">
        <f t="shared" ca="1" si="127"/>
        <v>-28830934.024086837</v>
      </c>
      <c r="M1351" s="471">
        <f t="shared" si="129"/>
        <v>0.05</v>
      </c>
      <c r="N1351" s="475">
        <f t="shared" si="130"/>
        <v>92164</v>
      </c>
    </row>
    <row r="1352" spans="7:14" ht="11.25" customHeight="1" x14ac:dyDescent="0.3">
      <c r="G1352" s="470"/>
      <c r="H1352" s="470">
        <v>1345</v>
      </c>
      <c r="I1352" s="455">
        <f t="shared" ca="1" si="128"/>
        <v>-28830934.024086837</v>
      </c>
      <c r="J1352" s="455">
        <f t="array" ref="J1352">IFERROR(INDEX('Retirement Calculator'!J:J,MATCH('Isaac 401k'!N1352,'Retirement Calculator'!A:A,0),0),0)</f>
        <v>0</v>
      </c>
      <c r="K1352" s="455">
        <f t="shared" ca="1" si="126"/>
        <v>-120128.89176702849</v>
      </c>
      <c r="L1352" s="455">
        <f t="shared" ca="1" si="127"/>
        <v>-28951062.915853865</v>
      </c>
      <c r="M1352" s="471">
        <f t="shared" si="129"/>
        <v>0.05</v>
      </c>
      <c r="N1352" s="475">
        <f t="shared" si="130"/>
        <v>92195</v>
      </c>
    </row>
    <row r="1353" spans="7:14" ht="11.25" customHeight="1" x14ac:dyDescent="0.3">
      <c r="G1353" s="470"/>
      <c r="H1353" s="470">
        <v>1346</v>
      </c>
      <c r="I1353" s="455">
        <f t="shared" ca="1" si="128"/>
        <v>-28951062.915853865</v>
      </c>
      <c r="J1353" s="455">
        <f t="array" ref="J1353">IFERROR(INDEX('Retirement Calculator'!J:J,MATCH('Isaac 401k'!N1353,'Retirement Calculator'!A:A,0),0),0)</f>
        <v>0</v>
      </c>
      <c r="K1353" s="455">
        <f t="shared" ca="1" si="126"/>
        <v>-120629.42881605776</v>
      </c>
      <c r="L1353" s="455">
        <f t="shared" ca="1" si="127"/>
        <v>-29071692.344669923</v>
      </c>
      <c r="M1353" s="471">
        <f t="shared" si="129"/>
        <v>0.05</v>
      </c>
      <c r="N1353" s="475">
        <f t="shared" si="130"/>
        <v>92225</v>
      </c>
    </row>
    <row r="1354" spans="7:14" ht="11.25" customHeight="1" x14ac:dyDescent="0.3">
      <c r="G1354" s="470"/>
      <c r="H1354" s="470">
        <v>1347</v>
      </c>
      <c r="I1354" s="455">
        <f t="shared" ca="1" si="128"/>
        <v>-29071692.344669923</v>
      </c>
      <c r="J1354" s="455">
        <f t="array" ref="J1354">IFERROR(INDEX('Retirement Calculator'!J:J,MATCH('Isaac 401k'!N1354,'Retirement Calculator'!A:A,0),0),0)</f>
        <v>0</v>
      </c>
      <c r="K1354" s="455">
        <f t="shared" ca="1" si="126"/>
        <v>-121132.05143612468</v>
      </c>
      <c r="L1354" s="455">
        <f t="shared" ca="1" si="127"/>
        <v>-29192824.396106049</v>
      </c>
      <c r="M1354" s="471">
        <f t="shared" si="129"/>
        <v>0.05</v>
      </c>
      <c r="N1354" s="475">
        <f t="shared" si="130"/>
        <v>92256</v>
      </c>
    </row>
    <row r="1355" spans="7:14" ht="11.25" customHeight="1" x14ac:dyDescent="0.3">
      <c r="G1355" s="470"/>
      <c r="H1355" s="470">
        <v>1348</v>
      </c>
      <c r="I1355" s="455">
        <f t="shared" ca="1" si="128"/>
        <v>-29192824.396106049</v>
      </c>
      <c r="J1355" s="455">
        <f t="array" ref="J1355">IFERROR(INDEX('Retirement Calculator'!J:J,MATCH('Isaac 401k'!N1355,'Retirement Calculator'!A:A,0),0),0)</f>
        <v>0</v>
      </c>
      <c r="K1355" s="455">
        <f t="shared" ca="1" si="126"/>
        <v>-121636.76831710854</v>
      </c>
      <c r="L1355" s="455">
        <f t="shared" ca="1" si="127"/>
        <v>-29314461.164423157</v>
      </c>
      <c r="M1355" s="471">
        <f t="shared" si="129"/>
        <v>0.05</v>
      </c>
      <c r="N1355" s="475">
        <f t="shared" si="130"/>
        <v>92287</v>
      </c>
    </row>
    <row r="1356" spans="7:14" ht="11.25" customHeight="1" x14ac:dyDescent="0.3">
      <c r="G1356" s="470"/>
      <c r="H1356" s="470">
        <v>1349</v>
      </c>
      <c r="I1356" s="455">
        <f t="shared" ca="1" si="128"/>
        <v>-29314461.164423157</v>
      </c>
      <c r="J1356" s="455">
        <f t="array" ref="J1356">IFERROR(INDEX('Retirement Calculator'!J:J,MATCH('Isaac 401k'!N1356,'Retirement Calculator'!A:A,0),0),0)</f>
        <v>0</v>
      </c>
      <c r="K1356" s="455">
        <f t="shared" ca="1" si="126"/>
        <v>-122143.58818509648</v>
      </c>
      <c r="L1356" s="455">
        <f t="shared" ca="1" si="127"/>
        <v>-29436604.752608255</v>
      </c>
      <c r="M1356" s="471">
        <f t="shared" si="129"/>
        <v>0.05</v>
      </c>
      <c r="N1356" s="475">
        <f t="shared" si="130"/>
        <v>92317</v>
      </c>
    </row>
    <row r="1357" spans="7:14" ht="11.25" customHeight="1" x14ac:dyDescent="0.3">
      <c r="G1357" s="470"/>
      <c r="H1357" s="470">
        <v>1350</v>
      </c>
      <c r="I1357" s="455">
        <f t="shared" ca="1" si="128"/>
        <v>-29436604.752608255</v>
      </c>
      <c r="J1357" s="455">
        <f t="array" ref="J1357">IFERROR(INDEX('Retirement Calculator'!J:J,MATCH('Isaac 401k'!N1357,'Retirement Calculator'!A:A,0),0),0)</f>
        <v>0</v>
      </c>
      <c r="K1357" s="455">
        <f t="shared" ca="1" si="126"/>
        <v>-122652.51980253439</v>
      </c>
      <c r="L1357" s="455">
        <f t="shared" ca="1" si="127"/>
        <v>-29559257.272410788</v>
      </c>
      <c r="M1357" s="471">
        <f t="shared" si="129"/>
        <v>0.05</v>
      </c>
      <c r="N1357" s="475">
        <f t="shared" si="130"/>
        <v>92348</v>
      </c>
    </row>
    <row r="1358" spans="7:14" ht="11.25" customHeight="1" x14ac:dyDescent="0.3">
      <c r="G1358" s="470"/>
      <c r="H1358" s="470">
        <v>1351</v>
      </c>
      <c r="I1358" s="455">
        <f t="shared" ca="1" si="128"/>
        <v>-29559257.272410788</v>
      </c>
      <c r="J1358" s="455">
        <f t="array" ref="J1358">IFERROR(INDEX('Retirement Calculator'!J:J,MATCH('Isaac 401k'!N1358,'Retirement Calculator'!A:A,0),0),0)</f>
        <v>0</v>
      </c>
      <c r="K1358" s="455">
        <f t="shared" ca="1" si="126"/>
        <v>-123163.57196837828</v>
      </c>
      <c r="L1358" s="455">
        <f t="shared" ca="1" si="127"/>
        <v>-29682420.844379164</v>
      </c>
      <c r="M1358" s="471">
        <f t="shared" si="129"/>
        <v>0.05</v>
      </c>
      <c r="N1358" s="475">
        <f t="shared" si="130"/>
        <v>92378</v>
      </c>
    </row>
    <row r="1359" spans="7:14" ht="11.25" customHeight="1" x14ac:dyDescent="0.3">
      <c r="G1359" s="470"/>
      <c r="H1359" s="470">
        <v>1352</v>
      </c>
      <c r="I1359" s="455">
        <f t="shared" ca="1" si="128"/>
        <v>-29682420.844379164</v>
      </c>
      <c r="J1359" s="455">
        <f t="array" ref="J1359">IFERROR(INDEX('Retirement Calculator'!J:J,MATCH('Isaac 401k'!N1359,'Retirement Calculator'!A:A,0),0),0)</f>
        <v>0</v>
      </c>
      <c r="K1359" s="455">
        <f t="shared" ca="1" si="126"/>
        <v>-123676.75351824651</v>
      </c>
      <c r="L1359" s="455">
        <f t="shared" ca="1" si="127"/>
        <v>-29806097.59789741</v>
      </c>
      <c r="M1359" s="471">
        <f t="shared" si="129"/>
        <v>0.05</v>
      </c>
      <c r="N1359" s="475">
        <f t="shared" si="130"/>
        <v>92409</v>
      </c>
    </row>
    <row r="1360" spans="7:14" ht="11.25" customHeight="1" x14ac:dyDescent="0.3">
      <c r="G1360" s="470"/>
      <c r="H1360" s="470">
        <v>1353</v>
      </c>
      <c r="I1360" s="455">
        <f t="shared" ca="1" si="128"/>
        <v>-29806097.59789741</v>
      </c>
      <c r="J1360" s="455">
        <f t="array" ref="J1360">IFERROR(INDEX('Retirement Calculator'!J:J,MATCH('Isaac 401k'!N1360,'Retirement Calculator'!A:A,0),0),0)</f>
        <v>0</v>
      </c>
      <c r="K1360" s="455">
        <f t="shared" ca="1" si="126"/>
        <v>-124192.07332457254</v>
      </c>
      <c r="L1360" s="455">
        <f t="shared" ca="1" si="127"/>
        <v>-29930289.671221983</v>
      </c>
      <c r="M1360" s="471">
        <f t="shared" si="129"/>
        <v>0.05</v>
      </c>
      <c r="N1360" s="475">
        <f t="shared" si="130"/>
        <v>92440</v>
      </c>
    </row>
    <row r="1361" spans="7:14" ht="11.25" customHeight="1" x14ac:dyDescent="0.3">
      <c r="G1361" s="470"/>
      <c r="H1361" s="470">
        <v>1354</v>
      </c>
      <c r="I1361" s="455">
        <f t="shared" ca="1" si="128"/>
        <v>-29930289.671221983</v>
      </c>
      <c r="J1361" s="455">
        <f t="array" ref="J1361">IFERROR(INDEX('Retirement Calculator'!J:J,MATCH('Isaac 401k'!N1361,'Retirement Calculator'!A:A,0),0),0)</f>
        <v>0</v>
      </c>
      <c r="K1361" s="455">
        <f t="shared" ca="1" si="126"/>
        <v>-124709.54029675825</v>
      </c>
      <c r="L1361" s="455">
        <f t="shared" ca="1" si="127"/>
        <v>-30054999.211518742</v>
      </c>
      <c r="M1361" s="471">
        <f t="shared" si="129"/>
        <v>0.05</v>
      </c>
      <c r="N1361" s="475">
        <f t="shared" si="130"/>
        <v>92468</v>
      </c>
    </row>
    <row r="1362" spans="7:14" ht="11.25" customHeight="1" x14ac:dyDescent="0.3">
      <c r="G1362" s="470"/>
      <c r="H1362" s="470">
        <v>1355</v>
      </c>
      <c r="I1362" s="455">
        <f t="shared" ca="1" si="128"/>
        <v>-30054999.211518742</v>
      </c>
      <c r="J1362" s="455">
        <f t="array" ref="J1362">IFERROR(INDEX('Retirement Calculator'!J:J,MATCH('Isaac 401k'!N1362,'Retirement Calculator'!A:A,0),0),0)</f>
        <v>0</v>
      </c>
      <c r="K1362" s="455">
        <f t="shared" ca="1" si="126"/>
        <v>-125229.16338132808</v>
      </c>
      <c r="L1362" s="455">
        <f t="shared" ca="1" si="127"/>
        <v>-30180228.374900069</v>
      </c>
      <c r="M1362" s="471">
        <f t="shared" si="129"/>
        <v>0.05</v>
      </c>
      <c r="N1362" s="475">
        <f t="shared" si="130"/>
        <v>92499</v>
      </c>
    </row>
    <row r="1363" spans="7:14" ht="11.25" customHeight="1" x14ac:dyDescent="0.3">
      <c r="G1363" s="470"/>
      <c r="H1363" s="470">
        <v>1356</v>
      </c>
      <c r="I1363" s="455">
        <f t="shared" ca="1" si="128"/>
        <v>-30180228.374900069</v>
      </c>
      <c r="J1363" s="455">
        <f t="array" ref="J1363">IFERROR(INDEX('Retirement Calculator'!J:J,MATCH('Isaac 401k'!N1363,'Retirement Calculator'!A:A,0),0),0)</f>
        <v>0</v>
      </c>
      <c r="K1363" s="455">
        <f t="shared" ca="1" si="126"/>
        <v>-125750.95156208362</v>
      </c>
      <c r="L1363" s="455">
        <f t="shared" ca="1" si="127"/>
        <v>-30305979.326462153</v>
      </c>
      <c r="M1363" s="471">
        <f t="shared" si="129"/>
        <v>0.05</v>
      </c>
      <c r="N1363" s="475">
        <f t="shared" si="130"/>
        <v>92529</v>
      </c>
    </row>
    <row r="1364" spans="7:14" ht="11.25" customHeight="1" x14ac:dyDescent="0.3">
      <c r="G1364" s="470"/>
      <c r="H1364" s="470">
        <v>1357</v>
      </c>
      <c r="I1364" s="455">
        <f t="shared" ca="1" si="128"/>
        <v>-30305979.326462153</v>
      </c>
      <c r="J1364" s="455">
        <f t="array" ref="J1364">IFERROR(INDEX('Retirement Calculator'!J:J,MATCH('Isaac 401k'!N1364,'Retirement Calculator'!A:A,0),0),0)</f>
        <v>0</v>
      </c>
      <c r="K1364" s="455">
        <f t="shared" ca="1" si="126"/>
        <v>-126274.91386025898</v>
      </c>
      <c r="L1364" s="455">
        <f t="shared" ca="1" si="127"/>
        <v>-30432254.240322411</v>
      </c>
      <c r="M1364" s="471">
        <f t="shared" si="129"/>
        <v>0.05</v>
      </c>
      <c r="N1364" s="475">
        <f t="shared" si="130"/>
        <v>92560</v>
      </c>
    </row>
    <row r="1365" spans="7:14" ht="11.25" customHeight="1" x14ac:dyDescent="0.3">
      <c r="G1365" s="470"/>
      <c r="H1365" s="470">
        <v>1358</v>
      </c>
      <c r="I1365" s="455">
        <f t="shared" ca="1" si="128"/>
        <v>-30432254.240322411</v>
      </c>
      <c r="J1365" s="455">
        <f t="array" ref="J1365">IFERROR(INDEX('Retirement Calculator'!J:J,MATCH('Isaac 401k'!N1365,'Retirement Calculator'!A:A,0),0),0)</f>
        <v>0</v>
      </c>
      <c r="K1365" s="455">
        <f t="shared" ca="1" si="126"/>
        <v>-126801.05933467673</v>
      </c>
      <c r="L1365" s="455">
        <f t="shared" ca="1" si="127"/>
        <v>-30559055.299657088</v>
      </c>
      <c r="M1365" s="471">
        <f t="shared" si="129"/>
        <v>0.05</v>
      </c>
      <c r="N1365" s="475">
        <f t="shared" si="130"/>
        <v>92590</v>
      </c>
    </row>
    <row r="1366" spans="7:14" ht="11.25" customHeight="1" x14ac:dyDescent="0.3">
      <c r="G1366" s="470"/>
      <c r="H1366" s="470">
        <v>1359</v>
      </c>
      <c r="I1366" s="455">
        <f t="shared" ca="1" si="128"/>
        <v>-30559055.299657088</v>
      </c>
      <c r="J1366" s="455">
        <f t="array" ref="J1366">IFERROR(INDEX('Retirement Calculator'!J:J,MATCH('Isaac 401k'!N1366,'Retirement Calculator'!A:A,0),0),0)</f>
        <v>0</v>
      </c>
      <c r="K1366" s="455">
        <f t="shared" ca="1" si="126"/>
        <v>-127329.39708190455</v>
      </c>
      <c r="L1366" s="455">
        <f t="shared" ca="1" si="127"/>
        <v>-30686384.696738992</v>
      </c>
      <c r="M1366" s="471">
        <f t="shared" si="129"/>
        <v>0.05</v>
      </c>
      <c r="N1366" s="475">
        <f t="shared" si="130"/>
        <v>92621</v>
      </c>
    </row>
    <row r="1367" spans="7:14" ht="11.25" customHeight="1" x14ac:dyDescent="0.3">
      <c r="G1367" s="470"/>
      <c r="H1367" s="470">
        <v>1360</v>
      </c>
      <c r="I1367" s="455">
        <f t="shared" ca="1" si="128"/>
        <v>-30686384.696738992</v>
      </c>
      <c r="J1367" s="455">
        <f t="array" ref="J1367">IFERROR(INDEX('Retirement Calculator'!J:J,MATCH('Isaac 401k'!N1367,'Retirement Calculator'!A:A,0),0),0)</f>
        <v>0</v>
      </c>
      <c r="K1367" s="455">
        <f t="shared" ca="1" si="126"/>
        <v>-127859.93623641247</v>
      </c>
      <c r="L1367" s="455">
        <f t="shared" ca="1" si="127"/>
        <v>-30814244.632975403</v>
      </c>
      <c r="M1367" s="471">
        <f t="shared" si="129"/>
        <v>0.05</v>
      </c>
      <c r="N1367" s="475">
        <f t="shared" si="130"/>
        <v>92652</v>
      </c>
    </row>
    <row r="1368" spans="7:14" ht="11.25" customHeight="1" x14ac:dyDescent="0.3">
      <c r="G1368" s="470"/>
      <c r="H1368" s="470">
        <v>1361</v>
      </c>
      <c r="I1368" s="455">
        <f t="shared" ca="1" si="128"/>
        <v>-30814244.632975403</v>
      </c>
      <c r="J1368" s="455">
        <f t="array" ref="J1368">IFERROR(INDEX('Retirement Calculator'!J:J,MATCH('Isaac 401k'!N1368,'Retirement Calculator'!A:A,0),0),0)</f>
        <v>0</v>
      </c>
      <c r="K1368" s="455">
        <f t="shared" ca="1" si="126"/>
        <v>-128392.68597073085</v>
      </c>
      <c r="L1368" s="455">
        <f t="shared" ca="1" si="127"/>
        <v>-30942637.318946134</v>
      </c>
      <c r="M1368" s="471">
        <f t="shared" si="129"/>
        <v>0.05</v>
      </c>
      <c r="N1368" s="475">
        <f t="shared" si="130"/>
        <v>92682</v>
      </c>
    </row>
    <row r="1369" spans="7:14" ht="11.25" customHeight="1" x14ac:dyDescent="0.3">
      <c r="G1369" s="470"/>
      <c r="H1369" s="470">
        <v>1362</v>
      </c>
      <c r="I1369" s="455">
        <f t="shared" ca="1" si="128"/>
        <v>-30942637.318946134</v>
      </c>
      <c r="J1369" s="455">
        <f t="array" ref="J1369">IFERROR(INDEX('Retirement Calculator'!J:J,MATCH('Isaac 401k'!N1369,'Retirement Calculator'!A:A,0),0),0)</f>
        <v>0</v>
      </c>
      <c r="K1369" s="455">
        <f t="shared" ca="1" si="126"/>
        <v>-128927.65549560888</v>
      </c>
      <c r="L1369" s="455">
        <f t="shared" ca="1" si="127"/>
        <v>-31071564.974441744</v>
      </c>
      <c r="M1369" s="471">
        <f t="shared" si="129"/>
        <v>0.05</v>
      </c>
      <c r="N1369" s="475">
        <f t="shared" si="130"/>
        <v>92713</v>
      </c>
    </row>
    <row r="1370" spans="7:14" ht="11.25" customHeight="1" x14ac:dyDescent="0.3">
      <c r="G1370" s="470"/>
      <c r="H1370" s="470">
        <v>1363</v>
      </c>
      <c r="I1370" s="455">
        <f t="shared" ca="1" si="128"/>
        <v>-31071564.974441744</v>
      </c>
      <c r="J1370" s="455">
        <f t="array" ref="J1370">IFERROR(INDEX('Retirement Calculator'!J:J,MATCH('Isaac 401k'!N1370,'Retirement Calculator'!A:A,0),0),0)</f>
        <v>0</v>
      </c>
      <c r="K1370" s="455">
        <f t="shared" ca="1" si="126"/>
        <v>-129464.85406017394</v>
      </c>
      <c r="L1370" s="455">
        <f t="shared" ca="1" si="127"/>
        <v>-31201029.828501917</v>
      </c>
      <c r="M1370" s="471">
        <f t="shared" si="129"/>
        <v>0.05</v>
      </c>
      <c r="N1370" s="475">
        <f t="shared" si="130"/>
        <v>92743</v>
      </c>
    </row>
    <row r="1371" spans="7:14" ht="11.25" customHeight="1" x14ac:dyDescent="0.3">
      <c r="G1371" s="470"/>
      <c r="H1371" s="470">
        <v>1364</v>
      </c>
      <c r="I1371" s="455">
        <f t="shared" ca="1" si="128"/>
        <v>-31201029.828501917</v>
      </c>
      <c r="J1371" s="455">
        <f t="array" ref="J1371">IFERROR(INDEX('Retirement Calculator'!J:J,MATCH('Isaac 401k'!N1371,'Retirement Calculator'!A:A,0),0),0)</f>
        <v>0</v>
      </c>
      <c r="K1371" s="455">
        <f t="shared" ca="1" si="126"/>
        <v>-130004.29095209132</v>
      </c>
      <c r="L1371" s="455">
        <f t="shared" ca="1" si="127"/>
        <v>-31331034.119454008</v>
      </c>
      <c r="M1371" s="471">
        <f t="shared" si="129"/>
        <v>0.05</v>
      </c>
      <c r="N1371" s="475">
        <f t="shared" si="130"/>
        <v>92774</v>
      </c>
    </row>
    <row r="1372" spans="7:14" ht="11.25" customHeight="1" x14ac:dyDescent="0.3">
      <c r="G1372" s="470"/>
      <c r="H1372" s="470">
        <v>1365</v>
      </c>
      <c r="I1372" s="455">
        <f t="shared" ca="1" si="128"/>
        <v>-31331034.119454008</v>
      </c>
      <c r="J1372" s="455">
        <f t="array" ref="J1372">IFERROR(INDEX('Retirement Calculator'!J:J,MATCH('Isaac 401k'!N1372,'Retirement Calculator'!A:A,0),0),0)</f>
        <v>0</v>
      </c>
      <c r="K1372" s="455">
        <f t="shared" ca="1" si="126"/>
        <v>-130545.97549772503</v>
      </c>
      <c r="L1372" s="455">
        <f t="shared" ca="1" si="127"/>
        <v>-31461580.094951734</v>
      </c>
      <c r="M1372" s="471">
        <f t="shared" si="129"/>
        <v>0.05</v>
      </c>
      <c r="N1372" s="475">
        <f t="shared" si="130"/>
        <v>92805</v>
      </c>
    </row>
    <row r="1373" spans="7:14" ht="11.25" customHeight="1" x14ac:dyDescent="0.3">
      <c r="G1373" s="470"/>
      <c r="H1373" s="470">
        <v>1366</v>
      </c>
      <c r="I1373" s="455">
        <f t="shared" ca="1" si="128"/>
        <v>-31461580.094951734</v>
      </c>
      <c r="J1373" s="455">
        <f t="array" ref="J1373">IFERROR(INDEX('Retirement Calculator'!J:J,MATCH('Isaac 401k'!N1373,'Retirement Calculator'!A:A,0),0),0)</f>
        <v>0</v>
      </c>
      <c r="K1373" s="455">
        <f t="shared" ca="1" si="126"/>
        <v>-131089.91706229889</v>
      </c>
      <c r="L1373" s="455">
        <f t="shared" ca="1" si="127"/>
        <v>-31592670.012014031</v>
      </c>
      <c r="M1373" s="471">
        <f t="shared" si="129"/>
        <v>0.05</v>
      </c>
      <c r="N1373" s="475">
        <f t="shared" si="130"/>
        <v>92833</v>
      </c>
    </row>
    <row r="1374" spans="7:14" ht="11.25" customHeight="1" x14ac:dyDescent="0.3">
      <c r="G1374" s="470"/>
      <c r="H1374" s="470">
        <v>1367</v>
      </c>
      <c r="I1374" s="455">
        <f t="shared" ca="1" si="128"/>
        <v>-31592670.012014031</v>
      </c>
      <c r="J1374" s="455">
        <f t="array" ref="J1374">IFERROR(INDEX('Retirement Calculator'!J:J,MATCH('Isaac 401k'!N1374,'Retirement Calculator'!A:A,0),0),0)</f>
        <v>0</v>
      </c>
      <c r="K1374" s="455">
        <f t="shared" ca="1" si="126"/>
        <v>-131636.12505005847</v>
      </c>
      <c r="L1374" s="455">
        <f t="shared" ca="1" si="127"/>
        <v>-31724306.137064088</v>
      </c>
      <c r="M1374" s="471">
        <f t="shared" si="129"/>
        <v>0.05</v>
      </c>
      <c r="N1374" s="475">
        <f t="shared" si="130"/>
        <v>92864</v>
      </c>
    </row>
    <row r="1375" spans="7:14" ht="11.25" customHeight="1" x14ac:dyDescent="0.3">
      <c r="G1375" s="470"/>
      <c r="H1375" s="470">
        <v>1368</v>
      </c>
      <c r="I1375" s="455">
        <f t="shared" ca="1" si="128"/>
        <v>-31724306.137064088</v>
      </c>
      <c r="J1375" s="455">
        <f t="array" ref="J1375">IFERROR(INDEX('Retirement Calculator'!J:J,MATCH('Isaac 401k'!N1375,'Retirement Calculator'!A:A,0),0),0)</f>
        <v>0</v>
      </c>
      <c r="K1375" s="455">
        <f t="shared" ca="1" si="126"/>
        <v>-132184.60890443367</v>
      </c>
      <c r="L1375" s="455">
        <f t="shared" ca="1" si="127"/>
        <v>-31856490.745968521</v>
      </c>
      <c r="M1375" s="471">
        <f t="shared" si="129"/>
        <v>0.05</v>
      </c>
      <c r="N1375" s="475">
        <f t="shared" si="130"/>
        <v>92894</v>
      </c>
    </row>
    <row r="1376" spans="7:14" ht="11.25" customHeight="1" x14ac:dyDescent="0.3">
      <c r="G1376" s="470"/>
      <c r="H1376" s="470">
        <v>1369</v>
      </c>
      <c r="I1376" s="455">
        <f t="shared" ca="1" si="128"/>
        <v>-31856490.745968521</v>
      </c>
      <c r="J1376" s="455">
        <f t="array" ref="J1376">IFERROR(INDEX('Retirement Calculator'!J:J,MATCH('Isaac 401k'!N1376,'Retirement Calculator'!A:A,0),0),0)</f>
        <v>0</v>
      </c>
      <c r="K1376" s="455">
        <f t="shared" ca="1" si="126"/>
        <v>-132735.37810820216</v>
      </c>
      <c r="L1376" s="455">
        <f t="shared" ca="1" si="127"/>
        <v>-31989226.124076724</v>
      </c>
      <c r="M1376" s="471">
        <f t="shared" si="129"/>
        <v>0.05</v>
      </c>
      <c r="N1376" s="475">
        <f t="shared" si="130"/>
        <v>92925</v>
      </c>
    </row>
    <row r="1377" spans="7:14" ht="11.25" customHeight="1" x14ac:dyDescent="0.3">
      <c r="G1377" s="470"/>
      <c r="H1377" s="470">
        <v>1370</v>
      </c>
      <c r="I1377" s="455">
        <f t="shared" ca="1" si="128"/>
        <v>-31989226.124076724</v>
      </c>
      <c r="J1377" s="455">
        <f t="array" ref="J1377">IFERROR(INDEX('Retirement Calculator'!J:J,MATCH('Isaac 401k'!N1377,'Retirement Calculator'!A:A,0),0),0)</f>
        <v>0</v>
      </c>
      <c r="K1377" s="455">
        <f t="shared" ca="1" si="126"/>
        <v>-133288.44218365301</v>
      </c>
      <c r="L1377" s="455">
        <f t="shared" ca="1" si="127"/>
        <v>-32122514.566260379</v>
      </c>
      <c r="M1377" s="471">
        <f t="shared" si="129"/>
        <v>0.05</v>
      </c>
      <c r="N1377" s="475">
        <f t="shared" si="130"/>
        <v>92955</v>
      </c>
    </row>
    <row r="1378" spans="7:14" ht="11.25" customHeight="1" x14ac:dyDescent="0.3">
      <c r="G1378" s="470"/>
      <c r="H1378" s="470">
        <v>1371</v>
      </c>
      <c r="I1378" s="455">
        <f t="shared" ca="1" si="128"/>
        <v>-32122514.566260379</v>
      </c>
      <c r="J1378" s="455">
        <f t="array" ref="J1378">IFERROR(INDEX('Retirement Calculator'!J:J,MATCH('Isaac 401k'!N1378,'Retirement Calculator'!A:A,0),0),0)</f>
        <v>0</v>
      </c>
      <c r="K1378" s="455">
        <f t="shared" ca="1" si="126"/>
        <v>-133843.81069275161</v>
      </c>
      <c r="L1378" s="455">
        <f t="shared" ca="1" si="127"/>
        <v>-32256358.376953129</v>
      </c>
      <c r="M1378" s="471">
        <f t="shared" si="129"/>
        <v>0.05</v>
      </c>
      <c r="N1378" s="475">
        <f t="shared" si="130"/>
        <v>92986</v>
      </c>
    </row>
    <row r="1379" spans="7:14" ht="11.25" customHeight="1" x14ac:dyDescent="0.3">
      <c r="G1379" s="470"/>
      <c r="H1379" s="470">
        <v>1372</v>
      </c>
      <c r="I1379" s="455">
        <f t="shared" ca="1" si="128"/>
        <v>-32256358.376953129</v>
      </c>
      <c r="J1379" s="455">
        <f t="array" ref="J1379">IFERROR(INDEX('Retirement Calculator'!J:J,MATCH('Isaac 401k'!N1379,'Retirement Calculator'!A:A,0),0),0)</f>
        <v>0</v>
      </c>
      <c r="K1379" s="455">
        <f t="shared" ca="1" si="126"/>
        <v>-134401.4932373047</v>
      </c>
      <c r="L1379" s="455">
        <f t="shared" ca="1" si="127"/>
        <v>-32390759.870190434</v>
      </c>
      <c r="M1379" s="471">
        <f t="shared" si="129"/>
        <v>0.05</v>
      </c>
      <c r="N1379" s="475">
        <f t="shared" si="130"/>
        <v>93017</v>
      </c>
    </row>
    <row r="1380" spans="7:14" ht="11.25" customHeight="1" x14ac:dyDescent="0.3">
      <c r="G1380" s="470"/>
      <c r="H1380" s="470">
        <v>1373</v>
      </c>
      <c r="I1380" s="455">
        <f t="shared" ca="1" si="128"/>
        <v>-32390759.870190434</v>
      </c>
      <c r="J1380" s="455">
        <f t="array" ref="J1380">IFERROR(INDEX('Retirement Calculator'!J:J,MATCH('Isaac 401k'!N1380,'Retirement Calculator'!A:A,0),0),0)</f>
        <v>0</v>
      </c>
      <c r="K1380" s="455">
        <f t="shared" ca="1" si="126"/>
        <v>-134961.49945912682</v>
      </c>
      <c r="L1380" s="455">
        <f t="shared" ca="1" si="127"/>
        <v>-32525721.369649559</v>
      </c>
      <c r="M1380" s="471">
        <f t="shared" si="129"/>
        <v>0.05</v>
      </c>
      <c r="N1380" s="475">
        <f t="shared" si="130"/>
        <v>93047</v>
      </c>
    </row>
    <row r="1381" spans="7:14" ht="11.25" customHeight="1" x14ac:dyDescent="0.3">
      <c r="G1381" s="470"/>
      <c r="H1381" s="470">
        <v>1374</v>
      </c>
      <c r="I1381" s="455">
        <f t="shared" ca="1" si="128"/>
        <v>-32525721.369649559</v>
      </c>
      <c r="J1381" s="455">
        <f t="array" ref="J1381">IFERROR(INDEX('Retirement Calculator'!J:J,MATCH('Isaac 401k'!N1381,'Retirement Calculator'!A:A,0),0),0)</f>
        <v>0</v>
      </c>
      <c r="K1381" s="455">
        <f t="shared" ca="1" si="126"/>
        <v>-135523.83904020648</v>
      </c>
      <c r="L1381" s="455">
        <f t="shared" ca="1" si="127"/>
        <v>-32661245.208689764</v>
      </c>
      <c r="M1381" s="471">
        <f t="shared" si="129"/>
        <v>0.05</v>
      </c>
      <c r="N1381" s="475">
        <f t="shared" si="130"/>
        <v>93078</v>
      </c>
    </row>
    <row r="1382" spans="7:14" ht="11.25" customHeight="1" x14ac:dyDescent="0.3">
      <c r="G1382" s="470"/>
      <c r="H1382" s="470">
        <v>1375</v>
      </c>
      <c r="I1382" s="455">
        <f t="shared" ca="1" si="128"/>
        <v>-32661245.208689764</v>
      </c>
      <c r="J1382" s="455">
        <f t="array" ref="J1382">IFERROR(INDEX('Retirement Calculator'!J:J,MATCH('Isaac 401k'!N1382,'Retirement Calculator'!A:A,0),0),0)</f>
        <v>0</v>
      </c>
      <c r="K1382" s="455">
        <f t="shared" ca="1" si="126"/>
        <v>-136088.52170287402</v>
      </c>
      <c r="L1382" s="455">
        <f t="shared" ca="1" si="127"/>
        <v>-32797333.730392639</v>
      </c>
      <c r="M1382" s="471">
        <f t="shared" si="129"/>
        <v>0.05</v>
      </c>
      <c r="N1382" s="475">
        <f t="shared" si="130"/>
        <v>93108</v>
      </c>
    </row>
    <row r="1383" spans="7:14" ht="11.25" customHeight="1" x14ac:dyDescent="0.3">
      <c r="G1383" s="470"/>
      <c r="H1383" s="470">
        <v>1376</v>
      </c>
      <c r="I1383" s="455">
        <f t="shared" ca="1" si="128"/>
        <v>-32797333.730392639</v>
      </c>
      <c r="J1383" s="455">
        <f t="array" ref="J1383">IFERROR(INDEX('Retirement Calculator'!J:J,MATCH('Isaac 401k'!N1383,'Retirement Calculator'!A:A,0),0),0)</f>
        <v>0</v>
      </c>
      <c r="K1383" s="455">
        <f t="shared" ca="1" si="126"/>
        <v>-136655.55720996935</v>
      </c>
      <c r="L1383" s="455">
        <f t="shared" ca="1" si="127"/>
        <v>-32933989.287602607</v>
      </c>
      <c r="M1383" s="471">
        <f t="shared" si="129"/>
        <v>0.05</v>
      </c>
      <c r="N1383" s="475">
        <f t="shared" si="130"/>
        <v>93139</v>
      </c>
    </row>
    <row r="1384" spans="7:14" ht="11.25" customHeight="1" x14ac:dyDescent="0.3">
      <c r="G1384" s="470"/>
      <c r="H1384" s="470">
        <v>1377</v>
      </c>
      <c r="I1384" s="455">
        <f t="shared" ca="1" si="128"/>
        <v>-32933989.287602607</v>
      </c>
      <c r="J1384" s="455">
        <f t="array" ref="J1384">IFERROR(INDEX('Retirement Calculator'!J:J,MATCH('Isaac 401k'!N1384,'Retirement Calculator'!A:A,0),0),0)</f>
        <v>0</v>
      </c>
      <c r="K1384" s="455">
        <f t="shared" ca="1" si="126"/>
        <v>-137224.95536501086</v>
      </c>
      <c r="L1384" s="455">
        <f t="shared" ca="1" si="127"/>
        <v>-33071214.242967617</v>
      </c>
      <c r="M1384" s="471">
        <f t="shared" si="129"/>
        <v>0.05</v>
      </c>
      <c r="N1384" s="475">
        <f t="shared" si="130"/>
        <v>93170</v>
      </c>
    </row>
    <row r="1385" spans="7:14" ht="11.25" customHeight="1" x14ac:dyDescent="0.3">
      <c r="G1385" s="470"/>
      <c r="H1385" s="470">
        <v>1378</v>
      </c>
      <c r="I1385" s="455">
        <f t="shared" ca="1" si="128"/>
        <v>-33071214.242967617</v>
      </c>
      <c r="J1385" s="455">
        <f t="array" ref="J1385">IFERROR(INDEX('Retirement Calculator'!J:J,MATCH('Isaac 401k'!N1385,'Retirement Calculator'!A:A,0),0),0)</f>
        <v>0</v>
      </c>
      <c r="K1385" s="455">
        <f t="shared" ca="1" si="126"/>
        <v>-137796.72601236508</v>
      </c>
      <c r="L1385" s="455">
        <f t="shared" ca="1" si="127"/>
        <v>-33209010.968979981</v>
      </c>
      <c r="M1385" s="471">
        <f t="shared" si="129"/>
        <v>0.05</v>
      </c>
      <c r="N1385" s="475">
        <f t="shared" si="130"/>
        <v>93198</v>
      </c>
    </row>
    <row r="1386" spans="7:14" ht="11.25" customHeight="1" x14ac:dyDescent="0.3">
      <c r="G1386" s="470"/>
      <c r="H1386" s="470">
        <v>1379</v>
      </c>
      <c r="I1386" s="455">
        <f t="shared" ca="1" si="128"/>
        <v>-33209010.968979981</v>
      </c>
      <c r="J1386" s="455">
        <f t="array" ref="J1386">IFERROR(INDEX('Retirement Calculator'!J:J,MATCH('Isaac 401k'!N1386,'Retirement Calculator'!A:A,0),0),0)</f>
        <v>0</v>
      </c>
      <c r="K1386" s="455">
        <f t="shared" ca="1" si="126"/>
        <v>-138370.8790374166</v>
      </c>
      <c r="L1386" s="455">
        <f t="shared" ca="1" si="127"/>
        <v>-33347381.848017398</v>
      </c>
      <c r="M1386" s="471">
        <f t="shared" si="129"/>
        <v>0.05</v>
      </c>
      <c r="N1386" s="475">
        <f t="shared" si="130"/>
        <v>93229</v>
      </c>
    </row>
    <row r="1387" spans="7:14" ht="11.25" customHeight="1" x14ac:dyDescent="0.3">
      <c r="G1387" s="470"/>
      <c r="H1387" s="470">
        <v>1380</v>
      </c>
      <c r="I1387" s="455">
        <f t="shared" ca="1" si="128"/>
        <v>-33347381.848017398</v>
      </c>
      <c r="J1387" s="455">
        <f t="array" ref="J1387">IFERROR(INDEX('Retirement Calculator'!J:J,MATCH('Isaac 401k'!N1387,'Retirement Calculator'!A:A,0),0),0)</f>
        <v>0</v>
      </c>
      <c r="K1387" s="455">
        <f t="shared" ca="1" si="126"/>
        <v>-138947.42436673917</v>
      </c>
      <c r="L1387" s="455">
        <f t="shared" ca="1" si="127"/>
        <v>-33486329.272384137</v>
      </c>
      <c r="M1387" s="471">
        <f t="shared" si="129"/>
        <v>0.05</v>
      </c>
      <c r="N1387" s="475">
        <f t="shared" si="130"/>
        <v>93259</v>
      </c>
    </row>
    <row r="1388" spans="7:14" ht="11.25" customHeight="1" x14ac:dyDescent="0.3">
      <c r="G1388" s="470"/>
      <c r="H1388" s="470">
        <v>1381</v>
      </c>
      <c r="I1388" s="455">
        <f t="shared" ca="1" si="128"/>
        <v>-33486329.272384137</v>
      </c>
      <c r="J1388" s="455">
        <f t="array" ref="J1388">IFERROR(INDEX('Retirement Calculator'!J:J,MATCH('Isaac 401k'!N1388,'Retirement Calculator'!A:A,0),0),0)</f>
        <v>0</v>
      </c>
      <c r="K1388" s="455">
        <f t="shared" ca="1" si="126"/>
        <v>-139526.37196826722</v>
      </c>
      <c r="L1388" s="455">
        <f t="shared" ca="1" si="127"/>
        <v>-33625855.644352406</v>
      </c>
      <c r="M1388" s="471">
        <f t="shared" si="129"/>
        <v>0.05</v>
      </c>
      <c r="N1388" s="475">
        <f t="shared" si="130"/>
        <v>93290</v>
      </c>
    </row>
    <row r="1389" spans="7:14" ht="11.25" customHeight="1" x14ac:dyDescent="0.3">
      <c r="G1389" s="470"/>
      <c r="H1389" s="470">
        <v>1382</v>
      </c>
      <c r="I1389" s="455">
        <f t="shared" ca="1" si="128"/>
        <v>-33625855.644352406</v>
      </c>
      <c r="J1389" s="455">
        <f t="array" ref="J1389">IFERROR(INDEX('Retirement Calculator'!J:J,MATCH('Isaac 401k'!N1389,'Retirement Calculator'!A:A,0),0),0)</f>
        <v>0</v>
      </c>
      <c r="K1389" s="455">
        <f t="shared" ca="1" si="126"/>
        <v>-140107.73185146836</v>
      </c>
      <c r="L1389" s="455">
        <f t="shared" ca="1" si="127"/>
        <v>-33765963.376203872</v>
      </c>
      <c r="M1389" s="471">
        <f t="shared" si="129"/>
        <v>0.05</v>
      </c>
      <c r="N1389" s="475">
        <f t="shared" si="130"/>
        <v>93320</v>
      </c>
    </row>
    <row r="1390" spans="7:14" ht="11.25" customHeight="1" x14ac:dyDescent="0.3">
      <c r="G1390" s="470"/>
      <c r="H1390" s="470">
        <v>1383</v>
      </c>
      <c r="I1390" s="455">
        <f t="shared" ca="1" si="128"/>
        <v>-33765963.376203872</v>
      </c>
      <c r="J1390" s="455">
        <f t="array" ref="J1390">IFERROR(INDEX('Retirement Calculator'!J:J,MATCH('Isaac 401k'!N1390,'Retirement Calculator'!A:A,0),0),0)</f>
        <v>0</v>
      </c>
      <c r="K1390" s="455">
        <f t="shared" ca="1" si="126"/>
        <v>-140691.51406751614</v>
      </c>
      <c r="L1390" s="455">
        <f t="shared" ca="1" si="127"/>
        <v>-33906654.890271388</v>
      </c>
      <c r="M1390" s="471">
        <f t="shared" si="129"/>
        <v>0.05</v>
      </c>
      <c r="N1390" s="475">
        <f t="shared" si="130"/>
        <v>93351</v>
      </c>
    </row>
    <row r="1391" spans="7:14" ht="11.25" customHeight="1" x14ac:dyDescent="0.3">
      <c r="G1391" s="470"/>
      <c r="H1391" s="470">
        <v>1384</v>
      </c>
      <c r="I1391" s="455">
        <f t="shared" ca="1" si="128"/>
        <v>-33906654.890271388</v>
      </c>
      <c r="J1391" s="455">
        <f t="array" ref="J1391">IFERROR(INDEX('Retirement Calculator'!J:J,MATCH('Isaac 401k'!N1391,'Retirement Calculator'!A:A,0),0),0)</f>
        <v>0</v>
      </c>
      <c r="K1391" s="455">
        <f t="shared" ca="1" si="126"/>
        <v>-141277.72870946411</v>
      </c>
      <c r="L1391" s="455">
        <f t="shared" ca="1" si="127"/>
        <v>-34047932.618980855</v>
      </c>
      <c r="M1391" s="471">
        <f t="shared" si="129"/>
        <v>0.05</v>
      </c>
      <c r="N1391" s="475">
        <f t="shared" si="130"/>
        <v>93382</v>
      </c>
    </row>
    <row r="1392" spans="7:14" ht="11.25" customHeight="1" x14ac:dyDescent="0.3">
      <c r="G1392" s="470"/>
      <c r="H1392" s="470">
        <v>1385</v>
      </c>
      <c r="I1392" s="455">
        <f t="shared" ca="1" si="128"/>
        <v>-34047932.618980855</v>
      </c>
      <c r="J1392" s="455">
        <f t="array" ref="J1392">IFERROR(INDEX('Retirement Calculator'!J:J,MATCH('Isaac 401k'!N1392,'Retirement Calculator'!A:A,0),0),0)</f>
        <v>0</v>
      </c>
      <c r="K1392" s="455">
        <f t="shared" ca="1" si="126"/>
        <v>-141866.38591242023</v>
      </c>
      <c r="L1392" s="455">
        <f t="shared" ca="1" si="127"/>
        <v>-34189799.004893273</v>
      </c>
      <c r="M1392" s="471">
        <f t="shared" si="129"/>
        <v>0.05</v>
      </c>
      <c r="N1392" s="475">
        <f t="shared" si="130"/>
        <v>93412</v>
      </c>
    </row>
    <row r="1393" spans="7:14" ht="11.25" customHeight="1" x14ac:dyDescent="0.3">
      <c r="G1393" s="470"/>
      <c r="H1393" s="470">
        <v>1386</v>
      </c>
      <c r="I1393" s="455">
        <f t="shared" ca="1" si="128"/>
        <v>-34189799.004893273</v>
      </c>
      <c r="J1393" s="455">
        <f t="array" ref="J1393">IFERROR(INDEX('Retirement Calculator'!J:J,MATCH('Isaac 401k'!N1393,'Retirement Calculator'!A:A,0),0),0)</f>
        <v>0</v>
      </c>
      <c r="K1393" s="455">
        <f t="shared" ca="1" si="126"/>
        <v>-142457.49585372198</v>
      </c>
      <c r="L1393" s="455">
        <f t="shared" ca="1" si="127"/>
        <v>-34332256.500746995</v>
      </c>
      <c r="M1393" s="471">
        <f t="shared" si="129"/>
        <v>0.05</v>
      </c>
      <c r="N1393" s="475">
        <f t="shared" si="130"/>
        <v>93443</v>
      </c>
    </row>
    <row r="1394" spans="7:14" ht="11.25" customHeight="1" x14ac:dyDescent="0.3">
      <c r="G1394" s="470"/>
      <c r="H1394" s="470">
        <v>1387</v>
      </c>
      <c r="I1394" s="455">
        <f t="shared" ca="1" si="128"/>
        <v>-34332256.500746995</v>
      </c>
      <c r="J1394" s="455">
        <f t="array" ref="J1394">IFERROR(INDEX('Retirement Calculator'!J:J,MATCH('Isaac 401k'!N1394,'Retirement Calculator'!A:A,0),0),0)</f>
        <v>0</v>
      </c>
      <c r="K1394" s="455">
        <f t="shared" ca="1" si="126"/>
        <v>-143051.06875311249</v>
      </c>
      <c r="L1394" s="455">
        <f t="shared" ca="1" si="127"/>
        <v>-34475307.569500111</v>
      </c>
      <c r="M1394" s="471">
        <f t="shared" si="129"/>
        <v>0.05</v>
      </c>
      <c r="N1394" s="475">
        <f t="shared" si="130"/>
        <v>93473</v>
      </c>
    </row>
    <row r="1395" spans="7:14" ht="11.25" customHeight="1" x14ac:dyDescent="0.3">
      <c r="G1395" s="470"/>
      <c r="H1395" s="470">
        <v>1388</v>
      </c>
      <c r="I1395" s="455">
        <f t="shared" ca="1" si="128"/>
        <v>-34475307.569500111</v>
      </c>
      <c r="J1395" s="455">
        <f t="array" ref="J1395">IFERROR(INDEX('Retirement Calculator'!J:J,MATCH('Isaac 401k'!N1395,'Retirement Calculator'!A:A,0),0),0)</f>
        <v>0</v>
      </c>
      <c r="K1395" s="455">
        <f t="shared" ca="1" si="126"/>
        <v>-143647.11487291713</v>
      </c>
      <c r="L1395" s="455">
        <f t="shared" ca="1" si="127"/>
        <v>-34618954.684373029</v>
      </c>
      <c r="M1395" s="471">
        <f t="shared" si="129"/>
        <v>0.05</v>
      </c>
      <c r="N1395" s="475">
        <f t="shared" si="130"/>
        <v>93504</v>
      </c>
    </row>
    <row r="1396" spans="7:14" ht="11.25" customHeight="1" x14ac:dyDescent="0.3">
      <c r="G1396" s="470"/>
      <c r="H1396" s="470">
        <v>1389</v>
      </c>
      <c r="I1396" s="455">
        <f t="shared" ca="1" si="128"/>
        <v>-34618954.684373029</v>
      </c>
      <c r="J1396" s="455">
        <f t="array" ref="J1396">IFERROR(INDEX('Retirement Calculator'!J:J,MATCH('Isaac 401k'!N1396,'Retirement Calculator'!A:A,0),0),0)</f>
        <v>0</v>
      </c>
      <c r="K1396" s="455">
        <f t="shared" ca="1" si="126"/>
        <v>-144245.64451822094</v>
      </c>
      <c r="L1396" s="455">
        <f t="shared" ca="1" si="127"/>
        <v>-34763200.328891248</v>
      </c>
      <c r="M1396" s="471">
        <f t="shared" si="129"/>
        <v>0.05</v>
      </c>
      <c r="N1396" s="475">
        <f t="shared" si="130"/>
        <v>93535</v>
      </c>
    </row>
    <row r="1397" spans="7:14" ht="11.25" customHeight="1" x14ac:dyDescent="0.3">
      <c r="G1397" s="470"/>
      <c r="H1397" s="470">
        <v>1390</v>
      </c>
      <c r="I1397" s="455">
        <f t="shared" ca="1" si="128"/>
        <v>-34763200.328891248</v>
      </c>
      <c r="J1397" s="455">
        <f t="array" ref="J1397">IFERROR(INDEX('Retirement Calculator'!J:J,MATCH('Isaac 401k'!N1397,'Retirement Calculator'!A:A,0),0),0)</f>
        <v>0</v>
      </c>
      <c r="K1397" s="455">
        <f t="shared" ca="1" si="126"/>
        <v>-144846.66803704685</v>
      </c>
      <c r="L1397" s="455">
        <f t="shared" ca="1" si="127"/>
        <v>-34908046.996928297</v>
      </c>
      <c r="M1397" s="471">
        <f t="shared" si="129"/>
        <v>0.05</v>
      </c>
      <c r="N1397" s="475">
        <f t="shared" si="130"/>
        <v>93564</v>
      </c>
    </row>
    <row r="1398" spans="7:14" ht="11.25" customHeight="1" x14ac:dyDescent="0.3">
      <c r="G1398" s="470"/>
      <c r="H1398" s="470">
        <v>1391</v>
      </c>
      <c r="I1398" s="455">
        <f t="shared" ca="1" si="128"/>
        <v>-34908046.996928297</v>
      </c>
      <c r="J1398" s="455">
        <f t="array" ref="J1398">IFERROR(INDEX('Retirement Calculator'!J:J,MATCH('Isaac 401k'!N1398,'Retirement Calculator'!A:A,0),0),0)</f>
        <v>0</v>
      </c>
      <c r="K1398" s="455">
        <f t="shared" ca="1" si="126"/>
        <v>-145450.19582053457</v>
      </c>
      <c r="L1398" s="455">
        <f t="shared" ca="1" si="127"/>
        <v>-35053497.19274883</v>
      </c>
      <c r="M1398" s="471">
        <f t="shared" si="129"/>
        <v>0.05</v>
      </c>
      <c r="N1398" s="475">
        <f t="shared" si="130"/>
        <v>93595</v>
      </c>
    </row>
    <row r="1399" spans="7:14" ht="11.25" customHeight="1" x14ac:dyDescent="0.3">
      <c r="G1399" s="470"/>
      <c r="H1399" s="470">
        <v>1392</v>
      </c>
      <c r="I1399" s="455">
        <f t="shared" ca="1" si="128"/>
        <v>-35053497.19274883</v>
      </c>
      <c r="J1399" s="455">
        <f t="array" ref="J1399">IFERROR(INDEX('Retirement Calculator'!J:J,MATCH('Isaac 401k'!N1399,'Retirement Calculator'!A:A,0),0),0)</f>
        <v>0</v>
      </c>
      <c r="K1399" s="455">
        <f t="shared" ca="1" si="126"/>
        <v>-146056.23830312013</v>
      </c>
      <c r="L1399" s="455">
        <f t="shared" ca="1" si="127"/>
        <v>-35199553.431051947</v>
      </c>
      <c r="M1399" s="471">
        <f t="shared" si="129"/>
        <v>0.05</v>
      </c>
      <c r="N1399" s="475">
        <f t="shared" si="130"/>
        <v>93625</v>
      </c>
    </row>
    <row r="1400" spans="7:14" ht="11.25" customHeight="1" x14ac:dyDescent="0.3">
      <c r="G1400" s="470"/>
      <c r="H1400" s="470">
        <v>1393</v>
      </c>
      <c r="I1400" s="455">
        <f t="shared" ca="1" si="128"/>
        <v>-35199553.431051947</v>
      </c>
      <c r="J1400" s="455">
        <f t="array" ref="J1400">IFERROR(INDEX('Retirement Calculator'!J:J,MATCH('Isaac 401k'!N1400,'Retirement Calculator'!A:A,0),0),0)</f>
        <v>0</v>
      </c>
      <c r="K1400" s="455">
        <f t="shared" ca="1" si="126"/>
        <v>-146664.80596271643</v>
      </c>
      <c r="L1400" s="455">
        <f t="shared" ca="1" si="127"/>
        <v>-35346218.237014666</v>
      </c>
      <c r="M1400" s="471">
        <f t="shared" si="129"/>
        <v>0.05</v>
      </c>
      <c r="N1400" s="475">
        <f t="shared" si="130"/>
        <v>93656</v>
      </c>
    </row>
    <row r="1401" spans="7:14" ht="11.25" customHeight="1" x14ac:dyDescent="0.3">
      <c r="G1401" s="470"/>
      <c r="H1401" s="470">
        <v>1394</v>
      </c>
      <c r="I1401" s="455">
        <f t="shared" ca="1" si="128"/>
        <v>-35346218.237014666</v>
      </c>
      <c r="J1401" s="455">
        <f t="array" ref="J1401">IFERROR(INDEX('Retirement Calculator'!J:J,MATCH('Isaac 401k'!N1401,'Retirement Calculator'!A:A,0),0),0)</f>
        <v>0</v>
      </c>
      <c r="K1401" s="455">
        <f t="shared" ca="1" si="126"/>
        <v>-147275.90932089445</v>
      </c>
      <c r="L1401" s="455">
        <f t="shared" ca="1" si="127"/>
        <v>-35493494.146335557</v>
      </c>
      <c r="M1401" s="471">
        <f t="shared" si="129"/>
        <v>0.05</v>
      </c>
      <c r="N1401" s="475">
        <f t="shared" si="130"/>
        <v>93686</v>
      </c>
    </row>
    <row r="1402" spans="7:14" ht="11.25" customHeight="1" x14ac:dyDescent="0.3">
      <c r="G1402" s="470"/>
      <c r="H1402" s="470">
        <v>1395</v>
      </c>
      <c r="I1402" s="455">
        <f t="shared" ca="1" si="128"/>
        <v>-35493494.146335557</v>
      </c>
      <c r="J1402" s="455">
        <f t="array" ref="J1402">IFERROR(INDEX('Retirement Calculator'!J:J,MATCH('Isaac 401k'!N1402,'Retirement Calculator'!A:A,0),0),0)</f>
        <v>0</v>
      </c>
      <c r="K1402" s="455">
        <f t="shared" ca="1" si="126"/>
        <v>-147889.55894306483</v>
      </c>
      <c r="L1402" s="455">
        <f t="shared" ca="1" si="127"/>
        <v>-35641383.70527862</v>
      </c>
      <c r="M1402" s="471">
        <f t="shared" si="129"/>
        <v>0.05</v>
      </c>
      <c r="N1402" s="475">
        <f t="shared" si="130"/>
        <v>93717</v>
      </c>
    </row>
    <row r="1403" spans="7:14" ht="11.25" customHeight="1" x14ac:dyDescent="0.3">
      <c r="G1403" s="470"/>
      <c r="H1403" s="470">
        <v>1396</v>
      </c>
      <c r="I1403" s="455">
        <f t="shared" ca="1" si="128"/>
        <v>-35641383.70527862</v>
      </c>
      <c r="J1403" s="455">
        <f t="array" ref="J1403">IFERROR(INDEX('Retirement Calculator'!J:J,MATCH('Isaac 401k'!N1403,'Retirement Calculator'!A:A,0),0),0)</f>
        <v>0</v>
      </c>
      <c r="K1403" s="455">
        <f t="shared" ca="1" si="126"/>
        <v>-148505.76543866092</v>
      </c>
      <c r="L1403" s="455">
        <f t="shared" ca="1" si="127"/>
        <v>-35789889.470717281</v>
      </c>
      <c r="M1403" s="471">
        <f t="shared" si="129"/>
        <v>0.05</v>
      </c>
      <c r="N1403" s="475">
        <f t="shared" si="130"/>
        <v>93748</v>
      </c>
    </row>
    <row r="1404" spans="7:14" ht="11.25" customHeight="1" x14ac:dyDescent="0.3">
      <c r="G1404" s="470"/>
      <c r="H1404" s="470">
        <v>1397</v>
      </c>
      <c r="I1404" s="455">
        <f t="shared" ca="1" si="128"/>
        <v>-35789889.470717281</v>
      </c>
      <c r="J1404" s="455">
        <f t="array" ref="J1404">IFERROR(INDEX('Retirement Calculator'!J:J,MATCH('Isaac 401k'!N1404,'Retirement Calculator'!A:A,0),0),0)</f>
        <v>0</v>
      </c>
      <c r="K1404" s="455">
        <f t="shared" ca="1" si="126"/>
        <v>-149124.53946132201</v>
      </c>
      <c r="L1404" s="455">
        <f t="shared" ca="1" si="127"/>
        <v>-35939014.010178603</v>
      </c>
      <c r="M1404" s="471">
        <f t="shared" si="129"/>
        <v>0.05</v>
      </c>
      <c r="N1404" s="475">
        <f t="shared" si="130"/>
        <v>93778</v>
      </c>
    </row>
    <row r="1405" spans="7:14" ht="11.25" customHeight="1" x14ac:dyDescent="0.3">
      <c r="G1405" s="470"/>
      <c r="H1405" s="470">
        <v>1398</v>
      </c>
      <c r="I1405" s="455">
        <f t="shared" ca="1" si="128"/>
        <v>-35939014.010178603</v>
      </c>
      <c r="J1405" s="455">
        <f t="array" ref="J1405">IFERROR(INDEX('Retirement Calculator'!J:J,MATCH('Isaac 401k'!N1405,'Retirement Calculator'!A:A,0),0),0)</f>
        <v>0</v>
      </c>
      <c r="K1405" s="455">
        <f t="shared" ca="1" si="126"/>
        <v>-149745.89170907752</v>
      </c>
      <c r="L1405" s="455">
        <f t="shared" ca="1" si="127"/>
        <v>-36088759.901887678</v>
      </c>
      <c r="M1405" s="471">
        <f t="shared" si="129"/>
        <v>0.05</v>
      </c>
      <c r="N1405" s="475">
        <f t="shared" si="130"/>
        <v>93809</v>
      </c>
    </row>
    <row r="1406" spans="7:14" ht="11.25" customHeight="1" x14ac:dyDescent="0.3">
      <c r="G1406" s="470"/>
      <c r="H1406" s="470">
        <v>1399</v>
      </c>
      <c r="I1406" s="455">
        <f t="shared" ca="1" si="128"/>
        <v>-36088759.901887678</v>
      </c>
      <c r="J1406" s="455">
        <f t="array" ref="J1406">IFERROR(INDEX('Retirement Calculator'!J:J,MATCH('Isaac 401k'!N1406,'Retirement Calculator'!A:A,0),0),0)</f>
        <v>0</v>
      </c>
      <c r="K1406" s="455">
        <f t="shared" ca="1" si="126"/>
        <v>-150369.83292453198</v>
      </c>
      <c r="L1406" s="455">
        <f t="shared" ca="1" si="127"/>
        <v>-36239129.734812208</v>
      </c>
      <c r="M1406" s="471">
        <f t="shared" si="129"/>
        <v>0.05</v>
      </c>
      <c r="N1406" s="475">
        <f t="shared" si="130"/>
        <v>93839</v>
      </c>
    </row>
    <row r="1407" spans="7:14" ht="11.25" customHeight="1" x14ac:dyDescent="0.3">
      <c r="G1407" s="470"/>
      <c r="H1407" s="470">
        <v>1400</v>
      </c>
      <c r="I1407" s="455">
        <f t="shared" ca="1" si="128"/>
        <v>-36239129.734812208</v>
      </c>
      <c r="J1407" s="455">
        <f t="array" ref="J1407">IFERROR(INDEX('Retirement Calculator'!J:J,MATCH('Isaac 401k'!N1407,'Retirement Calculator'!A:A,0),0),0)</f>
        <v>0</v>
      </c>
      <c r="K1407" s="455">
        <f t="shared" ca="1" si="126"/>
        <v>-150996.37389505087</v>
      </c>
      <c r="L1407" s="455">
        <f t="shared" ca="1" si="127"/>
        <v>-36390126.108707257</v>
      </c>
      <c r="M1407" s="471">
        <f t="shared" si="129"/>
        <v>0.05</v>
      </c>
      <c r="N1407" s="475">
        <f t="shared" si="130"/>
        <v>93870</v>
      </c>
    </row>
    <row r="1408" spans="7:14" ht="11.25" customHeight="1" x14ac:dyDescent="0.3">
      <c r="G1408" s="470"/>
      <c r="H1408" s="470">
        <v>1401</v>
      </c>
      <c r="I1408" s="455">
        <f t="shared" ca="1" si="128"/>
        <v>-36390126.108707257</v>
      </c>
      <c r="J1408" s="455">
        <f t="array" ref="J1408">IFERROR(INDEX('Retirement Calculator'!J:J,MATCH('Isaac 401k'!N1408,'Retirement Calculator'!A:A,0),0),0)</f>
        <v>0</v>
      </c>
      <c r="K1408" s="455">
        <f t="shared" ca="1" si="126"/>
        <v>-151625.52545294689</v>
      </c>
      <c r="L1408" s="455">
        <f t="shared" ca="1" si="127"/>
        <v>-36541751.634160206</v>
      </c>
      <c r="M1408" s="471">
        <f t="shared" si="129"/>
        <v>0.05</v>
      </c>
      <c r="N1408" s="475">
        <f t="shared" si="130"/>
        <v>93901</v>
      </c>
    </row>
    <row r="1409" spans="7:14" ht="11.25" customHeight="1" x14ac:dyDescent="0.3">
      <c r="G1409" s="470"/>
      <c r="H1409" s="470">
        <v>1402</v>
      </c>
      <c r="I1409" s="455">
        <f t="shared" ca="1" si="128"/>
        <v>-36541751.634160206</v>
      </c>
      <c r="J1409" s="455">
        <f t="array" ref="J1409">IFERROR(INDEX('Retirement Calculator'!J:J,MATCH('Isaac 401k'!N1409,'Retirement Calculator'!A:A,0),0),0)</f>
        <v>0</v>
      </c>
      <c r="K1409" s="455">
        <f t="shared" ca="1" si="126"/>
        <v>-152257.29847566751</v>
      </c>
      <c r="L1409" s="455">
        <f t="shared" ca="1" si="127"/>
        <v>-36694008.932635874</v>
      </c>
      <c r="M1409" s="471">
        <f t="shared" si="129"/>
        <v>0.05</v>
      </c>
      <c r="N1409" s="475">
        <f t="shared" si="130"/>
        <v>93929</v>
      </c>
    </row>
    <row r="1410" spans="7:14" ht="11.25" customHeight="1" x14ac:dyDescent="0.3">
      <c r="G1410" s="470"/>
      <c r="H1410" s="470">
        <v>1403</v>
      </c>
      <c r="I1410" s="455">
        <f t="shared" ca="1" si="128"/>
        <v>-36694008.932635874</v>
      </c>
      <c r="J1410" s="455">
        <f t="array" ref="J1410">IFERROR(INDEX('Retirement Calculator'!J:J,MATCH('Isaac 401k'!N1410,'Retirement Calculator'!A:A,0),0),0)</f>
        <v>0</v>
      </c>
      <c r="K1410" s="455">
        <f t="shared" ca="1" si="126"/>
        <v>-152891.7038859828</v>
      </c>
      <c r="L1410" s="455">
        <f t="shared" ca="1" si="127"/>
        <v>-36846900.636521854</v>
      </c>
      <c r="M1410" s="471">
        <f t="shared" si="129"/>
        <v>0.05</v>
      </c>
      <c r="N1410" s="475">
        <f t="shared" si="130"/>
        <v>93960</v>
      </c>
    </row>
    <row r="1411" spans="7:14" ht="11.25" customHeight="1" x14ac:dyDescent="0.3">
      <c r="G1411" s="470"/>
      <c r="H1411" s="470">
        <v>1404</v>
      </c>
      <c r="I1411" s="455">
        <f t="shared" ca="1" si="128"/>
        <v>-36846900.636521854</v>
      </c>
      <c r="J1411" s="455">
        <f t="array" ref="J1411">IFERROR(INDEX('Retirement Calculator'!J:J,MATCH('Isaac 401k'!N1411,'Retirement Calculator'!A:A,0),0),0)</f>
        <v>0</v>
      </c>
      <c r="K1411" s="455">
        <f t="shared" ca="1" si="126"/>
        <v>-153528.75265217439</v>
      </c>
      <c r="L1411" s="455">
        <f t="shared" ca="1" si="127"/>
        <v>-37000429.389174029</v>
      </c>
      <c r="M1411" s="471">
        <f t="shared" si="129"/>
        <v>0.05</v>
      </c>
      <c r="N1411" s="475">
        <f t="shared" si="130"/>
        <v>93990</v>
      </c>
    </row>
    <row r="1412" spans="7:14" ht="11.25" customHeight="1" x14ac:dyDescent="0.3">
      <c r="G1412" s="470"/>
      <c r="H1412" s="470">
        <v>1405</v>
      </c>
      <c r="I1412" s="455">
        <f t="shared" ca="1" si="128"/>
        <v>-37000429.389174029</v>
      </c>
      <c r="J1412" s="455">
        <f t="array" ref="J1412">IFERROR(INDEX('Retirement Calculator'!J:J,MATCH('Isaac 401k'!N1412,'Retirement Calculator'!A:A,0),0),0)</f>
        <v>0</v>
      </c>
      <c r="K1412" s="455">
        <f t="shared" ca="1" si="126"/>
        <v>-154168.45578822511</v>
      </c>
      <c r="L1412" s="455">
        <f t="shared" ca="1" si="127"/>
        <v>-37154597.844962254</v>
      </c>
      <c r="M1412" s="471">
        <f t="shared" si="129"/>
        <v>0.05</v>
      </c>
      <c r="N1412" s="475">
        <f t="shared" si="130"/>
        <v>94021</v>
      </c>
    </row>
    <row r="1413" spans="7:14" ht="11.25" customHeight="1" x14ac:dyDescent="0.3">
      <c r="G1413" s="470"/>
      <c r="H1413" s="470">
        <v>1406</v>
      </c>
      <c r="I1413" s="455">
        <f t="shared" ca="1" si="128"/>
        <v>-37154597.844962254</v>
      </c>
      <c r="J1413" s="455">
        <f t="array" ref="J1413">IFERROR(INDEX('Retirement Calculator'!J:J,MATCH('Isaac 401k'!N1413,'Retirement Calculator'!A:A,0),0),0)</f>
        <v>0</v>
      </c>
      <c r="K1413" s="455">
        <f t="shared" ca="1" si="126"/>
        <v>-154810.82435400938</v>
      </c>
      <c r="L1413" s="455">
        <f t="shared" ca="1" si="127"/>
        <v>-37309408.669316262</v>
      </c>
      <c r="M1413" s="471">
        <f t="shared" si="129"/>
        <v>0.05</v>
      </c>
      <c r="N1413" s="475">
        <f t="shared" si="130"/>
        <v>94051</v>
      </c>
    </row>
    <row r="1414" spans="7:14" ht="11.25" customHeight="1" x14ac:dyDescent="0.3">
      <c r="G1414" s="470"/>
      <c r="H1414" s="470">
        <v>1407</v>
      </c>
      <c r="I1414" s="455">
        <f t="shared" ca="1" si="128"/>
        <v>-37309408.669316262</v>
      </c>
      <c r="J1414" s="455">
        <f t="array" ref="J1414">IFERROR(INDEX('Retirement Calculator'!J:J,MATCH('Isaac 401k'!N1414,'Retirement Calculator'!A:A,0),0),0)</f>
        <v>0</v>
      </c>
      <c r="K1414" s="455">
        <f t="shared" ca="1" si="126"/>
        <v>-155455.86945548441</v>
      </c>
      <c r="L1414" s="455">
        <f t="shared" ca="1" si="127"/>
        <v>-37464864.538771749</v>
      </c>
      <c r="M1414" s="471">
        <f t="shared" si="129"/>
        <v>0.05</v>
      </c>
      <c r="N1414" s="475">
        <f t="shared" si="130"/>
        <v>94082</v>
      </c>
    </row>
    <row r="1415" spans="7:14" ht="11.25" customHeight="1" x14ac:dyDescent="0.3">
      <c r="G1415" s="470"/>
      <c r="H1415" s="470">
        <v>1408</v>
      </c>
      <c r="I1415" s="455">
        <f t="shared" ca="1" si="128"/>
        <v>-37464864.538771749</v>
      </c>
      <c r="J1415" s="455">
        <f t="array" ref="J1415">IFERROR(INDEX('Retirement Calculator'!J:J,MATCH('Isaac 401k'!N1415,'Retirement Calculator'!A:A,0),0),0)</f>
        <v>0</v>
      </c>
      <c r="K1415" s="455">
        <f t="shared" ca="1" si="126"/>
        <v>-156103.60224488229</v>
      </c>
      <c r="L1415" s="455">
        <f t="shared" ca="1" si="127"/>
        <v>-37620968.141016632</v>
      </c>
      <c r="M1415" s="471">
        <f t="shared" si="129"/>
        <v>0.05</v>
      </c>
      <c r="N1415" s="475">
        <f t="shared" si="130"/>
        <v>94113</v>
      </c>
    </row>
    <row r="1416" spans="7:14" ht="11.25" customHeight="1" x14ac:dyDescent="0.3">
      <c r="G1416" s="470"/>
      <c r="H1416" s="470">
        <v>1409</v>
      </c>
      <c r="I1416" s="455">
        <f t="shared" ca="1" si="128"/>
        <v>-37620968.141016632</v>
      </c>
      <c r="J1416" s="455">
        <f t="array" ref="J1416">IFERROR(INDEX('Retirement Calculator'!J:J,MATCH('Isaac 401k'!N1416,'Retirement Calculator'!A:A,0),0),0)</f>
        <v>0</v>
      </c>
      <c r="K1416" s="455">
        <f t="shared" ca="1" si="126"/>
        <v>-156754.03392090264</v>
      </c>
      <c r="L1416" s="455">
        <f t="shared" ca="1" si="127"/>
        <v>-37777722.174937531</v>
      </c>
      <c r="M1416" s="471">
        <f t="shared" si="129"/>
        <v>0.05</v>
      </c>
      <c r="N1416" s="475">
        <f t="shared" si="130"/>
        <v>94143</v>
      </c>
    </row>
    <row r="1417" spans="7:14" ht="11.25" customHeight="1" x14ac:dyDescent="0.3">
      <c r="G1417" s="470"/>
      <c r="H1417" s="470">
        <v>1410</v>
      </c>
      <c r="I1417" s="455">
        <f t="shared" ca="1" si="128"/>
        <v>-37777722.174937531</v>
      </c>
      <c r="J1417" s="455">
        <f t="array" ref="J1417">IFERROR(INDEX('Retirement Calculator'!J:J,MATCH('Isaac 401k'!N1417,'Retirement Calculator'!A:A,0),0),0)</f>
        <v>0</v>
      </c>
      <c r="K1417" s="455">
        <f t="shared" ca="1" si="126"/>
        <v>-157407.17572890638</v>
      </c>
      <c r="L1417" s="455">
        <f t="shared" ca="1" si="127"/>
        <v>-37935129.350666441</v>
      </c>
      <c r="M1417" s="471">
        <f t="shared" si="129"/>
        <v>0.05</v>
      </c>
      <c r="N1417" s="475">
        <f t="shared" si="130"/>
        <v>94174</v>
      </c>
    </row>
    <row r="1418" spans="7:14" ht="11.25" customHeight="1" x14ac:dyDescent="0.3">
      <c r="G1418" s="470"/>
      <c r="H1418" s="470">
        <v>1411</v>
      </c>
      <c r="I1418" s="455">
        <f t="shared" ca="1" si="128"/>
        <v>-37935129.350666441</v>
      </c>
      <c r="J1418" s="455">
        <f t="array" ref="J1418">IFERROR(INDEX('Retirement Calculator'!J:J,MATCH('Isaac 401k'!N1418,'Retirement Calculator'!A:A,0),0),0)</f>
        <v>0</v>
      </c>
      <c r="K1418" s="455">
        <f t="shared" ca="1" si="126"/>
        <v>-158063.03896111017</v>
      </c>
      <c r="L1418" s="455">
        <f t="shared" ca="1" si="127"/>
        <v>-38093192.389627554</v>
      </c>
      <c r="M1418" s="471">
        <f t="shared" si="129"/>
        <v>0.05</v>
      </c>
      <c r="N1418" s="475">
        <f t="shared" si="130"/>
        <v>94204</v>
      </c>
    </row>
    <row r="1419" spans="7:14" ht="11.25" customHeight="1" x14ac:dyDescent="0.3">
      <c r="G1419" s="470"/>
      <c r="H1419" s="470">
        <v>1412</v>
      </c>
      <c r="I1419" s="455">
        <f t="shared" ca="1" si="128"/>
        <v>-38093192.389627554</v>
      </c>
      <c r="J1419" s="455">
        <f t="array" ref="J1419">IFERROR(INDEX('Retirement Calculator'!J:J,MATCH('Isaac 401k'!N1419,'Retirement Calculator'!A:A,0),0),0)</f>
        <v>0</v>
      </c>
      <c r="K1419" s="455">
        <f t="shared" ca="1" si="126"/>
        <v>-158721.63495678146</v>
      </c>
      <c r="L1419" s="455">
        <f t="shared" ca="1" si="127"/>
        <v>-38251914.024584338</v>
      </c>
      <c r="M1419" s="471">
        <f t="shared" si="129"/>
        <v>0.05</v>
      </c>
      <c r="N1419" s="475">
        <f t="shared" si="130"/>
        <v>94235</v>
      </c>
    </row>
    <row r="1420" spans="7:14" ht="11.25" customHeight="1" x14ac:dyDescent="0.3">
      <c r="G1420" s="470"/>
      <c r="H1420" s="470">
        <v>1413</v>
      </c>
      <c r="I1420" s="455">
        <f t="shared" ca="1" si="128"/>
        <v>-38251914.024584338</v>
      </c>
      <c r="J1420" s="455">
        <f t="array" ref="J1420">IFERROR(INDEX('Retirement Calculator'!J:J,MATCH('Isaac 401k'!N1420,'Retirement Calculator'!A:A,0),0),0)</f>
        <v>0</v>
      </c>
      <c r="K1420" s="455">
        <f t="shared" ca="1" si="126"/>
        <v>-159382.97510243475</v>
      </c>
      <c r="L1420" s="455">
        <f t="shared" ca="1" si="127"/>
        <v>-38411296.99968677</v>
      </c>
      <c r="M1420" s="471">
        <f t="shared" si="129"/>
        <v>0.05</v>
      </c>
      <c r="N1420" s="475">
        <f t="shared" si="130"/>
        <v>94266</v>
      </c>
    </row>
    <row r="1421" spans="7:14" ht="11.25" customHeight="1" x14ac:dyDescent="0.3">
      <c r="G1421" s="470"/>
      <c r="H1421" s="470">
        <v>1414</v>
      </c>
      <c r="I1421" s="455">
        <f t="shared" ca="1" si="128"/>
        <v>-38411296.99968677</v>
      </c>
      <c r="J1421" s="455">
        <f t="array" ref="J1421">IFERROR(INDEX('Retirement Calculator'!J:J,MATCH('Isaac 401k'!N1421,'Retirement Calculator'!A:A,0),0),0)</f>
        <v>0</v>
      </c>
      <c r="K1421" s="455">
        <f t="shared" ca="1" si="126"/>
        <v>-160047.0708320282</v>
      </c>
      <c r="L1421" s="455">
        <f t="shared" ca="1" si="127"/>
        <v>-38571344.070518799</v>
      </c>
      <c r="M1421" s="471">
        <f t="shared" si="129"/>
        <v>0.05</v>
      </c>
      <c r="N1421" s="475">
        <f t="shared" si="130"/>
        <v>94294</v>
      </c>
    </row>
    <row r="1422" spans="7:14" ht="11.25" customHeight="1" x14ac:dyDescent="0.3">
      <c r="G1422" s="470"/>
      <c r="H1422" s="470">
        <v>1415</v>
      </c>
      <c r="I1422" s="455">
        <f t="shared" ca="1" si="128"/>
        <v>-38571344.070518799</v>
      </c>
      <c r="J1422" s="455">
        <f t="array" ref="J1422">IFERROR(INDEX('Retirement Calculator'!J:J,MATCH('Isaac 401k'!N1422,'Retirement Calculator'!A:A,0),0),0)</f>
        <v>0</v>
      </c>
      <c r="K1422" s="455">
        <f t="shared" ca="1" si="126"/>
        <v>-160713.93362716166</v>
      </c>
      <c r="L1422" s="455">
        <f t="shared" ca="1" si="127"/>
        <v>-38732058.004145958</v>
      </c>
      <c r="M1422" s="471">
        <f t="shared" si="129"/>
        <v>0.05</v>
      </c>
      <c r="N1422" s="475">
        <f t="shared" si="130"/>
        <v>94325</v>
      </c>
    </row>
    <row r="1423" spans="7:14" ht="11.25" customHeight="1" x14ac:dyDescent="0.3">
      <c r="G1423" s="470"/>
      <c r="H1423" s="470">
        <v>1416</v>
      </c>
      <c r="I1423" s="455">
        <f t="shared" ca="1" si="128"/>
        <v>-38732058.004145958</v>
      </c>
      <c r="J1423" s="455">
        <f t="array" ref="J1423">IFERROR(INDEX('Retirement Calculator'!J:J,MATCH('Isaac 401k'!N1423,'Retirement Calculator'!A:A,0),0),0)</f>
        <v>0</v>
      </c>
      <c r="K1423" s="455">
        <f t="shared" ca="1" si="126"/>
        <v>-161383.57501727482</v>
      </c>
      <c r="L1423" s="455">
        <f t="shared" ca="1" si="127"/>
        <v>-38893441.579163231</v>
      </c>
      <c r="M1423" s="471">
        <f t="shared" si="129"/>
        <v>0.05</v>
      </c>
      <c r="N1423" s="475">
        <f t="shared" si="130"/>
        <v>94355</v>
      </c>
    </row>
    <row r="1424" spans="7:14" ht="11.25" customHeight="1" x14ac:dyDescent="0.3">
      <c r="G1424" s="470"/>
      <c r="H1424" s="470">
        <v>1417</v>
      </c>
      <c r="I1424" s="455">
        <f t="shared" ca="1" si="128"/>
        <v>-38893441.579163231</v>
      </c>
      <c r="J1424" s="455">
        <f t="array" ref="J1424">IFERROR(INDEX('Retirement Calculator'!J:J,MATCH('Isaac 401k'!N1424,'Retirement Calculator'!A:A,0),0),0)</f>
        <v>0</v>
      </c>
      <c r="K1424" s="455">
        <f t="shared" ca="1" si="126"/>
        <v>-162056.00657984678</v>
      </c>
      <c r="L1424" s="455">
        <f t="shared" ca="1" si="127"/>
        <v>-39055497.585743077</v>
      </c>
      <c r="M1424" s="471">
        <f t="shared" si="129"/>
        <v>0.05</v>
      </c>
      <c r="N1424" s="475">
        <f t="shared" si="130"/>
        <v>94386</v>
      </c>
    </row>
    <row r="1425" spans="7:14" ht="11.25" customHeight="1" x14ac:dyDescent="0.3">
      <c r="G1425" s="470"/>
      <c r="H1425" s="470">
        <v>1418</v>
      </c>
      <c r="I1425" s="455">
        <f t="shared" ca="1" si="128"/>
        <v>-39055497.585743077</v>
      </c>
      <c r="J1425" s="455">
        <f t="array" ref="J1425">IFERROR(INDEX('Retirement Calculator'!J:J,MATCH('Isaac 401k'!N1425,'Retirement Calculator'!A:A,0),0),0)</f>
        <v>0</v>
      </c>
      <c r="K1425" s="455">
        <f t="shared" ca="1" si="126"/>
        <v>-162731.23994059616</v>
      </c>
      <c r="L1425" s="455">
        <f t="shared" ca="1" si="127"/>
        <v>-39218228.825683676</v>
      </c>
      <c r="M1425" s="471">
        <f t="shared" si="129"/>
        <v>0.05</v>
      </c>
      <c r="N1425" s="475">
        <f t="shared" si="130"/>
        <v>94416</v>
      </c>
    </row>
    <row r="1426" spans="7:14" ht="11.25" customHeight="1" x14ac:dyDescent="0.3">
      <c r="G1426" s="470"/>
      <c r="H1426" s="470">
        <v>1419</v>
      </c>
      <c r="I1426" s="455">
        <f t="shared" ca="1" si="128"/>
        <v>-39218228.825683676</v>
      </c>
      <c r="J1426" s="455">
        <f t="array" ref="J1426">IFERROR(INDEX('Retirement Calculator'!J:J,MATCH('Isaac 401k'!N1426,'Retirement Calculator'!A:A,0),0),0)</f>
        <v>0</v>
      </c>
      <c r="K1426" s="455">
        <f t="shared" ca="1" si="126"/>
        <v>-163409.28677368199</v>
      </c>
      <c r="L1426" s="455">
        <f t="shared" ca="1" si="127"/>
        <v>-39381638.112457357</v>
      </c>
      <c r="M1426" s="471">
        <f t="shared" si="129"/>
        <v>0.05</v>
      </c>
      <c r="N1426" s="475">
        <f t="shared" si="130"/>
        <v>94447</v>
      </c>
    </row>
    <row r="1427" spans="7:14" ht="11.25" customHeight="1" x14ac:dyDescent="0.3">
      <c r="G1427" s="470"/>
      <c r="H1427" s="470">
        <v>1420</v>
      </c>
      <c r="I1427" s="455">
        <f t="shared" ca="1" si="128"/>
        <v>-39381638.112457357</v>
      </c>
      <c r="J1427" s="455">
        <f t="array" ref="J1427">IFERROR(INDEX('Retirement Calculator'!J:J,MATCH('Isaac 401k'!N1427,'Retirement Calculator'!A:A,0),0),0)</f>
        <v>0</v>
      </c>
      <c r="K1427" s="455">
        <f t="shared" ca="1" si="126"/>
        <v>-164090.15880190567</v>
      </c>
      <c r="L1427" s="455">
        <f t="shared" ca="1" si="127"/>
        <v>-39545728.271259263</v>
      </c>
      <c r="M1427" s="471">
        <f t="shared" si="129"/>
        <v>0.05</v>
      </c>
      <c r="N1427" s="475">
        <f t="shared" si="130"/>
        <v>94478</v>
      </c>
    </row>
    <row r="1428" spans="7:14" ht="11.25" customHeight="1" x14ac:dyDescent="0.3">
      <c r="G1428" s="470"/>
      <c r="H1428" s="470">
        <v>1421</v>
      </c>
      <c r="I1428" s="455">
        <f t="shared" ca="1" si="128"/>
        <v>-39545728.271259263</v>
      </c>
      <c r="J1428" s="455">
        <f t="array" ref="J1428">IFERROR(INDEX('Retirement Calculator'!J:J,MATCH('Isaac 401k'!N1428,'Retirement Calculator'!A:A,0),0),0)</f>
        <v>0</v>
      </c>
      <c r="K1428" s="455">
        <f t="shared" ca="1" si="126"/>
        <v>-164773.8677969136</v>
      </c>
      <c r="L1428" s="455">
        <f t="shared" ca="1" si="127"/>
        <v>-39710502.139056176</v>
      </c>
      <c r="M1428" s="471">
        <f t="shared" si="129"/>
        <v>0.05</v>
      </c>
      <c r="N1428" s="475">
        <f t="shared" si="130"/>
        <v>94508</v>
      </c>
    </row>
    <row r="1429" spans="7:14" ht="11.25" customHeight="1" x14ac:dyDescent="0.3">
      <c r="G1429" s="470"/>
      <c r="H1429" s="470">
        <v>1422</v>
      </c>
      <c r="I1429" s="455">
        <f t="shared" ca="1" si="128"/>
        <v>-39710502.139056176</v>
      </c>
      <c r="J1429" s="455">
        <f t="array" ref="J1429">IFERROR(INDEX('Retirement Calculator'!J:J,MATCH('Isaac 401k'!N1429,'Retirement Calculator'!A:A,0),0),0)</f>
        <v>0</v>
      </c>
      <c r="K1429" s="455">
        <f t="shared" ca="1" si="126"/>
        <v>-165460.42557940073</v>
      </c>
      <c r="L1429" s="455">
        <f t="shared" ca="1" si="127"/>
        <v>-39875962.564635575</v>
      </c>
      <c r="M1429" s="471">
        <f t="shared" si="129"/>
        <v>0.05</v>
      </c>
      <c r="N1429" s="475">
        <f t="shared" si="130"/>
        <v>94539</v>
      </c>
    </row>
    <row r="1430" spans="7:14" ht="11.25" customHeight="1" x14ac:dyDescent="0.3">
      <c r="G1430" s="470"/>
      <c r="H1430" s="470">
        <v>1423</v>
      </c>
      <c r="I1430" s="455">
        <f t="shared" ca="1" si="128"/>
        <v>-39875962.564635575</v>
      </c>
      <c r="J1430" s="455">
        <f t="array" ref="J1430">IFERROR(INDEX('Retirement Calculator'!J:J,MATCH('Isaac 401k'!N1430,'Retirement Calculator'!A:A,0),0),0)</f>
        <v>0</v>
      </c>
      <c r="K1430" s="455">
        <f t="shared" ca="1" si="126"/>
        <v>-166149.84401931489</v>
      </c>
      <c r="L1430" s="455">
        <f t="shared" ca="1" si="127"/>
        <v>-40042112.408654891</v>
      </c>
      <c r="M1430" s="471">
        <f t="shared" si="129"/>
        <v>0.05</v>
      </c>
      <c r="N1430" s="475">
        <f t="shared" si="130"/>
        <v>94569</v>
      </c>
    </row>
    <row r="1431" spans="7:14" ht="11.25" customHeight="1" x14ac:dyDescent="0.3">
      <c r="G1431" s="470"/>
      <c r="H1431" s="470">
        <v>1424</v>
      </c>
      <c r="I1431" s="455">
        <f t="shared" ca="1" si="128"/>
        <v>-40042112.408654891</v>
      </c>
      <c r="J1431" s="455">
        <f t="array" ref="J1431">IFERROR(INDEX('Retirement Calculator'!J:J,MATCH('Isaac 401k'!N1431,'Retirement Calculator'!A:A,0),0),0)</f>
        <v>0</v>
      </c>
      <c r="K1431" s="455">
        <f t="shared" ca="1" si="126"/>
        <v>-166842.13503606204</v>
      </c>
      <c r="L1431" s="455">
        <f t="shared" ca="1" si="127"/>
        <v>-40208954.54369095</v>
      </c>
      <c r="M1431" s="471">
        <f t="shared" si="129"/>
        <v>0.05</v>
      </c>
      <c r="N1431" s="475">
        <f t="shared" si="130"/>
        <v>94600</v>
      </c>
    </row>
    <row r="1432" spans="7:14" ht="11.25" customHeight="1" x14ac:dyDescent="0.3">
      <c r="G1432" s="470"/>
      <c r="H1432" s="470">
        <v>1425</v>
      </c>
      <c r="I1432" s="455">
        <f t="shared" ca="1" si="128"/>
        <v>-40208954.54369095</v>
      </c>
      <c r="J1432" s="455">
        <f t="array" ref="J1432">IFERROR(INDEX('Retirement Calculator'!J:J,MATCH('Isaac 401k'!N1432,'Retirement Calculator'!A:A,0),0),0)</f>
        <v>0</v>
      </c>
      <c r="K1432" s="455">
        <f t="shared" ca="1" si="126"/>
        <v>-167537.3105987123</v>
      </c>
      <c r="L1432" s="455">
        <f t="shared" ca="1" si="127"/>
        <v>-40376491.854289658</v>
      </c>
      <c r="M1432" s="471">
        <f t="shared" si="129"/>
        <v>0.05</v>
      </c>
      <c r="N1432" s="475">
        <f t="shared" si="130"/>
        <v>94631</v>
      </c>
    </row>
    <row r="1433" spans="7:14" ht="11.25" customHeight="1" x14ac:dyDescent="0.3">
      <c r="G1433" s="470"/>
      <c r="H1433" s="470">
        <v>1426</v>
      </c>
      <c r="I1433" s="455">
        <f t="shared" ca="1" si="128"/>
        <v>-40376491.854289658</v>
      </c>
      <c r="J1433" s="455">
        <f t="array" ref="J1433">IFERROR(INDEX('Retirement Calculator'!J:J,MATCH('Isaac 401k'!N1433,'Retirement Calculator'!A:A,0),0),0)</f>
        <v>0</v>
      </c>
      <c r="K1433" s="455">
        <f t="shared" ca="1" si="126"/>
        <v>-168235.38272620691</v>
      </c>
      <c r="L1433" s="455">
        <f t="shared" ca="1" si="127"/>
        <v>-40544727.237015866</v>
      </c>
      <c r="M1433" s="471">
        <f t="shared" si="129"/>
        <v>0.05</v>
      </c>
      <c r="N1433" s="475">
        <f t="shared" si="130"/>
        <v>94659</v>
      </c>
    </row>
    <row r="1434" spans="7:14" ht="11.25" customHeight="1" x14ac:dyDescent="0.3">
      <c r="G1434" s="470"/>
      <c r="H1434" s="470">
        <v>1427</v>
      </c>
      <c r="I1434" s="455">
        <f t="shared" ca="1" si="128"/>
        <v>-40544727.237015866</v>
      </c>
      <c r="J1434" s="455">
        <f t="array" ref="J1434">IFERROR(INDEX('Retirement Calculator'!J:J,MATCH('Isaac 401k'!N1434,'Retirement Calculator'!A:A,0),0),0)</f>
        <v>0</v>
      </c>
      <c r="K1434" s="455">
        <f t="shared" ca="1" si="126"/>
        <v>-168936.36348756609</v>
      </c>
      <c r="L1434" s="455">
        <f t="shared" ca="1" si="127"/>
        <v>-40713663.60050343</v>
      </c>
      <c r="M1434" s="471">
        <f t="shared" si="129"/>
        <v>0.05</v>
      </c>
      <c r="N1434" s="475">
        <f t="shared" si="130"/>
        <v>94690</v>
      </c>
    </row>
    <row r="1435" spans="7:14" ht="11.25" customHeight="1" x14ac:dyDescent="0.3">
      <c r="G1435" s="470"/>
      <c r="H1435" s="470">
        <v>1428</v>
      </c>
      <c r="I1435" s="455">
        <f t="shared" ca="1" si="128"/>
        <v>-40713663.60050343</v>
      </c>
      <c r="J1435" s="455">
        <f t="array" ref="J1435">IFERROR(INDEX('Retirement Calculator'!J:J,MATCH('Isaac 401k'!N1435,'Retirement Calculator'!A:A,0),0),0)</f>
        <v>0</v>
      </c>
      <c r="K1435" s="455">
        <f t="shared" ca="1" si="126"/>
        <v>-169640.26500209761</v>
      </c>
      <c r="L1435" s="455">
        <f t="shared" ca="1" si="127"/>
        <v>-40883303.865505524</v>
      </c>
      <c r="M1435" s="471">
        <f t="shared" si="129"/>
        <v>0.05</v>
      </c>
      <c r="N1435" s="475">
        <f t="shared" si="130"/>
        <v>94720</v>
      </c>
    </row>
    <row r="1436" spans="7:14" ht="11.25" customHeight="1" x14ac:dyDescent="0.3">
      <c r="G1436" s="470"/>
      <c r="H1436" s="470">
        <v>1429</v>
      </c>
      <c r="I1436" s="455">
        <f t="shared" ca="1" si="128"/>
        <v>-40883303.865505524</v>
      </c>
      <c r="J1436" s="455">
        <f t="array" ref="J1436">IFERROR(INDEX('Retirement Calculator'!J:J,MATCH('Isaac 401k'!N1436,'Retirement Calculator'!A:A,0),0),0)</f>
        <v>0</v>
      </c>
      <c r="K1436" s="455">
        <f t="shared" ca="1" si="126"/>
        <v>-170347.09943960636</v>
      </c>
      <c r="L1436" s="455">
        <f t="shared" ca="1" si="127"/>
        <v>-41053650.96494513</v>
      </c>
      <c r="M1436" s="471">
        <f t="shared" si="129"/>
        <v>0.05</v>
      </c>
      <c r="N1436" s="475">
        <f t="shared" si="130"/>
        <v>94751</v>
      </c>
    </row>
    <row r="1437" spans="7:14" ht="11.25" customHeight="1" x14ac:dyDescent="0.3">
      <c r="G1437" s="470"/>
      <c r="H1437" s="470">
        <v>1430</v>
      </c>
      <c r="I1437" s="455">
        <f t="shared" ca="1" si="128"/>
        <v>-41053650.96494513</v>
      </c>
      <c r="J1437" s="455">
        <f t="array" ref="J1437">IFERROR(INDEX('Retirement Calculator'!J:J,MATCH('Isaac 401k'!N1437,'Retirement Calculator'!A:A,0),0),0)</f>
        <v>0</v>
      </c>
      <c r="K1437" s="455">
        <f t="shared" ca="1" si="126"/>
        <v>-171056.87902060471</v>
      </c>
      <c r="L1437" s="455">
        <f t="shared" ca="1" si="127"/>
        <v>-41224707.843965732</v>
      </c>
      <c r="M1437" s="471">
        <f t="shared" si="129"/>
        <v>0.05</v>
      </c>
      <c r="N1437" s="475">
        <f t="shared" si="130"/>
        <v>94781</v>
      </c>
    </row>
    <row r="1438" spans="7:14" ht="11.25" customHeight="1" x14ac:dyDescent="0.3">
      <c r="G1438" s="470"/>
      <c r="H1438" s="470">
        <v>1431</v>
      </c>
      <c r="I1438" s="455">
        <f t="shared" ca="1" si="128"/>
        <v>-41224707.843965732</v>
      </c>
      <c r="J1438" s="455">
        <f t="array" ref="J1438">IFERROR(INDEX('Retirement Calculator'!J:J,MATCH('Isaac 401k'!N1438,'Retirement Calculator'!A:A,0),0),0)</f>
        <v>0</v>
      </c>
      <c r="K1438" s="455">
        <f t="shared" ca="1" si="126"/>
        <v>-171769.61601652388</v>
      </c>
      <c r="L1438" s="455">
        <f t="shared" ca="1" si="127"/>
        <v>-41396477.459982254</v>
      </c>
      <c r="M1438" s="471">
        <f t="shared" si="129"/>
        <v>0.05</v>
      </c>
      <c r="N1438" s="475">
        <f t="shared" si="130"/>
        <v>94812</v>
      </c>
    </row>
    <row r="1439" spans="7:14" ht="11.25" customHeight="1" x14ac:dyDescent="0.3">
      <c r="G1439" s="470"/>
      <c r="H1439" s="470">
        <v>1432</v>
      </c>
      <c r="I1439" s="455">
        <f t="shared" ca="1" si="128"/>
        <v>-41396477.459982254</v>
      </c>
      <c r="J1439" s="455">
        <f t="array" ref="J1439">IFERROR(INDEX('Retirement Calculator'!J:J,MATCH('Isaac 401k'!N1439,'Retirement Calculator'!A:A,0),0),0)</f>
        <v>0</v>
      </c>
      <c r="K1439" s="455">
        <f t="shared" ca="1" si="126"/>
        <v>-172485.32274992607</v>
      </c>
      <c r="L1439" s="455">
        <f t="shared" ca="1" si="127"/>
        <v>-41568962.782732181</v>
      </c>
      <c r="M1439" s="471">
        <f t="shared" si="129"/>
        <v>0.05</v>
      </c>
      <c r="N1439" s="475">
        <f t="shared" si="130"/>
        <v>94843</v>
      </c>
    </row>
    <row r="1440" spans="7:14" ht="11.25" customHeight="1" x14ac:dyDescent="0.3">
      <c r="G1440" s="470"/>
      <c r="H1440" s="470">
        <v>1433</v>
      </c>
      <c r="I1440" s="455">
        <f t="shared" ca="1" si="128"/>
        <v>-41568962.782732181</v>
      </c>
      <c r="J1440" s="455">
        <f t="array" ref="J1440">IFERROR(INDEX('Retirement Calculator'!J:J,MATCH('Isaac 401k'!N1440,'Retirement Calculator'!A:A,0),0),0)</f>
        <v>0</v>
      </c>
      <c r="K1440" s="455">
        <f t="shared" ca="1" si="126"/>
        <v>-173204.01159471742</v>
      </c>
      <c r="L1440" s="455">
        <f t="shared" ca="1" si="127"/>
        <v>-41742166.794326901</v>
      </c>
      <c r="M1440" s="471">
        <f t="shared" si="129"/>
        <v>0.05</v>
      </c>
      <c r="N1440" s="475">
        <f t="shared" si="130"/>
        <v>94873</v>
      </c>
    </row>
    <row r="1441" spans="7:14" ht="11.25" customHeight="1" x14ac:dyDescent="0.3">
      <c r="G1441" s="470"/>
      <c r="H1441" s="470">
        <v>1434</v>
      </c>
      <c r="I1441" s="455">
        <f t="shared" ca="1" si="128"/>
        <v>-41742166.794326901</v>
      </c>
      <c r="J1441" s="455">
        <f t="array" ref="J1441">IFERROR(INDEX('Retirement Calculator'!J:J,MATCH('Isaac 401k'!N1441,'Retirement Calculator'!A:A,0),0),0)</f>
        <v>0</v>
      </c>
      <c r="K1441" s="455">
        <f t="shared" ca="1" si="126"/>
        <v>-173925.69497636208</v>
      </c>
      <c r="L1441" s="455">
        <f t="shared" ca="1" si="127"/>
        <v>-41916092.489303261</v>
      </c>
      <c r="M1441" s="471">
        <f t="shared" si="129"/>
        <v>0.05</v>
      </c>
      <c r="N1441" s="475">
        <f t="shared" si="130"/>
        <v>94904</v>
      </c>
    </row>
    <row r="1442" spans="7:14" ht="11.25" customHeight="1" x14ac:dyDescent="0.3">
      <c r="G1442" s="470"/>
      <c r="H1442" s="470">
        <v>1435</v>
      </c>
      <c r="I1442" s="455">
        <f t="shared" ca="1" si="128"/>
        <v>-41916092.489303261</v>
      </c>
      <c r="J1442" s="455">
        <f t="array" ref="J1442">IFERROR(INDEX('Retirement Calculator'!J:J,MATCH('Isaac 401k'!N1442,'Retirement Calculator'!A:A,0),0),0)</f>
        <v>0</v>
      </c>
      <c r="K1442" s="455">
        <f t="shared" ca="1" si="126"/>
        <v>-174650.38537209691</v>
      </c>
      <c r="L1442" s="455">
        <f t="shared" ca="1" si="127"/>
        <v>-42090742.874675356</v>
      </c>
      <c r="M1442" s="471">
        <f t="shared" si="129"/>
        <v>0.05</v>
      </c>
      <c r="N1442" s="475">
        <f t="shared" si="130"/>
        <v>94934</v>
      </c>
    </row>
    <row r="1443" spans="7:14" ht="11.25" customHeight="1" x14ac:dyDescent="0.3">
      <c r="G1443" s="470"/>
      <c r="H1443" s="470">
        <v>1436</v>
      </c>
      <c r="I1443" s="455">
        <f t="shared" ca="1" si="128"/>
        <v>-42090742.874675356</v>
      </c>
      <c r="J1443" s="455">
        <f t="array" ref="J1443">IFERROR(INDEX('Retirement Calculator'!J:J,MATCH('Isaac 401k'!N1443,'Retirement Calculator'!A:A,0),0),0)</f>
        <v>0</v>
      </c>
      <c r="K1443" s="455">
        <f t="shared" ca="1" si="126"/>
        <v>-175378.09531114731</v>
      </c>
      <c r="L1443" s="455">
        <f t="shared" ca="1" si="127"/>
        <v>-42266120.969986506</v>
      </c>
      <c r="M1443" s="471">
        <f t="shared" si="129"/>
        <v>0.05</v>
      </c>
      <c r="N1443" s="475">
        <f t="shared" si="130"/>
        <v>94965</v>
      </c>
    </row>
    <row r="1444" spans="7:14" ht="11.25" customHeight="1" x14ac:dyDescent="0.3">
      <c r="G1444" s="470"/>
      <c r="H1444" s="470">
        <v>1437</v>
      </c>
      <c r="I1444" s="455">
        <f t="shared" ca="1" si="128"/>
        <v>-42266120.969986506</v>
      </c>
      <c r="J1444" s="455">
        <f t="array" ref="J1444">IFERROR(INDEX('Retirement Calculator'!J:J,MATCH('Isaac 401k'!N1444,'Retirement Calculator'!A:A,0),0),0)</f>
        <v>0</v>
      </c>
      <c r="K1444" s="455">
        <f t="shared" ca="1" si="126"/>
        <v>-176108.83737494377</v>
      </c>
      <c r="L1444" s="455">
        <f t="shared" ca="1" si="127"/>
        <v>-42442229.807361446</v>
      </c>
      <c r="M1444" s="471">
        <f t="shared" si="129"/>
        <v>0.05</v>
      </c>
      <c r="N1444" s="475">
        <f t="shared" si="130"/>
        <v>94996</v>
      </c>
    </row>
    <row r="1445" spans="7:14" ht="11.25" customHeight="1" x14ac:dyDescent="0.3">
      <c r="G1445" s="470"/>
      <c r="H1445" s="470">
        <v>1438</v>
      </c>
      <c r="I1445" s="455">
        <f t="shared" ca="1" si="128"/>
        <v>-42442229.807361446</v>
      </c>
      <c r="J1445" s="455">
        <f t="array" ref="J1445">IFERROR(INDEX('Retirement Calculator'!J:J,MATCH('Isaac 401k'!N1445,'Retirement Calculator'!A:A,0),0),0)</f>
        <v>0</v>
      </c>
      <c r="K1445" s="455">
        <f t="shared" ca="1" si="126"/>
        <v>-176842.62419733935</v>
      </c>
      <c r="L1445" s="455">
        <f t="shared" ca="1" si="127"/>
        <v>-42619072.431558788</v>
      </c>
      <c r="M1445" s="471">
        <f t="shared" si="129"/>
        <v>0.05</v>
      </c>
      <c r="N1445" s="475">
        <f t="shared" si="130"/>
        <v>95025</v>
      </c>
    </row>
    <row r="1446" spans="7:14" ht="11.25" customHeight="1" x14ac:dyDescent="0.3">
      <c r="G1446" s="470"/>
      <c r="H1446" s="470">
        <v>1439</v>
      </c>
      <c r="I1446" s="455">
        <f t="shared" ca="1" si="128"/>
        <v>-42619072.431558788</v>
      </c>
      <c r="J1446" s="455">
        <f t="array" ref="J1446">IFERROR(INDEX('Retirement Calculator'!J:J,MATCH('Isaac 401k'!N1446,'Retirement Calculator'!A:A,0),0),0)</f>
        <v>0</v>
      </c>
      <c r="K1446" s="455">
        <f t="shared" ca="1" si="126"/>
        <v>-177579.46846482827</v>
      </c>
      <c r="L1446" s="455">
        <f t="shared" ca="1" si="127"/>
        <v>-42796651.900023617</v>
      </c>
      <c r="M1446" s="471">
        <f t="shared" si="129"/>
        <v>0.05</v>
      </c>
      <c r="N1446" s="475">
        <f t="shared" si="130"/>
        <v>95056</v>
      </c>
    </row>
    <row r="1447" spans="7:14" ht="11.25" customHeight="1" x14ac:dyDescent="0.3">
      <c r="G1447" s="470"/>
      <c r="H1447" s="470">
        <v>1440</v>
      </c>
      <c r="I1447" s="455">
        <f t="shared" ca="1" si="128"/>
        <v>-42796651.900023617</v>
      </c>
      <c r="J1447" s="455">
        <f t="array" ref="J1447">IFERROR(INDEX('Retirement Calculator'!J:J,MATCH('Isaac 401k'!N1447,'Retirement Calculator'!A:A,0),0),0)</f>
        <v>0</v>
      </c>
      <c r="K1447" s="455">
        <f t="shared" ca="1" si="126"/>
        <v>-178319.38291676505</v>
      </c>
      <c r="L1447" s="455">
        <f t="shared" ca="1" si="127"/>
        <v>-42974971.28294038</v>
      </c>
      <c r="M1447" s="471">
        <f t="shared" si="129"/>
        <v>0.05</v>
      </c>
      <c r="N1447" s="475">
        <f t="shared" si="130"/>
        <v>95086</v>
      </c>
    </row>
    <row r="1448" spans="7:14" ht="11.25" customHeight="1" x14ac:dyDescent="0.3">
      <c r="G1448" s="470"/>
      <c r="H1448" s="470">
        <v>1441</v>
      </c>
      <c r="I1448" s="455">
        <f t="shared" ca="1" si="128"/>
        <v>-42974971.28294038</v>
      </c>
      <c r="J1448" s="455">
        <f t="array" ref="J1448">IFERROR(INDEX('Retirement Calculator'!J:J,MATCH('Isaac 401k'!N1448,'Retirement Calculator'!A:A,0),0),0)</f>
        <v>0</v>
      </c>
      <c r="K1448" s="455">
        <f t="shared" ca="1" si="126"/>
        <v>-179062.38034558491</v>
      </c>
      <c r="L1448" s="455">
        <f t="shared" ca="1" si="127"/>
        <v>-43154033.663285963</v>
      </c>
      <c r="M1448" s="471">
        <f t="shared" si="129"/>
        <v>0.05</v>
      </c>
      <c r="N1448" s="475">
        <f t="shared" si="130"/>
        <v>95117</v>
      </c>
    </row>
    <row r="1449" spans="7:14" ht="11.25" customHeight="1" x14ac:dyDescent="0.3">
      <c r="G1449" s="470"/>
      <c r="H1449" s="470">
        <v>1442</v>
      </c>
      <c r="I1449" s="455">
        <f t="shared" ca="1" si="128"/>
        <v>-43154033.663285963</v>
      </c>
      <c r="J1449" s="455">
        <f t="array" ref="J1449">IFERROR(INDEX('Retirement Calculator'!J:J,MATCH('Isaac 401k'!N1449,'Retirement Calculator'!A:A,0),0),0)</f>
        <v>0</v>
      </c>
      <c r="K1449" s="455">
        <f t="shared" ca="1" si="126"/>
        <v>-179808.47359702486</v>
      </c>
      <c r="L1449" s="455">
        <f t="shared" ca="1" si="127"/>
        <v>-43333842.136882991</v>
      </c>
      <c r="M1449" s="471">
        <f t="shared" si="129"/>
        <v>0.05</v>
      </c>
      <c r="N1449" s="475">
        <f t="shared" si="130"/>
        <v>95147</v>
      </c>
    </row>
    <row r="1450" spans="7:14" ht="11.25" customHeight="1" x14ac:dyDescent="0.3">
      <c r="G1450" s="470"/>
      <c r="H1450" s="470">
        <v>1443</v>
      </c>
      <c r="I1450" s="455">
        <f t="shared" ca="1" si="128"/>
        <v>-43333842.136882991</v>
      </c>
      <c r="J1450" s="455">
        <f t="array" ref="J1450">IFERROR(INDEX('Retirement Calculator'!J:J,MATCH('Isaac 401k'!N1450,'Retirement Calculator'!A:A,0),0),0)</f>
        <v>0</v>
      </c>
      <c r="K1450" s="455">
        <f t="shared" ca="1" si="126"/>
        <v>-180557.6755703458</v>
      </c>
      <c r="L1450" s="455">
        <f t="shared" ca="1" si="127"/>
        <v>-43514399.812453337</v>
      </c>
      <c r="M1450" s="471">
        <f t="shared" si="129"/>
        <v>0.05</v>
      </c>
      <c r="N1450" s="475">
        <f t="shared" si="130"/>
        <v>95178</v>
      </c>
    </row>
    <row r="1451" spans="7:14" ht="11.25" customHeight="1" x14ac:dyDescent="0.3">
      <c r="G1451" s="470"/>
      <c r="H1451" s="470">
        <v>1444</v>
      </c>
      <c r="I1451" s="455">
        <f t="shared" ca="1" si="128"/>
        <v>-43514399.812453337</v>
      </c>
      <c r="J1451" s="455">
        <f t="array" ref="J1451">IFERROR(INDEX('Retirement Calculator'!J:J,MATCH('Isaac 401k'!N1451,'Retirement Calculator'!A:A,0),0),0)</f>
        <v>0</v>
      </c>
      <c r="K1451" s="455">
        <f t="shared" ca="1" si="126"/>
        <v>-181309.99921855557</v>
      </c>
      <c r="L1451" s="455">
        <f t="shared" ca="1" si="127"/>
        <v>-43695709.81167189</v>
      </c>
      <c r="M1451" s="471">
        <f t="shared" si="129"/>
        <v>0.05</v>
      </c>
      <c r="N1451" s="475">
        <f t="shared" si="130"/>
        <v>95209</v>
      </c>
    </row>
    <row r="1452" spans="7:14" ht="11.25" customHeight="1" x14ac:dyDescent="0.3">
      <c r="G1452" s="470"/>
      <c r="H1452" s="470">
        <v>1445</v>
      </c>
      <c r="I1452" s="455">
        <f t="shared" ca="1" si="128"/>
        <v>-43695709.81167189</v>
      </c>
      <c r="J1452" s="455">
        <f t="array" ref="J1452">IFERROR(INDEX('Retirement Calculator'!J:J,MATCH('Isaac 401k'!N1452,'Retirement Calculator'!A:A,0),0),0)</f>
        <v>0</v>
      </c>
      <c r="K1452" s="455">
        <f t="shared" ca="1" si="126"/>
        <v>-182065.45754863287</v>
      </c>
      <c r="L1452" s="455">
        <f t="shared" ca="1" si="127"/>
        <v>-43877775.269220524</v>
      </c>
      <c r="M1452" s="471">
        <f t="shared" si="129"/>
        <v>0.05</v>
      </c>
      <c r="N1452" s="475">
        <f t="shared" si="130"/>
        <v>95239</v>
      </c>
    </row>
    <row r="1453" spans="7:14" ht="11.25" customHeight="1" x14ac:dyDescent="0.3">
      <c r="G1453" s="470"/>
      <c r="H1453" s="470">
        <v>1446</v>
      </c>
      <c r="I1453" s="455">
        <f t="shared" ca="1" si="128"/>
        <v>-43877775.269220524</v>
      </c>
      <c r="J1453" s="455">
        <f t="array" ref="J1453">IFERROR(INDEX('Retirement Calculator'!J:J,MATCH('Isaac 401k'!N1453,'Retirement Calculator'!A:A,0),0),0)</f>
        <v>0</v>
      </c>
      <c r="K1453" s="455">
        <f t="shared" ca="1" si="126"/>
        <v>-182824.06362175217</v>
      </c>
      <c r="L1453" s="455">
        <f t="shared" ca="1" si="127"/>
        <v>-44060599.332842276</v>
      </c>
      <c r="M1453" s="471">
        <f t="shared" si="129"/>
        <v>0.05</v>
      </c>
      <c r="N1453" s="475">
        <f t="shared" si="130"/>
        <v>95270</v>
      </c>
    </row>
    <row r="1454" spans="7:14" ht="11.25" customHeight="1" x14ac:dyDescent="0.3">
      <c r="G1454" s="470"/>
      <c r="H1454" s="470">
        <v>1447</v>
      </c>
      <c r="I1454" s="455">
        <f t="shared" ca="1" si="128"/>
        <v>-44060599.332842276</v>
      </c>
      <c r="J1454" s="455">
        <f t="array" ref="J1454">IFERROR(INDEX('Retirement Calculator'!J:J,MATCH('Isaac 401k'!N1454,'Retirement Calculator'!A:A,0),0),0)</f>
        <v>0</v>
      </c>
      <c r="K1454" s="455">
        <f t="shared" ca="1" si="126"/>
        <v>-183585.83055350947</v>
      </c>
      <c r="L1454" s="455">
        <f t="shared" ca="1" si="127"/>
        <v>-44244185.163395785</v>
      </c>
      <c r="M1454" s="471">
        <f t="shared" si="129"/>
        <v>0.05</v>
      </c>
      <c r="N1454" s="475">
        <f t="shared" si="130"/>
        <v>95300</v>
      </c>
    </row>
    <row r="1455" spans="7:14" ht="11.25" customHeight="1" x14ac:dyDescent="0.3">
      <c r="G1455" s="470"/>
      <c r="H1455" s="470">
        <v>1448</v>
      </c>
      <c r="I1455" s="455">
        <f t="shared" ca="1" si="128"/>
        <v>-44244185.163395785</v>
      </c>
      <c r="J1455" s="455">
        <f t="array" ref="J1455">IFERROR(INDEX('Retirement Calculator'!J:J,MATCH('Isaac 401k'!N1455,'Retirement Calculator'!A:A,0),0),0)</f>
        <v>0</v>
      </c>
      <c r="K1455" s="455">
        <f t="shared" ca="1" si="126"/>
        <v>-184350.77151414909</v>
      </c>
      <c r="L1455" s="455">
        <f t="shared" ca="1" si="127"/>
        <v>-44428535.934909932</v>
      </c>
      <c r="M1455" s="471">
        <f t="shared" si="129"/>
        <v>0.05</v>
      </c>
      <c r="N1455" s="475">
        <f t="shared" si="130"/>
        <v>95331</v>
      </c>
    </row>
    <row r="1456" spans="7:14" ht="11.25" customHeight="1" x14ac:dyDescent="0.3">
      <c r="G1456" s="470"/>
      <c r="H1456" s="470">
        <v>1449</v>
      </c>
      <c r="I1456" s="455">
        <f t="shared" ca="1" si="128"/>
        <v>-44428535.934909932</v>
      </c>
      <c r="J1456" s="455">
        <f t="array" ref="J1456">IFERROR(INDEX('Retirement Calculator'!J:J,MATCH('Isaac 401k'!N1456,'Retirement Calculator'!A:A,0),0),0)</f>
        <v>0</v>
      </c>
      <c r="K1456" s="455">
        <f t="shared" ca="1" si="126"/>
        <v>-185118.89972879138</v>
      </c>
      <c r="L1456" s="455">
        <f t="shared" ca="1" si="127"/>
        <v>-44613654.834638722</v>
      </c>
      <c r="M1456" s="471">
        <f t="shared" si="129"/>
        <v>0.05</v>
      </c>
      <c r="N1456" s="475">
        <f t="shared" si="130"/>
        <v>95362</v>
      </c>
    </row>
    <row r="1457" spans="7:14" ht="11.25" customHeight="1" x14ac:dyDescent="0.3">
      <c r="G1457" s="470"/>
      <c r="H1457" s="470">
        <v>1450</v>
      </c>
      <c r="I1457" s="455">
        <f t="shared" ca="1" si="128"/>
        <v>-44613654.834638722</v>
      </c>
      <c r="J1457" s="455">
        <f t="array" ref="J1457">IFERROR(INDEX('Retirement Calculator'!J:J,MATCH('Isaac 401k'!N1457,'Retirement Calculator'!A:A,0),0),0)</f>
        <v>0</v>
      </c>
      <c r="K1457" s="455">
        <f t="shared" ca="1" si="126"/>
        <v>-185890.22847766135</v>
      </c>
      <c r="L1457" s="455">
        <f t="shared" ca="1" si="127"/>
        <v>-44799545.063116387</v>
      </c>
      <c r="M1457" s="471">
        <f t="shared" si="129"/>
        <v>0.05</v>
      </c>
      <c r="N1457" s="475">
        <f t="shared" si="130"/>
        <v>95390</v>
      </c>
    </row>
    <row r="1458" spans="7:14" ht="11.25" customHeight="1" x14ac:dyDescent="0.3">
      <c r="G1458" s="470"/>
      <c r="H1458" s="470">
        <v>1451</v>
      </c>
      <c r="I1458" s="455">
        <f t="shared" ca="1" si="128"/>
        <v>-44799545.063116387</v>
      </c>
      <c r="J1458" s="455">
        <f t="array" ref="J1458">IFERROR(INDEX('Retirement Calculator'!J:J,MATCH('Isaac 401k'!N1458,'Retirement Calculator'!A:A,0),0),0)</f>
        <v>0</v>
      </c>
      <c r="K1458" s="455">
        <f t="shared" ca="1" si="126"/>
        <v>-186664.77109631826</v>
      </c>
      <c r="L1458" s="455">
        <f t="shared" ca="1" si="127"/>
        <v>-44986209.834212705</v>
      </c>
      <c r="M1458" s="471">
        <f t="shared" si="129"/>
        <v>0.05</v>
      </c>
      <c r="N1458" s="475">
        <f t="shared" si="130"/>
        <v>95421</v>
      </c>
    </row>
    <row r="1459" spans="7:14" ht="11.25" customHeight="1" x14ac:dyDescent="0.3">
      <c r="G1459" s="470"/>
      <c r="H1459" s="470">
        <v>1452</v>
      </c>
      <c r="I1459" s="455">
        <f t="shared" ca="1" si="128"/>
        <v>-44986209.834212705</v>
      </c>
      <c r="J1459" s="455">
        <f t="array" ref="J1459">IFERROR(INDEX('Retirement Calculator'!J:J,MATCH('Isaac 401k'!N1459,'Retirement Calculator'!A:A,0),0),0)</f>
        <v>0</v>
      </c>
      <c r="K1459" s="455">
        <f t="shared" ca="1" si="126"/>
        <v>-187442.54097588628</v>
      </c>
      <c r="L1459" s="455">
        <f t="shared" ca="1" si="127"/>
        <v>-45173652.375188589</v>
      </c>
      <c r="M1459" s="471">
        <f t="shared" si="129"/>
        <v>0.05</v>
      </c>
      <c r="N1459" s="475">
        <f t="shared" si="130"/>
        <v>95451</v>
      </c>
    </row>
    <row r="1460" spans="7:14" ht="11.25" customHeight="1" x14ac:dyDescent="0.3">
      <c r="G1460" s="470"/>
      <c r="H1460" s="470">
        <v>1453</v>
      </c>
      <c r="I1460" s="455">
        <f t="shared" ca="1" si="128"/>
        <v>-45173652.375188589</v>
      </c>
      <c r="J1460" s="455">
        <f t="array" ref="J1460">IFERROR(INDEX('Retirement Calculator'!J:J,MATCH('Isaac 401k'!N1460,'Retirement Calculator'!A:A,0),0),0)</f>
        <v>0</v>
      </c>
      <c r="K1460" s="455">
        <f t="shared" ca="1" si="126"/>
        <v>-188223.55156328579</v>
      </c>
      <c r="L1460" s="455">
        <f t="shared" ca="1" si="127"/>
        <v>-45361875.926751874</v>
      </c>
      <c r="M1460" s="471">
        <f t="shared" si="129"/>
        <v>0.05</v>
      </c>
      <c r="N1460" s="475">
        <f t="shared" si="130"/>
        <v>95482</v>
      </c>
    </row>
    <row r="1461" spans="7:14" ht="11.25" customHeight="1" x14ac:dyDescent="0.3">
      <c r="G1461" s="470"/>
      <c r="H1461" s="470">
        <v>1454</v>
      </c>
      <c r="I1461" s="455">
        <f t="shared" ca="1" si="128"/>
        <v>-45361875.926751874</v>
      </c>
      <c r="J1461" s="455">
        <f t="array" ref="J1461">IFERROR(INDEX('Retirement Calculator'!J:J,MATCH('Isaac 401k'!N1461,'Retirement Calculator'!A:A,0),0),0)</f>
        <v>0</v>
      </c>
      <c r="K1461" s="455">
        <f t="shared" ca="1" si="126"/>
        <v>-189007.81636146613</v>
      </c>
      <c r="L1461" s="455">
        <f t="shared" ca="1" si="127"/>
        <v>-45550883.743113339</v>
      </c>
      <c r="M1461" s="471">
        <f t="shared" si="129"/>
        <v>0.05</v>
      </c>
      <c r="N1461" s="475">
        <f t="shared" si="130"/>
        <v>95512</v>
      </c>
    </row>
    <row r="1462" spans="7:14" ht="11.25" customHeight="1" x14ac:dyDescent="0.3">
      <c r="G1462" s="470"/>
      <c r="H1462" s="470">
        <v>1455</v>
      </c>
      <c r="I1462" s="455">
        <f t="shared" ca="1" si="128"/>
        <v>-45550883.743113339</v>
      </c>
      <c r="J1462" s="455">
        <f t="array" ref="J1462">IFERROR(INDEX('Retirement Calculator'!J:J,MATCH('Isaac 401k'!N1462,'Retirement Calculator'!A:A,0),0),0)</f>
        <v>0</v>
      </c>
      <c r="K1462" s="455">
        <f t="shared" ca="1" si="126"/>
        <v>-189795.34892963892</v>
      </c>
      <c r="L1462" s="455">
        <f t="shared" ca="1" si="127"/>
        <v>-45740679.092042975</v>
      </c>
      <c r="M1462" s="471">
        <f t="shared" si="129"/>
        <v>0.05</v>
      </c>
      <c r="N1462" s="475">
        <f t="shared" si="130"/>
        <v>95543</v>
      </c>
    </row>
    <row r="1463" spans="7:14" ht="11.25" customHeight="1" x14ac:dyDescent="0.3">
      <c r="G1463" s="470"/>
      <c r="H1463" s="470">
        <v>1456</v>
      </c>
      <c r="I1463" s="455">
        <f t="shared" ca="1" si="128"/>
        <v>-45740679.092042975</v>
      </c>
      <c r="J1463" s="455">
        <f t="array" ref="J1463">IFERROR(INDEX('Retirement Calculator'!J:J,MATCH('Isaac 401k'!N1463,'Retirement Calculator'!A:A,0),0),0)</f>
        <v>0</v>
      </c>
      <c r="K1463" s="455">
        <f t="shared" ca="1" si="126"/>
        <v>-190586.16288351238</v>
      </c>
      <c r="L1463" s="455">
        <f t="shared" ca="1" si="127"/>
        <v>-45931265.254926488</v>
      </c>
      <c r="M1463" s="471">
        <f t="shared" si="129"/>
        <v>0.05</v>
      </c>
      <c r="N1463" s="475">
        <f t="shared" si="130"/>
        <v>95574</v>
      </c>
    </row>
    <row r="1464" spans="7:14" ht="11.25" customHeight="1" x14ac:dyDescent="0.3">
      <c r="G1464" s="470"/>
      <c r="H1464" s="470">
        <v>1457</v>
      </c>
      <c r="I1464" s="455">
        <f t="shared" ca="1" si="128"/>
        <v>-45931265.254926488</v>
      </c>
      <c r="J1464" s="455">
        <f t="array" ref="J1464">IFERROR(INDEX('Retirement Calculator'!J:J,MATCH('Isaac 401k'!N1464,'Retirement Calculator'!A:A,0),0),0)</f>
        <v>0</v>
      </c>
      <c r="K1464" s="455">
        <f t="shared" ca="1" si="126"/>
        <v>-191380.27189552702</v>
      </c>
      <c r="L1464" s="455">
        <f t="shared" ca="1" si="127"/>
        <v>-46122645.526822016</v>
      </c>
      <c r="M1464" s="471">
        <f t="shared" si="129"/>
        <v>0.05</v>
      </c>
      <c r="N1464" s="475">
        <f t="shared" si="130"/>
        <v>95604</v>
      </c>
    </row>
    <row r="1465" spans="7:14" ht="11.25" customHeight="1" x14ac:dyDescent="0.3">
      <c r="G1465" s="470"/>
      <c r="H1465" s="470">
        <v>1458</v>
      </c>
      <c r="I1465" s="455">
        <f t="shared" ca="1" si="128"/>
        <v>-46122645.526822016</v>
      </c>
      <c r="J1465" s="455">
        <f t="array" ref="J1465">IFERROR(INDEX('Retirement Calculator'!J:J,MATCH('Isaac 401k'!N1465,'Retirement Calculator'!A:A,0),0),0)</f>
        <v>0</v>
      </c>
      <c r="K1465" s="455">
        <f t="shared" ca="1" si="126"/>
        <v>-192177.68969509174</v>
      </c>
      <c r="L1465" s="455">
        <f t="shared" ca="1" si="127"/>
        <v>-46314823.216517106</v>
      </c>
      <c r="M1465" s="471">
        <f t="shared" si="129"/>
        <v>0.05</v>
      </c>
      <c r="N1465" s="475">
        <f t="shared" si="130"/>
        <v>95635</v>
      </c>
    </row>
    <row r="1466" spans="7:14" ht="11.25" customHeight="1" x14ac:dyDescent="0.3">
      <c r="G1466" s="470"/>
      <c r="H1466" s="470">
        <v>1459</v>
      </c>
      <c r="I1466" s="455">
        <f t="shared" ca="1" si="128"/>
        <v>-46314823.216517106</v>
      </c>
      <c r="J1466" s="455">
        <f t="array" ref="J1466">IFERROR(INDEX('Retirement Calculator'!J:J,MATCH('Isaac 401k'!N1466,'Retirement Calculator'!A:A,0),0),0)</f>
        <v>0</v>
      </c>
      <c r="K1466" s="455">
        <f t="shared" ca="1" si="126"/>
        <v>-192978.43006882127</v>
      </c>
      <c r="L1466" s="455">
        <f t="shared" ca="1" si="127"/>
        <v>-46507801.646585926</v>
      </c>
      <c r="M1466" s="471">
        <f t="shared" si="129"/>
        <v>0.05</v>
      </c>
      <c r="N1466" s="475">
        <f t="shared" si="130"/>
        <v>95665</v>
      </c>
    </row>
    <row r="1467" spans="7:14" ht="11.25" customHeight="1" x14ac:dyDescent="0.3">
      <c r="G1467" s="470"/>
      <c r="H1467" s="470">
        <v>1460</v>
      </c>
      <c r="I1467" s="455">
        <f t="shared" ca="1" si="128"/>
        <v>-46507801.646585926</v>
      </c>
      <c r="J1467" s="455">
        <f t="array" ref="J1467">IFERROR(INDEX('Retirement Calculator'!J:J,MATCH('Isaac 401k'!N1467,'Retirement Calculator'!A:A,0),0),0)</f>
        <v>0</v>
      </c>
      <c r="K1467" s="455">
        <f t="shared" ca="1" si="126"/>
        <v>-193782.50686077468</v>
      </c>
      <c r="L1467" s="455">
        <f t="shared" ca="1" si="127"/>
        <v>-46701584.153446704</v>
      </c>
      <c r="M1467" s="471">
        <f t="shared" si="129"/>
        <v>0.05</v>
      </c>
      <c r="N1467" s="475">
        <f t="shared" si="130"/>
        <v>95696</v>
      </c>
    </row>
    <row r="1468" spans="7:14" ht="11.25" customHeight="1" x14ac:dyDescent="0.3">
      <c r="G1468" s="470"/>
      <c r="H1468" s="470">
        <v>1461</v>
      </c>
      <c r="I1468" s="455">
        <f t="shared" ca="1" si="128"/>
        <v>-46701584.153446704</v>
      </c>
      <c r="J1468" s="455">
        <f t="array" ref="J1468">IFERROR(INDEX('Retirement Calculator'!J:J,MATCH('Isaac 401k'!N1468,'Retirement Calculator'!A:A,0),0),0)</f>
        <v>0</v>
      </c>
      <c r="K1468" s="455">
        <f t="shared" ca="1" si="126"/>
        <v>-194589.93397269459</v>
      </c>
      <c r="L1468" s="455">
        <f t="shared" ca="1" si="127"/>
        <v>-46896174.087419398</v>
      </c>
      <c r="M1468" s="471">
        <f t="shared" si="129"/>
        <v>0.05</v>
      </c>
      <c r="N1468" s="475">
        <f t="shared" si="130"/>
        <v>95727</v>
      </c>
    </row>
    <row r="1469" spans="7:14" ht="11.25" customHeight="1" x14ac:dyDescent="0.3">
      <c r="G1469" s="470"/>
      <c r="H1469" s="470">
        <v>1462</v>
      </c>
      <c r="I1469" s="455">
        <f t="shared" ca="1" si="128"/>
        <v>-46896174.087419398</v>
      </c>
      <c r="J1469" s="455">
        <f t="array" ref="J1469">IFERROR(INDEX('Retirement Calculator'!J:J,MATCH('Isaac 401k'!N1469,'Retirement Calculator'!A:A,0),0),0)</f>
        <v>0</v>
      </c>
      <c r="K1469" s="455">
        <f t="shared" ca="1" si="126"/>
        <v>-195400.72536424748</v>
      </c>
      <c r="L1469" s="455">
        <f t="shared" ca="1" si="127"/>
        <v>-47091574.812783644</v>
      </c>
      <c r="M1469" s="471">
        <f t="shared" si="129"/>
        <v>0.05</v>
      </c>
      <c r="N1469" s="475">
        <f t="shared" si="130"/>
        <v>95755</v>
      </c>
    </row>
    <row r="1470" spans="7:14" ht="11.25" customHeight="1" x14ac:dyDescent="0.3">
      <c r="G1470" s="470"/>
      <c r="H1470" s="470">
        <v>1463</v>
      </c>
      <c r="I1470" s="455">
        <f t="shared" ca="1" si="128"/>
        <v>-47091574.812783644</v>
      </c>
      <c r="J1470" s="455">
        <f t="array" ref="J1470">IFERROR(INDEX('Retirement Calculator'!J:J,MATCH('Isaac 401k'!N1470,'Retirement Calculator'!A:A,0),0),0)</f>
        <v>0</v>
      </c>
      <c r="K1470" s="455">
        <f t="shared" ca="1" si="126"/>
        <v>-196214.89505326518</v>
      </c>
      <c r="L1470" s="455">
        <f t="shared" ca="1" si="127"/>
        <v>-47287789.707836911</v>
      </c>
      <c r="M1470" s="471">
        <f t="shared" si="129"/>
        <v>0.05</v>
      </c>
      <c r="N1470" s="475">
        <f t="shared" si="130"/>
        <v>95786</v>
      </c>
    </row>
    <row r="1471" spans="7:14" ht="11.25" customHeight="1" x14ac:dyDescent="0.3">
      <c r="G1471" s="470"/>
      <c r="H1471" s="470">
        <v>1464</v>
      </c>
      <c r="I1471" s="455">
        <f t="shared" ca="1" si="128"/>
        <v>-47287789.707836911</v>
      </c>
      <c r="J1471" s="455">
        <f t="array" ref="J1471">IFERROR(INDEX('Retirement Calculator'!J:J,MATCH('Isaac 401k'!N1471,'Retirement Calculator'!A:A,0),0),0)</f>
        <v>0</v>
      </c>
      <c r="K1471" s="455">
        <f t="shared" ca="1" si="126"/>
        <v>-197032.45711598714</v>
      </c>
      <c r="L1471" s="455">
        <f t="shared" ca="1" si="127"/>
        <v>-47484822.164952897</v>
      </c>
      <c r="M1471" s="471">
        <f t="shared" si="129"/>
        <v>0.05</v>
      </c>
      <c r="N1471" s="475">
        <f t="shared" si="130"/>
        <v>95816</v>
      </c>
    </row>
    <row r="1472" spans="7:14" ht="11.25" customHeight="1" x14ac:dyDescent="0.3">
      <c r="G1472" s="470"/>
      <c r="H1472" s="470">
        <v>1465</v>
      </c>
      <c r="I1472" s="455">
        <f t="shared" ca="1" si="128"/>
        <v>-47484822.164952897</v>
      </c>
      <c r="J1472" s="455">
        <f t="array" ref="J1472">IFERROR(INDEX('Retirement Calculator'!J:J,MATCH('Isaac 401k'!N1472,'Retirement Calculator'!A:A,0),0),0)</f>
        <v>0</v>
      </c>
      <c r="K1472" s="455">
        <f t="shared" ca="1" si="126"/>
        <v>-197853.42568730374</v>
      </c>
      <c r="L1472" s="455">
        <f t="shared" ca="1" si="127"/>
        <v>-47682675.590640202</v>
      </c>
      <c r="M1472" s="471">
        <f t="shared" si="129"/>
        <v>0.05</v>
      </c>
      <c r="N1472" s="475">
        <f t="shared" si="130"/>
        <v>95847</v>
      </c>
    </row>
    <row r="1473" spans="7:14" ht="11.25" customHeight="1" x14ac:dyDescent="0.3">
      <c r="G1473" s="470"/>
      <c r="H1473" s="470">
        <v>1466</v>
      </c>
      <c r="I1473" s="455">
        <f t="shared" ca="1" si="128"/>
        <v>-47682675.590640202</v>
      </c>
      <c r="J1473" s="455">
        <f t="array" ref="J1473">IFERROR(INDEX('Retirement Calculator'!J:J,MATCH('Isaac 401k'!N1473,'Retirement Calculator'!A:A,0),0),0)</f>
        <v>0</v>
      </c>
      <c r="K1473" s="455">
        <f t="shared" ca="1" si="126"/>
        <v>-198677.81496100084</v>
      </c>
      <c r="L1473" s="455">
        <f t="shared" ca="1" si="127"/>
        <v>-47881353.405601203</v>
      </c>
      <c r="M1473" s="471">
        <f t="shared" si="129"/>
        <v>0.05</v>
      </c>
      <c r="N1473" s="475">
        <f t="shared" si="130"/>
        <v>95877</v>
      </c>
    </row>
    <row r="1474" spans="7:14" ht="11.25" customHeight="1" x14ac:dyDescent="0.3">
      <c r="G1474" s="470"/>
      <c r="H1474" s="470">
        <v>1467</v>
      </c>
      <c r="I1474" s="455">
        <f t="shared" ca="1" si="128"/>
        <v>-47881353.405601203</v>
      </c>
      <c r="J1474" s="455">
        <f t="array" ref="J1474">IFERROR(INDEX('Retirement Calculator'!J:J,MATCH('Isaac 401k'!N1474,'Retirement Calculator'!A:A,0),0),0)</f>
        <v>0</v>
      </c>
      <c r="K1474" s="455">
        <f t="shared" ca="1" si="126"/>
        <v>-199505.63919000502</v>
      </c>
      <c r="L1474" s="455">
        <f t="shared" ca="1" si="127"/>
        <v>-48080859.044791207</v>
      </c>
      <c r="M1474" s="471">
        <f t="shared" si="129"/>
        <v>0.05</v>
      </c>
      <c r="N1474" s="475">
        <f t="shared" si="130"/>
        <v>95908</v>
      </c>
    </row>
    <row r="1475" spans="7:14" ht="11.25" customHeight="1" x14ac:dyDescent="0.3">
      <c r="G1475" s="470"/>
      <c r="H1475" s="470">
        <v>1468</v>
      </c>
      <c r="I1475" s="455">
        <f t="shared" ca="1" si="128"/>
        <v>-48080859.044791207</v>
      </c>
      <c r="J1475" s="455">
        <f t="array" ref="J1475">IFERROR(INDEX('Retirement Calculator'!J:J,MATCH('Isaac 401k'!N1475,'Retirement Calculator'!A:A,0),0),0)</f>
        <v>0</v>
      </c>
      <c r="K1475" s="455">
        <f t="shared" ca="1" si="126"/>
        <v>-200336.91268663004</v>
      </c>
      <c r="L1475" s="455">
        <f t="shared" ca="1" si="127"/>
        <v>-48281195.957477838</v>
      </c>
      <c r="M1475" s="471">
        <f t="shared" si="129"/>
        <v>0.05</v>
      </c>
      <c r="N1475" s="475">
        <f t="shared" si="130"/>
        <v>95939</v>
      </c>
    </row>
    <row r="1476" spans="7:14" ht="11.25" customHeight="1" x14ac:dyDescent="0.3">
      <c r="G1476" s="470"/>
      <c r="H1476" s="470">
        <v>1469</v>
      </c>
      <c r="I1476" s="455">
        <f t="shared" ca="1" si="128"/>
        <v>-48281195.957477838</v>
      </c>
      <c r="J1476" s="455">
        <f t="array" ref="J1476">IFERROR(INDEX('Retirement Calculator'!J:J,MATCH('Isaac 401k'!N1476,'Retirement Calculator'!A:A,0),0),0)</f>
        <v>0</v>
      </c>
      <c r="K1476" s="455">
        <f t="shared" ca="1" si="126"/>
        <v>-201171.64982282431</v>
      </c>
      <c r="L1476" s="455">
        <f t="shared" ca="1" si="127"/>
        <v>-48482367.607300662</v>
      </c>
      <c r="M1476" s="471">
        <f t="shared" si="129"/>
        <v>0.05</v>
      </c>
      <c r="N1476" s="475">
        <f t="shared" si="130"/>
        <v>95969</v>
      </c>
    </row>
    <row r="1477" spans="7:14" ht="11.25" customHeight="1" x14ac:dyDescent="0.3">
      <c r="G1477" s="470"/>
      <c r="H1477" s="470">
        <v>1470</v>
      </c>
      <c r="I1477" s="455">
        <f t="shared" ca="1" si="128"/>
        <v>-48482367.607300662</v>
      </c>
      <c r="J1477" s="455">
        <f t="array" ref="J1477">IFERROR(INDEX('Retirement Calculator'!J:J,MATCH('Isaac 401k'!N1477,'Retirement Calculator'!A:A,0),0),0)</f>
        <v>0</v>
      </c>
      <c r="K1477" s="455">
        <f t="shared" ca="1" si="126"/>
        <v>-202009.86503041943</v>
      </c>
      <c r="L1477" s="455">
        <f t="shared" ca="1" si="127"/>
        <v>-48684377.472331084</v>
      </c>
      <c r="M1477" s="471">
        <f t="shared" si="129"/>
        <v>0.05</v>
      </c>
      <c r="N1477" s="475">
        <f t="shared" si="130"/>
        <v>96000</v>
      </c>
    </row>
    <row r="1478" spans="7:14" ht="11.25" customHeight="1" x14ac:dyDescent="0.3">
      <c r="G1478" s="470"/>
      <c r="H1478" s="470">
        <v>1471</v>
      </c>
      <c r="I1478" s="455">
        <f t="shared" ca="1" si="128"/>
        <v>-48684377.472331084</v>
      </c>
      <c r="J1478" s="455">
        <f t="array" ref="J1478">IFERROR(INDEX('Retirement Calculator'!J:J,MATCH('Isaac 401k'!N1478,'Retirement Calculator'!A:A,0),0),0)</f>
        <v>0</v>
      </c>
      <c r="K1478" s="455">
        <f t="shared" ca="1" si="126"/>
        <v>-202851.57280137952</v>
      </c>
      <c r="L1478" s="455">
        <f t="shared" ca="1" si="127"/>
        <v>-48887229.045132466</v>
      </c>
      <c r="M1478" s="471">
        <f t="shared" si="129"/>
        <v>0.05</v>
      </c>
      <c r="N1478" s="475">
        <f t="shared" si="130"/>
        <v>96030</v>
      </c>
    </row>
    <row r="1479" spans="7:14" ht="11.25" customHeight="1" x14ac:dyDescent="0.3">
      <c r="G1479" s="470"/>
      <c r="H1479" s="470">
        <v>1472</v>
      </c>
      <c r="I1479" s="455">
        <f t="shared" ca="1" si="128"/>
        <v>-48887229.045132466</v>
      </c>
      <c r="J1479" s="455">
        <f t="array" ref="J1479">IFERROR(INDEX('Retirement Calculator'!J:J,MATCH('Isaac 401k'!N1479,'Retirement Calculator'!A:A,0),0),0)</f>
        <v>0</v>
      </c>
      <c r="K1479" s="455">
        <f t="shared" ca="1" si="126"/>
        <v>-203696.78768805193</v>
      </c>
      <c r="L1479" s="455">
        <f t="shared" ca="1" si="127"/>
        <v>-49090925.83282052</v>
      </c>
      <c r="M1479" s="471">
        <f t="shared" si="129"/>
        <v>0.05</v>
      </c>
      <c r="N1479" s="475">
        <f t="shared" si="130"/>
        <v>96061</v>
      </c>
    </row>
    <row r="1480" spans="7:14" ht="11.25" customHeight="1" x14ac:dyDescent="0.3">
      <c r="G1480" s="470"/>
      <c r="H1480" s="470">
        <v>1473</v>
      </c>
      <c r="I1480" s="455">
        <f t="shared" ca="1" si="128"/>
        <v>-49090925.83282052</v>
      </c>
      <c r="J1480" s="455">
        <f t="array" ref="J1480">IFERROR(INDEX('Retirement Calculator'!J:J,MATCH('Isaac 401k'!N1480,'Retirement Calculator'!A:A,0),0),0)</f>
        <v>0</v>
      </c>
      <c r="K1480" s="455">
        <f t="shared" ca="1" si="126"/>
        <v>-204545.52430341882</v>
      </c>
      <c r="L1480" s="455">
        <f t="shared" ca="1" si="127"/>
        <v>-49295471.357123941</v>
      </c>
      <c r="M1480" s="471">
        <f t="shared" si="129"/>
        <v>0.05</v>
      </c>
      <c r="N1480" s="475">
        <f t="shared" si="130"/>
        <v>96092</v>
      </c>
    </row>
    <row r="1481" spans="7:14" ht="11.25" customHeight="1" x14ac:dyDescent="0.3">
      <c r="G1481" s="470"/>
      <c r="H1481" s="470">
        <v>1474</v>
      </c>
      <c r="I1481" s="455">
        <f t="shared" ca="1" si="128"/>
        <v>-49295471.357123941</v>
      </c>
      <c r="J1481" s="455">
        <f t="array" ref="J1481">IFERROR(INDEX('Retirement Calculator'!J:J,MATCH('Isaac 401k'!N1481,'Retirement Calculator'!A:A,0),0),0)</f>
        <v>0</v>
      </c>
      <c r="K1481" s="455">
        <f t="shared" ca="1" si="126"/>
        <v>-205397.79732134976</v>
      </c>
      <c r="L1481" s="455">
        <f t="shared" ca="1" si="127"/>
        <v>-49500869.154445291</v>
      </c>
      <c r="M1481" s="471">
        <f t="shared" si="129"/>
        <v>0.05</v>
      </c>
      <c r="N1481" s="475">
        <f t="shared" si="130"/>
        <v>96120</v>
      </c>
    </row>
    <row r="1482" spans="7:14" ht="11.25" customHeight="1" x14ac:dyDescent="0.3">
      <c r="G1482" s="470"/>
      <c r="H1482" s="470">
        <v>1475</v>
      </c>
      <c r="I1482" s="455">
        <f t="shared" ca="1" si="128"/>
        <v>-49500869.154445291</v>
      </c>
      <c r="J1482" s="455">
        <f t="array" ref="J1482">IFERROR(INDEX('Retirement Calculator'!J:J,MATCH('Isaac 401k'!N1482,'Retirement Calculator'!A:A,0),0),0)</f>
        <v>0</v>
      </c>
      <c r="K1482" s="455">
        <f t="shared" ca="1" si="126"/>
        <v>-206253.62147685536</v>
      </c>
      <c r="L1482" s="455">
        <f t="shared" ca="1" si="127"/>
        <v>-49707122.775922149</v>
      </c>
      <c r="M1482" s="471">
        <f t="shared" si="129"/>
        <v>0.05</v>
      </c>
      <c r="N1482" s="475">
        <f t="shared" si="130"/>
        <v>96151</v>
      </c>
    </row>
    <row r="1483" spans="7:14" ht="11.25" customHeight="1" x14ac:dyDescent="0.3">
      <c r="G1483" s="470"/>
      <c r="H1483" s="470">
        <v>1476</v>
      </c>
      <c r="I1483" s="455">
        <f t="shared" ca="1" si="128"/>
        <v>-49707122.775922149</v>
      </c>
      <c r="J1483" s="455">
        <f t="array" ref="J1483">IFERROR(INDEX('Retirement Calculator'!J:J,MATCH('Isaac 401k'!N1483,'Retirement Calculator'!A:A,0),0),0)</f>
        <v>0</v>
      </c>
      <c r="K1483" s="455">
        <f t="shared" ca="1" si="126"/>
        <v>-207113.01156634229</v>
      </c>
      <c r="L1483" s="455">
        <f t="shared" ca="1" si="127"/>
        <v>-49914235.78748849</v>
      </c>
      <c r="M1483" s="471">
        <f t="shared" si="129"/>
        <v>0.05</v>
      </c>
      <c r="N1483" s="475">
        <f t="shared" si="130"/>
        <v>96181</v>
      </c>
    </row>
    <row r="1484" spans="7:14" ht="11.25" customHeight="1" x14ac:dyDescent="0.3">
      <c r="G1484" s="470"/>
      <c r="H1484" s="470">
        <v>1477</v>
      </c>
      <c r="I1484" s="455">
        <f t="shared" ca="1" si="128"/>
        <v>-49914235.78748849</v>
      </c>
      <c r="J1484" s="455">
        <f t="array" ref="J1484">IFERROR(INDEX('Retirement Calculator'!J:J,MATCH('Isaac 401k'!N1484,'Retirement Calculator'!A:A,0),0),0)</f>
        <v>0</v>
      </c>
      <c r="K1484" s="455">
        <f t="shared" ca="1" si="126"/>
        <v>-207975.98244786871</v>
      </c>
      <c r="L1484" s="455">
        <f t="shared" ca="1" si="127"/>
        <v>-50122211.76993636</v>
      </c>
      <c r="M1484" s="471">
        <f t="shared" si="129"/>
        <v>0.05</v>
      </c>
      <c r="N1484" s="475">
        <f t="shared" si="130"/>
        <v>96212</v>
      </c>
    </row>
    <row r="1485" spans="7:14" ht="11.25" customHeight="1" x14ac:dyDescent="0.3">
      <c r="G1485" s="470"/>
      <c r="H1485" s="470">
        <v>1478</v>
      </c>
      <c r="I1485" s="455">
        <f t="shared" ca="1" si="128"/>
        <v>-50122211.76993636</v>
      </c>
      <c r="J1485" s="455">
        <f t="array" ref="J1485">IFERROR(INDEX('Retirement Calculator'!J:J,MATCH('Isaac 401k'!N1485,'Retirement Calculator'!A:A,0),0),0)</f>
        <v>0</v>
      </c>
      <c r="K1485" s="455">
        <f t="shared" ca="1" si="126"/>
        <v>-208842.54904140151</v>
      </c>
      <c r="L1485" s="455">
        <f t="shared" ca="1" si="127"/>
        <v>-50331054.318977758</v>
      </c>
      <c r="M1485" s="471">
        <f t="shared" si="129"/>
        <v>0.05</v>
      </c>
      <c r="N1485" s="475">
        <f t="shared" si="130"/>
        <v>96242</v>
      </c>
    </row>
    <row r="1486" spans="7:14" ht="11.25" customHeight="1" x14ac:dyDescent="0.3">
      <c r="G1486" s="470"/>
      <c r="H1486" s="470">
        <v>1479</v>
      </c>
      <c r="I1486" s="455">
        <f t="shared" ca="1" si="128"/>
        <v>-50331054.318977758</v>
      </c>
      <c r="J1486" s="455">
        <f t="array" ref="J1486">IFERROR(INDEX('Retirement Calculator'!J:J,MATCH('Isaac 401k'!N1486,'Retirement Calculator'!A:A,0),0),0)</f>
        <v>0</v>
      </c>
      <c r="K1486" s="455">
        <f t="shared" ca="1" si="126"/>
        <v>-209712.72632907398</v>
      </c>
      <c r="L1486" s="455">
        <f t="shared" ca="1" si="127"/>
        <v>-50540767.045306832</v>
      </c>
      <c r="M1486" s="471">
        <f t="shared" si="129"/>
        <v>0.05</v>
      </c>
      <c r="N1486" s="475">
        <f t="shared" si="130"/>
        <v>96273</v>
      </c>
    </row>
    <row r="1487" spans="7:14" ht="11.25" customHeight="1" x14ac:dyDescent="0.3">
      <c r="G1487" s="470"/>
      <c r="H1487" s="470">
        <v>1480</v>
      </c>
      <c r="I1487" s="455">
        <f t="shared" ca="1" si="128"/>
        <v>-50540767.045306832</v>
      </c>
      <c r="J1487" s="455">
        <f t="array" ref="J1487">IFERROR(INDEX('Retirement Calculator'!J:J,MATCH('Isaac 401k'!N1487,'Retirement Calculator'!A:A,0),0),0)</f>
        <v>0</v>
      </c>
      <c r="K1487" s="455">
        <f t="shared" ca="1" si="126"/>
        <v>-210586.52935544512</v>
      </c>
      <c r="L1487" s="455">
        <f t="shared" ca="1" si="127"/>
        <v>-50751353.574662276</v>
      </c>
      <c r="M1487" s="471">
        <f t="shared" si="129"/>
        <v>0.05</v>
      </c>
      <c r="N1487" s="475">
        <f t="shared" si="130"/>
        <v>96304</v>
      </c>
    </row>
    <row r="1488" spans="7:14" ht="11.25" customHeight="1" x14ac:dyDescent="0.3">
      <c r="G1488" s="470"/>
      <c r="H1488" s="470">
        <v>1481</v>
      </c>
      <c r="I1488" s="455">
        <f t="shared" ca="1" si="128"/>
        <v>-50751353.574662276</v>
      </c>
      <c r="J1488" s="455">
        <f t="array" ref="J1488">IFERROR(INDEX('Retirement Calculator'!J:J,MATCH('Isaac 401k'!N1488,'Retirement Calculator'!A:A,0),0),0)</f>
        <v>0</v>
      </c>
      <c r="K1488" s="455">
        <f t="shared" ca="1" si="126"/>
        <v>-211463.97322775947</v>
      </c>
      <c r="L1488" s="455">
        <f t="shared" ca="1" si="127"/>
        <v>-50962817.547890037</v>
      </c>
      <c r="M1488" s="471">
        <f t="shared" si="129"/>
        <v>0.05</v>
      </c>
      <c r="N1488" s="475">
        <f t="shared" si="130"/>
        <v>96334</v>
      </c>
    </row>
    <row r="1489" spans="7:14" ht="11.25" customHeight="1" x14ac:dyDescent="0.3">
      <c r="G1489" s="470"/>
      <c r="H1489" s="470">
        <v>1482</v>
      </c>
      <c r="I1489" s="455">
        <f t="shared" ca="1" si="128"/>
        <v>-50962817.547890037</v>
      </c>
      <c r="J1489" s="455">
        <f t="array" ref="J1489">IFERROR(INDEX('Retirement Calculator'!J:J,MATCH('Isaac 401k'!N1489,'Retirement Calculator'!A:A,0),0),0)</f>
        <v>0</v>
      </c>
      <c r="K1489" s="455">
        <f t="shared" ca="1" si="126"/>
        <v>-212345.07311620848</v>
      </c>
      <c r="L1489" s="455">
        <f t="shared" ca="1" si="127"/>
        <v>-51175162.621006243</v>
      </c>
      <c r="M1489" s="471">
        <f t="shared" si="129"/>
        <v>0.05</v>
      </c>
      <c r="N1489" s="475">
        <f t="shared" si="130"/>
        <v>96365</v>
      </c>
    </row>
    <row r="1490" spans="7:14" ht="11.25" customHeight="1" x14ac:dyDescent="0.3">
      <c r="G1490" s="470"/>
      <c r="H1490" s="470">
        <v>1483</v>
      </c>
      <c r="I1490" s="455">
        <f t="shared" ca="1" si="128"/>
        <v>-51175162.621006243</v>
      </c>
      <c r="J1490" s="455">
        <f t="array" ref="J1490">IFERROR(INDEX('Retirement Calculator'!J:J,MATCH('Isaac 401k'!N1490,'Retirement Calculator'!A:A,0),0),0)</f>
        <v>0</v>
      </c>
      <c r="K1490" s="455">
        <f t="shared" ca="1" si="126"/>
        <v>-213229.84425419266</v>
      </c>
      <c r="L1490" s="455">
        <f t="shared" ca="1" si="127"/>
        <v>-51388392.465260439</v>
      </c>
      <c r="M1490" s="471">
        <f t="shared" si="129"/>
        <v>0.05</v>
      </c>
      <c r="N1490" s="475">
        <f t="shared" si="130"/>
        <v>96395</v>
      </c>
    </row>
    <row r="1491" spans="7:14" ht="11.25" customHeight="1" x14ac:dyDescent="0.3">
      <c r="G1491" s="470"/>
      <c r="H1491" s="470">
        <v>1484</v>
      </c>
      <c r="I1491" s="455">
        <f t="shared" ca="1" si="128"/>
        <v>-51388392.465260439</v>
      </c>
      <c r="J1491" s="455">
        <f t="array" ref="J1491">IFERROR(INDEX('Retirement Calculator'!J:J,MATCH('Isaac 401k'!N1491,'Retirement Calculator'!A:A,0),0),0)</f>
        <v>0</v>
      </c>
      <c r="K1491" s="455">
        <f t="shared" ca="1" si="126"/>
        <v>-214118.30193858515</v>
      </c>
      <c r="L1491" s="455">
        <f t="shared" ca="1" si="127"/>
        <v>-51602510.767199025</v>
      </c>
      <c r="M1491" s="471">
        <f t="shared" si="129"/>
        <v>0.05</v>
      </c>
      <c r="N1491" s="475">
        <f t="shared" si="130"/>
        <v>96426</v>
      </c>
    </row>
    <row r="1492" spans="7:14" ht="11.25" customHeight="1" x14ac:dyDescent="0.3">
      <c r="G1492" s="470"/>
      <c r="H1492" s="470">
        <v>1485</v>
      </c>
      <c r="I1492" s="455">
        <f t="shared" ca="1" si="128"/>
        <v>-51602510.767199025</v>
      </c>
      <c r="J1492" s="455">
        <f t="array" ref="J1492">IFERROR(INDEX('Retirement Calculator'!J:J,MATCH('Isaac 401k'!N1492,'Retirement Calculator'!A:A,0),0),0)</f>
        <v>0</v>
      </c>
      <c r="K1492" s="455">
        <f t="shared" ca="1" si="126"/>
        <v>-215010.46152999593</v>
      </c>
      <c r="L1492" s="455">
        <f t="shared" ca="1" si="127"/>
        <v>-51817521.228729017</v>
      </c>
      <c r="M1492" s="471">
        <f t="shared" si="129"/>
        <v>0.05</v>
      </c>
      <c r="N1492" s="475">
        <f t="shared" si="130"/>
        <v>96457</v>
      </c>
    </row>
    <row r="1493" spans="7:14" ht="11.25" customHeight="1" x14ac:dyDescent="0.3">
      <c r="G1493" s="470"/>
      <c r="H1493" s="470">
        <v>1486</v>
      </c>
      <c r="I1493" s="455">
        <f t="shared" ca="1" si="128"/>
        <v>-51817521.228729017</v>
      </c>
      <c r="J1493" s="455">
        <f t="array" ref="J1493">IFERROR(INDEX('Retirement Calculator'!J:J,MATCH('Isaac 401k'!N1493,'Retirement Calculator'!A:A,0),0),0)</f>
        <v>0</v>
      </c>
      <c r="K1493" s="455">
        <f t="shared" ca="1" si="126"/>
        <v>-215906.33845303758</v>
      </c>
      <c r="L1493" s="455">
        <f t="shared" ca="1" si="127"/>
        <v>-52033427.567182057</v>
      </c>
      <c r="M1493" s="471">
        <f t="shared" si="129"/>
        <v>0.05</v>
      </c>
      <c r="N1493" s="475">
        <f t="shared" si="130"/>
        <v>96486</v>
      </c>
    </row>
    <row r="1494" spans="7:14" ht="11.25" customHeight="1" x14ac:dyDescent="0.3">
      <c r="G1494" s="470"/>
      <c r="H1494" s="470">
        <v>1487</v>
      </c>
      <c r="I1494" s="455">
        <f t="shared" ca="1" si="128"/>
        <v>-52033427.567182057</v>
      </c>
      <c r="J1494" s="455">
        <f t="array" ref="J1494">IFERROR(INDEX('Retirement Calculator'!J:J,MATCH('Isaac 401k'!N1494,'Retirement Calculator'!A:A,0),0),0)</f>
        <v>0</v>
      </c>
      <c r="K1494" s="455">
        <f t="shared" ca="1" si="126"/>
        <v>-216805.9481965919</v>
      </c>
      <c r="L1494" s="455">
        <f t="shared" ca="1" si="127"/>
        <v>-52250233.515378647</v>
      </c>
      <c r="M1494" s="471">
        <f t="shared" si="129"/>
        <v>0.05</v>
      </c>
      <c r="N1494" s="475">
        <f t="shared" si="130"/>
        <v>96517</v>
      </c>
    </row>
    <row r="1495" spans="7:14" ht="11.25" customHeight="1" x14ac:dyDescent="0.3">
      <c r="G1495" s="470"/>
      <c r="H1495" s="470">
        <v>1488</v>
      </c>
      <c r="I1495" s="455">
        <f t="shared" ca="1" si="128"/>
        <v>-52250233.515378647</v>
      </c>
      <c r="J1495" s="455">
        <f t="array" ref="J1495">IFERROR(INDEX('Retirement Calculator'!J:J,MATCH('Isaac 401k'!N1495,'Retirement Calculator'!A:A,0),0),0)</f>
        <v>0</v>
      </c>
      <c r="K1495" s="455">
        <f t="shared" ca="1" si="126"/>
        <v>-217709.30631407769</v>
      </c>
      <c r="L1495" s="455">
        <f t="shared" ca="1" si="127"/>
        <v>-52467942.821692728</v>
      </c>
      <c r="M1495" s="471">
        <f t="shared" si="129"/>
        <v>0.05</v>
      </c>
      <c r="N1495" s="475">
        <f t="shared" si="130"/>
        <v>96547</v>
      </c>
    </row>
    <row r="1496" spans="7:14" ht="11.25" customHeight="1" x14ac:dyDescent="0.3">
      <c r="G1496" s="470"/>
      <c r="H1496" s="470">
        <v>1489</v>
      </c>
      <c r="I1496" s="455">
        <f t="shared" ca="1" si="128"/>
        <v>-52467942.821692728</v>
      </c>
      <c r="J1496" s="455">
        <f t="array" ref="J1496">IFERROR(INDEX('Retirement Calculator'!J:J,MATCH('Isaac 401k'!N1496,'Retirement Calculator'!A:A,0),0),0)</f>
        <v>0</v>
      </c>
      <c r="K1496" s="455">
        <f t="shared" ca="1" si="126"/>
        <v>-218616.42842371968</v>
      </c>
      <c r="L1496" s="455">
        <f t="shared" ca="1" si="127"/>
        <v>-52686559.250116445</v>
      </c>
      <c r="M1496" s="471">
        <f t="shared" si="129"/>
        <v>0.05</v>
      </c>
      <c r="N1496" s="475">
        <f t="shared" si="130"/>
        <v>96578</v>
      </c>
    </row>
    <row r="1497" spans="7:14" ht="11.25" customHeight="1" x14ac:dyDescent="0.3">
      <c r="G1497" s="470"/>
      <c r="H1497" s="470">
        <v>1490</v>
      </c>
      <c r="I1497" s="455">
        <f t="shared" ca="1" si="128"/>
        <v>-52686559.250116445</v>
      </c>
      <c r="J1497" s="455">
        <f t="array" ref="J1497">IFERROR(INDEX('Retirement Calculator'!J:J,MATCH('Isaac 401k'!N1497,'Retirement Calculator'!A:A,0),0),0)</f>
        <v>0</v>
      </c>
      <c r="K1497" s="455">
        <f t="shared" ca="1" si="126"/>
        <v>-219527.33020881852</v>
      </c>
      <c r="L1497" s="455">
        <f t="shared" ca="1" si="127"/>
        <v>-52906086.580325261</v>
      </c>
      <c r="M1497" s="471">
        <f t="shared" si="129"/>
        <v>0.05</v>
      </c>
      <c r="N1497" s="475">
        <f t="shared" si="130"/>
        <v>96608</v>
      </c>
    </row>
    <row r="1498" spans="7:14" ht="11.25" customHeight="1" x14ac:dyDescent="0.3">
      <c r="G1498" s="470"/>
      <c r="H1498" s="470">
        <v>1491</v>
      </c>
      <c r="I1498" s="455">
        <f t="shared" ca="1" si="128"/>
        <v>-52906086.580325261</v>
      </c>
      <c r="J1498" s="455">
        <f t="array" ref="J1498">IFERROR(INDEX('Retirement Calculator'!J:J,MATCH('Isaac 401k'!N1498,'Retirement Calculator'!A:A,0),0),0)</f>
        <v>0</v>
      </c>
      <c r="K1498" s="455">
        <f t="shared" ca="1" si="126"/>
        <v>-220442.0274180219</v>
      </c>
      <c r="L1498" s="455">
        <f t="shared" ca="1" si="127"/>
        <v>-53126528.607743286</v>
      </c>
      <c r="M1498" s="471">
        <f t="shared" si="129"/>
        <v>0.05</v>
      </c>
      <c r="N1498" s="475">
        <f t="shared" si="130"/>
        <v>96639</v>
      </c>
    </row>
    <row r="1499" spans="7:14" ht="11.25" customHeight="1" x14ac:dyDescent="0.3">
      <c r="G1499" s="470"/>
      <c r="H1499" s="470">
        <v>1492</v>
      </c>
      <c r="I1499" s="455">
        <f t="shared" ca="1" si="128"/>
        <v>-53126528.607743286</v>
      </c>
      <c r="J1499" s="455">
        <f t="array" ref="J1499">IFERROR(INDEX('Retirement Calculator'!J:J,MATCH('Isaac 401k'!N1499,'Retirement Calculator'!A:A,0),0),0)</f>
        <v>0</v>
      </c>
      <c r="K1499" s="455">
        <f t="shared" ca="1" si="126"/>
        <v>-221360.53586559699</v>
      </c>
      <c r="L1499" s="455">
        <f t="shared" ca="1" si="127"/>
        <v>-53347889.143608883</v>
      </c>
      <c r="M1499" s="471">
        <f t="shared" si="129"/>
        <v>0.05</v>
      </c>
      <c r="N1499" s="475">
        <f t="shared" si="130"/>
        <v>96670</v>
      </c>
    </row>
    <row r="1500" spans="7:14" ht="11.25" customHeight="1" x14ac:dyDescent="0.3">
      <c r="G1500" s="470"/>
      <c r="H1500" s="470">
        <v>1493</v>
      </c>
      <c r="I1500" s="455">
        <f t="shared" ca="1" si="128"/>
        <v>-53347889.143608883</v>
      </c>
      <c r="J1500" s="455">
        <f t="array" ref="J1500">IFERROR(INDEX('Retirement Calculator'!J:J,MATCH('Isaac 401k'!N1500,'Retirement Calculator'!A:A,0),0),0)</f>
        <v>0</v>
      </c>
      <c r="K1500" s="455">
        <f t="shared" ca="1" si="126"/>
        <v>-222282.87143170368</v>
      </c>
      <c r="L1500" s="455">
        <f t="shared" ca="1" si="127"/>
        <v>-53570172.015040584</v>
      </c>
      <c r="M1500" s="471">
        <f t="shared" si="129"/>
        <v>0.05</v>
      </c>
      <c r="N1500" s="475">
        <f t="shared" si="130"/>
        <v>96700</v>
      </c>
    </row>
    <row r="1501" spans="7:14" ht="11.25" customHeight="1" x14ac:dyDescent="0.3">
      <c r="G1501" s="470"/>
      <c r="H1501" s="470">
        <v>1494</v>
      </c>
      <c r="I1501" s="455">
        <f t="shared" ca="1" si="128"/>
        <v>-53570172.015040584</v>
      </c>
      <c r="J1501" s="455">
        <f t="array" ref="J1501">IFERROR(INDEX('Retirement Calculator'!J:J,MATCH('Isaac 401k'!N1501,'Retirement Calculator'!A:A,0),0),0)</f>
        <v>0</v>
      </c>
      <c r="K1501" s="455">
        <f t="shared" ca="1" si="126"/>
        <v>-223209.05006266909</v>
      </c>
      <c r="L1501" s="455">
        <f t="shared" ca="1" si="127"/>
        <v>-53793381.065103255</v>
      </c>
      <c r="M1501" s="471">
        <f t="shared" si="129"/>
        <v>0.05</v>
      </c>
      <c r="N1501" s="475">
        <f t="shared" si="130"/>
        <v>96731</v>
      </c>
    </row>
    <row r="1502" spans="7:14" ht="11.25" customHeight="1" x14ac:dyDescent="0.3">
      <c r="G1502" s="470"/>
      <c r="H1502" s="470">
        <v>1495</v>
      </c>
      <c r="I1502" s="455">
        <f t="shared" ca="1" si="128"/>
        <v>-53793381.065103255</v>
      </c>
      <c r="J1502" s="455">
        <f t="array" ref="J1502">IFERROR(INDEX('Retirement Calculator'!J:J,MATCH('Isaac 401k'!N1502,'Retirement Calculator'!A:A,0),0),0)</f>
        <v>0</v>
      </c>
      <c r="K1502" s="455">
        <f t="shared" ca="1" si="126"/>
        <v>-224139.08777126358</v>
      </c>
      <c r="L1502" s="455">
        <f t="shared" ca="1" si="127"/>
        <v>-54017520.152874522</v>
      </c>
      <c r="M1502" s="471">
        <f t="shared" si="129"/>
        <v>0.05</v>
      </c>
      <c r="N1502" s="475">
        <f t="shared" si="130"/>
        <v>96761</v>
      </c>
    </row>
    <row r="1503" spans="7:14" ht="11.25" customHeight="1" x14ac:dyDescent="0.3">
      <c r="G1503" s="470"/>
      <c r="H1503" s="470">
        <v>1496</v>
      </c>
      <c r="I1503" s="455">
        <f t="shared" ca="1" si="128"/>
        <v>-54017520.152874522</v>
      </c>
      <c r="J1503" s="455">
        <f t="array" ref="J1503">IFERROR(INDEX('Retirement Calculator'!J:J,MATCH('Isaac 401k'!N1503,'Retirement Calculator'!A:A,0),0),0)</f>
        <v>0</v>
      </c>
      <c r="K1503" s="455">
        <f t="shared" ca="1" si="126"/>
        <v>-225073.00063697717</v>
      </c>
      <c r="L1503" s="455">
        <f t="shared" ca="1" si="127"/>
        <v>-54242593.153511502</v>
      </c>
      <c r="M1503" s="471">
        <f t="shared" si="129"/>
        <v>0.05</v>
      </c>
      <c r="N1503" s="475">
        <f t="shared" si="130"/>
        <v>96792</v>
      </c>
    </row>
    <row r="1504" spans="7:14" ht="11.25" customHeight="1" x14ac:dyDescent="0.3">
      <c r="G1504" s="470"/>
      <c r="H1504" s="470">
        <v>1497</v>
      </c>
      <c r="I1504" s="455">
        <f t="shared" ca="1" si="128"/>
        <v>-54242593.153511502</v>
      </c>
      <c r="J1504" s="455">
        <f t="array" ref="J1504">IFERROR(INDEX('Retirement Calculator'!J:J,MATCH('Isaac 401k'!N1504,'Retirement Calculator'!A:A,0),0),0)</f>
        <v>0</v>
      </c>
      <c r="K1504" s="455">
        <f t="shared" ca="1" si="126"/>
        <v>-226010.80480629788</v>
      </c>
      <c r="L1504" s="455">
        <f t="shared" ca="1" si="127"/>
        <v>-54468603.958317801</v>
      </c>
      <c r="M1504" s="471">
        <f t="shared" si="129"/>
        <v>0.05</v>
      </c>
      <c r="N1504" s="475">
        <f t="shared" si="130"/>
        <v>96823</v>
      </c>
    </row>
    <row r="1505" spans="7:14" ht="11.25" customHeight="1" x14ac:dyDescent="0.3">
      <c r="G1505" s="470"/>
      <c r="H1505" s="470">
        <v>1498</v>
      </c>
      <c r="I1505" s="455">
        <f t="shared" ca="1" si="128"/>
        <v>-54468603.958317801</v>
      </c>
      <c r="J1505" s="455">
        <f t="array" ref="J1505">IFERROR(INDEX('Retirement Calculator'!J:J,MATCH('Isaac 401k'!N1505,'Retirement Calculator'!A:A,0),0),0)</f>
        <v>0</v>
      </c>
      <c r="K1505" s="455">
        <f t="shared" ca="1" si="126"/>
        <v>-226952.51649299084</v>
      </c>
      <c r="L1505" s="455">
        <f t="shared" ca="1" si="127"/>
        <v>-54695556.474810794</v>
      </c>
      <c r="M1505" s="471">
        <f t="shared" si="129"/>
        <v>0.05</v>
      </c>
      <c r="N1505" s="475">
        <f t="shared" si="130"/>
        <v>96851</v>
      </c>
    </row>
    <row r="1506" spans="7:14" ht="11.25" customHeight="1" x14ac:dyDescent="0.3">
      <c r="G1506" s="470"/>
      <c r="H1506" s="470">
        <v>1499</v>
      </c>
      <c r="I1506" s="455">
        <f t="shared" ca="1" si="128"/>
        <v>-54695556.474810794</v>
      </c>
      <c r="J1506" s="455">
        <f t="array" ref="J1506">IFERROR(INDEX('Retirement Calculator'!J:J,MATCH('Isaac 401k'!N1506,'Retirement Calculator'!A:A,0),0),0)</f>
        <v>0</v>
      </c>
      <c r="K1506" s="455">
        <f t="shared" ca="1" si="126"/>
        <v>-227898.15197837833</v>
      </c>
      <c r="L1506" s="455">
        <f t="shared" ca="1" si="127"/>
        <v>-54923454.626789175</v>
      </c>
      <c r="M1506" s="471">
        <f t="shared" si="129"/>
        <v>0.05</v>
      </c>
      <c r="N1506" s="475">
        <f t="shared" si="130"/>
        <v>96882</v>
      </c>
    </row>
    <row r="1507" spans="7:14" ht="11.25" customHeight="1" x14ac:dyDescent="0.3">
      <c r="G1507" s="470"/>
      <c r="H1507" s="470">
        <v>1500</v>
      </c>
      <c r="I1507" s="455">
        <f t="shared" ca="1" si="128"/>
        <v>-54923454.626789175</v>
      </c>
      <c r="J1507" s="455">
        <f t="array" ref="J1507">IFERROR(INDEX('Retirement Calculator'!J:J,MATCH('Isaac 401k'!N1507,'Retirement Calculator'!A:A,0),0),0)</f>
        <v>0</v>
      </c>
      <c r="K1507" s="455">
        <f t="shared" ca="1" si="126"/>
        <v>-228847.72761162155</v>
      </c>
      <c r="L1507" s="455">
        <f t="shared" ca="1" si="127"/>
        <v>-55152302.354400799</v>
      </c>
      <c r="M1507" s="471">
        <f t="shared" si="129"/>
        <v>0.05</v>
      </c>
      <c r="N1507" s="475">
        <f t="shared" si="130"/>
        <v>96912</v>
      </c>
    </row>
    <row r="1508" spans="7:14" ht="11.25" customHeight="1" x14ac:dyDescent="0.3">
      <c r="G1508" s="470"/>
      <c r="H1508" s="470">
        <v>1501</v>
      </c>
      <c r="I1508" s="455">
        <f t="shared" ca="1" si="128"/>
        <v>-55152302.354400799</v>
      </c>
      <c r="J1508" s="455">
        <f t="array" ref="J1508">IFERROR(INDEX('Retirement Calculator'!J:J,MATCH('Isaac 401k'!N1508,'Retirement Calculator'!A:A,0),0),0)</f>
        <v>0</v>
      </c>
      <c r="K1508" s="455">
        <f t="shared" ca="1" si="126"/>
        <v>-229801.25981000334</v>
      </c>
      <c r="L1508" s="455">
        <f t="shared" ca="1" si="127"/>
        <v>-55382103.614210799</v>
      </c>
      <c r="M1508" s="471">
        <f t="shared" si="129"/>
        <v>0.05</v>
      </c>
      <c r="N1508" s="475">
        <f t="shared" si="130"/>
        <v>96943</v>
      </c>
    </row>
    <row r="1509" spans="7:14" ht="11.25" customHeight="1" x14ac:dyDescent="0.3">
      <c r="G1509" s="470"/>
      <c r="H1509" s="470">
        <v>1502</v>
      </c>
      <c r="I1509" s="455">
        <f t="shared" ca="1" si="128"/>
        <v>-55382103.614210799</v>
      </c>
      <c r="J1509" s="455">
        <f t="array" ref="J1509">IFERROR(INDEX('Retirement Calculator'!J:J,MATCH('Isaac 401k'!N1509,'Retirement Calculator'!A:A,0),0),0)</f>
        <v>0</v>
      </c>
      <c r="K1509" s="455">
        <f t="shared" ca="1" si="126"/>
        <v>-230758.7650592117</v>
      </c>
      <c r="L1509" s="455">
        <f t="shared" ca="1" si="127"/>
        <v>-55612862.37927001</v>
      </c>
      <c r="M1509" s="471">
        <f t="shared" si="129"/>
        <v>0.05</v>
      </c>
      <c r="N1509" s="475">
        <f t="shared" si="130"/>
        <v>96973</v>
      </c>
    </row>
    <row r="1510" spans="7:14" ht="11.25" customHeight="1" x14ac:dyDescent="0.3">
      <c r="G1510" s="470"/>
      <c r="H1510" s="470">
        <v>1503</v>
      </c>
      <c r="I1510" s="455">
        <f t="shared" ca="1" si="128"/>
        <v>-55612862.37927001</v>
      </c>
      <c r="J1510" s="455">
        <f t="array" ref="J1510">IFERROR(INDEX('Retirement Calculator'!J:J,MATCH('Isaac 401k'!N1510,'Retirement Calculator'!A:A,0),0),0)</f>
        <v>0</v>
      </c>
      <c r="K1510" s="455">
        <f t="shared" ca="1" si="126"/>
        <v>-231720.25991362505</v>
      </c>
      <c r="L1510" s="455">
        <f t="shared" ca="1" si="127"/>
        <v>-55844582.639183633</v>
      </c>
      <c r="M1510" s="471">
        <f t="shared" si="129"/>
        <v>0.05</v>
      </c>
      <c r="N1510" s="475">
        <f t="shared" si="130"/>
        <v>97004</v>
      </c>
    </row>
    <row r="1511" spans="7:14" ht="11.25" customHeight="1" x14ac:dyDescent="0.3">
      <c r="G1511" s="470"/>
      <c r="H1511" s="470">
        <v>1504</v>
      </c>
      <c r="I1511" s="455">
        <f t="shared" ca="1" si="128"/>
        <v>-55844582.639183633</v>
      </c>
      <c r="J1511" s="455">
        <f t="array" ref="J1511">IFERROR(INDEX('Retirement Calculator'!J:J,MATCH('Isaac 401k'!N1511,'Retirement Calculator'!A:A,0),0),0)</f>
        <v>0</v>
      </c>
      <c r="K1511" s="455">
        <f t="shared" ca="1" si="126"/>
        <v>-232685.76099659849</v>
      </c>
      <c r="L1511" s="455">
        <f t="shared" ca="1" si="127"/>
        <v>-56077268.400180228</v>
      </c>
      <c r="M1511" s="471">
        <f t="shared" si="129"/>
        <v>0.05</v>
      </c>
      <c r="N1511" s="475">
        <f t="shared" si="130"/>
        <v>97035</v>
      </c>
    </row>
    <row r="1512" spans="7:14" ht="11.25" customHeight="1" x14ac:dyDescent="0.3">
      <c r="G1512" s="470"/>
      <c r="H1512" s="470">
        <v>1505</v>
      </c>
      <c r="I1512" s="455">
        <f t="shared" ca="1" si="128"/>
        <v>-56077268.400180228</v>
      </c>
      <c r="J1512" s="455">
        <f t="array" ref="J1512">IFERROR(INDEX('Retirement Calculator'!J:J,MATCH('Isaac 401k'!N1512,'Retirement Calculator'!A:A,0),0),0)</f>
        <v>0</v>
      </c>
      <c r="K1512" s="455">
        <f t="shared" ca="1" si="126"/>
        <v>-233655.28500075094</v>
      </c>
      <c r="L1512" s="455">
        <f t="shared" ca="1" si="127"/>
        <v>-56310923.685180977</v>
      </c>
      <c r="M1512" s="471">
        <f t="shared" si="129"/>
        <v>0.05</v>
      </c>
      <c r="N1512" s="475">
        <f t="shared" si="130"/>
        <v>97065</v>
      </c>
    </row>
    <row r="1513" spans="7:14" ht="11.25" customHeight="1" x14ac:dyDescent="0.3">
      <c r="G1513" s="470"/>
      <c r="H1513" s="470">
        <v>1506</v>
      </c>
      <c r="I1513" s="455">
        <f t="shared" ca="1" si="128"/>
        <v>-56310923.685180977</v>
      </c>
      <c r="J1513" s="455">
        <f t="array" ref="J1513">IFERROR(INDEX('Retirement Calculator'!J:J,MATCH('Isaac 401k'!N1513,'Retirement Calculator'!A:A,0),0),0)</f>
        <v>0</v>
      </c>
      <c r="K1513" s="455">
        <f t="shared" ca="1" si="126"/>
        <v>-234628.8486882541</v>
      </c>
      <c r="L1513" s="455">
        <f t="shared" ca="1" si="127"/>
        <v>-56545552.533869229</v>
      </c>
      <c r="M1513" s="471">
        <f t="shared" si="129"/>
        <v>0.05</v>
      </c>
      <c r="N1513" s="475">
        <f t="shared" si="130"/>
        <v>97096</v>
      </c>
    </row>
    <row r="1514" spans="7:14" ht="11.25" customHeight="1" x14ac:dyDescent="0.3">
      <c r="G1514" s="470"/>
      <c r="H1514" s="470">
        <v>1507</v>
      </c>
      <c r="I1514" s="455">
        <f t="shared" ca="1" si="128"/>
        <v>-56545552.533869229</v>
      </c>
      <c r="J1514" s="455">
        <f t="array" ref="J1514">IFERROR(INDEX('Retirement Calculator'!J:J,MATCH('Isaac 401k'!N1514,'Retirement Calculator'!A:A,0),0),0)</f>
        <v>0</v>
      </c>
      <c r="K1514" s="455">
        <f t="shared" ca="1" si="126"/>
        <v>-235606.46889112183</v>
      </c>
      <c r="L1514" s="455">
        <f t="shared" ca="1" si="127"/>
        <v>-56781159.002760351</v>
      </c>
      <c r="M1514" s="471">
        <f t="shared" si="129"/>
        <v>0.05</v>
      </c>
      <c r="N1514" s="475">
        <f t="shared" si="130"/>
        <v>97126</v>
      </c>
    </row>
    <row r="1515" spans="7:14" ht="11.25" customHeight="1" x14ac:dyDescent="0.3">
      <c r="G1515" s="470"/>
      <c r="H1515" s="470">
        <v>1508</v>
      </c>
      <c r="I1515" s="455">
        <f t="shared" ca="1" si="128"/>
        <v>-56781159.002760351</v>
      </c>
      <c r="J1515" s="455">
        <f t="array" ref="J1515">IFERROR(INDEX('Retirement Calculator'!J:J,MATCH('Isaac 401k'!N1515,'Retirement Calculator'!A:A,0),0),0)</f>
        <v>0</v>
      </c>
      <c r="K1515" s="455">
        <f t="shared" ca="1" si="126"/>
        <v>-236588.16251150143</v>
      </c>
      <c r="L1515" s="455">
        <f t="shared" ca="1" si="127"/>
        <v>-57017747.165271848</v>
      </c>
      <c r="M1515" s="471">
        <f t="shared" si="129"/>
        <v>0.05</v>
      </c>
      <c r="N1515" s="475">
        <f t="shared" si="130"/>
        <v>97157</v>
      </c>
    </row>
    <row r="1516" spans="7:14" ht="11.25" customHeight="1" x14ac:dyDescent="0.3">
      <c r="G1516" s="470"/>
      <c r="H1516" s="470">
        <v>1509</v>
      </c>
      <c r="I1516" s="455">
        <f t="shared" ca="1" si="128"/>
        <v>-57017747.165271848</v>
      </c>
      <c r="J1516" s="455">
        <f t="array" ref="J1516">IFERROR(INDEX('Retirement Calculator'!J:J,MATCH('Isaac 401k'!N1516,'Retirement Calculator'!A:A,0),0),0)</f>
        <v>0</v>
      </c>
      <c r="K1516" s="455">
        <f t="shared" ca="1" si="126"/>
        <v>-237573.94652196602</v>
      </c>
      <c r="L1516" s="455">
        <f t="shared" ca="1" si="127"/>
        <v>-57255321.111793816</v>
      </c>
      <c r="M1516" s="471">
        <f t="shared" si="129"/>
        <v>0.05</v>
      </c>
      <c r="N1516" s="475">
        <f t="shared" si="130"/>
        <v>97188</v>
      </c>
    </row>
    <row r="1517" spans="7:14" ht="11.25" customHeight="1" x14ac:dyDescent="0.3">
      <c r="G1517" s="470"/>
      <c r="H1517" s="470">
        <v>1510</v>
      </c>
      <c r="I1517" s="455">
        <f t="shared" ca="1" si="128"/>
        <v>-57255321.111793816</v>
      </c>
      <c r="J1517" s="455">
        <f t="array" ref="J1517">IFERROR(INDEX('Retirement Calculator'!J:J,MATCH('Isaac 401k'!N1517,'Retirement Calculator'!A:A,0),0),0)</f>
        <v>0</v>
      </c>
      <c r="K1517" s="455">
        <f t="shared" ca="1" si="126"/>
        <v>-238563.83796580753</v>
      </c>
      <c r="L1517" s="455">
        <f t="shared" ca="1" si="127"/>
        <v>-57493884.949759625</v>
      </c>
      <c r="M1517" s="471">
        <f t="shared" si="129"/>
        <v>0.05</v>
      </c>
      <c r="N1517" s="475">
        <f t="shared" si="130"/>
        <v>97216</v>
      </c>
    </row>
    <row r="1518" spans="7:14" ht="11.25" customHeight="1" x14ac:dyDescent="0.3">
      <c r="G1518" s="470"/>
      <c r="H1518" s="470">
        <v>1511</v>
      </c>
      <c r="I1518" s="455">
        <f t="shared" ca="1" si="128"/>
        <v>-57493884.949759625</v>
      </c>
      <c r="J1518" s="455">
        <f t="array" ref="J1518">IFERROR(INDEX('Retirement Calculator'!J:J,MATCH('Isaac 401k'!N1518,'Retirement Calculator'!A:A,0),0),0)</f>
        <v>0</v>
      </c>
      <c r="K1518" s="455">
        <f t="shared" ca="1" si="126"/>
        <v>-239557.8539573318</v>
      </c>
      <c r="L1518" s="455">
        <f t="shared" ca="1" si="127"/>
        <v>-57733442.803716958</v>
      </c>
      <c r="M1518" s="471">
        <f t="shared" si="129"/>
        <v>0.05</v>
      </c>
      <c r="N1518" s="475">
        <f t="shared" si="130"/>
        <v>97247</v>
      </c>
    </row>
    <row r="1519" spans="7:14" ht="11.25" customHeight="1" x14ac:dyDescent="0.3">
      <c r="G1519" s="470"/>
      <c r="H1519" s="470">
        <v>1512</v>
      </c>
      <c r="I1519" s="455">
        <f t="shared" ca="1" si="128"/>
        <v>-57733442.803716958</v>
      </c>
      <c r="J1519" s="455">
        <f t="array" ref="J1519">IFERROR(INDEX('Retirement Calculator'!J:J,MATCH('Isaac 401k'!N1519,'Retirement Calculator'!A:A,0),0),0)</f>
        <v>0</v>
      </c>
      <c r="K1519" s="455">
        <f t="shared" ca="1" si="126"/>
        <v>-240556.01168215394</v>
      </c>
      <c r="L1519" s="455">
        <f t="shared" ca="1" si="127"/>
        <v>-57973998.81539911</v>
      </c>
      <c r="M1519" s="471">
        <f t="shared" si="129"/>
        <v>0.05</v>
      </c>
      <c r="N1519" s="475">
        <f t="shared" si="130"/>
        <v>97277</v>
      </c>
    </row>
    <row r="1520" spans="7:14" ht="11.25" customHeight="1" x14ac:dyDescent="0.3">
      <c r="G1520" s="470"/>
      <c r="H1520" s="470">
        <v>1513</v>
      </c>
      <c r="I1520" s="455">
        <f t="shared" ca="1" si="128"/>
        <v>-57973998.81539911</v>
      </c>
      <c r="J1520" s="455">
        <f t="array" ref="J1520">IFERROR(INDEX('Retirement Calculator'!J:J,MATCH('Isaac 401k'!N1520,'Retirement Calculator'!A:A,0),0),0)</f>
        <v>0</v>
      </c>
      <c r="K1520" s="455">
        <f t="shared" ca="1" si="126"/>
        <v>-241558.32839749628</v>
      </c>
      <c r="L1520" s="455">
        <f t="shared" ca="1" si="127"/>
        <v>-58215557.143796608</v>
      </c>
      <c r="M1520" s="471">
        <f t="shared" si="129"/>
        <v>0.05</v>
      </c>
      <c r="N1520" s="475">
        <f t="shared" si="130"/>
        <v>97308</v>
      </c>
    </row>
    <row r="1521" spans="7:14" ht="11.25" customHeight="1" x14ac:dyDescent="0.3">
      <c r="G1521" s="470"/>
      <c r="H1521" s="470">
        <v>1514</v>
      </c>
      <c r="I1521" s="455">
        <f t="shared" ca="1" si="128"/>
        <v>-58215557.143796608</v>
      </c>
      <c r="J1521" s="455">
        <f t="array" ref="J1521">IFERROR(INDEX('Retirement Calculator'!J:J,MATCH('Isaac 401k'!N1521,'Retirement Calculator'!A:A,0),0),0)</f>
        <v>0</v>
      </c>
      <c r="K1521" s="455">
        <f t="shared" ca="1" si="126"/>
        <v>-242564.82143248583</v>
      </c>
      <c r="L1521" s="455">
        <f t="shared" ca="1" si="127"/>
        <v>-58458121.965229094</v>
      </c>
      <c r="M1521" s="471">
        <f t="shared" si="129"/>
        <v>0.05</v>
      </c>
      <c r="N1521" s="475">
        <f t="shared" si="130"/>
        <v>97338</v>
      </c>
    </row>
    <row r="1522" spans="7:14" ht="11.25" customHeight="1" x14ac:dyDescent="0.3">
      <c r="G1522" s="470"/>
      <c r="H1522" s="470">
        <v>1515</v>
      </c>
      <c r="I1522" s="455">
        <f t="shared" ca="1" si="128"/>
        <v>-58458121.965229094</v>
      </c>
      <c r="J1522" s="455">
        <f t="array" ref="J1522">IFERROR(INDEX('Retirement Calculator'!J:J,MATCH('Isaac 401k'!N1522,'Retirement Calculator'!A:A,0),0),0)</f>
        <v>0</v>
      </c>
      <c r="K1522" s="455">
        <f t="shared" ca="1" si="126"/>
        <v>-243575.50818845455</v>
      </c>
      <c r="L1522" s="455">
        <f t="shared" ca="1" si="127"/>
        <v>-58701697.47341755</v>
      </c>
      <c r="M1522" s="471">
        <f t="shared" si="129"/>
        <v>0.05</v>
      </c>
      <c r="N1522" s="475">
        <f t="shared" si="130"/>
        <v>97369</v>
      </c>
    </row>
    <row r="1523" spans="7:14" ht="11.25" customHeight="1" x14ac:dyDescent="0.3">
      <c r="G1523" s="470"/>
      <c r="H1523" s="470">
        <v>1516</v>
      </c>
      <c r="I1523" s="455">
        <f t="shared" ca="1" si="128"/>
        <v>-58701697.47341755</v>
      </c>
      <c r="J1523" s="455">
        <f t="array" ref="J1523">IFERROR(INDEX('Retirement Calculator'!J:J,MATCH('Isaac 401k'!N1523,'Retirement Calculator'!A:A,0),0),0)</f>
        <v>0</v>
      </c>
      <c r="K1523" s="455">
        <f t="shared" ca="1" si="126"/>
        <v>-244590.40613923979</v>
      </c>
      <c r="L1523" s="455">
        <f t="shared" ca="1" si="127"/>
        <v>-58946287.87955679</v>
      </c>
      <c r="M1523" s="471">
        <f t="shared" si="129"/>
        <v>0.05</v>
      </c>
      <c r="N1523" s="475">
        <f t="shared" si="130"/>
        <v>97400</v>
      </c>
    </row>
    <row r="1524" spans="7:14" ht="11.25" customHeight="1" x14ac:dyDescent="0.3">
      <c r="G1524" s="470"/>
      <c r="H1524" s="470">
        <v>1517</v>
      </c>
      <c r="I1524" s="455">
        <f t="shared" ca="1" si="128"/>
        <v>-58946287.87955679</v>
      </c>
      <c r="J1524" s="455">
        <f t="array" ref="J1524">IFERROR(INDEX('Retirement Calculator'!J:J,MATCH('Isaac 401k'!N1524,'Retirement Calculator'!A:A,0),0),0)</f>
        <v>0</v>
      </c>
      <c r="K1524" s="455">
        <f t="shared" ca="1" si="126"/>
        <v>-245609.53283148663</v>
      </c>
      <c r="L1524" s="455">
        <f t="shared" ca="1" si="127"/>
        <v>-59191897.41238828</v>
      </c>
      <c r="M1524" s="471">
        <f t="shared" si="129"/>
        <v>0.05</v>
      </c>
      <c r="N1524" s="475">
        <f t="shared" si="130"/>
        <v>97430</v>
      </c>
    </row>
    <row r="1525" spans="7:14" ht="11.25" customHeight="1" x14ac:dyDescent="0.3">
      <c r="G1525" s="470"/>
      <c r="H1525" s="470">
        <v>1518</v>
      </c>
      <c r="I1525" s="455">
        <f t="shared" ca="1" si="128"/>
        <v>-59191897.41238828</v>
      </c>
      <c r="J1525" s="455">
        <f t="array" ref="J1525">IFERROR(INDEX('Retirement Calculator'!J:J,MATCH('Isaac 401k'!N1525,'Retirement Calculator'!A:A,0),0),0)</f>
        <v>0</v>
      </c>
      <c r="K1525" s="455">
        <f t="shared" ca="1" si="126"/>
        <v>-246632.90588495121</v>
      </c>
      <c r="L1525" s="455">
        <f t="shared" ca="1" si="127"/>
        <v>-59438530.318273231</v>
      </c>
      <c r="M1525" s="471">
        <f t="shared" si="129"/>
        <v>0.05</v>
      </c>
      <c r="N1525" s="475">
        <f t="shared" si="130"/>
        <v>97461</v>
      </c>
    </row>
    <row r="1526" spans="7:14" ht="11.25" customHeight="1" x14ac:dyDescent="0.3">
      <c r="G1526" s="470"/>
      <c r="H1526" s="470">
        <v>1519</v>
      </c>
      <c r="I1526" s="455">
        <f t="shared" ca="1" si="128"/>
        <v>-59438530.318273231</v>
      </c>
      <c r="J1526" s="455">
        <f t="array" ref="J1526">IFERROR(INDEX('Retirement Calculator'!J:J,MATCH('Isaac 401k'!N1526,'Retirement Calculator'!A:A,0),0),0)</f>
        <v>0</v>
      </c>
      <c r="K1526" s="455">
        <f t="shared" ca="1" si="126"/>
        <v>-247660.54299280513</v>
      </c>
      <c r="L1526" s="455">
        <f t="shared" ca="1" si="127"/>
        <v>-59686190.861266039</v>
      </c>
      <c r="M1526" s="471">
        <f t="shared" si="129"/>
        <v>0.05</v>
      </c>
      <c r="N1526" s="475">
        <f t="shared" si="130"/>
        <v>97491</v>
      </c>
    </row>
    <row r="1527" spans="7:14" ht="11.25" customHeight="1" x14ac:dyDescent="0.3">
      <c r="G1527" s="470"/>
      <c r="H1527" s="470">
        <v>1520</v>
      </c>
      <c r="I1527" s="455">
        <f t="shared" ca="1" si="128"/>
        <v>-59686190.861266039</v>
      </c>
      <c r="J1527" s="455">
        <f t="array" ref="J1527">IFERROR(INDEX('Retirement Calculator'!J:J,MATCH('Isaac 401k'!N1527,'Retirement Calculator'!A:A,0),0),0)</f>
        <v>0</v>
      </c>
      <c r="K1527" s="455">
        <f t="shared" ca="1" si="126"/>
        <v>-248692.46192194184</v>
      </c>
      <c r="L1527" s="455">
        <f t="shared" ca="1" si="127"/>
        <v>-59934883.323187985</v>
      </c>
      <c r="M1527" s="471">
        <f t="shared" si="129"/>
        <v>0.05</v>
      </c>
      <c r="N1527" s="475">
        <f t="shared" si="130"/>
        <v>97522</v>
      </c>
    </row>
    <row r="1528" spans="7:14" ht="11.25" customHeight="1" x14ac:dyDescent="0.3">
      <c r="G1528" s="470"/>
      <c r="H1528" s="470">
        <v>1521</v>
      </c>
      <c r="I1528" s="455">
        <f t="shared" ca="1" si="128"/>
        <v>-59934883.323187985</v>
      </c>
      <c r="J1528" s="455">
        <f t="array" ref="J1528">IFERROR(INDEX('Retirement Calculator'!J:J,MATCH('Isaac 401k'!N1528,'Retirement Calculator'!A:A,0),0),0)</f>
        <v>0</v>
      </c>
      <c r="K1528" s="455">
        <f t="shared" ca="1" si="126"/>
        <v>-249728.68051328327</v>
      </c>
      <c r="L1528" s="455">
        <f t="shared" ca="1" si="127"/>
        <v>-60184612.00370127</v>
      </c>
      <c r="M1528" s="471">
        <f t="shared" si="129"/>
        <v>0.05</v>
      </c>
      <c r="N1528" s="475">
        <f t="shared" si="130"/>
        <v>97553</v>
      </c>
    </row>
    <row r="1529" spans="7:14" ht="11.25" customHeight="1" x14ac:dyDescent="0.3">
      <c r="G1529" s="470"/>
      <c r="H1529" s="470">
        <v>1522</v>
      </c>
      <c r="I1529" s="455">
        <f t="shared" ca="1" si="128"/>
        <v>-60184612.00370127</v>
      </c>
      <c r="J1529" s="455">
        <f t="array" ref="J1529">IFERROR(INDEX('Retirement Calculator'!J:J,MATCH('Isaac 401k'!N1529,'Retirement Calculator'!A:A,0),0),0)</f>
        <v>0</v>
      </c>
      <c r="K1529" s="455">
        <f t="shared" ca="1" si="126"/>
        <v>-250769.21668208862</v>
      </c>
      <c r="L1529" s="455">
        <f t="shared" ca="1" si="127"/>
        <v>-60435381.220383361</v>
      </c>
      <c r="M1529" s="471">
        <f t="shared" si="129"/>
        <v>0.05</v>
      </c>
      <c r="N1529" s="475">
        <f t="shared" si="130"/>
        <v>97581</v>
      </c>
    </row>
    <row r="1530" spans="7:14" ht="11.25" customHeight="1" x14ac:dyDescent="0.3">
      <c r="G1530" s="470"/>
      <c r="H1530" s="470">
        <v>1523</v>
      </c>
      <c r="I1530" s="455">
        <f t="shared" ca="1" si="128"/>
        <v>-60435381.220383361</v>
      </c>
      <c r="J1530" s="455">
        <f t="array" ref="J1530">IFERROR(INDEX('Retirement Calculator'!J:J,MATCH('Isaac 401k'!N1530,'Retirement Calculator'!A:A,0),0),0)</f>
        <v>0</v>
      </c>
      <c r="K1530" s="455">
        <f t="shared" ca="1" si="126"/>
        <v>-251814.088418264</v>
      </c>
      <c r="L1530" s="455">
        <f t="shared" ca="1" si="127"/>
        <v>-60687195.308801629</v>
      </c>
      <c r="M1530" s="471">
        <f t="shared" si="129"/>
        <v>0.05</v>
      </c>
      <c r="N1530" s="475">
        <f t="shared" si="130"/>
        <v>97612</v>
      </c>
    </row>
    <row r="1531" spans="7:14" ht="11.25" customHeight="1" x14ac:dyDescent="0.3">
      <c r="G1531" s="470"/>
      <c r="H1531" s="470">
        <v>1524</v>
      </c>
      <c r="I1531" s="455">
        <f t="shared" ca="1" si="128"/>
        <v>-60687195.308801629</v>
      </c>
      <c r="J1531" s="455">
        <f t="array" ref="J1531">IFERROR(INDEX('Retirement Calculator'!J:J,MATCH('Isaac 401k'!N1531,'Retirement Calculator'!A:A,0),0),0)</f>
        <v>0</v>
      </c>
      <c r="K1531" s="455">
        <f t="shared" ca="1" si="126"/>
        <v>-252863.31378667345</v>
      </c>
      <c r="L1531" s="455">
        <f t="shared" ca="1" si="127"/>
        <v>-60940058.622588299</v>
      </c>
      <c r="M1531" s="471">
        <f t="shared" si="129"/>
        <v>0.05</v>
      </c>
      <c r="N1531" s="475">
        <f t="shared" si="130"/>
        <v>97642</v>
      </c>
    </row>
    <row r="1532" spans="7:14" ht="11.25" customHeight="1" x14ac:dyDescent="0.3">
      <c r="G1532" s="470"/>
      <c r="H1532" s="470">
        <v>1525</v>
      </c>
      <c r="I1532" s="455">
        <f t="shared" ca="1" si="128"/>
        <v>-60940058.622588299</v>
      </c>
      <c r="J1532" s="455">
        <f t="array" ref="J1532">IFERROR(INDEX('Retirement Calculator'!J:J,MATCH('Isaac 401k'!N1532,'Retirement Calculator'!A:A,0),0),0)</f>
        <v>0</v>
      </c>
      <c r="K1532" s="455">
        <f t="shared" ca="1" si="126"/>
        <v>-253916.91092745122</v>
      </c>
      <c r="L1532" s="455">
        <f t="shared" ca="1" si="127"/>
        <v>-61193975.533515751</v>
      </c>
      <c r="M1532" s="471">
        <f t="shared" si="129"/>
        <v>0.05</v>
      </c>
      <c r="N1532" s="475">
        <f t="shared" si="130"/>
        <v>97673</v>
      </c>
    </row>
    <row r="1533" spans="7:14" ht="11.25" customHeight="1" x14ac:dyDescent="0.3">
      <c r="G1533" s="470"/>
      <c r="H1533" s="470">
        <v>1526</v>
      </c>
      <c r="I1533" s="455">
        <f t="shared" ca="1" si="128"/>
        <v>-61193975.533515751</v>
      </c>
      <c r="J1533" s="455">
        <f t="array" ref="J1533">IFERROR(INDEX('Retirement Calculator'!J:J,MATCH('Isaac 401k'!N1533,'Retirement Calculator'!A:A,0),0),0)</f>
        <v>0</v>
      </c>
      <c r="K1533" s="455">
        <f t="shared" ca="1" si="126"/>
        <v>-254974.89805631564</v>
      </c>
      <c r="L1533" s="455">
        <f t="shared" ca="1" si="127"/>
        <v>-61448950.431572065</v>
      </c>
      <c r="M1533" s="471">
        <f t="shared" si="129"/>
        <v>0.05</v>
      </c>
      <c r="N1533" s="475">
        <f t="shared" si="130"/>
        <v>97703</v>
      </c>
    </row>
    <row r="1534" spans="7:14" ht="11.25" customHeight="1" x14ac:dyDescent="0.3">
      <c r="G1534" s="470"/>
      <c r="H1534" s="470">
        <v>1527</v>
      </c>
      <c r="I1534" s="455">
        <f t="shared" ca="1" si="128"/>
        <v>-61448950.431572065</v>
      </c>
      <c r="J1534" s="455">
        <f t="array" ref="J1534">IFERROR(INDEX('Retirement Calculator'!J:J,MATCH('Isaac 401k'!N1534,'Retirement Calculator'!A:A,0),0),0)</f>
        <v>0</v>
      </c>
      <c r="K1534" s="455">
        <f t="shared" ca="1" si="126"/>
        <v>-256037.29346488358</v>
      </c>
      <c r="L1534" s="455">
        <f t="shared" ca="1" si="127"/>
        <v>-61704987.725036949</v>
      </c>
      <c r="M1534" s="471">
        <f t="shared" si="129"/>
        <v>0.05</v>
      </c>
      <c r="N1534" s="475">
        <f t="shared" si="130"/>
        <v>97734</v>
      </c>
    </row>
    <row r="1535" spans="7:14" ht="11.25" customHeight="1" x14ac:dyDescent="0.3">
      <c r="G1535" s="470"/>
      <c r="H1535" s="470">
        <v>1528</v>
      </c>
      <c r="I1535" s="455">
        <f t="shared" ca="1" si="128"/>
        <v>-61704987.725036949</v>
      </c>
      <c r="J1535" s="455">
        <f t="array" ref="J1535">IFERROR(INDEX('Retirement Calculator'!J:J,MATCH('Isaac 401k'!N1535,'Retirement Calculator'!A:A,0),0),0)</f>
        <v>0</v>
      </c>
      <c r="K1535" s="455">
        <f t="shared" ca="1" si="126"/>
        <v>-257104.11552098728</v>
      </c>
      <c r="L1535" s="455">
        <f t="shared" ca="1" si="127"/>
        <v>-61962091.840557933</v>
      </c>
      <c r="M1535" s="471">
        <f t="shared" si="129"/>
        <v>0.05</v>
      </c>
      <c r="N1535" s="475">
        <f t="shared" si="130"/>
        <v>97765</v>
      </c>
    </row>
    <row r="1536" spans="7:14" ht="11.25" customHeight="1" x14ac:dyDescent="0.3">
      <c r="G1536" s="470"/>
      <c r="H1536" s="470">
        <v>1529</v>
      </c>
      <c r="I1536" s="455">
        <f t="shared" ca="1" si="128"/>
        <v>-61962091.840557933</v>
      </c>
      <c r="J1536" s="455">
        <f t="array" ref="J1536">IFERROR(INDEX('Retirement Calculator'!J:J,MATCH('Isaac 401k'!N1536,'Retirement Calculator'!A:A,0),0),0)</f>
        <v>0</v>
      </c>
      <c r="K1536" s="455">
        <f t="shared" ca="1" si="126"/>
        <v>-258175.38266899137</v>
      </c>
      <c r="L1536" s="455">
        <f t="shared" ca="1" si="127"/>
        <v>-62220267.223226927</v>
      </c>
      <c r="M1536" s="471">
        <f t="shared" si="129"/>
        <v>0.05</v>
      </c>
      <c r="N1536" s="475">
        <f t="shared" si="130"/>
        <v>97795</v>
      </c>
    </row>
    <row r="1537" spans="7:14" ht="11.25" customHeight="1" x14ac:dyDescent="0.3">
      <c r="G1537" s="470"/>
      <c r="H1537" s="470">
        <v>1530</v>
      </c>
      <c r="I1537" s="455">
        <f t="shared" ca="1" si="128"/>
        <v>-62220267.223226927</v>
      </c>
      <c r="J1537" s="455">
        <f t="array" ref="J1537">IFERROR(INDEX('Retirement Calculator'!J:J,MATCH('Isaac 401k'!N1537,'Retirement Calculator'!A:A,0),0),0)</f>
        <v>0</v>
      </c>
      <c r="K1537" s="455">
        <f t="shared" ca="1" si="126"/>
        <v>-259251.11343011219</v>
      </c>
      <c r="L1537" s="455">
        <f t="shared" ca="1" si="127"/>
        <v>-62479518.33665704</v>
      </c>
      <c r="M1537" s="471">
        <f t="shared" si="129"/>
        <v>0.05</v>
      </c>
      <c r="N1537" s="475">
        <f t="shared" si="130"/>
        <v>97826</v>
      </c>
    </row>
    <row r="1538" spans="7:14" ht="11.25" customHeight="1" x14ac:dyDescent="0.3">
      <c r="G1538" s="470"/>
      <c r="H1538" s="470">
        <v>1531</v>
      </c>
      <c r="I1538" s="455">
        <f t="shared" ca="1" si="128"/>
        <v>-62479518.33665704</v>
      </c>
      <c r="J1538" s="455">
        <f t="array" ref="J1538">IFERROR(INDEX('Retirement Calculator'!J:J,MATCH('Isaac 401k'!N1538,'Retirement Calculator'!A:A,0),0),0)</f>
        <v>0</v>
      </c>
      <c r="K1538" s="455">
        <f t="shared" ref="K1538:K1792" ca="1" si="131">IPMT(M1538/12,1,12,-I1538+J1538,,0)</f>
        <v>-260331.3264027377</v>
      </c>
      <c r="L1538" s="455">
        <f t="shared" ref="L1538:L1792" ca="1" si="132">I1538-J1538+K1538</f>
        <v>-62739849.663059779</v>
      </c>
      <c r="M1538" s="471">
        <f t="shared" si="129"/>
        <v>0.05</v>
      </c>
      <c r="N1538" s="475">
        <f t="shared" si="130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33">L1538</f>
        <v>-62739849.663059779</v>
      </c>
      <c r="J1539" s="455">
        <f t="array" ref="J1539">IFERROR(INDEX('Retirement Calculator'!J:J,MATCH('Isaac 401k'!N1539,'Retirement Calculator'!A:A,0),0),0)</f>
        <v>0</v>
      </c>
      <c r="K1539" s="455">
        <f t="shared" ca="1" si="131"/>
        <v>-261416.04026274907</v>
      </c>
      <c r="L1539" s="455">
        <f t="shared" ca="1" si="132"/>
        <v>-63001265.70332253</v>
      </c>
      <c r="M1539" s="471">
        <f t="shared" ref="M1539:M1793" si="134">M1538</f>
        <v>0.05</v>
      </c>
      <c r="N1539" s="475">
        <f t="shared" ref="N1539:N1793" si="135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33"/>
        <v>-63001265.70332253</v>
      </c>
      <c r="J1540" s="455">
        <f t="array" ref="J1540">IFERROR(INDEX('Retirement Calculator'!J:J,MATCH('Isaac 401k'!N1540,'Retirement Calculator'!A:A,0),0),0)</f>
        <v>0</v>
      </c>
      <c r="K1540" s="455">
        <f t="shared" ca="1" si="131"/>
        <v>-262505.27376384381</v>
      </c>
      <c r="L1540" s="455">
        <f t="shared" ca="1" si="132"/>
        <v>-63263770.977086373</v>
      </c>
      <c r="M1540" s="471">
        <f t="shared" si="134"/>
        <v>0.05</v>
      </c>
      <c r="N1540" s="475">
        <f t="shared" si="135"/>
        <v>97918</v>
      </c>
    </row>
    <row r="1541" spans="7:14" ht="11.25" customHeight="1" x14ac:dyDescent="0.3">
      <c r="G1541" s="470"/>
      <c r="H1541" s="470">
        <v>1534</v>
      </c>
      <c r="I1541" s="455">
        <f t="shared" ca="1" si="133"/>
        <v>-63263770.977086373</v>
      </c>
      <c r="J1541" s="455">
        <f t="array" ref="J1541">IFERROR(INDEX('Retirement Calculator'!J:J,MATCH('Isaac 401k'!N1541,'Retirement Calculator'!A:A,0),0),0)</f>
        <v>0</v>
      </c>
      <c r="K1541" s="455">
        <f t="shared" ca="1" si="131"/>
        <v>-263599.04573785991</v>
      </c>
      <c r="L1541" s="455">
        <f t="shared" ca="1" si="132"/>
        <v>-63527370.022824235</v>
      </c>
      <c r="M1541" s="471">
        <f t="shared" si="134"/>
        <v>0.05</v>
      </c>
      <c r="N1541" s="475">
        <f t="shared" si="135"/>
        <v>97947</v>
      </c>
    </row>
    <row r="1542" spans="7:14" ht="11.25" customHeight="1" x14ac:dyDescent="0.3">
      <c r="G1542" s="470"/>
      <c r="H1542" s="470">
        <v>1535</v>
      </c>
      <c r="I1542" s="455">
        <f t="shared" ca="1" si="133"/>
        <v>-63527370.022824235</v>
      </c>
      <c r="J1542" s="455">
        <f t="array" ref="J1542">IFERROR(INDEX('Retirement Calculator'!J:J,MATCH('Isaac 401k'!N1542,'Retirement Calculator'!A:A,0),0),0)</f>
        <v>0</v>
      </c>
      <c r="K1542" s="455">
        <f t="shared" ca="1" si="131"/>
        <v>-264697.37509510096</v>
      </c>
      <c r="L1542" s="455">
        <f t="shared" ca="1" si="132"/>
        <v>-63792067.397919334</v>
      </c>
      <c r="M1542" s="471">
        <f t="shared" si="134"/>
        <v>0.05</v>
      </c>
      <c r="N1542" s="475">
        <f t="shared" si="135"/>
        <v>97978</v>
      </c>
    </row>
    <row r="1543" spans="7:14" ht="11.25" customHeight="1" x14ac:dyDescent="0.3">
      <c r="G1543" s="470"/>
      <c r="H1543" s="470">
        <v>1536</v>
      </c>
      <c r="I1543" s="455">
        <f t="shared" ca="1" si="133"/>
        <v>-63792067.397919334</v>
      </c>
      <c r="J1543" s="455">
        <f t="array" ref="J1543">IFERROR(INDEX('Retirement Calculator'!J:J,MATCH('Isaac 401k'!N1543,'Retirement Calculator'!A:A,0),0),0)</f>
        <v>0</v>
      </c>
      <c r="K1543" s="455">
        <f t="shared" ca="1" si="131"/>
        <v>-265800.28082466393</v>
      </c>
      <c r="L1543" s="455">
        <f t="shared" ca="1" si="132"/>
        <v>-64057867.678743996</v>
      </c>
      <c r="M1543" s="471">
        <f t="shared" si="134"/>
        <v>0.05</v>
      </c>
      <c r="N1543" s="475">
        <f t="shared" si="135"/>
        <v>98008</v>
      </c>
    </row>
    <row r="1544" spans="7:14" ht="11.25" customHeight="1" x14ac:dyDescent="0.3">
      <c r="G1544" s="470"/>
      <c r="H1544" s="470">
        <v>1537</v>
      </c>
      <c r="I1544" s="455">
        <f t="shared" ca="1" si="133"/>
        <v>-64057867.678743996</v>
      </c>
      <c r="J1544" s="455">
        <f t="array" ref="J1544">IFERROR(INDEX('Retirement Calculator'!J:J,MATCH('Isaac 401k'!N1544,'Retirement Calculator'!A:A,0),0),0)</f>
        <v>0</v>
      </c>
      <c r="K1544" s="455">
        <f t="shared" ca="1" si="131"/>
        <v>-266907.78199476667</v>
      </c>
      <c r="L1544" s="455">
        <f t="shared" ca="1" si="132"/>
        <v>-64324775.460738763</v>
      </c>
      <c r="M1544" s="471">
        <f t="shared" si="134"/>
        <v>0.05</v>
      </c>
      <c r="N1544" s="475">
        <f t="shared" si="135"/>
        <v>98039</v>
      </c>
    </row>
    <row r="1545" spans="7:14" ht="11.25" customHeight="1" x14ac:dyDescent="0.3">
      <c r="G1545" s="470"/>
      <c r="H1545" s="470">
        <v>1538</v>
      </c>
      <c r="I1545" s="455">
        <f t="shared" ca="1" si="133"/>
        <v>-64324775.460738763</v>
      </c>
      <c r="J1545" s="455">
        <f t="array" ref="J1545">IFERROR(INDEX('Retirement Calculator'!J:J,MATCH('Isaac 401k'!N1545,'Retirement Calculator'!A:A,0),0),0)</f>
        <v>0</v>
      </c>
      <c r="K1545" s="455">
        <f t="shared" ca="1" si="131"/>
        <v>-268019.8977530782</v>
      </c>
      <c r="L1545" s="455">
        <f t="shared" ca="1" si="132"/>
        <v>-64592795.358491838</v>
      </c>
      <c r="M1545" s="471">
        <f t="shared" si="134"/>
        <v>0.05</v>
      </c>
      <c r="N1545" s="475">
        <f t="shared" si="135"/>
        <v>98069</v>
      </c>
    </row>
    <row r="1546" spans="7:14" ht="11.25" customHeight="1" x14ac:dyDescent="0.3">
      <c r="G1546" s="470"/>
      <c r="H1546" s="470">
        <v>1539</v>
      </c>
      <c r="I1546" s="455">
        <f t="shared" ca="1" si="133"/>
        <v>-64592795.358491838</v>
      </c>
      <c r="J1546" s="455">
        <f t="array" ref="J1546">IFERROR(INDEX('Retirement Calculator'!J:J,MATCH('Isaac 401k'!N1546,'Retirement Calculator'!A:A,0),0),0)</f>
        <v>0</v>
      </c>
      <c r="K1546" s="455">
        <f t="shared" ca="1" si="131"/>
        <v>-269136.64732704934</v>
      </c>
      <c r="L1546" s="455">
        <f t="shared" ca="1" si="132"/>
        <v>-64861932.005818889</v>
      </c>
      <c r="M1546" s="471">
        <f t="shared" si="134"/>
        <v>0.05</v>
      </c>
      <c r="N1546" s="475">
        <f t="shared" si="135"/>
        <v>98100</v>
      </c>
    </row>
    <row r="1547" spans="7:14" ht="11.25" customHeight="1" x14ac:dyDescent="0.3">
      <c r="G1547" s="470"/>
      <c r="H1547" s="470">
        <v>1540</v>
      </c>
      <c r="I1547" s="455">
        <f t="shared" ca="1" si="133"/>
        <v>-64861932.005818889</v>
      </c>
      <c r="J1547" s="455">
        <f t="array" ref="J1547">IFERROR(INDEX('Retirement Calculator'!J:J,MATCH('Isaac 401k'!N1547,'Retirement Calculator'!A:A,0),0),0)</f>
        <v>0</v>
      </c>
      <c r="K1547" s="455">
        <f t="shared" ca="1" si="131"/>
        <v>-270258.05002424534</v>
      </c>
      <c r="L1547" s="455">
        <f t="shared" ca="1" si="132"/>
        <v>-65132190.055843137</v>
      </c>
      <c r="M1547" s="471">
        <f t="shared" si="134"/>
        <v>0.05</v>
      </c>
      <c r="N1547" s="475">
        <f t="shared" si="135"/>
        <v>98131</v>
      </c>
    </row>
    <row r="1548" spans="7:14" ht="11.25" customHeight="1" x14ac:dyDescent="0.3">
      <c r="G1548" s="470"/>
      <c r="H1548" s="470">
        <v>1541</v>
      </c>
      <c r="I1548" s="455">
        <f t="shared" ca="1" si="133"/>
        <v>-65132190.055843137</v>
      </c>
      <c r="J1548" s="455">
        <f t="array" ref="J1548">IFERROR(INDEX('Retirement Calculator'!J:J,MATCH('Isaac 401k'!N1548,'Retirement Calculator'!A:A,0),0),0)</f>
        <v>0</v>
      </c>
      <c r="K1548" s="455">
        <f t="shared" ca="1" si="131"/>
        <v>-271384.12523267971</v>
      </c>
      <c r="L1548" s="455">
        <f t="shared" ca="1" si="132"/>
        <v>-65403574.181075819</v>
      </c>
      <c r="M1548" s="471">
        <f t="shared" si="134"/>
        <v>0.05</v>
      </c>
      <c r="N1548" s="475">
        <f t="shared" si="135"/>
        <v>98161</v>
      </c>
    </row>
    <row r="1549" spans="7:14" ht="11.25" customHeight="1" x14ac:dyDescent="0.3">
      <c r="G1549" s="470"/>
      <c r="H1549" s="470">
        <v>1542</v>
      </c>
      <c r="I1549" s="455">
        <f t="shared" ca="1" si="133"/>
        <v>-65403574.181075819</v>
      </c>
      <c r="J1549" s="455">
        <f t="array" ref="J1549">IFERROR(INDEX('Retirement Calculator'!J:J,MATCH('Isaac 401k'!N1549,'Retirement Calculator'!A:A,0),0),0)</f>
        <v>0</v>
      </c>
      <c r="K1549" s="455">
        <f t="shared" ca="1" si="131"/>
        <v>-272514.8924211493</v>
      </c>
      <c r="L1549" s="455">
        <f t="shared" ca="1" si="132"/>
        <v>-65676089.073496968</v>
      </c>
      <c r="M1549" s="471">
        <f t="shared" si="134"/>
        <v>0.05</v>
      </c>
      <c r="N1549" s="475">
        <f t="shared" si="135"/>
        <v>98192</v>
      </c>
    </row>
    <row r="1550" spans="7:14" ht="11.25" customHeight="1" x14ac:dyDescent="0.3">
      <c r="G1550" s="470"/>
      <c r="H1550" s="470">
        <v>1543</v>
      </c>
      <c r="I1550" s="455">
        <f t="shared" ca="1" si="133"/>
        <v>-65676089.073496968</v>
      </c>
      <c r="J1550" s="455">
        <f t="array" ref="J1550">IFERROR(INDEX('Retirement Calculator'!J:J,MATCH('Isaac 401k'!N1550,'Retirement Calculator'!A:A,0),0),0)</f>
        <v>0</v>
      </c>
      <c r="K1550" s="455">
        <f t="shared" ca="1" si="131"/>
        <v>-273650.37113957072</v>
      </c>
      <c r="L1550" s="455">
        <f t="shared" ca="1" si="132"/>
        <v>-65949739.444636539</v>
      </c>
      <c r="M1550" s="471">
        <f t="shared" si="134"/>
        <v>0.05</v>
      </c>
      <c r="N1550" s="475">
        <f t="shared" si="135"/>
        <v>98222</v>
      </c>
    </row>
    <row r="1551" spans="7:14" ht="11.25" customHeight="1" x14ac:dyDescent="0.3">
      <c r="G1551" s="470"/>
      <c r="H1551" s="470">
        <v>1544</v>
      </c>
      <c r="I1551" s="455">
        <f t="shared" ca="1" si="133"/>
        <v>-65949739.444636539</v>
      </c>
      <c r="J1551" s="455">
        <f t="array" ref="J1551">IFERROR(INDEX('Retirement Calculator'!J:J,MATCH('Isaac 401k'!N1551,'Retirement Calculator'!A:A,0),0),0)</f>
        <v>0</v>
      </c>
      <c r="K1551" s="455">
        <f t="shared" ca="1" si="131"/>
        <v>-274790.5810193189</v>
      </c>
      <c r="L1551" s="455">
        <f t="shared" ca="1" si="132"/>
        <v>-66224530.025655858</v>
      </c>
      <c r="M1551" s="471">
        <f t="shared" si="134"/>
        <v>0.05</v>
      </c>
      <c r="N1551" s="475">
        <f t="shared" si="135"/>
        <v>98253</v>
      </c>
    </row>
    <row r="1552" spans="7:14" ht="11.25" customHeight="1" x14ac:dyDescent="0.3">
      <c r="G1552" s="470"/>
      <c r="H1552" s="470">
        <v>1545</v>
      </c>
      <c r="I1552" s="455">
        <f t="shared" ca="1" si="133"/>
        <v>-66224530.025655858</v>
      </c>
      <c r="J1552" s="455">
        <f t="array" ref="J1552">IFERROR(INDEX('Retirement Calculator'!J:J,MATCH('Isaac 401k'!N1552,'Retirement Calculator'!A:A,0),0),0)</f>
        <v>0</v>
      </c>
      <c r="K1552" s="455">
        <f t="shared" ca="1" si="131"/>
        <v>-275935.54177356604</v>
      </c>
      <c r="L1552" s="455">
        <f t="shared" ca="1" si="132"/>
        <v>-66500465.567429423</v>
      </c>
      <c r="M1552" s="471">
        <f t="shared" si="134"/>
        <v>0.05</v>
      </c>
      <c r="N1552" s="475">
        <f t="shared" si="135"/>
        <v>98284</v>
      </c>
    </row>
    <row r="1553" spans="7:14" ht="11.25" customHeight="1" x14ac:dyDescent="0.3">
      <c r="G1553" s="470"/>
      <c r="H1553" s="470">
        <v>1546</v>
      </c>
      <c r="I1553" s="455">
        <f t="shared" ca="1" si="133"/>
        <v>-66500465.567429423</v>
      </c>
      <c r="J1553" s="455">
        <f t="array" ref="J1553">IFERROR(INDEX('Retirement Calculator'!J:J,MATCH('Isaac 401k'!N1553,'Retirement Calculator'!A:A,0),0),0)</f>
        <v>0</v>
      </c>
      <c r="K1553" s="455">
        <f t="shared" ca="1" si="131"/>
        <v>-277085.27319762256</v>
      </c>
      <c r="L1553" s="455">
        <f t="shared" ca="1" si="132"/>
        <v>-66777550.840627044</v>
      </c>
      <c r="M1553" s="471">
        <f t="shared" si="134"/>
        <v>0.05</v>
      </c>
      <c r="N1553" s="475">
        <f t="shared" si="135"/>
        <v>98312</v>
      </c>
    </row>
    <row r="1554" spans="7:14" ht="11.25" customHeight="1" x14ac:dyDescent="0.3">
      <c r="G1554" s="470"/>
      <c r="H1554" s="470">
        <v>1547</v>
      </c>
      <c r="I1554" s="455">
        <f t="shared" ca="1" si="133"/>
        <v>-66777550.840627044</v>
      </c>
      <c r="J1554" s="455">
        <f t="array" ref="J1554">IFERROR(INDEX('Retirement Calculator'!J:J,MATCH('Isaac 401k'!N1554,'Retirement Calculator'!A:A,0),0),0)</f>
        <v>0</v>
      </c>
      <c r="K1554" s="455">
        <f t="shared" ca="1" si="131"/>
        <v>-278239.79516927933</v>
      </c>
      <c r="L1554" s="455">
        <f t="shared" ca="1" si="132"/>
        <v>-67055790.635796323</v>
      </c>
      <c r="M1554" s="471">
        <f t="shared" si="134"/>
        <v>0.05</v>
      </c>
      <c r="N1554" s="475">
        <f t="shared" si="135"/>
        <v>98343</v>
      </c>
    </row>
    <row r="1555" spans="7:14" ht="11.25" customHeight="1" x14ac:dyDescent="0.3">
      <c r="G1555" s="470"/>
      <c r="H1555" s="470">
        <v>1548</v>
      </c>
      <c r="I1555" s="455">
        <f t="shared" ca="1" si="133"/>
        <v>-67055790.635796323</v>
      </c>
      <c r="J1555" s="455">
        <f t="array" ref="J1555">IFERROR(INDEX('Retirement Calculator'!J:J,MATCH('Isaac 401k'!N1555,'Retirement Calculator'!A:A,0),0),0)</f>
        <v>0</v>
      </c>
      <c r="K1555" s="455">
        <f t="shared" ca="1" si="131"/>
        <v>-279399.12764915137</v>
      </c>
      <c r="L1555" s="455">
        <f t="shared" ca="1" si="132"/>
        <v>-67335189.763445482</v>
      </c>
      <c r="M1555" s="471">
        <f t="shared" si="134"/>
        <v>0.05</v>
      </c>
      <c r="N1555" s="475">
        <f t="shared" si="135"/>
        <v>98373</v>
      </c>
    </row>
    <row r="1556" spans="7:14" ht="11.25" customHeight="1" x14ac:dyDescent="0.3">
      <c r="G1556" s="470"/>
      <c r="H1556" s="470">
        <v>1549</v>
      </c>
      <c r="I1556" s="455">
        <f t="shared" ca="1" si="133"/>
        <v>-67335189.763445482</v>
      </c>
      <c r="J1556" s="455">
        <f t="array" ref="J1556">IFERROR(INDEX('Retirement Calculator'!J:J,MATCH('Isaac 401k'!N1556,'Retirement Calculator'!A:A,0),0),0)</f>
        <v>0</v>
      </c>
      <c r="K1556" s="455">
        <f t="shared" ca="1" si="131"/>
        <v>-280563.29068102286</v>
      </c>
      <c r="L1556" s="455">
        <f t="shared" ca="1" si="132"/>
        <v>-67615753.054126501</v>
      </c>
      <c r="M1556" s="471">
        <f t="shared" si="134"/>
        <v>0.05</v>
      </c>
      <c r="N1556" s="475">
        <f t="shared" si="135"/>
        <v>98404</v>
      </c>
    </row>
    <row r="1557" spans="7:14" ht="11.25" customHeight="1" x14ac:dyDescent="0.3">
      <c r="G1557" s="470"/>
      <c r="H1557" s="470">
        <v>1550</v>
      </c>
      <c r="I1557" s="455">
        <f t="shared" ca="1" si="133"/>
        <v>-67615753.054126501</v>
      </c>
      <c r="J1557" s="455">
        <f t="array" ref="J1557">IFERROR(INDEX('Retirement Calculator'!J:J,MATCH('Isaac 401k'!N1557,'Retirement Calculator'!A:A,0),0),0)</f>
        <v>0</v>
      </c>
      <c r="K1557" s="455">
        <f t="shared" ca="1" si="131"/>
        <v>-281732.30439219374</v>
      </c>
      <c r="L1557" s="455">
        <f t="shared" ca="1" si="132"/>
        <v>-67897485.35851869</v>
      </c>
      <c r="M1557" s="471">
        <f t="shared" si="134"/>
        <v>0.05</v>
      </c>
      <c r="N1557" s="475">
        <f t="shared" si="135"/>
        <v>98434</v>
      </c>
    </row>
    <row r="1558" spans="7:14" ht="11.25" customHeight="1" x14ac:dyDescent="0.3">
      <c r="G1558" s="470"/>
      <c r="H1558" s="470">
        <v>1551</v>
      </c>
      <c r="I1558" s="455">
        <f t="shared" ca="1" si="133"/>
        <v>-67897485.35851869</v>
      </c>
      <c r="J1558" s="455">
        <f t="array" ref="J1558">IFERROR(INDEX('Retirement Calculator'!J:J,MATCH('Isaac 401k'!N1558,'Retirement Calculator'!A:A,0),0),0)</f>
        <v>0</v>
      </c>
      <c r="K1558" s="455">
        <f t="shared" ca="1" si="131"/>
        <v>-282906.18899382785</v>
      </c>
      <c r="L1558" s="455">
        <f t="shared" ca="1" si="132"/>
        <v>-68180391.547512516</v>
      </c>
      <c r="M1558" s="471">
        <f t="shared" si="134"/>
        <v>0.05</v>
      </c>
      <c r="N1558" s="475">
        <f t="shared" si="135"/>
        <v>98465</v>
      </c>
    </row>
    <row r="1559" spans="7:14" ht="11.25" customHeight="1" x14ac:dyDescent="0.3">
      <c r="G1559" s="470"/>
      <c r="H1559" s="470">
        <v>1552</v>
      </c>
      <c r="I1559" s="455">
        <f t="shared" ca="1" si="133"/>
        <v>-68180391.547512516</v>
      </c>
      <c r="J1559" s="455">
        <f t="array" ref="J1559">IFERROR(INDEX('Retirement Calculator'!J:J,MATCH('Isaac 401k'!N1559,'Retirement Calculator'!A:A,0),0),0)</f>
        <v>0</v>
      </c>
      <c r="K1559" s="455">
        <f t="shared" ca="1" si="131"/>
        <v>-284084.96478130214</v>
      </c>
      <c r="L1559" s="455">
        <f t="shared" ca="1" si="132"/>
        <v>-68464476.512293816</v>
      </c>
      <c r="M1559" s="471">
        <f t="shared" si="134"/>
        <v>0.05</v>
      </c>
      <c r="N1559" s="475">
        <f t="shared" si="135"/>
        <v>98496</v>
      </c>
    </row>
    <row r="1560" spans="7:14" ht="11.25" customHeight="1" x14ac:dyDescent="0.3">
      <c r="G1560" s="470"/>
      <c r="H1560" s="470">
        <v>1553</v>
      </c>
      <c r="I1560" s="455">
        <f t="shared" ca="1" si="133"/>
        <v>-68464476.512293816</v>
      </c>
      <c r="J1560" s="455">
        <f t="array" ref="J1560">IFERROR(INDEX('Retirement Calculator'!J:J,MATCH('Isaac 401k'!N1560,'Retirement Calculator'!A:A,0),0),0)</f>
        <v>0</v>
      </c>
      <c r="K1560" s="455">
        <f t="shared" ca="1" si="131"/>
        <v>-285268.65213455755</v>
      </c>
      <c r="L1560" s="455">
        <f t="shared" ca="1" si="132"/>
        <v>-68749745.164428368</v>
      </c>
      <c r="M1560" s="471">
        <f t="shared" si="134"/>
        <v>0.05</v>
      </c>
      <c r="N1560" s="475">
        <f t="shared" si="135"/>
        <v>98526</v>
      </c>
    </row>
    <row r="1561" spans="7:14" ht="11.25" customHeight="1" x14ac:dyDescent="0.3">
      <c r="G1561" s="470"/>
      <c r="H1561" s="470">
        <v>1554</v>
      </c>
      <c r="I1561" s="455">
        <f t="shared" ca="1" si="133"/>
        <v>-68749745.164428368</v>
      </c>
      <c r="J1561" s="455">
        <f t="array" ref="J1561">IFERROR(INDEX('Retirement Calculator'!J:J,MATCH('Isaac 401k'!N1561,'Retirement Calculator'!A:A,0),0),0)</f>
        <v>0</v>
      </c>
      <c r="K1561" s="455">
        <f t="shared" ca="1" si="131"/>
        <v>-286457.27151845151</v>
      </c>
      <c r="L1561" s="455">
        <f t="shared" ca="1" si="132"/>
        <v>-69036202.435946822</v>
      </c>
      <c r="M1561" s="471">
        <f t="shared" si="134"/>
        <v>0.05</v>
      </c>
      <c r="N1561" s="475">
        <f t="shared" si="135"/>
        <v>98557</v>
      </c>
    </row>
    <row r="1562" spans="7:14" ht="11.25" customHeight="1" x14ac:dyDescent="0.3">
      <c r="G1562" s="470"/>
      <c r="H1562" s="470">
        <v>1555</v>
      </c>
      <c r="I1562" s="455">
        <f t="shared" ca="1" si="133"/>
        <v>-69036202.435946822</v>
      </c>
      <c r="J1562" s="455">
        <f t="array" ref="J1562">IFERROR(INDEX('Retirement Calculator'!J:J,MATCH('Isaac 401k'!N1562,'Retirement Calculator'!A:A,0),0),0)</f>
        <v>0</v>
      </c>
      <c r="K1562" s="455">
        <f t="shared" ca="1" si="131"/>
        <v>-287650.84348311176</v>
      </c>
      <c r="L1562" s="455">
        <f t="shared" ca="1" si="132"/>
        <v>-69323853.279429927</v>
      </c>
      <c r="M1562" s="471">
        <f t="shared" si="134"/>
        <v>0.05</v>
      </c>
      <c r="N1562" s="475">
        <f t="shared" si="135"/>
        <v>98587</v>
      </c>
    </row>
    <row r="1563" spans="7:14" ht="11.25" customHeight="1" x14ac:dyDescent="0.3">
      <c r="G1563" s="470"/>
      <c r="H1563" s="470">
        <v>1556</v>
      </c>
      <c r="I1563" s="455">
        <f t="shared" ca="1" si="133"/>
        <v>-69323853.279429927</v>
      </c>
      <c r="J1563" s="455">
        <f t="array" ref="J1563">IFERROR(INDEX('Retirement Calculator'!J:J,MATCH('Isaac 401k'!N1563,'Retirement Calculator'!A:A,0),0),0)</f>
        <v>0</v>
      </c>
      <c r="K1563" s="455">
        <f t="shared" ca="1" si="131"/>
        <v>-288849.38866429136</v>
      </c>
      <c r="L1563" s="455">
        <f t="shared" ca="1" si="132"/>
        <v>-69612702.668094218</v>
      </c>
      <c r="M1563" s="471">
        <f t="shared" si="134"/>
        <v>0.05</v>
      </c>
      <c r="N1563" s="475">
        <f t="shared" si="135"/>
        <v>98618</v>
      </c>
    </row>
    <row r="1564" spans="7:14" ht="11.25" customHeight="1" x14ac:dyDescent="0.3">
      <c r="G1564" s="470"/>
      <c r="H1564" s="470">
        <v>1557</v>
      </c>
      <c r="I1564" s="455">
        <f t="shared" ca="1" si="133"/>
        <v>-69612702.668094218</v>
      </c>
      <c r="J1564" s="455">
        <f t="array" ref="J1564">IFERROR(INDEX('Retirement Calculator'!J:J,MATCH('Isaac 401k'!N1564,'Retirement Calculator'!A:A,0),0),0)</f>
        <v>0</v>
      </c>
      <c r="K1564" s="455">
        <f t="shared" ca="1" si="131"/>
        <v>-290052.9277837259</v>
      </c>
      <c r="L1564" s="455">
        <f t="shared" ca="1" si="132"/>
        <v>-69902755.595877945</v>
      </c>
      <c r="M1564" s="471">
        <f t="shared" si="134"/>
        <v>0.05</v>
      </c>
      <c r="N1564" s="475">
        <f t="shared" si="135"/>
        <v>98649</v>
      </c>
    </row>
    <row r="1565" spans="7:14" ht="11.25" customHeight="1" x14ac:dyDescent="0.3">
      <c r="G1565" s="470"/>
      <c r="H1565" s="470">
        <v>1558</v>
      </c>
      <c r="I1565" s="455">
        <f t="shared" ca="1" si="133"/>
        <v>-69902755.595877945</v>
      </c>
      <c r="J1565" s="455">
        <f t="array" ref="J1565">IFERROR(INDEX('Retirement Calculator'!J:J,MATCH('Isaac 401k'!N1565,'Retirement Calculator'!A:A,0),0),0)</f>
        <v>0</v>
      </c>
      <c r="K1565" s="455">
        <f t="shared" ca="1" si="131"/>
        <v>-291261.48164949141</v>
      </c>
      <c r="L1565" s="455">
        <f t="shared" ca="1" si="132"/>
        <v>-70194017.077527434</v>
      </c>
      <c r="M1565" s="471">
        <f t="shared" si="134"/>
        <v>0.05</v>
      </c>
      <c r="N1565" s="475">
        <f t="shared" si="135"/>
        <v>98677</v>
      </c>
    </row>
    <row r="1566" spans="7:14" ht="11.25" customHeight="1" x14ac:dyDescent="0.3">
      <c r="G1566" s="470"/>
      <c r="H1566" s="470">
        <v>1559</v>
      </c>
      <c r="I1566" s="455">
        <f t="shared" ca="1" si="133"/>
        <v>-70194017.077527434</v>
      </c>
      <c r="J1566" s="455">
        <f t="array" ref="J1566">IFERROR(INDEX('Retirement Calculator'!J:J,MATCH('Isaac 401k'!N1566,'Retirement Calculator'!A:A,0),0),0)</f>
        <v>0</v>
      </c>
      <c r="K1566" s="455">
        <f t="shared" ca="1" si="131"/>
        <v>-292475.07115636428</v>
      </c>
      <c r="L1566" s="455">
        <f t="shared" ca="1" si="132"/>
        <v>-70486492.148683801</v>
      </c>
      <c r="M1566" s="471">
        <f t="shared" si="134"/>
        <v>0.05</v>
      </c>
      <c r="N1566" s="475">
        <f t="shared" si="135"/>
        <v>98708</v>
      </c>
    </row>
    <row r="1567" spans="7:14" ht="11.25" customHeight="1" x14ac:dyDescent="0.3">
      <c r="G1567" s="470"/>
      <c r="H1567" s="470">
        <v>1560</v>
      </c>
      <c r="I1567" s="455">
        <f t="shared" ca="1" si="133"/>
        <v>-70486492.148683801</v>
      </c>
      <c r="J1567" s="455">
        <f t="array" ref="J1567">IFERROR(INDEX('Retirement Calculator'!J:J,MATCH('Isaac 401k'!N1567,'Retirement Calculator'!A:A,0),0),0)</f>
        <v>0</v>
      </c>
      <c r="K1567" s="455">
        <f t="shared" ca="1" si="131"/>
        <v>-293693.71728618251</v>
      </c>
      <c r="L1567" s="455">
        <f t="shared" ca="1" si="132"/>
        <v>-70780185.865969986</v>
      </c>
      <c r="M1567" s="471">
        <f t="shared" si="134"/>
        <v>0.05</v>
      </c>
      <c r="N1567" s="475">
        <f t="shared" si="135"/>
        <v>98738</v>
      </c>
    </row>
    <row r="1568" spans="7:14" ht="11.25" customHeight="1" x14ac:dyDescent="0.3">
      <c r="G1568" s="470"/>
      <c r="H1568" s="470">
        <v>1561</v>
      </c>
      <c r="I1568" s="455">
        <f t="shared" ca="1" si="133"/>
        <v>-70780185.865969986</v>
      </c>
      <c r="J1568" s="455">
        <f t="array" ref="J1568">IFERROR(INDEX('Retirement Calculator'!J:J,MATCH('Isaac 401k'!N1568,'Retirement Calculator'!A:A,0),0),0)</f>
        <v>0</v>
      </c>
      <c r="K1568" s="455">
        <f t="shared" ca="1" si="131"/>
        <v>-294917.44110820827</v>
      </c>
      <c r="L1568" s="455">
        <f t="shared" ca="1" si="132"/>
        <v>-71075103.307078198</v>
      </c>
      <c r="M1568" s="471">
        <f t="shared" si="134"/>
        <v>0.05</v>
      </c>
      <c r="N1568" s="475">
        <f t="shared" si="135"/>
        <v>98769</v>
      </c>
    </row>
    <row r="1569" spans="7:14" ht="11.25" customHeight="1" x14ac:dyDescent="0.3">
      <c r="G1569" s="470"/>
      <c r="H1569" s="470">
        <v>1562</v>
      </c>
      <c r="I1569" s="455">
        <f t="shared" ca="1" si="133"/>
        <v>-71075103.307078198</v>
      </c>
      <c r="J1569" s="455">
        <f t="array" ref="J1569">IFERROR(INDEX('Retirement Calculator'!J:J,MATCH('Isaac 401k'!N1569,'Retirement Calculator'!A:A,0),0),0)</f>
        <v>0</v>
      </c>
      <c r="K1569" s="455">
        <f t="shared" ca="1" si="131"/>
        <v>-296146.26377949247</v>
      </c>
      <c r="L1569" s="455">
        <f t="shared" ca="1" si="132"/>
        <v>-71371249.570857689</v>
      </c>
      <c r="M1569" s="471">
        <f t="shared" si="134"/>
        <v>0.05</v>
      </c>
      <c r="N1569" s="475">
        <f t="shared" si="135"/>
        <v>98799</v>
      </c>
    </row>
    <row r="1570" spans="7:14" ht="11.25" customHeight="1" x14ac:dyDescent="0.3">
      <c r="G1570" s="470"/>
      <c r="H1570" s="470">
        <v>1563</v>
      </c>
      <c r="I1570" s="455">
        <f t="shared" ca="1" si="133"/>
        <v>-71371249.570857689</v>
      </c>
      <c r="J1570" s="455">
        <f t="array" ref="J1570">IFERROR(INDEX('Retirement Calculator'!J:J,MATCH('Isaac 401k'!N1570,'Retirement Calculator'!A:A,0),0),0)</f>
        <v>0</v>
      </c>
      <c r="K1570" s="455">
        <f t="shared" ca="1" si="131"/>
        <v>-297380.20654524036</v>
      </c>
      <c r="L1570" s="455">
        <f t="shared" ca="1" si="132"/>
        <v>-71668629.777402923</v>
      </c>
      <c r="M1570" s="471">
        <f t="shared" si="134"/>
        <v>0.05</v>
      </c>
      <c r="N1570" s="475">
        <f t="shared" si="135"/>
        <v>98830</v>
      </c>
    </row>
    <row r="1571" spans="7:14" ht="11.25" customHeight="1" x14ac:dyDescent="0.3">
      <c r="G1571" s="470"/>
      <c r="H1571" s="470">
        <v>1564</v>
      </c>
      <c r="I1571" s="455">
        <f t="shared" ca="1" si="133"/>
        <v>-71668629.777402923</v>
      </c>
      <c r="J1571" s="455">
        <f t="array" ref="J1571">IFERROR(INDEX('Retirement Calculator'!J:J,MATCH('Isaac 401k'!N1571,'Retirement Calculator'!A:A,0),0),0)</f>
        <v>0</v>
      </c>
      <c r="K1571" s="455">
        <f t="shared" ca="1" si="131"/>
        <v>-298619.29073917883</v>
      </c>
      <c r="L1571" s="455">
        <f t="shared" ca="1" si="132"/>
        <v>-71967249.068142101</v>
      </c>
      <c r="M1571" s="471">
        <f t="shared" si="134"/>
        <v>0.05</v>
      </c>
      <c r="N1571" s="475">
        <f t="shared" si="135"/>
        <v>98861</v>
      </c>
    </row>
    <row r="1572" spans="7:14" ht="11.25" customHeight="1" x14ac:dyDescent="0.3">
      <c r="G1572" s="470"/>
      <c r="H1572" s="470">
        <v>1565</v>
      </c>
      <c r="I1572" s="455">
        <f t="shared" ca="1" si="133"/>
        <v>-71967249.068142101</v>
      </c>
      <c r="J1572" s="455">
        <f t="array" ref="J1572">IFERROR(INDEX('Retirement Calculator'!J:J,MATCH('Isaac 401k'!N1572,'Retirement Calculator'!A:A,0),0),0)</f>
        <v>0</v>
      </c>
      <c r="K1572" s="455">
        <f t="shared" ca="1" si="131"/>
        <v>-299863.53778392542</v>
      </c>
      <c r="L1572" s="455">
        <f t="shared" ca="1" si="132"/>
        <v>-72267112.605926022</v>
      </c>
      <c r="M1572" s="471">
        <f t="shared" si="134"/>
        <v>0.05</v>
      </c>
      <c r="N1572" s="475">
        <f t="shared" si="135"/>
        <v>98891</v>
      </c>
    </row>
    <row r="1573" spans="7:14" ht="11.25" customHeight="1" x14ac:dyDescent="0.3">
      <c r="G1573" s="470"/>
      <c r="H1573" s="470">
        <v>1566</v>
      </c>
      <c r="I1573" s="455">
        <f t="shared" ca="1" si="133"/>
        <v>-72267112.605926022</v>
      </c>
      <c r="J1573" s="455">
        <f t="array" ref="J1573">IFERROR(INDEX('Retirement Calculator'!J:J,MATCH('Isaac 401k'!N1573,'Retirement Calculator'!A:A,0),0),0)</f>
        <v>0</v>
      </c>
      <c r="K1573" s="455">
        <f t="shared" ca="1" si="131"/>
        <v>-301112.96919135842</v>
      </c>
      <c r="L1573" s="455">
        <f t="shared" ca="1" si="132"/>
        <v>-72568225.575117379</v>
      </c>
      <c r="M1573" s="471">
        <f t="shared" si="134"/>
        <v>0.05</v>
      </c>
      <c r="N1573" s="475">
        <f t="shared" si="135"/>
        <v>98922</v>
      </c>
    </row>
    <row r="1574" spans="7:14" ht="11.25" customHeight="1" x14ac:dyDescent="0.3">
      <c r="G1574" s="470"/>
      <c r="H1574" s="470">
        <v>1567</v>
      </c>
      <c r="I1574" s="455">
        <f t="shared" ca="1" si="133"/>
        <v>-72568225.575117379</v>
      </c>
      <c r="J1574" s="455">
        <f t="array" ref="J1574">IFERROR(INDEX('Retirement Calculator'!J:J,MATCH('Isaac 401k'!N1574,'Retirement Calculator'!A:A,0),0),0)</f>
        <v>0</v>
      </c>
      <c r="K1574" s="455">
        <f t="shared" ca="1" si="131"/>
        <v>-302367.60656298907</v>
      </c>
      <c r="L1574" s="455">
        <f t="shared" ca="1" si="132"/>
        <v>-72870593.181680366</v>
      </c>
      <c r="M1574" s="471">
        <f t="shared" si="134"/>
        <v>0.05</v>
      </c>
      <c r="N1574" s="475">
        <f t="shared" si="135"/>
        <v>98952</v>
      </c>
    </row>
    <row r="1575" spans="7:14" ht="11.25" customHeight="1" x14ac:dyDescent="0.3">
      <c r="G1575" s="470"/>
      <c r="H1575" s="470">
        <v>1568</v>
      </c>
      <c r="I1575" s="455">
        <f t="shared" ca="1" si="133"/>
        <v>-72870593.181680366</v>
      </c>
      <c r="J1575" s="455">
        <f t="array" ref="J1575">IFERROR(INDEX('Retirement Calculator'!J:J,MATCH('Isaac 401k'!N1575,'Retirement Calculator'!A:A,0),0),0)</f>
        <v>0</v>
      </c>
      <c r="K1575" s="455">
        <f t="shared" ca="1" si="131"/>
        <v>-303627.47159033484</v>
      </c>
      <c r="L1575" s="455">
        <f t="shared" ca="1" si="132"/>
        <v>-73174220.653270707</v>
      </c>
      <c r="M1575" s="471">
        <f t="shared" si="134"/>
        <v>0.05</v>
      </c>
      <c r="N1575" s="475">
        <f t="shared" si="135"/>
        <v>98983</v>
      </c>
    </row>
    <row r="1576" spans="7:14" ht="11.25" customHeight="1" x14ac:dyDescent="0.3">
      <c r="G1576" s="470"/>
      <c r="H1576" s="470">
        <v>1569</v>
      </c>
      <c r="I1576" s="455">
        <f t="shared" ca="1" si="133"/>
        <v>-73174220.653270707</v>
      </c>
      <c r="J1576" s="455">
        <f t="array" ref="J1576">IFERROR(INDEX('Retirement Calculator'!J:J,MATCH('Isaac 401k'!N1576,'Retirement Calculator'!A:A,0),0),0)</f>
        <v>0</v>
      </c>
      <c r="K1576" s="455">
        <f t="shared" ca="1" si="131"/>
        <v>-304892.58605529461</v>
      </c>
      <c r="L1576" s="455">
        <f t="shared" ca="1" si="132"/>
        <v>-73479113.239326</v>
      </c>
      <c r="M1576" s="471">
        <f t="shared" si="134"/>
        <v>0.05</v>
      </c>
      <c r="N1576" s="475">
        <f t="shared" si="135"/>
        <v>99014</v>
      </c>
    </row>
    <row r="1577" spans="7:14" ht="11.25" customHeight="1" x14ac:dyDescent="0.3">
      <c r="G1577" s="470"/>
      <c r="H1577" s="470">
        <v>1570</v>
      </c>
      <c r="I1577" s="455">
        <f t="shared" ca="1" si="133"/>
        <v>-73479113.239326</v>
      </c>
      <c r="J1577" s="455">
        <f t="array" ref="J1577">IFERROR(INDEX('Retirement Calculator'!J:J,MATCH('Isaac 401k'!N1577,'Retirement Calculator'!A:A,0),0),0)</f>
        <v>0</v>
      </c>
      <c r="K1577" s="455">
        <f t="shared" ca="1" si="131"/>
        <v>-306162.97183052497</v>
      </c>
      <c r="L1577" s="455">
        <f t="shared" ca="1" si="132"/>
        <v>-73785276.211156532</v>
      </c>
      <c r="M1577" s="471">
        <f t="shared" si="134"/>
        <v>0.05</v>
      </c>
      <c r="N1577" s="475">
        <f t="shared" si="135"/>
        <v>99042</v>
      </c>
    </row>
    <row r="1578" spans="7:14" ht="11.25" customHeight="1" x14ac:dyDescent="0.3">
      <c r="G1578" s="470"/>
      <c r="H1578" s="470">
        <v>1571</v>
      </c>
      <c r="I1578" s="455">
        <f t="shared" ca="1" si="133"/>
        <v>-73785276.211156532</v>
      </c>
      <c r="J1578" s="455">
        <f t="array" ref="J1578">IFERROR(INDEX('Retirement Calculator'!J:J,MATCH('Isaac 401k'!N1578,'Retirement Calculator'!A:A,0),0),0)</f>
        <v>0</v>
      </c>
      <c r="K1578" s="455">
        <f t="shared" ca="1" si="131"/>
        <v>-307438.65087981889</v>
      </c>
      <c r="L1578" s="455">
        <f t="shared" ca="1" si="132"/>
        <v>-74092714.862036347</v>
      </c>
      <c r="M1578" s="471">
        <f t="shared" si="134"/>
        <v>0.05</v>
      </c>
      <c r="N1578" s="475">
        <f t="shared" si="135"/>
        <v>99073</v>
      </c>
    </row>
    <row r="1579" spans="7:14" ht="11.25" customHeight="1" x14ac:dyDescent="0.3">
      <c r="G1579" s="470"/>
      <c r="H1579" s="470">
        <v>1572</v>
      </c>
      <c r="I1579" s="455">
        <f t="shared" ca="1" si="133"/>
        <v>-74092714.862036347</v>
      </c>
      <c r="J1579" s="455">
        <f t="array" ref="J1579">IFERROR(INDEX('Retirement Calculator'!J:J,MATCH('Isaac 401k'!N1579,'Retirement Calculator'!A:A,0),0),0)</f>
        <v>0</v>
      </c>
      <c r="K1579" s="455">
        <f t="shared" ca="1" si="131"/>
        <v>-308719.64525848476</v>
      </c>
      <c r="L1579" s="455">
        <f t="shared" ca="1" si="132"/>
        <v>-74401434.507294834</v>
      </c>
      <c r="M1579" s="471">
        <f t="shared" si="134"/>
        <v>0.05</v>
      </c>
      <c r="N1579" s="475">
        <f t="shared" si="135"/>
        <v>99103</v>
      </c>
    </row>
    <row r="1580" spans="7:14" ht="11.25" customHeight="1" x14ac:dyDescent="0.3">
      <c r="G1580" s="470"/>
      <c r="H1580" s="470">
        <v>1573</v>
      </c>
      <c r="I1580" s="455">
        <f t="shared" ca="1" si="133"/>
        <v>-74401434.507294834</v>
      </c>
      <c r="J1580" s="455">
        <f t="array" ref="J1580">IFERROR(INDEX('Retirement Calculator'!J:J,MATCH('Isaac 401k'!N1580,'Retirement Calculator'!A:A,0),0),0)</f>
        <v>0</v>
      </c>
      <c r="K1580" s="455">
        <f t="shared" ca="1" si="131"/>
        <v>-310005.97711372847</v>
      </c>
      <c r="L1580" s="455">
        <f t="shared" ca="1" si="132"/>
        <v>-74711440.484408557</v>
      </c>
      <c r="M1580" s="471">
        <f t="shared" si="134"/>
        <v>0.05</v>
      </c>
      <c r="N1580" s="475">
        <f t="shared" si="135"/>
        <v>99134</v>
      </c>
    </row>
    <row r="1581" spans="7:14" ht="11.25" customHeight="1" x14ac:dyDescent="0.3">
      <c r="G1581" s="470"/>
      <c r="H1581" s="470">
        <v>1574</v>
      </c>
      <c r="I1581" s="455">
        <f t="shared" ca="1" si="133"/>
        <v>-74711440.484408557</v>
      </c>
      <c r="J1581" s="455">
        <f t="array" ref="J1581">IFERROR(INDEX('Retirement Calculator'!J:J,MATCH('Isaac 401k'!N1581,'Retirement Calculator'!A:A,0),0),0)</f>
        <v>0</v>
      </c>
      <c r="K1581" s="455">
        <f t="shared" ca="1" si="131"/>
        <v>-311297.66868503566</v>
      </c>
      <c r="L1581" s="455">
        <f t="shared" ca="1" si="132"/>
        <v>-75022738.153093591</v>
      </c>
      <c r="M1581" s="471">
        <f t="shared" si="134"/>
        <v>0.05</v>
      </c>
      <c r="N1581" s="475">
        <f t="shared" si="135"/>
        <v>99164</v>
      </c>
    </row>
    <row r="1582" spans="7:14" ht="11.25" customHeight="1" x14ac:dyDescent="0.3">
      <c r="G1582" s="470"/>
      <c r="H1582" s="470">
        <v>1575</v>
      </c>
      <c r="I1582" s="455">
        <f t="shared" ca="1" si="133"/>
        <v>-75022738.153093591</v>
      </c>
      <c r="J1582" s="455">
        <f t="array" ref="J1582">IFERROR(INDEX('Retirement Calculator'!J:J,MATCH('Isaac 401k'!N1582,'Retirement Calculator'!A:A,0),0),0)</f>
        <v>0</v>
      </c>
      <c r="K1582" s="455">
        <f t="shared" ca="1" si="131"/>
        <v>-312594.74230455665</v>
      </c>
      <c r="L1582" s="455">
        <f t="shared" ca="1" si="132"/>
        <v>-75335332.895398155</v>
      </c>
      <c r="M1582" s="471">
        <f t="shared" si="134"/>
        <v>0.05</v>
      </c>
      <c r="N1582" s="475">
        <f t="shared" si="135"/>
        <v>99195</v>
      </c>
    </row>
    <row r="1583" spans="7:14" ht="11.25" customHeight="1" x14ac:dyDescent="0.3">
      <c r="G1583" s="470"/>
      <c r="H1583" s="470">
        <v>1576</v>
      </c>
      <c r="I1583" s="455">
        <f t="shared" ca="1" si="133"/>
        <v>-75335332.895398155</v>
      </c>
      <c r="J1583" s="455">
        <f t="array" ref="J1583">IFERROR(INDEX('Retirement Calculator'!J:J,MATCH('Isaac 401k'!N1583,'Retirement Calculator'!A:A,0),0),0)</f>
        <v>0</v>
      </c>
      <c r="K1583" s="455">
        <f t="shared" ca="1" si="131"/>
        <v>-313897.22039749229</v>
      </c>
      <c r="L1583" s="455">
        <f t="shared" ca="1" si="132"/>
        <v>-75649230.115795642</v>
      </c>
      <c r="M1583" s="471">
        <f t="shared" si="134"/>
        <v>0.05</v>
      </c>
      <c r="N1583" s="475">
        <f t="shared" si="135"/>
        <v>99226</v>
      </c>
    </row>
    <row r="1584" spans="7:14" ht="11.25" customHeight="1" x14ac:dyDescent="0.3">
      <c r="G1584" s="470"/>
      <c r="H1584" s="470">
        <v>1577</v>
      </c>
      <c r="I1584" s="455">
        <f t="shared" ca="1" si="133"/>
        <v>-75649230.115795642</v>
      </c>
      <c r="J1584" s="455">
        <f t="array" ref="J1584">IFERROR(INDEX('Retirement Calculator'!J:J,MATCH('Isaac 401k'!N1584,'Retirement Calculator'!A:A,0),0),0)</f>
        <v>0</v>
      </c>
      <c r="K1584" s="455">
        <f t="shared" ca="1" si="131"/>
        <v>-315205.12548248185</v>
      </c>
      <c r="L1584" s="455">
        <f t="shared" ca="1" si="132"/>
        <v>-75964435.241278127</v>
      </c>
      <c r="M1584" s="471">
        <f t="shared" si="134"/>
        <v>0.05</v>
      </c>
      <c r="N1584" s="475">
        <f t="shared" si="135"/>
        <v>99256</v>
      </c>
    </row>
    <row r="1585" spans="7:14" ht="11.25" customHeight="1" x14ac:dyDescent="0.3">
      <c r="G1585" s="470"/>
      <c r="H1585" s="470">
        <v>1578</v>
      </c>
      <c r="I1585" s="455">
        <f t="shared" ca="1" si="133"/>
        <v>-75964435.241278127</v>
      </c>
      <c r="J1585" s="455">
        <f t="array" ref="J1585">IFERROR(INDEX('Retirement Calculator'!J:J,MATCH('Isaac 401k'!N1585,'Retirement Calculator'!A:A,0),0),0)</f>
        <v>0</v>
      </c>
      <c r="K1585" s="455">
        <f t="shared" ca="1" si="131"/>
        <v>-316518.48017199221</v>
      </c>
      <c r="L1585" s="455">
        <f t="shared" ca="1" si="132"/>
        <v>-76280953.72145012</v>
      </c>
      <c r="M1585" s="471">
        <f t="shared" si="134"/>
        <v>0.05</v>
      </c>
      <c r="N1585" s="475">
        <f t="shared" si="135"/>
        <v>99287</v>
      </c>
    </row>
    <row r="1586" spans="7:14" ht="11.25" customHeight="1" x14ac:dyDescent="0.3">
      <c r="G1586" s="470"/>
      <c r="H1586" s="470">
        <v>1579</v>
      </c>
      <c r="I1586" s="455">
        <f t="shared" ca="1" si="133"/>
        <v>-76280953.72145012</v>
      </c>
      <c r="J1586" s="455">
        <f t="array" ref="J1586">IFERROR(INDEX('Retirement Calculator'!J:J,MATCH('Isaac 401k'!N1586,'Retirement Calculator'!A:A,0),0),0)</f>
        <v>0</v>
      </c>
      <c r="K1586" s="455">
        <f t="shared" ca="1" si="131"/>
        <v>-317837.30717270885</v>
      </c>
      <c r="L1586" s="455">
        <f t="shared" ca="1" si="132"/>
        <v>-76598791.028622836</v>
      </c>
      <c r="M1586" s="471">
        <f t="shared" si="134"/>
        <v>0.05</v>
      </c>
      <c r="N1586" s="475">
        <f t="shared" si="135"/>
        <v>99317</v>
      </c>
    </row>
    <row r="1587" spans="7:14" ht="11.25" customHeight="1" x14ac:dyDescent="0.3">
      <c r="G1587" s="470"/>
      <c r="H1587" s="470">
        <v>1580</v>
      </c>
      <c r="I1587" s="455">
        <f t="shared" ca="1" si="133"/>
        <v>-76598791.028622836</v>
      </c>
      <c r="J1587" s="455">
        <f t="array" ref="J1587">IFERROR(INDEX('Retirement Calculator'!J:J,MATCH('Isaac 401k'!N1587,'Retirement Calculator'!A:A,0),0),0)</f>
        <v>0</v>
      </c>
      <c r="K1587" s="455">
        <f t="shared" ca="1" si="131"/>
        <v>-319161.6292859285</v>
      </c>
      <c r="L1587" s="455">
        <f t="shared" ca="1" si="132"/>
        <v>-76917952.657908767</v>
      </c>
      <c r="M1587" s="471">
        <f t="shared" si="134"/>
        <v>0.05</v>
      </c>
      <c r="N1587" s="475">
        <f t="shared" si="135"/>
        <v>99348</v>
      </c>
    </row>
    <row r="1588" spans="7:14" ht="11.25" customHeight="1" x14ac:dyDescent="0.3">
      <c r="G1588" s="470"/>
      <c r="H1588" s="470">
        <v>1581</v>
      </c>
      <c r="I1588" s="455">
        <f t="shared" ca="1" si="133"/>
        <v>-76917952.657908767</v>
      </c>
      <c r="J1588" s="455">
        <f t="array" ref="J1588">IFERROR(INDEX('Retirement Calculator'!J:J,MATCH('Isaac 401k'!N1588,'Retirement Calculator'!A:A,0),0),0)</f>
        <v>0</v>
      </c>
      <c r="K1588" s="455">
        <f t="shared" ca="1" si="131"/>
        <v>-320491.46940795321</v>
      </c>
      <c r="L1588" s="455">
        <f t="shared" ca="1" si="132"/>
        <v>-77238444.127316713</v>
      </c>
      <c r="M1588" s="471">
        <f t="shared" si="134"/>
        <v>0.05</v>
      </c>
      <c r="N1588" s="475">
        <f t="shared" si="135"/>
        <v>99379</v>
      </c>
    </row>
    <row r="1589" spans="7:14" ht="11.25" customHeight="1" x14ac:dyDescent="0.3">
      <c r="G1589" s="470"/>
      <c r="H1589" s="470">
        <v>1582</v>
      </c>
      <c r="I1589" s="455">
        <f t="shared" ca="1" si="133"/>
        <v>-77238444.127316713</v>
      </c>
      <c r="J1589" s="455">
        <f t="array" ref="J1589">IFERROR(INDEX('Retirement Calculator'!J:J,MATCH('Isaac 401k'!N1589,'Retirement Calculator'!A:A,0),0),0)</f>
        <v>0</v>
      </c>
      <c r="K1589" s="455">
        <f t="shared" ca="1" si="131"/>
        <v>-321826.85053048632</v>
      </c>
      <c r="L1589" s="455">
        <f t="shared" ca="1" si="132"/>
        <v>-77560270.977847204</v>
      </c>
      <c r="M1589" s="471">
        <f t="shared" si="134"/>
        <v>0.05</v>
      </c>
      <c r="N1589" s="475">
        <f t="shared" si="135"/>
        <v>99408</v>
      </c>
    </row>
    <row r="1590" spans="7:14" ht="11.25" customHeight="1" x14ac:dyDescent="0.3">
      <c r="G1590" s="470"/>
      <c r="H1590" s="470">
        <v>1583</v>
      </c>
      <c r="I1590" s="455">
        <f t="shared" ca="1" si="133"/>
        <v>-77560270.977847204</v>
      </c>
      <c r="J1590" s="455">
        <f t="array" ref="J1590">IFERROR(INDEX('Retirement Calculator'!J:J,MATCH('Isaac 401k'!N1590,'Retirement Calculator'!A:A,0),0),0)</f>
        <v>0</v>
      </c>
      <c r="K1590" s="455">
        <f t="shared" ca="1" si="131"/>
        <v>-323167.79574103002</v>
      </c>
      <c r="L1590" s="455">
        <f t="shared" ca="1" si="132"/>
        <v>-77883438.77358824</v>
      </c>
      <c r="M1590" s="471">
        <f t="shared" si="134"/>
        <v>0.05</v>
      </c>
      <c r="N1590" s="475">
        <f t="shared" si="135"/>
        <v>99439</v>
      </c>
    </row>
    <row r="1591" spans="7:14" ht="11.25" customHeight="1" x14ac:dyDescent="0.3">
      <c r="G1591" s="470"/>
      <c r="H1591" s="470">
        <v>1584</v>
      </c>
      <c r="I1591" s="455">
        <f t="shared" ca="1" si="133"/>
        <v>-77883438.77358824</v>
      </c>
      <c r="J1591" s="455">
        <f t="array" ref="J1591">IFERROR(INDEX('Retirement Calculator'!J:J,MATCH('Isaac 401k'!N1591,'Retirement Calculator'!A:A,0),0),0)</f>
        <v>0</v>
      </c>
      <c r="K1591" s="455">
        <f t="shared" ca="1" si="131"/>
        <v>-324514.32822328433</v>
      </c>
      <c r="L1591" s="455">
        <f t="shared" ca="1" si="132"/>
        <v>-78207953.101811528</v>
      </c>
      <c r="M1591" s="471">
        <f t="shared" si="134"/>
        <v>0.05</v>
      </c>
      <c r="N1591" s="475">
        <f t="shared" si="135"/>
        <v>99469</v>
      </c>
    </row>
    <row r="1592" spans="7:14" ht="11.25" customHeight="1" x14ac:dyDescent="0.3">
      <c r="G1592" s="470"/>
      <c r="H1592" s="470">
        <v>1585</v>
      </c>
      <c r="I1592" s="455">
        <f t="shared" ca="1" si="133"/>
        <v>-78207953.101811528</v>
      </c>
      <c r="J1592" s="455">
        <f t="array" ref="J1592">IFERROR(INDEX('Retirement Calculator'!J:J,MATCH('Isaac 401k'!N1592,'Retirement Calculator'!A:A,0),0),0)</f>
        <v>0</v>
      </c>
      <c r="K1592" s="455">
        <f t="shared" ca="1" si="131"/>
        <v>-325866.47125754802</v>
      </c>
      <c r="L1592" s="455">
        <f t="shared" ca="1" si="132"/>
        <v>-78533819.573069081</v>
      </c>
      <c r="M1592" s="471">
        <f t="shared" si="134"/>
        <v>0.05</v>
      </c>
      <c r="N1592" s="475">
        <f t="shared" si="135"/>
        <v>99500</v>
      </c>
    </row>
    <row r="1593" spans="7:14" ht="11.25" customHeight="1" x14ac:dyDescent="0.3">
      <c r="G1593" s="470"/>
      <c r="H1593" s="470">
        <v>1586</v>
      </c>
      <c r="I1593" s="455">
        <f t="shared" ca="1" si="133"/>
        <v>-78533819.573069081</v>
      </c>
      <c r="J1593" s="455">
        <f t="array" ref="J1593">IFERROR(INDEX('Retirement Calculator'!J:J,MATCH('Isaac 401k'!N1593,'Retirement Calculator'!A:A,0),0),0)</f>
        <v>0</v>
      </c>
      <c r="K1593" s="455">
        <f t="shared" ca="1" si="131"/>
        <v>-327224.24822112115</v>
      </c>
      <c r="L1593" s="455">
        <f t="shared" ca="1" si="132"/>
        <v>-78861043.821290195</v>
      </c>
      <c r="M1593" s="471">
        <f t="shared" si="134"/>
        <v>0.05</v>
      </c>
      <c r="N1593" s="475">
        <f t="shared" si="135"/>
        <v>99530</v>
      </c>
    </row>
    <row r="1594" spans="7:14" ht="11.25" customHeight="1" x14ac:dyDescent="0.3">
      <c r="G1594" s="470"/>
      <c r="H1594" s="470">
        <v>1587</v>
      </c>
      <c r="I1594" s="455">
        <f t="shared" ca="1" si="133"/>
        <v>-78861043.821290195</v>
      </c>
      <c r="J1594" s="455">
        <f t="array" ref="J1594">IFERROR(INDEX('Retirement Calculator'!J:J,MATCH('Isaac 401k'!N1594,'Retirement Calculator'!A:A,0),0),0)</f>
        <v>0</v>
      </c>
      <c r="K1594" s="455">
        <f t="shared" ca="1" si="131"/>
        <v>-328587.68258870917</v>
      </c>
      <c r="L1594" s="455">
        <f t="shared" ca="1" si="132"/>
        <v>-79189631.503878906</v>
      </c>
      <c r="M1594" s="471">
        <f t="shared" si="134"/>
        <v>0.05</v>
      </c>
      <c r="N1594" s="475">
        <f t="shared" si="135"/>
        <v>99561</v>
      </c>
    </row>
    <row r="1595" spans="7:14" ht="11.25" customHeight="1" x14ac:dyDescent="0.3">
      <c r="G1595" s="470"/>
      <c r="H1595" s="470">
        <v>1588</v>
      </c>
      <c r="I1595" s="455">
        <f t="shared" ca="1" si="133"/>
        <v>-79189631.503878906</v>
      </c>
      <c r="J1595" s="455">
        <f t="array" ref="J1595">IFERROR(INDEX('Retirement Calculator'!J:J,MATCH('Isaac 401k'!N1595,'Retirement Calculator'!A:A,0),0),0)</f>
        <v>0</v>
      </c>
      <c r="K1595" s="455">
        <f t="shared" ca="1" si="131"/>
        <v>-329956.79793282878</v>
      </c>
      <c r="L1595" s="455">
        <f t="shared" ca="1" si="132"/>
        <v>-79519588.30181174</v>
      </c>
      <c r="M1595" s="471">
        <f t="shared" si="134"/>
        <v>0.05</v>
      </c>
      <c r="N1595" s="475">
        <f t="shared" si="135"/>
        <v>99592</v>
      </c>
    </row>
    <row r="1596" spans="7:14" ht="11.25" customHeight="1" x14ac:dyDescent="0.3">
      <c r="G1596" s="470"/>
      <c r="H1596" s="470">
        <v>1589</v>
      </c>
      <c r="I1596" s="455">
        <f t="shared" ca="1" si="133"/>
        <v>-79519588.30181174</v>
      </c>
      <c r="J1596" s="455">
        <f t="array" ref="J1596">IFERROR(INDEX('Retirement Calculator'!J:J,MATCH('Isaac 401k'!N1596,'Retirement Calculator'!A:A,0),0),0)</f>
        <v>0</v>
      </c>
      <c r="K1596" s="455">
        <f t="shared" ca="1" si="131"/>
        <v>-331331.61792421556</v>
      </c>
      <c r="L1596" s="455">
        <f t="shared" ca="1" si="132"/>
        <v>-79850919.919735953</v>
      </c>
      <c r="M1596" s="471">
        <f t="shared" si="134"/>
        <v>0.05</v>
      </c>
      <c r="N1596" s="475">
        <f t="shared" si="135"/>
        <v>99622</v>
      </c>
    </row>
    <row r="1597" spans="7:14" ht="11.25" customHeight="1" x14ac:dyDescent="0.3">
      <c r="G1597" s="470"/>
      <c r="H1597" s="470">
        <v>1590</v>
      </c>
      <c r="I1597" s="455">
        <f t="shared" ca="1" si="133"/>
        <v>-79850919.919735953</v>
      </c>
      <c r="J1597" s="455">
        <f t="array" ref="J1597">IFERROR(INDEX('Retirement Calculator'!J:J,MATCH('Isaac 401k'!N1597,'Retirement Calculator'!A:A,0),0),0)</f>
        <v>0</v>
      </c>
      <c r="K1597" s="455">
        <f t="shared" ca="1" si="131"/>
        <v>-332712.16633223312</v>
      </c>
      <c r="L1597" s="455">
        <f t="shared" ca="1" si="132"/>
        <v>-80183632.086068183</v>
      </c>
      <c r="M1597" s="471">
        <f t="shared" si="134"/>
        <v>0.05</v>
      </c>
      <c r="N1597" s="475">
        <f t="shared" si="135"/>
        <v>99653</v>
      </c>
    </row>
    <row r="1598" spans="7:14" ht="11.25" customHeight="1" x14ac:dyDescent="0.3">
      <c r="G1598" s="470"/>
      <c r="H1598" s="470">
        <v>1591</v>
      </c>
      <c r="I1598" s="455">
        <f t="shared" ca="1" si="133"/>
        <v>-80183632.086068183</v>
      </c>
      <c r="J1598" s="455">
        <f t="array" ref="J1598">IFERROR(INDEX('Retirement Calculator'!J:J,MATCH('Isaac 401k'!N1598,'Retirement Calculator'!A:A,0),0),0)</f>
        <v>0</v>
      </c>
      <c r="K1598" s="455">
        <f t="shared" ca="1" si="131"/>
        <v>-334098.46702528407</v>
      </c>
      <c r="L1598" s="455">
        <f t="shared" ca="1" si="132"/>
        <v>-80517730.553093463</v>
      </c>
      <c r="M1598" s="471">
        <f t="shared" si="134"/>
        <v>0.05</v>
      </c>
      <c r="N1598" s="475">
        <f t="shared" si="135"/>
        <v>99683</v>
      </c>
    </row>
    <row r="1599" spans="7:14" ht="11.25" customHeight="1" x14ac:dyDescent="0.3">
      <c r="G1599" s="470"/>
      <c r="H1599" s="470">
        <v>1592</v>
      </c>
      <c r="I1599" s="455">
        <f t="shared" ca="1" si="133"/>
        <v>-80517730.553093463</v>
      </c>
      <c r="J1599" s="455">
        <f t="array" ref="J1599">IFERROR(INDEX('Retirement Calculator'!J:J,MATCH('Isaac 401k'!N1599,'Retirement Calculator'!A:A,0),0),0)</f>
        <v>0</v>
      </c>
      <c r="K1599" s="455">
        <f t="shared" ca="1" si="131"/>
        <v>-335490.54397122277</v>
      </c>
      <c r="L1599" s="455">
        <f t="shared" ca="1" si="132"/>
        <v>-80853221.097064689</v>
      </c>
      <c r="M1599" s="471">
        <f t="shared" si="134"/>
        <v>0.05</v>
      </c>
      <c r="N1599" s="475">
        <f t="shared" si="135"/>
        <v>99714</v>
      </c>
    </row>
    <row r="1600" spans="7:14" ht="11.25" customHeight="1" x14ac:dyDescent="0.3">
      <c r="G1600" s="470"/>
      <c r="H1600" s="470">
        <v>1593</v>
      </c>
      <c r="I1600" s="455">
        <f t="shared" ca="1" si="133"/>
        <v>-80853221.097064689</v>
      </c>
      <c r="J1600" s="455">
        <f t="array" ref="J1600">IFERROR(INDEX('Retirement Calculator'!J:J,MATCH('Isaac 401k'!N1600,'Retirement Calculator'!A:A,0),0),0)</f>
        <v>0</v>
      </c>
      <c r="K1600" s="455">
        <f t="shared" ca="1" si="131"/>
        <v>-336888.42123776954</v>
      </c>
      <c r="L1600" s="455">
        <f t="shared" ca="1" si="132"/>
        <v>-81190109.518302456</v>
      </c>
      <c r="M1600" s="471">
        <f t="shared" si="134"/>
        <v>0.05</v>
      </c>
      <c r="N1600" s="475">
        <f t="shared" si="135"/>
        <v>99745</v>
      </c>
    </row>
    <row r="1601" spans="7:14" ht="11.25" customHeight="1" x14ac:dyDescent="0.3">
      <c r="G1601" s="470"/>
      <c r="H1601" s="470">
        <v>1594</v>
      </c>
      <c r="I1601" s="455">
        <f t="shared" ca="1" si="133"/>
        <v>-81190109.518302456</v>
      </c>
      <c r="J1601" s="455">
        <f t="array" ref="J1601">IFERROR(INDEX('Retirement Calculator'!J:J,MATCH('Isaac 401k'!N1601,'Retirement Calculator'!A:A,0),0),0)</f>
        <v>0</v>
      </c>
      <c r="K1601" s="455">
        <f t="shared" ca="1" si="131"/>
        <v>-338292.12299292692</v>
      </c>
      <c r="L1601" s="455">
        <f t="shared" ca="1" si="132"/>
        <v>-81528401.641295388</v>
      </c>
      <c r="M1601" s="471">
        <f t="shared" si="134"/>
        <v>0.05</v>
      </c>
      <c r="N1601" s="475">
        <f t="shared" si="135"/>
        <v>99773</v>
      </c>
    </row>
    <row r="1602" spans="7:14" ht="11.25" customHeight="1" x14ac:dyDescent="0.3">
      <c r="G1602" s="470"/>
      <c r="H1602" s="470">
        <v>1595</v>
      </c>
      <c r="I1602" s="455">
        <f t="shared" ca="1" si="133"/>
        <v>-81528401.641295388</v>
      </c>
      <c r="J1602" s="455">
        <f t="array" ref="J1602">IFERROR(INDEX('Retirement Calculator'!J:J,MATCH('Isaac 401k'!N1602,'Retirement Calculator'!A:A,0),0),0)</f>
        <v>0</v>
      </c>
      <c r="K1602" s="455">
        <f t="shared" ca="1" si="131"/>
        <v>-339701.67350539746</v>
      </c>
      <c r="L1602" s="455">
        <f t="shared" ca="1" si="132"/>
        <v>-81868103.314800784</v>
      </c>
      <c r="M1602" s="471">
        <f t="shared" si="134"/>
        <v>0.05</v>
      </c>
      <c r="N1602" s="475">
        <f t="shared" si="135"/>
        <v>99804</v>
      </c>
    </row>
    <row r="1603" spans="7:14" ht="11.25" customHeight="1" x14ac:dyDescent="0.3">
      <c r="G1603" s="470"/>
      <c r="H1603" s="470">
        <v>1596</v>
      </c>
      <c r="I1603" s="455">
        <f t="shared" ca="1" si="133"/>
        <v>-81868103.314800784</v>
      </c>
      <c r="J1603" s="455">
        <f t="array" ref="J1603">IFERROR(INDEX('Retirement Calculator'!J:J,MATCH('Isaac 401k'!N1603,'Retirement Calculator'!A:A,0),0),0)</f>
        <v>0</v>
      </c>
      <c r="K1603" s="455">
        <f t="shared" ca="1" si="131"/>
        <v>-341117.09714500327</v>
      </c>
      <c r="L1603" s="455">
        <f t="shared" ca="1" si="132"/>
        <v>-82209220.41194579</v>
      </c>
      <c r="M1603" s="471">
        <f t="shared" si="134"/>
        <v>0.05</v>
      </c>
      <c r="N1603" s="475">
        <f t="shared" si="135"/>
        <v>99834</v>
      </c>
    </row>
    <row r="1604" spans="7:14" ht="11.25" customHeight="1" x14ac:dyDescent="0.3">
      <c r="G1604" s="470"/>
      <c r="H1604" s="470">
        <v>1597</v>
      </c>
      <c r="I1604" s="455">
        <f t="shared" ca="1" si="133"/>
        <v>-82209220.41194579</v>
      </c>
      <c r="J1604" s="455">
        <f t="array" ref="J1604">IFERROR(INDEX('Retirement Calculator'!J:J,MATCH('Isaac 401k'!N1604,'Retirement Calculator'!A:A,0),0),0)</f>
        <v>0</v>
      </c>
      <c r="K1604" s="455">
        <f t="shared" ca="1" si="131"/>
        <v>-342538.41838310746</v>
      </c>
      <c r="L1604" s="455">
        <f t="shared" ca="1" si="132"/>
        <v>-82551758.830328897</v>
      </c>
      <c r="M1604" s="471">
        <f t="shared" si="134"/>
        <v>0.05</v>
      </c>
      <c r="N1604" s="475">
        <f t="shared" si="135"/>
        <v>99865</v>
      </c>
    </row>
    <row r="1605" spans="7:14" ht="11.25" customHeight="1" x14ac:dyDescent="0.3">
      <c r="G1605" s="470"/>
      <c r="H1605" s="470">
        <v>1598</v>
      </c>
      <c r="I1605" s="455">
        <f t="shared" ca="1" si="133"/>
        <v>-82551758.830328897</v>
      </c>
      <c r="J1605" s="455">
        <f t="array" ref="J1605">IFERROR(INDEX('Retirement Calculator'!J:J,MATCH('Isaac 401k'!N1605,'Retirement Calculator'!A:A,0),0),0)</f>
        <v>0</v>
      </c>
      <c r="K1605" s="455">
        <f t="shared" ca="1" si="131"/>
        <v>-343965.66179303708</v>
      </c>
      <c r="L1605" s="455">
        <f t="shared" ca="1" si="132"/>
        <v>-82895724.492121935</v>
      </c>
      <c r="M1605" s="471">
        <f t="shared" si="134"/>
        <v>0.05</v>
      </c>
      <c r="N1605" s="475">
        <f t="shared" si="135"/>
        <v>99895</v>
      </c>
    </row>
    <row r="1606" spans="7:14" ht="11.25" customHeight="1" x14ac:dyDescent="0.3">
      <c r="G1606" s="470"/>
      <c r="H1606" s="470">
        <v>1599</v>
      </c>
      <c r="I1606" s="455">
        <f t="shared" ca="1" si="133"/>
        <v>-82895724.492121935</v>
      </c>
      <c r="J1606" s="455">
        <f t="array" ref="J1606">IFERROR(INDEX('Retirement Calculator'!J:J,MATCH('Isaac 401k'!N1606,'Retirement Calculator'!A:A,0),0),0)</f>
        <v>0</v>
      </c>
      <c r="K1606" s="455">
        <f t="shared" ca="1" si="131"/>
        <v>-345398.85205050808</v>
      </c>
      <c r="L1606" s="455">
        <f t="shared" ca="1" si="132"/>
        <v>-83241123.344172448</v>
      </c>
      <c r="M1606" s="471">
        <f t="shared" si="134"/>
        <v>0.05</v>
      </c>
      <c r="N1606" s="475">
        <f t="shared" si="135"/>
        <v>99926</v>
      </c>
    </row>
    <row r="1607" spans="7:14" ht="11.25" customHeight="1" x14ac:dyDescent="0.3">
      <c r="G1607" s="470"/>
      <c r="H1607" s="470">
        <v>1600</v>
      </c>
      <c r="I1607" s="455">
        <f t="shared" ca="1" si="133"/>
        <v>-83241123.344172448</v>
      </c>
      <c r="J1607" s="455">
        <f t="array" ref="J1607">IFERROR(INDEX('Retirement Calculator'!J:J,MATCH('Isaac 401k'!N1607,'Retirement Calculator'!A:A,0),0),0)</f>
        <v>0</v>
      </c>
      <c r="K1607" s="455">
        <f t="shared" ca="1" si="131"/>
        <v>-346838.01393405185</v>
      </c>
      <c r="L1607" s="455">
        <f t="shared" ca="1" si="132"/>
        <v>-83587961.358106494</v>
      </c>
      <c r="M1607" s="471">
        <f t="shared" si="134"/>
        <v>0.05</v>
      </c>
      <c r="N1607" s="475">
        <f t="shared" si="135"/>
        <v>99957</v>
      </c>
    </row>
    <row r="1608" spans="7:14" ht="11.25" customHeight="1" x14ac:dyDescent="0.3">
      <c r="G1608" s="470"/>
      <c r="H1608" s="470">
        <v>1601</v>
      </c>
      <c r="I1608" s="455">
        <f t="shared" ca="1" si="133"/>
        <v>-83587961.358106494</v>
      </c>
      <c r="J1608" s="455">
        <f t="array" ref="J1608">IFERROR(INDEX('Retirement Calculator'!J:J,MATCH('Isaac 401k'!N1608,'Retirement Calculator'!A:A,0),0),0)</f>
        <v>0</v>
      </c>
      <c r="K1608" s="455">
        <f t="shared" ca="1" si="131"/>
        <v>-348283.17232544371</v>
      </c>
      <c r="L1608" s="455">
        <f t="shared" ca="1" si="132"/>
        <v>-83936244.530431941</v>
      </c>
      <c r="M1608" s="471">
        <f t="shared" si="134"/>
        <v>0.05</v>
      </c>
      <c r="N1608" s="475">
        <f t="shared" si="135"/>
        <v>99987</v>
      </c>
    </row>
    <row r="1609" spans="7:14" ht="11.25" customHeight="1" x14ac:dyDescent="0.3">
      <c r="G1609" s="470"/>
      <c r="H1609" s="470">
        <v>1602</v>
      </c>
      <c r="I1609" s="455">
        <f t="shared" ca="1" si="133"/>
        <v>-83936244.530431941</v>
      </c>
      <c r="J1609" s="455">
        <f t="array" ref="J1609">IFERROR(INDEX('Retirement Calculator'!J:J,MATCH('Isaac 401k'!N1609,'Retirement Calculator'!A:A,0),0),0)</f>
        <v>0</v>
      </c>
      <c r="K1609" s="455">
        <f t="shared" ca="1" si="131"/>
        <v>-349734.3522101331</v>
      </c>
      <c r="L1609" s="455">
        <f t="shared" ca="1" si="132"/>
        <v>-84285978.882642075</v>
      </c>
      <c r="M1609" s="471">
        <f t="shared" si="134"/>
        <v>0.05</v>
      </c>
      <c r="N1609" s="475">
        <f t="shared" si="135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33"/>
        <v>-84285978.882642075</v>
      </c>
      <c r="J1610" s="455">
        <f t="array" ref="J1610">IFERROR(INDEX('Retirement Calculator'!J:J,MATCH('Isaac 401k'!N1610,'Retirement Calculator'!A:A,0),0),0)</f>
        <v>0</v>
      </c>
      <c r="K1610" s="455">
        <f t="shared" ca="1" si="131"/>
        <v>-351191.57867767534</v>
      </c>
      <c r="L1610" s="455">
        <f t="shared" ca="1" si="132"/>
        <v>-84637170.461319745</v>
      </c>
      <c r="M1610" s="471">
        <f t="shared" si="134"/>
        <v>0.05</v>
      </c>
      <c r="N1610" s="475">
        <f t="shared" si="135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33"/>
        <v>-84637170.461319745</v>
      </c>
      <c r="J1611" s="455">
        <f t="array" ref="J1611">IFERROR(INDEX('Retirement Calculator'!J:J,MATCH('Isaac 401k'!N1611,'Retirement Calculator'!A:A,0),0),0)</f>
        <v>0</v>
      </c>
      <c r="K1611" s="455">
        <f t="shared" ca="1" si="131"/>
        <v>-352654.87692216563</v>
      </c>
      <c r="L1611" s="455">
        <f t="shared" ca="1" si="132"/>
        <v>-84989825.338241905</v>
      </c>
      <c r="M1611" s="471">
        <f t="shared" si="134"/>
        <v>0.05</v>
      </c>
      <c r="N1611" s="475">
        <f t="shared" si="135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33"/>
        <v>-84989825.338241905</v>
      </c>
      <c r="J1612" s="455">
        <f t="array" ref="J1612">IFERROR(INDEX('Retirement Calculator'!J:J,MATCH('Isaac 401k'!N1612,'Retirement Calculator'!A:A,0),0),0)</f>
        <v>0</v>
      </c>
      <c r="K1612" s="455">
        <f t="shared" ca="1" si="131"/>
        <v>-354124.2722426746</v>
      </c>
      <c r="L1612" s="455">
        <f t="shared" ca="1" si="132"/>
        <v>-85343949.610484585</v>
      </c>
      <c r="M1612" s="471">
        <f t="shared" si="134"/>
        <v>0.05</v>
      </c>
      <c r="N1612" s="475">
        <f t="shared" si="135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33"/>
        <v>-85343949.610484585</v>
      </c>
      <c r="J1613" s="455">
        <f t="array" ref="J1613">IFERROR(INDEX('Retirement Calculator'!J:J,MATCH('Isaac 401k'!N1613,'Retirement Calculator'!A:A,0),0),0)</f>
        <v>0</v>
      </c>
      <c r="K1613" s="455">
        <f t="shared" ca="1" si="131"/>
        <v>-355599.79004368576</v>
      </c>
      <c r="L1613" s="455">
        <f t="shared" ca="1" si="132"/>
        <v>-85699549.400528267</v>
      </c>
      <c r="M1613" s="471">
        <f t="shared" si="134"/>
        <v>0.05</v>
      </c>
      <c r="N1613" s="475">
        <f t="shared" si="135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33"/>
        <v>-85699549.400528267</v>
      </c>
      <c r="J1614" s="455">
        <f t="array" ref="J1614">IFERROR(INDEX('Retirement Calculator'!J:J,MATCH('Isaac 401k'!N1614,'Retirement Calculator'!A:A,0),0),0)</f>
        <v>0</v>
      </c>
      <c r="K1614" s="455">
        <f t="shared" ca="1" si="131"/>
        <v>-357081.45583553443</v>
      </c>
      <c r="L1614" s="455">
        <f t="shared" ca="1" si="132"/>
        <v>-86056630.856363803</v>
      </c>
      <c r="M1614" s="471">
        <f t="shared" si="134"/>
        <v>0.05</v>
      </c>
      <c r="N1614" s="475">
        <f t="shared" si="135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33"/>
        <v>-86056630.856363803</v>
      </c>
      <c r="J1615" s="455">
        <f t="array" ref="J1615">IFERROR(INDEX('Retirement Calculator'!J:J,MATCH('Isaac 401k'!N1615,'Retirement Calculator'!A:A,0),0),0)</f>
        <v>0</v>
      </c>
      <c r="K1615" s="455">
        <f t="shared" ca="1" si="131"/>
        <v>-358569.29523484915</v>
      </c>
      <c r="L1615" s="455">
        <f t="shared" ca="1" si="132"/>
        <v>-86415200.151598647</v>
      </c>
      <c r="M1615" s="471">
        <f t="shared" si="134"/>
        <v>0.05</v>
      </c>
      <c r="N1615" s="475">
        <f t="shared" si="135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33"/>
        <v>-86415200.151598647</v>
      </c>
      <c r="J1616" s="455">
        <f t="array" ref="J1616">IFERROR(INDEX('Retirement Calculator'!J:J,MATCH('Isaac 401k'!N1616,'Retirement Calculator'!A:A,0),0),0)</f>
        <v>0</v>
      </c>
      <c r="K1616" s="455">
        <f t="shared" ca="1" si="131"/>
        <v>-360063.33396499435</v>
      </c>
      <c r="L1616" s="455">
        <f t="shared" ca="1" si="132"/>
        <v>-86775263.485563636</v>
      </c>
      <c r="M1616" s="471">
        <f t="shared" si="134"/>
        <v>0.05</v>
      </c>
      <c r="N1616" s="475">
        <f t="shared" si="135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33"/>
        <v>-86775263.485563636</v>
      </c>
      <c r="J1617" s="455">
        <f t="array" ref="J1617">IFERROR(INDEX('Retirement Calculator'!J:J,MATCH('Isaac 401k'!N1617,'Retirement Calculator'!A:A,0),0),0)</f>
        <v>0</v>
      </c>
      <c r="K1617" s="455">
        <f t="shared" ca="1" si="131"/>
        <v>-361563.59785651515</v>
      </c>
      <c r="L1617" s="455">
        <f t="shared" ca="1" si="132"/>
        <v>-87136827.083420157</v>
      </c>
      <c r="M1617" s="471">
        <f t="shared" si="134"/>
        <v>0.05</v>
      </c>
      <c r="N1617" s="475">
        <f t="shared" si="135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33"/>
        <v>-87136827.083420157</v>
      </c>
      <c r="J1618" s="455">
        <f t="array" ref="J1618">IFERROR(INDEX('Retirement Calculator'!J:J,MATCH('Isaac 401k'!N1618,'Retirement Calculator'!A:A,0),0),0)</f>
        <v>0</v>
      </c>
      <c r="K1618" s="455">
        <f t="shared" ca="1" si="131"/>
        <v>-363070.11284758401</v>
      </c>
      <c r="L1618" s="455">
        <f t="shared" ca="1" si="132"/>
        <v>-87499897.196267739</v>
      </c>
      <c r="M1618" s="471">
        <f t="shared" si="134"/>
        <v>0.05</v>
      </c>
      <c r="N1618" s="475">
        <f t="shared" si="135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33"/>
        <v>-87499897.196267739</v>
      </c>
      <c r="J1619" s="455">
        <f t="array" ref="J1619">IFERROR(INDEX('Retirement Calculator'!J:J,MATCH('Isaac 401k'!N1619,'Retirement Calculator'!A:A,0),0),0)</f>
        <v>0</v>
      </c>
      <c r="K1619" s="455">
        <f t="shared" ca="1" si="131"/>
        <v>-364582.90498444892</v>
      </c>
      <c r="L1619" s="455">
        <f t="shared" ca="1" si="132"/>
        <v>-87864480.101252183</v>
      </c>
      <c r="M1619" s="471">
        <f t="shared" si="134"/>
        <v>0.05</v>
      </c>
      <c r="N1619" s="475">
        <f t="shared" si="135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33"/>
        <v>-87864480.101252183</v>
      </c>
      <c r="J1620" s="455">
        <f t="array" ref="J1620">IFERROR(INDEX('Retirement Calculator'!J:J,MATCH('Isaac 401k'!N1620,'Retirement Calculator'!A:A,0),0),0)</f>
        <v>0</v>
      </c>
      <c r="K1620" s="455">
        <f t="shared" ca="1" si="131"/>
        <v>-366102.00042188412</v>
      </c>
      <c r="L1620" s="455">
        <f t="shared" ca="1" si="132"/>
        <v>-88230582.101674065</v>
      </c>
      <c r="M1620" s="471">
        <f t="shared" si="134"/>
        <v>0.05</v>
      </c>
      <c r="N1620" s="475">
        <f t="shared" si="135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33"/>
        <v>-88230582.101674065</v>
      </c>
      <c r="J1621" s="455">
        <f t="array" ref="J1621">IFERROR(INDEX('Retirement Calculator'!J:J,MATCH('Isaac 401k'!N1621,'Retirement Calculator'!A:A,0),0),0)</f>
        <v>0</v>
      </c>
      <c r="K1621" s="455">
        <f t="shared" ca="1" si="131"/>
        <v>-367627.42542364192</v>
      </c>
      <c r="L1621" s="455">
        <f t="shared" ca="1" si="132"/>
        <v>-88598209.527097702</v>
      </c>
      <c r="M1621" s="471">
        <f t="shared" si="134"/>
        <v>0.05</v>
      </c>
      <c r="N1621" s="475">
        <f t="shared" si="135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33"/>
        <v>-88598209.527097702</v>
      </c>
      <c r="J1622" s="455">
        <f t="array" ref="J1622">IFERROR(INDEX('Retirement Calculator'!J:J,MATCH('Isaac 401k'!N1622,'Retirement Calculator'!A:A,0),0),0)</f>
        <v>0</v>
      </c>
      <c r="K1622" s="455">
        <f t="shared" ca="1" si="131"/>
        <v>-369159.20636290708</v>
      </c>
      <c r="L1622" s="455">
        <f t="shared" ca="1" si="132"/>
        <v>-88967368.733460605</v>
      </c>
      <c r="M1622" s="471">
        <f t="shared" si="134"/>
        <v>0.05</v>
      </c>
      <c r="N1622" s="475">
        <f t="shared" si="135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33"/>
        <v>-88967368.733460605</v>
      </c>
      <c r="J1623" s="455">
        <f t="array" ref="J1623">IFERROR(INDEX('Retirement Calculator'!J:J,MATCH('Isaac 401k'!N1623,'Retirement Calculator'!A:A,0),0),0)</f>
        <v>0</v>
      </c>
      <c r="K1623" s="455">
        <f t="shared" ca="1" si="131"/>
        <v>-370697.36972275254</v>
      </c>
      <c r="L1623" s="455">
        <f t="shared" ca="1" si="132"/>
        <v>-89338066.103183359</v>
      </c>
      <c r="M1623" s="471">
        <f t="shared" si="134"/>
        <v>0.05</v>
      </c>
      <c r="N1623" s="475">
        <f t="shared" si="135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33"/>
        <v>-89338066.103183359</v>
      </c>
      <c r="J1624" s="455">
        <f t="array" ref="J1624">IFERROR(INDEX('Retirement Calculator'!J:J,MATCH('Isaac 401k'!N1624,'Retirement Calculator'!A:A,0),0),0)</f>
        <v>0</v>
      </c>
      <c r="K1624" s="455">
        <f t="shared" ca="1" si="131"/>
        <v>-372241.94209659734</v>
      </c>
      <c r="L1624" s="455">
        <f t="shared" ca="1" si="132"/>
        <v>-89710308.04527995</v>
      </c>
      <c r="M1624" s="471">
        <f t="shared" si="134"/>
        <v>0.05</v>
      </c>
      <c r="N1624" s="475">
        <f t="shared" si="135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33"/>
        <v>-89710308.04527995</v>
      </c>
      <c r="J1625" s="455">
        <f t="array" ref="J1625">IFERROR(INDEX('Retirement Calculator'!J:J,MATCH('Isaac 401k'!N1625,'Retirement Calculator'!A:A,0),0),0)</f>
        <v>0</v>
      </c>
      <c r="K1625" s="455">
        <f t="shared" ca="1" si="131"/>
        <v>-373792.95018866647</v>
      </c>
      <c r="L1625" s="455">
        <f t="shared" ca="1" si="132"/>
        <v>-90084100.995468616</v>
      </c>
      <c r="M1625" s="471">
        <f t="shared" si="134"/>
        <v>0.05</v>
      </c>
      <c r="N1625" s="475">
        <f t="shared" si="135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33"/>
        <v>-90084100.995468616</v>
      </c>
      <c r="J1626" s="455">
        <f t="array" ref="J1626">IFERROR(INDEX('Retirement Calculator'!J:J,MATCH('Isaac 401k'!N1626,'Retirement Calculator'!A:A,0),0),0)</f>
        <v>0</v>
      </c>
      <c r="K1626" s="455">
        <f t="shared" ca="1" si="131"/>
        <v>-375350.42081445258</v>
      </c>
      <c r="L1626" s="455">
        <f t="shared" ca="1" si="132"/>
        <v>-90459451.416283071</v>
      </c>
      <c r="M1626" s="471">
        <f t="shared" si="134"/>
        <v>0.05</v>
      </c>
      <c r="N1626" s="475">
        <f t="shared" si="135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33"/>
        <v>-90459451.416283071</v>
      </c>
      <c r="J1627" s="455">
        <f t="array" ref="J1627">IFERROR(INDEX('Retirement Calculator'!J:J,MATCH('Isaac 401k'!N1627,'Retirement Calculator'!A:A,0),0),0)</f>
        <v>0</v>
      </c>
      <c r="K1627" s="455">
        <f t="shared" ca="1" si="131"/>
        <v>-376914.38090117945</v>
      </c>
      <c r="L1627" s="455">
        <f t="shared" ca="1" si="132"/>
        <v>-90836365.797184244</v>
      </c>
      <c r="M1627" s="471">
        <f t="shared" si="134"/>
        <v>0.05</v>
      </c>
      <c r="N1627" s="475">
        <f t="shared" si="135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33"/>
        <v>-90836365.797184244</v>
      </c>
      <c r="J1628" s="455">
        <f t="array" ref="J1628">IFERROR(INDEX('Retirement Calculator'!J:J,MATCH('Isaac 401k'!N1628,'Retirement Calculator'!A:A,0),0),0)</f>
        <v>0</v>
      </c>
      <c r="K1628" s="455">
        <f t="shared" ca="1" si="131"/>
        <v>-378484.85748826771</v>
      </c>
      <c r="L1628" s="455">
        <f t="shared" ca="1" si="132"/>
        <v>-91214850.654672518</v>
      </c>
      <c r="M1628" s="471">
        <f t="shared" si="134"/>
        <v>0.05</v>
      </c>
      <c r="N1628" s="475">
        <f t="shared" si="135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33"/>
        <v>-91214850.654672518</v>
      </c>
      <c r="J1629" s="455">
        <f t="array" ref="J1629">IFERROR(INDEX('Retirement Calculator'!J:J,MATCH('Isaac 401k'!N1629,'Retirement Calculator'!A:A,0),0),0)</f>
        <v>0</v>
      </c>
      <c r="K1629" s="455">
        <f t="shared" ca="1" si="131"/>
        <v>-380061.87772780214</v>
      </c>
      <c r="L1629" s="455">
        <f t="shared" ca="1" si="132"/>
        <v>-91594912.532400325</v>
      </c>
      <c r="M1629" s="471">
        <f t="shared" si="134"/>
        <v>0.05</v>
      </c>
      <c r="N1629" s="475">
        <f t="shared" si="135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33"/>
        <v>-91594912.532400325</v>
      </c>
      <c r="J1630" s="455">
        <f t="array" ref="J1630">IFERROR(INDEX('Retirement Calculator'!J:J,MATCH('Isaac 401k'!N1630,'Retirement Calculator'!A:A,0),0),0)</f>
        <v>0</v>
      </c>
      <c r="K1630" s="455">
        <f t="shared" ca="1" si="131"/>
        <v>-381645.46888500138</v>
      </c>
      <c r="L1630" s="455">
        <f t="shared" ca="1" si="132"/>
        <v>-91976558.001285329</v>
      </c>
      <c r="M1630" s="471">
        <f t="shared" si="134"/>
        <v>0.05</v>
      </c>
      <c r="N1630" s="475">
        <f t="shared" si="135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33"/>
        <v>-91976558.001285329</v>
      </c>
      <c r="J1631" s="455">
        <f t="array" ref="J1631">IFERROR(INDEX('Retirement Calculator'!J:J,MATCH('Isaac 401k'!N1631,'Retirement Calculator'!A:A,0),0),0)</f>
        <v>0</v>
      </c>
      <c r="K1631" s="455">
        <f t="shared" ca="1" si="131"/>
        <v>-383235.6583386889</v>
      </c>
      <c r="L1631" s="455">
        <f t="shared" ca="1" si="132"/>
        <v>-92359793.659624025</v>
      </c>
      <c r="M1631" s="471">
        <f t="shared" si="134"/>
        <v>0.05</v>
      </c>
      <c r="N1631" s="475">
        <f t="shared" si="135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33"/>
        <v>-92359793.659624025</v>
      </c>
      <c r="J1632" s="455">
        <f t="array" ref="J1632">IFERROR(INDEX('Retirement Calculator'!J:J,MATCH('Isaac 401k'!N1632,'Retirement Calculator'!A:A,0),0),0)</f>
        <v>0</v>
      </c>
      <c r="K1632" s="455">
        <f t="shared" ca="1" si="131"/>
        <v>-384832.47358176677</v>
      </c>
      <c r="L1632" s="455">
        <f t="shared" ca="1" si="132"/>
        <v>-92744626.133205786</v>
      </c>
      <c r="M1632" s="471">
        <f t="shared" si="134"/>
        <v>0.05</v>
      </c>
      <c r="N1632" s="475">
        <f t="shared" si="135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33"/>
        <v>-92744626.133205786</v>
      </c>
      <c r="J1633" s="455">
        <f t="array" ref="J1633">IFERROR(INDEX('Retirement Calculator'!J:J,MATCH('Isaac 401k'!N1633,'Retirement Calculator'!A:A,0),0),0)</f>
        <v>0</v>
      </c>
      <c r="K1633" s="455">
        <f t="shared" ca="1" si="131"/>
        <v>-386435.94222169078</v>
      </c>
      <c r="L1633" s="455">
        <f t="shared" ca="1" si="132"/>
        <v>-93131062.075427473</v>
      </c>
      <c r="M1633" s="471">
        <f t="shared" si="134"/>
        <v>0.05</v>
      </c>
      <c r="N1633" s="475">
        <f t="shared" si="135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33"/>
        <v>-93131062.075427473</v>
      </c>
      <c r="J1634" s="455">
        <f t="array" ref="J1634">IFERROR(INDEX('Retirement Calculator'!J:J,MATCH('Isaac 401k'!N1634,'Retirement Calculator'!A:A,0),0),0)</f>
        <v>0</v>
      </c>
      <c r="K1634" s="455">
        <f t="shared" ca="1" si="131"/>
        <v>-388046.09198094782</v>
      </c>
      <c r="L1634" s="455">
        <f t="shared" ca="1" si="132"/>
        <v>-93519108.167408422</v>
      </c>
      <c r="M1634" s="471">
        <f t="shared" si="134"/>
        <v>0.05</v>
      </c>
      <c r="N1634" s="475">
        <f t="shared" si="135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33"/>
        <v>-93519108.167408422</v>
      </c>
      <c r="J1635" s="455">
        <f t="array" ref="J1635">IFERROR(INDEX('Retirement Calculator'!J:J,MATCH('Isaac 401k'!N1635,'Retirement Calculator'!A:A,0),0),0)</f>
        <v>0</v>
      </c>
      <c r="K1635" s="455">
        <f t="shared" ca="1" si="131"/>
        <v>-389662.95069753507</v>
      </c>
      <c r="L1635" s="455">
        <f t="shared" ca="1" si="132"/>
        <v>-93908771.118105963</v>
      </c>
      <c r="M1635" s="471">
        <f t="shared" si="134"/>
        <v>0.05</v>
      </c>
      <c r="N1635" s="475">
        <f t="shared" si="135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33"/>
        <v>-93908771.118105963</v>
      </c>
      <c r="J1636" s="455">
        <f t="array" ref="J1636">IFERROR(INDEX('Retirement Calculator'!J:J,MATCH('Isaac 401k'!N1636,'Retirement Calculator'!A:A,0),0),0)</f>
        <v>0</v>
      </c>
      <c r="K1636" s="455">
        <f t="shared" ca="1" si="131"/>
        <v>-391286.54632544151</v>
      </c>
      <c r="L1636" s="455">
        <f t="shared" ca="1" si="132"/>
        <v>-94300057.664431408</v>
      </c>
      <c r="M1636" s="471">
        <f t="shared" si="134"/>
        <v>0.05</v>
      </c>
      <c r="N1636" s="475">
        <f t="shared" si="135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33"/>
        <v>-94300057.664431408</v>
      </c>
      <c r="J1637" s="455">
        <f t="array" ref="J1637">IFERROR(INDEX('Retirement Calculator'!J:J,MATCH('Isaac 401k'!N1637,'Retirement Calculator'!A:A,0),0),0)</f>
        <v>0</v>
      </c>
      <c r="K1637" s="455">
        <f t="shared" ca="1" si="131"/>
        <v>-392916.90693513089</v>
      </c>
      <c r="L1637" s="455">
        <f t="shared" ca="1" si="132"/>
        <v>-94692974.571366534</v>
      </c>
      <c r="M1637" s="471">
        <f t="shared" si="134"/>
        <v>0.05</v>
      </c>
      <c r="N1637" s="475">
        <f t="shared" si="135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33"/>
        <v>-94692974.571366534</v>
      </c>
      <c r="J1638" s="455">
        <f t="array" ref="J1638">IFERROR(INDEX('Retirement Calculator'!J:J,MATCH('Isaac 401k'!N1638,'Retirement Calculator'!A:A,0),0),0)</f>
        <v>0</v>
      </c>
      <c r="K1638" s="455">
        <f t="shared" ca="1" si="131"/>
        <v>-394554.0607140272</v>
      </c>
      <c r="L1638" s="455">
        <f t="shared" ca="1" si="132"/>
        <v>-95087528.632080555</v>
      </c>
      <c r="M1638" s="471">
        <f t="shared" si="134"/>
        <v>0.05</v>
      </c>
      <c r="N1638" s="475">
        <f t="shared" si="135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33"/>
        <v>-95087528.632080555</v>
      </c>
      <c r="J1639" s="455">
        <f t="array" ref="J1639">IFERROR(INDEX('Retirement Calculator'!J:J,MATCH('Isaac 401k'!N1639,'Retirement Calculator'!A:A,0),0),0)</f>
        <v>0</v>
      </c>
      <c r="K1639" s="455">
        <f t="shared" ca="1" si="131"/>
        <v>-396198.03596700233</v>
      </c>
      <c r="L1639" s="455">
        <f t="shared" ca="1" si="132"/>
        <v>-95483726.668047562</v>
      </c>
      <c r="M1639" s="471">
        <f t="shared" si="134"/>
        <v>0.05</v>
      </c>
      <c r="N1639" s="475">
        <f t="shared" si="135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33"/>
        <v>-95483726.668047562</v>
      </c>
      <c r="J1640" s="455">
        <f t="array" ref="J1640">IFERROR(INDEX('Retirement Calculator'!J:J,MATCH('Isaac 401k'!N1640,'Retirement Calculator'!A:A,0),0),0)</f>
        <v>0</v>
      </c>
      <c r="K1640" s="455">
        <f t="shared" ca="1" si="131"/>
        <v>-397848.86111686483</v>
      </c>
      <c r="L1640" s="455">
        <f t="shared" ca="1" si="132"/>
        <v>-95881575.529164433</v>
      </c>
      <c r="M1640" s="471">
        <f t="shared" si="134"/>
        <v>0.05</v>
      </c>
      <c r="N1640" s="475">
        <f t="shared" si="135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33"/>
        <v>-95881575.529164433</v>
      </c>
      <c r="J1641" s="455">
        <f t="array" ref="J1641">IFERROR(INDEX('Retirement Calculator'!J:J,MATCH('Isaac 401k'!N1641,'Retirement Calculator'!A:A,0),0),0)</f>
        <v>0</v>
      </c>
      <c r="K1641" s="455">
        <f t="shared" ca="1" si="131"/>
        <v>-399506.56470485183</v>
      </c>
      <c r="L1641" s="455">
        <f t="shared" ca="1" si="132"/>
        <v>-96281082.093869284</v>
      </c>
      <c r="M1641" s="471">
        <f t="shared" si="134"/>
        <v>0.05</v>
      </c>
      <c r="N1641" s="475">
        <f t="shared" si="135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33"/>
        <v>-96281082.093869284</v>
      </c>
      <c r="J1642" s="455">
        <f t="array" ref="J1642">IFERROR(INDEX('Retirement Calculator'!J:J,MATCH('Isaac 401k'!N1642,'Retirement Calculator'!A:A,0),0),0)</f>
        <v>0</v>
      </c>
      <c r="K1642" s="455">
        <f t="shared" ca="1" si="131"/>
        <v>-401171.175391122</v>
      </c>
      <c r="L1642" s="455">
        <f t="shared" ca="1" si="132"/>
        <v>-96682253.269260406</v>
      </c>
      <c r="M1642" s="471">
        <f t="shared" si="134"/>
        <v>0.05</v>
      </c>
      <c r="N1642" s="475">
        <f t="shared" si="135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33"/>
        <v>-96682253.269260406</v>
      </c>
      <c r="J1643" s="455">
        <f t="array" ref="J1643">IFERROR(INDEX('Retirement Calculator'!J:J,MATCH('Isaac 401k'!N1643,'Retirement Calculator'!A:A,0),0),0)</f>
        <v>0</v>
      </c>
      <c r="K1643" s="455">
        <f t="shared" ca="1" si="131"/>
        <v>-402842.72195525171</v>
      </c>
      <c r="L1643" s="455">
        <f t="shared" ca="1" si="132"/>
        <v>-97085095.991215661</v>
      </c>
      <c r="M1643" s="471">
        <f t="shared" si="134"/>
        <v>0.05</v>
      </c>
      <c r="N1643" s="475">
        <f t="shared" si="135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33"/>
        <v>-97085095.991215661</v>
      </c>
      <c r="J1644" s="455">
        <f t="array" ref="J1644">IFERROR(INDEX('Retirement Calculator'!J:J,MATCH('Isaac 401k'!N1644,'Retirement Calculator'!A:A,0),0),0)</f>
        <v>0</v>
      </c>
      <c r="K1644" s="455">
        <f t="shared" ca="1" si="131"/>
        <v>-404521.23329673189</v>
      </c>
      <c r="L1644" s="455">
        <f t="shared" ca="1" si="132"/>
        <v>-97489617.224512398</v>
      </c>
      <c r="M1644" s="471">
        <f t="shared" si="134"/>
        <v>0.05</v>
      </c>
      <c r="N1644" s="475">
        <f t="shared" si="135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33"/>
        <v>-97489617.224512398</v>
      </c>
      <c r="J1645" s="455">
        <f t="array" ref="J1645">IFERROR(INDEX('Retirement Calculator'!J:J,MATCH('Isaac 401k'!N1645,'Retirement Calculator'!A:A,0),0),0)</f>
        <v>0</v>
      </c>
      <c r="K1645" s="455">
        <f t="shared" ca="1" si="131"/>
        <v>-406206.73843546835</v>
      </c>
      <c r="L1645" s="455">
        <f t="shared" ca="1" si="132"/>
        <v>-97895823.96294786</v>
      </c>
      <c r="M1645" s="471">
        <f t="shared" si="134"/>
        <v>0.05</v>
      </c>
      <c r="N1645" s="475">
        <f t="shared" si="135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33"/>
        <v>-97895823.96294786</v>
      </c>
      <c r="J1646" s="455">
        <f t="array" ref="J1646">IFERROR(INDEX('Retirement Calculator'!J:J,MATCH('Isaac 401k'!N1646,'Retirement Calculator'!A:A,0),0),0)</f>
        <v>0</v>
      </c>
      <c r="K1646" s="455">
        <f t="shared" ca="1" si="131"/>
        <v>-407899.26651228277</v>
      </c>
      <c r="L1646" s="455">
        <f t="shared" ca="1" si="132"/>
        <v>-98303723.22946015</v>
      </c>
      <c r="M1646" s="471">
        <f t="shared" si="134"/>
        <v>0.05</v>
      </c>
      <c r="N1646" s="475">
        <f t="shared" si="135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33"/>
        <v>-98303723.22946015</v>
      </c>
      <c r="J1647" s="455">
        <f t="array" ref="J1647">IFERROR(INDEX('Retirement Calculator'!J:J,MATCH('Isaac 401k'!N1647,'Retirement Calculator'!A:A,0),0),0)</f>
        <v>0</v>
      </c>
      <c r="K1647" s="455">
        <f t="shared" ca="1" si="131"/>
        <v>-409598.84678941726</v>
      </c>
      <c r="L1647" s="455">
        <f t="shared" ca="1" si="132"/>
        <v>-98713322.07624957</v>
      </c>
      <c r="M1647" s="471">
        <f t="shared" si="134"/>
        <v>0.05</v>
      </c>
      <c r="N1647" s="475">
        <f t="shared" si="135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33"/>
        <v>-98713322.07624957</v>
      </c>
      <c r="J1648" s="455">
        <f t="array" ref="J1648">IFERROR(INDEX('Retirement Calculator'!J:J,MATCH('Isaac 401k'!N1648,'Retirement Calculator'!A:A,0),0),0)</f>
        <v>0</v>
      </c>
      <c r="K1648" s="455">
        <f t="shared" ca="1" si="131"/>
        <v>-411305.50865103985</v>
      </c>
      <c r="L1648" s="455">
        <f t="shared" ca="1" si="132"/>
        <v>-99124627.584900603</v>
      </c>
      <c r="M1648" s="471">
        <f t="shared" si="134"/>
        <v>0.05</v>
      </c>
      <c r="N1648" s="475">
        <f t="shared" si="135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33"/>
        <v>-99124627.584900603</v>
      </c>
      <c r="J1649" s="455">
        <f t="array" ref="J1649">IFERROR(INDEX('Retirement Calculator'!J:J,MATCH('Isaac 401k'!N1649,'Retirement Calculator'!A:A,0),0),0)</f>
        <v>0</v>
      </c>
      <c r="K1649" s="455">
        <f t="shared" ca="1" si="131"/>
        <v>-413019.28160375252</v>
      </c>
      <c r="L1649" s="455">
        <f t="shared" ca="1" si="132"/>
        <v>-99537646.866504356</v>
      </c>
      <c r="M1649" s="471">
        <f t="shared" si="134"/>
        <v>0.05</v>
      </c>
      <c r="N1649" s="475">
        <f t="shared" si="135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33"/>
        <v>-99537646.866504356</v>
      </c>
      <c r="J1650" s="455">
        <f t="array" ref="J1650">IFERROR(INDEX('Retirement Calculator'!J:J,MATCH('Isaac 401k'!N1650,'Retirement Calculator'!A:A,0),0),0)</f>
        <v>0</v>
      </c>
      <c r="K1650" s="455">
        <f t="shared" ca="1" si="131"/>
        <v>-414740.19527710148</v>
      </c>
      <c r="L1650" s="455">
        <f t="shared" ca="1" si="132"/>
        <v>-99952387.061781451</v>
      </c>
      <c r="M1650" s="471">
        <f t="shared" si="134"/>
        <v>0.05</v>
      </c>
      <c r="N1650" s="475">
        <f t="shared" si="135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33"/>
        <v>-99952387.061781451</v>
      </c>
      <c r="J1651" s="455">
        <f t="array" ref="J1651">IFERROR(INDEX('Retirement Calculator'!J:J,MATCH('Isaac 401k'!N1651,'Retirement Calculator'!A:A,0),0),0)</f>
        <v>0</v>
      </c>
      <c r="K1651" s="455">
        <f t="shared" ca="1" si="131"/>
        <v>-416468.27942408936</v>
      </c>
      <c r="L1651" s="455">
        <f t="shared" ca="1" si="132"/>
        <v>-100368855.34120554</v>
      </c>
      <c r="M1651" s="471">
        <f t="shared" si="134"/>
        <v>0.05</v>
      </c>
      <c r="N1651" s="475">
        <f t="shared" si="135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33"/>
        <v>-100368855.34120554</v>
      </c>
      <c r="J1652" s="455">
        <f t="array" ref="J1652">IFERROR(INDEX('Retirement Calculator'!J:J,MATCH('Isaac 401k'!N1652,'Retirement Calculator'!A:A,0),0),0)</f>
        <v>0</v>
      </c>
      <c r="K1652" s="455">
        <f t="shared" ca="1" si="131"/>
        <v>-418203.56392168975</v>
      </c>
      <c r="L1652" s="455">
        <f t="shared" ca="1" si="132"/>
        <v>-100787058.90512723</v>
      </c>
      <c r="M1652" s="471">
        <f t="shared" si="134"/>
        <v>0.05</v>
      </c>
      <c r="N1652" s="475">
        <f t="shared" si="135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33"/>
        <v>-100787058.90512723</v>
      </c>
      <c r="J1653" s="455">
        <f t="array" ref="J1653">IFERROR(INDEX('Retirement Calculator'!J:J,MATCH('Isaac 401k'!N1653,'Retirement Calculator'!A:A,0),0),0)</f>
        <v>0</v>
      </c>
      <c r="K1653" s="455">
        <f t="shared" ca="1" si="131"/>
        <v>-419946.07877136342</v>
      </c>
      <c r="L1653" s="455">
        <f t="shared" ca="1" si="132"/>
        <v>-101207004.98389859</v>
      </c>
      <c r="M1653" s="471">
        <f t="shared" si="134"/>
        <v>0.05</v>
      </c>
      <c r="N1653" s="475">
        <f t="shared" si="135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33"/>
        <v>-101207004.98389859</v>
      </c>
      <c r="J1654" s="455">
        <f t="array" ref="J1654">IFERROR(INDEX('Retirement Calculator'!J:J,MATCH('Isaac 401k'!N1654,'Retirement Calculator'!A:A,0),0),0)</f>
        <v>0</v>
      </c>
      <c r="K1654" s="455">
        <f t="shared" ca="1" si="131"/>
        <v>-421695.85409957747</v>
      </c>
      <c r="L1654" s="455">
        <f t="shared" ca="1" si="132"/>
        <v>-101628700.83799817</v>
      </c>
      <c r="M1654" s="471">
        <f t="shared" si="134"/>
        <v>0.05</v>
      </c>
      <c r="N1654" s="475">
        <f t="shared" si="135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33"/>
        <v>-101628700.83799817</v>
      </c>
      <c r="J1655" s="455">
        <f t="array" ref="J1655">IFERROR(INDEX('Retirement Calculator'!J:J,MATCH('Isaac 401k'!N1655,'Retirement Calculator'!A:A,0),0),0)</f>
        <v>0</v>
      </c>
      <c r="K1655" s="455">
        <f t="shared" ca="1" si="131"/>
        <v>-423452.92015832569</v>
      </c>
      <c r="L1655" s="455">
        <f t="shared" ca="1" si="132"/>
        <v>-102052153.75815649</v>
      </c>
      <c r="M1655" s="471">
        <f t="shared" si="134"/>
        <v>0.05</v>
      </c>
      <c r="N1655" s="475">
        <f t="shared" si="135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33"/>
        <v>-102052153.75815649</v>
      </c>
      <c r="J1656" s="455">
        <f t="array" ref="J1656">IFERROR(INDEX('Retirement Calculator'!J:J,MATCH('Isaac 401k'!N1656,'Retirement Calculator'!A:A,0),0),0)</f>
        <v>0</v>
      </c>
      <c r="K1656" s="455">
        <f t="shared" ca="1" si="131"/>
        <v>-425217.30732565204</v>
      </c>
      <c r="L1656" s="455">
        <f t="shared" ca="1" si="132"/>
        <v>-102477371.06548214</v>
      </c>
      <c r="M1656" s="471">
        <f t="shared" si="134"/>
        <v>0.05</v>
      </c>
      <c r="N1656" s="475">
        <f t="shared" si="135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33"/>
        <v>-102477371.06548214</v>
      </c>
      <c r="J1657" s="455">
        <f t="array" ref="J1657">IFERROR(INDEX('Retirement Calculator'!J:J,MATCH('Isaac 401k'!N1657,'Retirement Calculator'!A:A,0),0),0)</f>
        <v>0</v>
      </c>
      <c r="K1657" s="455">
        <f t="shared" ca="1" si="131"/>
        <v>-426989.04610617558</v>
      </c>
      <c r="L1657" s="455">
        <f t="shared" ca="1" si="132"/>
        <v>-102904360.11158831</v>
      </c>
      <c r="M1657" s="471">
        <f t="shared" si="134"/>
        <v>0.05</v>
      </c>
      <c r="N1657" s="475">
        <f t="shared" si="135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33"/>
        <v>-102904360.11158831</v>
      </c>
      <c r="J1658" s="455">
        <f t="array" ref="J1658">IFERROR(INDEX('Retirement Calculator'!J:J,MATCH('Isaac 401k'!N1658,'Retirement Calculator'!A:A,0),0),0)</f>
        <v>0</v>
      </c>
      <c r="K1658" s="455">
        <f t="shared" ca="1" si="131"/>
        <v>-428768.16713161796</v>
      </c>
      <c r="L1658" s="455">
        <f t="shared" ca="1" si="132"/>
        <v>-103333128.27871993</v>
      </c>
      <c r="M1658" s="471">
        <f t="shared" si="134"/>
        <v>0.05</v>
      </c>
      <c r="N1658" s="475">
        <f t="shared" si="135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33"/>
        <v>-103333128.27871993</v>
      </c>
      <c r="J1659" s="455">
        <f t="array" ref="J1659">IFERROR(INDEX('Retirement Calculator'!J:J,MATCH('Isaac 401k'!N1659,'Retirement Calculator'!A:A,0),0),0)</f>
        <v>0</v>
      </c>
      <c r="K1659" s="455">
        <f t="shared" ca="1" si="131"/>
        <v>-430554.70116133307</v>
      </c>
      <c r="L1659" s="455">
        <f t="shared" ca="1" si="132"/>
        <v>-103763682.97988127</v>
      </c>
      <c r="M1659" s="471">
        <f t="shared" si="134"/>
        <v>0.05</v>
      </c>
      <c r="N1659" s="475">
        <f t="shared" si="135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33"/>
        <v>-103763682.97988127</v>
      </c>
      <c r="J1660" s="455">
        <f t="array" ref="J1660">IFERROR(INDEX('Retirement Calculator'!J:J,MATCH('Isaac 401k'!N1660,'Retirement Calculator'!A:A,0),0),0)</f>
        <v>0</v>
      </c>
      <c r="K1660" s="455">
        <f t="shared" ca="1" si="131"/>
        <v>-432348.67908283864</v>
      </c>
      <c r="L1660" s="455">
        <f t="shared" ca="1" si="132"/>
        <v>-104196031.65896411</v>
      </c>
      <c r="M1660" s="471">
        <f t="shared" si="134"/>
        <v>0.05</v>
      </c>
      <c r="N1660" s="475">
        <f t="shared" si="135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33"/>
        <v>-104196031.65896411</v>
      </c>
      <c r="J1661" s="455">
        <f t="array" ref="J1661">IFERROR(INDEX('Retirement Calculator'!J:J,MATCH('Isaac 401k'!N1661,'Retirement Calculator'!A:A,0),0),0)</f>
        <v>0</v>
      </c>
      <c r="K1661" s="455">
        <f t="shared" ca="1" si="131"/>
        <v>-434150.13191235048</v>
      </c>
      <c r="L1661" s="455">
        <f t="shared" ca="1" si="132"/>
        <v>-104630181.79087646</v>
      </c>
      <c r="M1661" s="471">
        <f t="shared" si="134"/>
        <v>0.05</v>
      </c>
      <c r="N1661" s="475">
        <f t="shared" si="135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33"/>
        <v>-104630181.79087646</v>
      </c>
      <c r="J1662" s="455">
        <f t="array" ref="J1662">IFERROR(INDEX('Retirement Calculator'!J:J,MATCH('Isaac 401k'!N1662,'Retirement Calculator'!A:A,0),0),0)</f>
        <v>0</v>
      </c>
      <c r="K1662" s="455">
        <f t="shared" ca="1" si="131"/>
        <v>-435959.0907953186</v>
      </c>
      <c r="L1662" s="455">
        <f t="shared" ca="1" si="132"/>
        <v>-105066140.88167179</v>
      </c>
      <c r="M1662" s="471">
        <f t="shared" si="134"/>
        <v>0.05</v>
      </c>
      <c r="N1662" s="475">
        <f t="shared" si="135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33"/>
        <v>-105066140.88167179</v>
      </c>
      <c r="J1663" s="455">
        <f t="array" ref="J1663">IFERROR(INDEX('Retirement Calculator'!J:J,MATCH('Isaac 401k'!N1663,'Retirement Calculator'!A:A,0),0),0)</f>
        <v>0</v>
      </c>
      <c r="K1663" s="455">
        <f t="shared" ca="1" si="131"/>
        <v>-437775.58700696577</v>
      </c>
      <c r="L1663" s="455">
        <f t="shared" ca="1" si="132"/>
        <v>-105503916.46867876</v>
      </c>
      <c r="M1663" s="471">
        <f t="shared" si="134"/>
        <v>0.05</v>
      </c>
      <c r="N1663" s="475">
        <f t="shared" si="135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33"/>
        <v>-105503916.46867876</v>
      </c>
      <c r="J1664" s="455">
        <f t="array" ref="J1664">IFERROR(INDEX('Retirement Calculator'!J:J,MATCH('Isaac 401k'!N1664,'Retirement Calculator'!A:A,0),0),0)</f>
        <v>0</v>
      </c>
      <c r="K1664" s="455">
        <f t="shared" ca="1" si="131"/>
        <v>-439599.65195282811</v>
      </c>
      <c r="L1664" s="455">
        <f t="shared" ca="1" si="132"/>
        <v>-105943516.12063159</v>
      </c>
      <c r="M1664" s="471">
        <f t="shared" si="134"/>
        <v>0.05</v>
      </c>
      <c r="N1664" s="475">
        <f t="shared" si="135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33"/>
        <v>-105943516.12063159</v>
      </c>
      <c r="J1665" s="455">
        <f t="array" ref="J1665">IFERROR(INDEX('Retirement Calculator'!J:J,MATCH('Isaac 401k'!N1665,'Retirement Calculator'!A:A,0),0),0)</f>
        <v>0</v>
      </c>
      <c r="K1665" s="455">
        <f t="shared" ca="1" si="131"/>
        <v>-441431.3171692983</v>
      </c>
      <c r="L1665" s="455">
        <f t="shared" ca="1" si="132"/>
        <v>-106384947.43780088</v>
      </c>
      <c r="M1665" s="471">
        <f t="shared" si="134"/>
        <v>0.05</v>
      </c>
      <c r="N1665" s="475">
        <f t="shared" si="135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33"/>
        <v>-106384947.43780088</v>
      </c>
      <c r="J1666" s="455">
        <f t="array" ref="J1666">IFERROR(INDEX('Retirement Calculator'!J:J,MATCH('Isaac 401k'!N1666,'Retirement Calculator'!A:A,0),0),0)</f>
        <v>0</v>
      </c>
      <c r="K1666" s="455">
        <f t="shared" ca="1" si="131"/>
        <v>-443270.61432417034</v>
      </c>
      <c r="L1666" s="455">
        <f t="shared" ca="1" si="132"/>
        <v>-106828218.05212505</v>
      </c>
      <c r="M1666" s="471">
        <f t="shared" si="134"/>
        <v>0.05</v>
      </c>
      <c r="N1666" s="475">
        <f t="shared" si="135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33"/>
        <v>-106828218.05212505</v>
      </c>
      <c r="J1667" s="455">
        <f t="array" ref="J1667">IFERROR(INDEX('Retirement Calculator'!J:J,MATCH('Isaac 401k'!N1667,'Retirement Calculator'!A:A,0),0),0)</f>
        <v>0</v>
      </c>
      <c r="K1667" s="455">
        <f t="shared" ca="1" si="131"/>
        <v>-445117.5752171877</v>
      </c>
      <c r="L1667" s="455">
        <f t="shared" ca="1" si="132"/>
        <v>-107273335.62734224</v>
      </c>
      <c r="M1667" s="471">
        <f t="shared" si="134"/>
        <v>0.05</v>
      </c>
      <c r="N1667" s="475">
        <f t="shared" si="135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33"/>
        <v>-107273335.62734224</v>
      </c>
      <c r="J1668" s="455">
        <f t="array" ref="J1668">IFERROR(INDEX('Retirement Calculator'!J:J,MATCH('Isaac 401k'!N1668,'Retirement Calculator'!A:A,0),0),0)</f>
        <v>0</v>
      </c>
      <c r="K1668" s="455">
        <f t="shared" ca="1" si="131"/>
        <v>-446972.23178059264</v>
      </c>
      <c r="L1668" s="455">
        <f t="shared" ca="1" si="132"/>
        <v>-107720307.85912283</v>
      </c>
      <c r="M1668" s="471">
        <f t="shared" si="134"/>
        <v>0.05</v>
      </c>
      <c r="N1668" s="475">
        <f t="shared" si="135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33"/>
        <v>-107720307.85912283</v>
      </c>
      <c r="J1669" s="455">
        <f t="array" ref="J1669">IFERROR(INDEX('Retirement Calculator'!J:J,MATCH('Isaac 401k'!N1669,'Retirement Calculator'!A:A,0),0),0)</f>
        <v>0</v>
      </c>
      <c r="K1669" s="455">
        <f t="shared" ca="1" si="131"/>
        <v>-448834.61607967847</v>
      </c>
      <c r="L1669" s="455">
        <f t="shared" ca="1" si="132"/>
        <v>-108169142.4752025</v>
      </c>
      <c r="M1669" s="471">
        <f t="shared" si="134"/>
        <v>0.05</v>
      </c>
      <c r="N1669" s="475">
        <f t="shared" si="135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33"/>
        <v>-108169142.4752025</v>
      </c>
      <c r="J1670" s="455">
        <f t="array" ref="J1670">IFERROR(INDEX('Retirement Calculator'!J:J,MATCH('Isaac 401k'!N1670,'Retirement Calculator'!A:A,0),0),0)</f>
        <v>0</v>
      </c>
      <c r="K1670" s="455">
        <f t="shared" ca="1" si="131"/>
        <v>-450704.76031334372</v>
      </c>
      <c r="L1670" s="455">
        <f t="shared" ca="1" si="132"/>
        <v>-108619847.23551585</v>
      </c>
      <c r="M1670" s="471">
        <f t="shared" si="134"/>
        <v>0.05</v>
      </c>
      <c r="N1670" s="475">
        <f t="shared" si="135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33"/>
        <v>-108619847.23551585</v>
      </c>
      <c r="J1671" s="455">
        <f t="array" ref="J1671">IFERROR(INDEX('Retirement Calculator'!J:J,MATCH('Isaac 401k'!N1671,'Retirement Calculator'!A:A,0),0),0)</f>
        <v>0</v>
      </c>
      <c r="K1671" s="455">
        <f t="shared" ca="1" si="131"/>
        <v>-452582.69681464927</v>
      </c>
      <c r="L1671" s="455">
        <f t="shared" ca="1" si="132"/>
        <v>-109072429.9323305</v>
      </c>
      <c r="M1671" s="471">
        <f t="shared" si="134"/>
        <v>0.05</v>
      </c>
      <c r="N1671" s="475">
        <f t="shared" si="135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33"/>
        <v>-109072429.9323305</v>
      </c>
      <c r="J1672" s="455">
        <f t="array" ref="J1672">IFERROR(INDEX('Retirement Calculator'!J:J,MATCH('Isaac 401k'!N1672,'Retirement Calculator'!A:A,0),0),0)</f>
        <v>0</v>
      </c>
      <c r="K1672" s="455">
        <f t="shared" ca="1" si="131"/>
        <v>-454468.45805137709</v>
      </c>
      <c r="L1672" s="455">
        <f t="shared" ca="1" si="132"/>
        <v>-109526898.39038189</v>
      </c>
      <c r="M1672" s="471">
        <f t="shared" si="134"/>
        <v>0.05</v>
      </c>
      <c r="N1672" s="475">
        <f t="shared" si="135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33"/>
        <v>-109526898.39038189</v>
      </c>
      <c r="J1673" s="455">
        <f t="array" ref="J1673">IFERROR(INDEX('Retirement Calculator'!J:J,MATCH('Isaac 401k'!N1673,'Retirement Calculator'!A:A,0),0),0)</f>
        <v>0</v>
      </c>
      <c r="K1673" s="455">
        <f t="shared" ca="1" si="131"/>
        <v>-456362.07662659121</v>
      </c>
      <c r="L1673" s="455">
        <f t="shared" ca="1" si="132"/>
        <v>-109983260.46700847</v>
      </c>
      <c r="M1673" s="471">
        <f t="shared" si="134"/>
        <v>0.05</v>
      </c>
      <c r="N1673" s="475">
        <f t="shared" si="135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33"/>
        <v>-109983260.46700847</v>
      </c>
      <c r="J1674" s="455">
        <f t="array" ref="J1674">IFERROR(INDEX('Retirement Calculator'!J:J,MATCH('Isaac 401k'!N1674,'Retirement Calculator'!A:A,0),0),0)</f>
        <v>0</v>
      </c>
      <c r="K1674" s="455">
        <f t="shared" ca="1" si="131"/>
        <v>-458263.58527920197</v>
      </c>
      <c r="L1674" s="455">
        <f t="shared" ca="1" si="132"/>
        <v>-110441524.05228767</v>
      </c>
      <c r="M1674" s="471">
        <f t="shared" si="134"/>
        <v>0.05</v>
      </c>
      <c r="N1674" s="475">
        <f t="shared" si="135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33"/>
        <v>-110441524.05228767</v>
      </c>
      <c r="J1675" s="455">
        <f t="array" ref="J1675">IFERROR(INDEX('Retirement Calculator'!J:J,MATCH('Isaac 401k'!N1675,'Retirement Calculator'!A:A,0),0),0)</f>
        <v>0</v>
      </c>
      <c r="K1675" s="455">
        <f t="shared" ca="1" si="131"/>
        <v>-460173.01688453194</v>
      </c>
      <c r="L1675" s="455">
        <f t="shared" ca="1" si="132"/>
        <v>-110901697.0691722</v>
      </c>
      <c r="M1675" s="471">
        <f t="shared" si="134"/>
        <v>0.05</v>
      </c>
      <c r="N1675" s="475">
        <f t="shared" si="135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33"/>
        <v>-110901697.0691722</v>
      </c>
      <c r="J1676" s="455">
        <f t="array" ref="J1676">IFERROR(INDEX('Retirement Calculator'!J:J,MATCH('Isaac 401k'!N1676,'Retirement Calculator'!A:A,0),0),0)</f>
        <v>0</v>
      </c>
      <c r="K1676" s="455">
        <f t="shared" ca="1" si="131"/>
        <v>-462090.40445488418</v>
      </c>
      <c r="L1676" s="455">
        <f t="shared" ca="1" si="132"/>
        <v>-111363787.47362709</v>
      </c>
      <c r="M1676" s="471">
        <f t="shared" si="134"/>
        <v>0.05</v>
      </c>
      <c r="N1676" s="475">
        <f t="shared" si="135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33"/>
        <v>-111363787.47362709</v>
      </c>
      <c r="J1677" s="455">
        <f t="array" ref="J1677">IFERROR(INDEX('Retirement Calculator'!J:J,MATCH('Isaac 401k'!N1677,'Retirement Calculator'!A:A,0),0),0)</f>
        <v>0</v>
      </c>
      <c r="K1677" s="455">
        <f t="shared" ca="1" si="131"/>
        <v>-464015.78114011284</v>
      </c>
      <c r="L1677" s="455">
        <f t="shared" ca="1" si="132"/>
        <v>-111827803.25476721</v>
      </c>
      <c r="M1677" s="471">
        <f t="shared" si="134"/>
        <v>0.05</v>
      </c>
      <c r="N1677" s="475">
        <f t="shared" si="135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33"/>
        <v>-111827803.25476721</v>
      </c>
      <c r="J1678" s="455">
        <f t="array" ref="J1678">IFERROR(INDEX('Retirement Calculator'!J:J,MATCH('Isaac 401k'!N1678,'Retirement Calculator'!A:A,0),0),0)</f>
        <v>0</v>
      </c>
      <c r="K1678" s="455">
        <f t="shared" ca="1" si="131"/>
        <v>-465949.18022819672</v>
      </c>
      <c r="L1678" s="455">
        <f t="shared" ca="1" si="132"/>
        <v>-112293752.43499541</v>
      </c>
      <c r="M1678" s="471">
        <f t="shared" si="134"/>
        <v>0.05</v>
      </c>
      <c r="N1678" s="475">
        <f t="shared" si="135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33"/>
        <v>-112293752.43499541</v>
      </c>
      <c r="J1679" s="455">
        <f t="array" ref="J1679">IFERROR(INDEX('Retirement Calculator'!J:J,MATCH('Isaac 401k'!N1679,'Retirement Calculator'!A:A,0),0),0)</f>
        <v>0</v>
      </c>
      <c r="K1679" s="455">
        <f t="shared" ca="1" si="131"/>
        <v>-467890.63514581416</v>
      </c>
      <c r="L1679" s="455">
        <f t="shared" ca="1" si="132"/>
        <v>-112761643.07014123</v>
      </c>
      <c r="M1679" s="471">
        <f t="shared" si="134"/>
        <v>0.05</v>
      </c>
      <c r="N1679" s="475">
        <f t="shared" si="135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33"/>
        <v>-112761643.07014123</v>
      </c>
      <c r="J1680" s="455">
        <f t="array" ref="J1680">IFERROR(INDEX('Retirement Calculator'!J:J,MATCH('Isaac 401k'!N1680,'Retirement Calculator'!A:A,0),0),0)</f>
        <v>0</v>
      </c>
      <c r="K1680" s="455">
        <f t="shared" ca="1" si="131"/>
        <v>-469840.17945892178</v>
      </c>
      <c r="L1680" s="455">
        <f t="shared" ca="1" si="132"/>
        <v>-113231483.24960014</v>
      </c>
      <c r="M1680" s="471">
        <f t="shared" si="134"/>
        <v>0.05</v>
      </c>
      <c r="N1680" s="475">
        <f t="shared" si="135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33"/>
        <v>-113231483.24960014</v>
      </c>
      <c r="J1681" s="455">
        <f t="array" ref="J1681">IFERROR(INDEX('Retirement Calculator'!J:J,MATCH('Isaac 401k'!N1681,'Retirement Calculator'!A:A,0),0),0)</f>
        <v>0</v>
      </c>
      <c r="K1681" s="455">
        <f t="shared" ca="1" si="131"/>
        <v>-471797.84687333391</v>
      </c>
      <c r="L1681" s="455">
        <f t="shared" ca="1" si="132"/>
        <v>-113703281.09647347</v>
      </c>
      <c r="M1681" s="471">
        <f t="shared" si="134"/>
        <v>0.05</v>
      </c>
      <c r="N1681" s="475">
        <f t="shared" si="135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33"/>
        <v>-113703281.09647347</v>
      </c>
      <c r="J1682" s="455">
        <f t="array" ref="J1682">IFERROR(INDEX('Retirement Calculator'!J:J,MATCH('Isaac 401k'!N1682,'Retirement Calculator'!A:A,0),0),0)</f>
        <v>0</v>
      </c>
      <c r="K1682" s="455">
        <f t="shared" ca="1" si="131"/>
        <v>-473763.67123530613</v>
      </c>
      <c r="L1682" s="455">
        <f t="shared" ca="1" si="132"/>
        <v>-114177044.76770878</v>
      </c>
      <c r="M1682" s="471">
        <f t="shared" si="134"/>
        <v>0.05</v>
      </c>
      <c r="N1682" s="475">
        <f t="shared" si="135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33"/>
        <v>-114177044.76770878</v>
      </c>
      <c r="J1683" s="455">
        <f t="array" ref="J1683">IFERROR(INDEX('Retirement Calculator'!J:J,MATCH('Isaac 401k'!N1683,'Retirement Calculator'!A:A,0),0),0)</f>
        <v>0</v>
      </c>
      <c r="K1683" s="455">
        <f t="shared" ca="1" si="131"/>
        <v>-475737.68653211993</v>
      </c>
      <c r="L1683" s="455">
        <f t="shared" ca="1" si="132"/>
        <v>-114652782.4542409</v>
      </c>
      <c r="M1683" s="471">
        <f t="shared" si="134"/>
        <v>0.05</v>
      </c>
      <c r="N1683" s="475">
        <f t="shared" si="135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33"/>
        <v>-114652782.4542409</v>
      </c>
      <c r="J1684" s="455">
        <f t="array" ref="J1684">IFERROR(INDEX('Retirement Calculator'!J:J,MATCH('Isaac 401k'!N1684,'Retirement Calculator'!A:A,0),0),0)</f>
        <v>0</v>
      </c>
      <c r="K1684" s="455">
        <f t="shared" ca="1" si="131"/>
        <v>-477719.92689267034</v>
      </c>
      <c r="L1684" s="455">
        <f t="shared" ca="1" si="132"/>
        <v>-115130502.38113357</v>
      </c>
      <c r="M1684" s="471">
        <f t="shared" si="134"/>
        <v>0.05</v>
      </c>
      <c r="N1684" s="475">
        <f t="shared" si="135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33"/>
        <v>-115130502.38113357</v>
      </c>
      <c r="J1685" s="455">
        <f t="array" ref="J1685">IFERROR(INDEX('Retirement Calculator'!J:J,MATCH('Isaac 401k'!N1685,'Retirement Calculator'!A:A,0),0),0)</f>
        <v>0</v>
      </c>
      <c r="K1685" s="455">
        <f t="shared" ca="1" si="131"/>
        <v>-479710.42658805655</v>
      </c>
      <c r="L1685" s="455">
        <f t="shared" ca="1" si="132"/>
        <v>-115610212.80772163</v>
      </c>
      <c r="M1685" s="471">
        <f t="shared" si="134"/>
        <v>0.05</v>
      </c>
      <c r="N1685" s="475">
        <f t="shared" si="135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33"/>
        <v>-115610212.80772163</v>
      </c>
      <c r="J1686" s="455">
        <f t="array" ref="J1686">IFERROR(INDEX('Retirement Calculator'!J:J,MATCH('Isaac 401k'!N1686,'Retirement Calculator'!A:A,0),0),0)</f>
        <v>0</v>
      </c>
      <c r="K1686" s="455">
        <f t="shared" ca="1" si="131"/>
        <v>-481709.22003217344</v>
      </c>
      <c r="L1686" s="455">
        <f t="shared" ca="1" si="132"/>
        <v>-116091922.0277538</v>
      </c>
      <c r="M1686" s="471">
        <f t="shared" si="134"/>
        <v>0.05</v>
      </c>
      <c r="N1686" s="475">
        <f t="shared" si="135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33"/>
        <v>-116091922.0277538</v>
      </c>
      <c r="J1687" s="455">
        <f t="array" ref="J1687">IFERROR(INDEX('Retirement Calculator'!J:J,MATCH('Isaac 401k'!N1687,'Retirement Calculator'!A:A,0),0),0)</f>
        <v>0</v>
      </c>
      <c r="K1687" s="455">
        <f t="shared" ca="1" si="131"/>
        <v>-483716.34178230754</v>
      </c>
      <c r="L1687" s="455">
        <f t="shared" ca="1" si="132"/>
        <v>-116575638.3695361</v>
      </c>
      <c r="M1687" s="471">
        <f t="shared" si="134"/>
        <v>0.05</v>
      </c>
      <c r="N1687" s="475">
        <f t="shared" si="135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33"/>
        <v>-116575638.3695361</v>
      </c>
      <c r="J1688" s="455">
        <f t="array" ref="J1688">IFERROR(INDEX('Retirement Calculator'!J:J,MATCH('Isaac 401k'!N1688,'Retirement Calculator'!A:A,0),0),0)</f>
        <v>0</v>
      </c>
      <c r="K1688" s="455">
        <f t="shared" ca="1" si="131"/>
        <v>-485731.82653973374</v>
      </c>
      <c r="L1688" s="455">
        <f t="shared" ca="1" si="132"/>
        <v>-117061370.19607584</v>
      </c>
      <c r="M1688" s="471">
        <f t="shared" si="134"/>
        <v>0.05</v>
      </c>
      <c r="N1688" s="475">
        <f t="shared" si="135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33"/>
        <v>-117061370.19607584</v>
      </c>
      <c r="J1689" s="455">
        <f t="array" ref="J1689">IFERROR(INDEX('Retirement Calculator'!J:J,MATCH('Isaac 401k'!N1689,'Retirement Calculator'!A:A,0),0),0)</f>
        <v>0</v>
      </c>
      <c r="K1689" s="455">
        <f t="shared" ca="1" si="131"/>
        <v>-487755.70915031602</v>
      </c>
      <c r="L1689" s="455">
        <f t="shared" ca="1" si="132"/>
        <v>-117549125.90522616</v>
      </c>
      <c r="M1689" s="471">
        <f t="shared" si="134"/>
        <v>0.05</v>
      </c>
      <c r="N1689" s="475">
        <f t="shared" si="135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33"/>
        <v>-117549125.90522616</v>
      </c>
      <c r="J1690" s="455">
        <f t="array" ref="J1690">IFERROR(INDEX('Retirement Calculator'!J:J,MATCH('Isaac 401k'!N1690,'Retirement Calculator'!A:A,0),0),0)</f>
        <v>0</v>
      </c>
      <c r="K1690" s="455">
        <f t="shared" ca="1" si="131"/>
        <v>-489788.02460510907</v>
      </c>
      <c r="L1690" s="455">
        <f t="shared" ca="1" si="132"/>
        <v>-118038913.92983127</v>
      </c>
      <c r="M1690" s="471">
        <f t="shared" si="134"/>
        <v>0.05</v>
      </c>
      <c r="N1690" s="475">
        <f t="shared" si="135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33"/>
        <v>-118038913.92983127</v>
      </c>
      <c r="J1691" s="455">
        <f t="array" ref="J1691">IFERROR(INDEX('Retirement Calculator'!J:J,MATCH('Isaac 401k'!N1691,'Retirement Calculator'!A:A,0),0),0)</f>
        <v>0</v>
      </c>
      <c r="K1691" s="455">
        <f t="shared" ca="1" si="131"/>
        <v>-491828.80804096366</v>
      </c>
      <c r="L1691" s="455">
        <f t="shared" ca="1" si="132"/>
        <v>-118530742.73787223</v>
      </c>
      <c r="M1691" s="471">
        <f t="shared" si="134"/>
        <v>0.05</v>
      </c>
      <c r="N1691" s="475">
        <f t="shared" si="135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33"/>
        <v>-118530742.73787223</v>
      </c>
      <c r="J1692" s="455">
        <f t="array" ref="J1692">IFERROR(INDEX('Retirement Calculator'!J:J,MATCH('Isaac 401k'!N1692,'Retirement Calculator'!A:A,0),0),0)</f>
        <v>0</v>
      </c>
      <c r="K1692" s="455">
        <f t="shared" ca="1" si="131"/>
        <v>-493878.09474113426</v>
      </c>
      <c r="L1692" s="455">
        <f t="shared" ca="1" si="132"/>
        <v>-119024620.83261336</v>
      </c>
      <c r="M1692" s="471">
        <f t="shared" si="134"/>
        <v>0.05</v>
      </c>
      <c r="N1692" s="475">
        <f t="shared" si="135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33"/>
        <v>-119024620.83261336</v>
      </c>
      <c r="J1693" s="455">
        <f t="array" ref="J1693">IFERROR(INDEX('Retirement Calculator'!J:J,MATCH('Isaac 401k'!N1693,'Retirement Calculator'!A:A,0),0),0)</f>
        <v>0</v>
      </c>
      <c r="K1693" s="455">
        <f t="shared" ca="1" si="131"/>
        <v>-495935.92013588897</v>
      </c>
      <c r="L1693" s="455">
        <f t="shared" ca="1" si="132"/>
        <v>-119520556.75274925</v>
      </c>
      <c r="M1693" s="471">
        <f t="shared" si="134"/>
        <v>0.05</v>
      </c>
      <c r="N1693" s="475">
        <f t="shared" si="135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33"/>
        <v>-119520556.75274925</v>
      </c>
      <c r="J1694" s="455">
        <f t="array" ref="J1694">IFERROR(INDEX('Retirement Calculator'!J:J,MATCH('Isaac 401k'!N1694,'Retirement Calculator'!A:A,0),0),0)</f>
        <v>0</v>
      </c>
      <c r="K1694" s="455">
        <f t="shared" ca="1" si="131"/>
        <v>-498002.31980312191</v>
      </c>
      <c r="L1694" s="455">
        <f t="shared" ca="1" si="132"/>
        <v>-120018559.07255237</v>
      </c>
      <c r="M1694" s="471">
        <f t="shared" si="134"/>
        <v>0.05</v>
      </c>
      <c r="N1694" s="475">
        <f t="shared" si="135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33"/>
        <v>-120018559.07255237</v>
      </c>
      <c r="J1695" s="455">
        <f t="array" ref="J1695">IFERROR(INDEX('Retirement Calculator'!J:J,MATCH('Isaac 401k'!N1695,'Retirement Calculator'!A:A,0),0),0)</f>
        <v>0</v>
      </c>
      <c r="K1695" s="455">
        <f t="shared" ca="1" si="131"/>
        <v>-500077.32946896821</v>
      </c>
      <c r="L1695" s="455">
        <f t="shared" ca="1" si="132"/>
        <v>-120518636.40202133</v>
      </c>
      <c r="M1695" s="471">
        <f t="shared" si="134"/>
        <v>0.05</v>
      </c>
      <c r="N1695" s="475">
        <f t="shared" si="135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33"/>
        <v>-120518636.40202133</v>
      </c>
      <c r="J1696" s="455">
        <f t="array" ref="J1696">IFERROR(INDEX('Retirement Calculator'!J:J,MATCH('Isaac 401k'!N1696,'Retirement Calculator'!A:A,0),0),0)</f>
        <v>0</v>
      </c>
      <c r="K1696" s="455">
        <f t="shared" ca="1" si="131"/>
        <v>-502160.98500842223</v>
      </c>
      <c r="L1696" s="455">
        <f t="shared" ca="1" si="132"/>
        <v>-121020797.38702975</v>
      </c>
      <c r="M1696" s="471">
        <f t="shared" si="134"/>
        <v>0.05</v>
      </c>
      <c r="N1696" s="475">
        <f t="shared" si="135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33"/>
        <v>-121020797.38702975</v>
      </c>
      <c r="J1697" s="455">
        <f t="array" ref="J1697">IFERROR(INDEX('Retirement Calculator'!J:J,MATCH('Isaac 401k'!N1697,'Retirement Calculator'!A:A,0),0),0)</f>
        <v>0</v>
      </c>
      <c r="K1697" s="455">
        <f t="shared" ca="1" si="131"/>
        <v>-504253.32244595728</v>
      </c>
      <c r="L1697" s="455">
        <f t="shared" ca="1" si="132"/>
        <v>-121525050.70947571</v>
      </c>
      <c r="M1697" s="471">
        <f t="shared" si="134"/>
        <v>0.05</v>
      </c>
      <c r="N1697" s="475">
        <f t="shared" si="135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33"/>
        <v>-121525050.70947571</v>
      </c>
      <c r="J1698" s="455">
        <f t="array" ref="J1698">IFERROR(INDEX('Retirement Calculator'!J:J,MATCH('Isaac 401k'!N1698,'Retirement Calculator'!A:A,0),0),0)</f>
        <v>0</v>
      </c>
      <c r="K1698" s="455">
        <f t="shared" ca="1" si="131"/>
        <v>-506354.37795614876</v>
      </c>
      <c r="L1698" s="455">
        <f t="shared" ca="1" si="132"/>
        <v>-122031405.08743186</v>
      </c>
      <c r="M1698" s="471">
        <f t="shared" si="134"/>
        <v>0.05</v>
      </c>
      <c r="N1698" s="475">
        <f t="shared" si="135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33"/>
        <v>-122031405.08743186</v>
      </c>
      <c r="J1699" s="455">
        <f t="array" ref="J1699">IFERROR(INDEX('Retirement Calculator'!J:J,MATCH('Isaac 401k'!N1699,'Retirement Calculator'!A:A,0),0),0)</f>
        <v>0</v>
      </c>
      <c r="K1699" s="455">
        <f t="shared" ca="1" si="131"/>
        <v>-508464.1878642994</v>
      </c>
      <c r="L1699" s="455">
        <f t="shared" ca="1" si="132"/>
        <v>-122539869.27529617</v>
      </c>
      <c r="M1699" s="471">
        <f t="shared" si="134"/>
        <v>0.05</v>
      </c>
      <c r="N1699" s="475">
        <f t="shared" si="135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33"/>
        <v>-122539869.27529617</v>
      </c>
      <c r="J1700" s="455">
        <f t="array" ref="J1700">IFERROR(INDEX('Retirement Calculator'!J:J,MATCH('Isaac 401k'!N1700,'Retirement Calculator'!A:A,0),0),0)</f>
        <v>0</v>
      </c>
      <c r="K1700" s="455">
        <f t="shared" ca="1" si="131"/>
        <v>-510582.78864706733</v>
      </c>
      <c r="L1700" s="455">
        <f t="shared" ca="1" si="132"/>
        <v>-123050452.06394324</v>
      </c>
      <c r="M1700" s="471">
        <f t="shared" si="134"/>
        <v>0.05</v>
      </c>
      <c r="N1700" s="475">
        <f t="shared" si="135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33"/>
        <v>-123050452.06394324</v>
      </c>
      <c r="J1701" s="455">
        <f t="array" ref="J1701">IFERROR(INDEX('Retirement Calculator'!J:J,MATCH('Isaac 401k'!N1701,'Retirement Calculator'!A:A,0),0),0)</f>
        <v>0</v>
      </c>
      <c r="K1701" s="455">
        <f t="shared" ca="1" si="131"/>
        <v>-512710.21693309676</v>
      </c>
      <c r="L1701" s="455">
        <f t="shared" ca="1" si="132"/>
        <v>-123563162.28087634</v>
      </c>
      <c r="M1701" s="471">
        <f t="shared" si="134"/>
        <v>0.05</v>
      </c>
      <c r="N1701" s="475">
        <f t="shared" si="135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33"/>
        <v>-123563162.28087634</v>
      </c>
      <c r="J1702" s="455">
        <f t="array" ref="J1702">IFERROR(INDEX('Retirement Calculator'!J:J,MATCH('Isaac 401k'!N1702,'Retirement Calculator'!A:A,0),0),0)</f>
        <v>0</v>
      </c>
      <c r="K1702" s="455">
        <f t="shared" ca="1" si="131"/>
        <v>-514846.50950365141</v>
      </c>
      <c r="L1702" s="455">
        <f t="shared" ca="1" si="132"/>
        <v>-124078008.79037999</v>
      </c>
      <c r="M1702" s="471">
        <f t="shared" si="134"/>
        <v>0.05</v>
      </c>
      <c r="N1702" s="475">
        <f t="shared" si="135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33"/>
        <v>-124078008.79037999</v>
      </c>
      <c r="J1703" s="455">
        <f t="array" ref="J1703">IFERROR(INDEX('Retirement Calculator'!J:J,MATCH('Isaac 401k'!N1703,'Retirement Calculator'!A:A,0),0),0)</f>
        <v>0</v>
      </c>
      <c r="K1703" s="455">
        <f t="shared" ca="1" si="131"/>
        <v>-516991.70329325</v>
      </c>
      <c r="L1703" s="455">
        <f t="shared" ca="1" si="132"/>
        <v>-124595000.49367324</v>
      </c>
      <c r="M1703" s="471">
        <f t="shared" si="134"/>
        <v>0.05</v>
      </c>
      <c r="N1703" s="475">
        <f t="shared" si="135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33"/>
        <v>-124595000.49367324</v>
      </c>
      <c r="J1704" s="455">
        <f t="array" ref="J1704">IFERROR(INDEX('Retirement Calculator'!J:J,MATCH('Isaac 401k'!N1704,'Retirement Calculator'!A:A,0),0),0)</f>
        <v>0</v>
      </c>
      <c r="K1704" s="455">
        <f t="shared" ca="1" si="131"/>
        <v>-519145.83539030515</v>
      </c>
      <c r="L1704" s="455">
        <f t="shared" ca="1" si="132"/>
        <v>-125114146.32906353</v>
      </c>
      <c r="M1704" s="471">
        <f t="shared" si="134"/>
        <v>0.05</v>
      </c>
      <c r="N1704" s="475">
        <f t="shared" si="135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33"/>
        <v>-125114146.32906353</v>
      </c>
      <c r="J1705" s="455">
        <f t="array" ref="J1705">IFERROR(INDEX('Retirement Calculator'!J:J,MATCH('Isaac 401k'!N1705,'Retirement Calculator'!A:A,0),0),0)</f>
        <v>0</v>
      </c>
      <c r="K1705" s="455">
        <f t="shared" ca="1" si="131"/>
        <v>-521308.94303776463</v>
      </c>
      <c r="L1705" s="455">
        <f t="shared" ca="1" si="132"/>
        <v>-125635455.2721013</v>
      </c>
      <c r="M1705" s="471">
        <f t="shared" si="134"/>
        <v>0.05</v>
      </c>
      <c r="N1705" s="475">
        <f t="shared" si="135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33"/>
        <v>-125635455.2721013</v>
      </c>
      <c r="J1706" s="455">
        <f t="array" ref="J1706">IFERROR(INDEX('Retirement Calculator'!J:J,MATCH('Isaac 401k'!N1706,'Retirement Calculator'!A:A,0),0),0)</f>
        <v>0</v>
      </c>
      <c r="K1706" s="455">
        <f t="shared" ca="1" si="131"/>
        <v>-523481.06363375537</v>
      </c>
      <c r="L1706" s="455">
        <f t="shared" ca="1" si="132"/>
        <v>-126158936.33573505</v>
      </c>
      <c r="M1706" s="471">
        <f t="shared" si="134"/>
        <v>0.05</v>
      </c>
      <c r="N1706" s="475">
        <f t="shared" si="135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33"/>
        <v>-126158936.33573505</v>
      </c>
      <c r="J1707" s="455">
        <f t="array" ref="J1707">IFERROR(INDEX('Retirement Calculator'!J:J,MATCH('Isaac 401k'!N1707,'Retirement Calculator'!A:A,0),0),0)</f>
        <v>0</v>
      </c>
      <c r="K1707" s="455">
        <f t="shared" ca="1" si="131"/>
        <v>-525662.23473222926</v>
      </c>
      <c r="L1707" s="455">
        <f t="shared" ca="1" si="132"/>
        <v>-126684598.57046728</v>
      </c>
      <c r="M1707" s="471">
        <f t="shared" si="134"/>
        <v>0.05</v>
      </c>
      <c r="N1707" s="475">
        <f t="shared" si="135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33"/>
        <v>-126684598.57046728</v>
      </c>
      <c r="J1708" s="455">
        <f t="array" ref="J1708">IFERROR(INDEX('Retirement Calculator'!J:J,MATCH('Isaac 401k'!N1708,'Retirement Calculator'!A:A,0),0),0)</f>
        <v>0</v>
      </c>
      <c r="K1708" s="455">
        <f t="shared" ca="1" si="131"/>
        <v>-527852.49404361367</v>
      </c>
      <c r="L1708" s="455">
        <f t="shared" ca="1" si="132"/>
        <v>-127212451.0645109</v>
      </c>
      <c r="M1708" s="471">
        <f t="shared" si="134"/>
        <v>0.05</v>
      </c>
      <c r="N1708" s="475">
        <f t="shared" si="135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33"/>
        <v>-127212451.0645109</v>
      </c>
      <c r="J1709" s="455">
        <f t="array" ref="J1709">IFERROR(INDEX('Retirement Calculator'!J:J,MATCH('Isaac 401k'!N1709,'Retirement Calculator'!A:A,0),0),0)</f>
        <v>0</v>
      </c>
      <c r="K1709" s="455">
        <f t="shared" ca="1" si="131"/>
        <v>-530051.87943546206</v>
      </c>
      <c r="L1709" s="455">
        <f t="shared" ca="1" si="132"/>
        <v>-127742502.94394636</v>
      </c>
      <c r="M1709" s="471">
        <f t="shared" si="134"/>
        <v>0.05</v>
      </c>
      <c r="N1709" s="475">
        <f t="shared" si="135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33"/>
        <v>-127742502.94394636</v>
      </c>
      <c r="J1710" s="455">
        <f t="array" ref="J1710">IFERROR(INDEX('Retirement Calculator'!J:J,MATCH('Isaac 401k'!N1710,'Retirement Calculator'!A:A,0),0),0)</f>
        <v>0</v>
      </c>
      <c r="K1710" s="455">
        <f t="shared" ca="1" si="131"/>
        <v>-532260.42893310974</v>
      </c>
      <c r="L1710" s="455">
        <f t="shared" ca="1" si="132"/>
        <v>-128274763.37287948</v>
      </c>
      <c r="M1710" s="471">
        <f t="shared" si="134"/>
        <v>0.05</v>
      </c>
      <c r="N1710" s="475">
        <f t="shared" si="135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33"/>
        <v>-128274763.37287948</v>
      </c>
      <c r="J1711" s="455">
        <f t="array" ref="J1711">IFERROR(INDEX('Retirement Calculator'!J:J,MATCH('Isaac 401k'!N1711,'Retirement Calculator'!A:A,0),0),0)</f>
        <v>0</v>
      </c>
      <c r="K1711" s="455">
        <f t="shared" ca="1" si="131"/>
        <v>-534478.18072033103</v>
      </c>
      <c r="L1711" s="455">
        <f t="shared" ca="1" si="132"/>
        <v>-128809241.5535998</v>
      </c>
      <c r="M1711" s="471">
        <f t="shared" si="134"/>
        <v>0.05</v>
      </c>
      <c r="N1711" s="475">
        <f t="shared" si="135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33"/>
        <v>-128809241.5535998</v>
      </c>
      <c r="J1712" s="455">
        <f t="array" ref="J1712">IFERROR(INDEX('Retirement Calculator'!J:J,MATCH('Isaac 401k'!N1712,'Retirement Calculator'!A:A,0),0),0)</f>
        <v>0</v>
      </c>
      <c r="K1712" s="455">
        <f t="shared" ca="1" si="131"/>
        <v>-536705.17313999915</v>
      </c>
      <c r="L1712" s="455">
        <f t="shared" ca="1" si="132"/>
        <v>-129345946.72673981</v>
      </c>
      <c r="M1712" s="471">
        <f t="shared" si="134"/>
        <v>0.05</v>
      </c>
      <c r="N1712" s="475">
        <f t="shared" si="135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33"/>
        <v>-129345946.72673981</v>
      </c>
      <c r="J1713" s="455">
        <f t="array" ref="J1713">IFERROR(INDEX('Retirement Calculator'!J:J,MATCH('Isaac 401k'!N1713,'Retirement Calculator'!A:A,0),0),0)</f>
        <v>0</v>
      </c>
      <c r="K1713" s="455">
        <f t="shared" ca="1" si="131"/>
        <v>-538941.44469474931</v>
      </c>
      <c r="L1713" s="455">
        <f t="shared" ca="1" si="132"/>
        <v>-129884888.17143455</v>
      </c>
      <c r="M1713" s="471">
        <f t="shared" si="134"/>
        <v>0.05</v>
      </c>
      <c r="N1713" s="475">
        <f t="shared" si="135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33"/>
        <v>-129884888.17143455</v>
      </c>
      <c r="J1714" s="455">
        <f t="array" ref="J1714">IFERROR(INDEX('Retirement Calculator'!J:J,MATCH('Isaac 401k'!N1714,'Retirement Calculator'!A:A,0),0),0)</f>
        <v>0</v>
      </c>
      <c r="K1714" s="455">
        <f t="shared" ca="1" si="131"/>
        <v>-541187.034047644</v>
      </c>
      <c r="L1714" s="455">
        <f t="shared" ca="1" si="132"/>
        <v>-130426075.2054822</v>
      </c>
      <c r="M1714" s="471">
        <f t="shared" si="134"/>
        <v>0.05</v>
      </c>
      <c r="N1714" s="475">
        <f t="shared" si="135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33"/>
        <v>-130426075.2054822</v>
      </c>
      <c r="J1715" s="455">
        <f t="array" ref="J1715">IFERROR(INDEX('Retirement Calculator'!J:J,MATCH('Isaac 401k'!N1715,'Retirement Calculator'!A:A,0),0),0)</f>
        <v>0</v>
      </c>
      <c r="K1715" s="455">
        <f t="shared" ca="1" si="131"/>
        <v>-543441.98002284253</v>
      </c>
      <c r="L1715" s="455">
        <f t="shared" ca="1" si="132"/>
        <v>-130969517.18550505</v>
      </c>
      <c r="M1715" s="471">
        <f t="shared" si="134"/>
        <v>0.05</v>
      </c>
      <c r="N1715" s="475">
        <f t="shared" si="135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33"/>
        <v>-130969517.18550505</v>
      </c>
      <c r="J1716" s="455">
        <f t="array" ref="J1716">IFERROR(INDEX('Retirement Calculator'!J:J,MATCH('Isaac 401k'!N1716,'Retirement Calculator'!A:A,0),0),0)</f>
        <v>0</v>
      </c>
      <c r="K1716" s="455">
        <f t="shared" ca="1" si="131"/>
        <v>-545706.32160627097</v>
      </c>
      <c r="L1716" s="455">
        <f t="shared" ca="1" si="132"/>
        <v>-131515223.50711131</v>
      </c>
      <c r="M1716" s="471">
        <f t="shared" si="134"/>
        <v>0.05</v>
      </c>
      <c r="N1716" s="475">
        <f t="shared" si="135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33"/>
        <v>-131515223.50711131</v>
      </c>
      <c r="J1717" s="455">
        <f t="array" ref="J1717">IFERROR(INDEX('Retirement Calculator'!J:J,MATCH('Isaac 401k'!N1717,'Retirement Calculator'!A:A,0),0),0)</f>
        <v>0</v>
      </c>
      <c r="K1717" s="455">
        <f t="shared" ca="1" si="131"/>
        <v>-547980.09794629714</v>
      </c>
      <c r="L1717" s="455">
        <f t="shared" ca="1" si="132"/>
        <v>-132063203.60505761</v>
      </c>
      <c r="M1717" s="471">
        <f t="shared" si="134"/>
        <v>0.05</v>
      </c>
      <c r="N1717" s="475">
        <f t="shared" si="135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33"/>
        <v>-132063203.60505761</v>
      </c>
      <c r="J1718" s="455">
        <f t="array" ref="J1718">IFERROR(INDEX('Retirement Calculator'!J:J,MATCH('Isaac 401k'!N1718,'Retirement Calculator'!A:A,0),0),0)</f>
        <v>0</v>
      </c>
      <c r="K1718" s="455">
        <f t="shared" ca="1" si="131"/>
        <v>-550263.34835440665</v>
      </c>
      <c r="L1718" s="455">
        <f t="shared" ca="1" si="132"/>
        <v>-132613466.95341203</v>
      </c>
      <c r="M1718" s="471">
        <f t="shared" si="134"/>
        <v>0.05</v>
      </c>
      <c r="N1718" s="475">
        <f t="shared" si="135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33"/>
        <v>-132613466.95341203</v>
      </c>
      <c r="J1719" s="455">
        <f t="array" ref="J1719">IFERROR(INDEX('Retirement Calculator'!J:J,MATCH('Isaac 401k'!N1719,'Retirement Calculator'!A:A,0),0),0)</f>
        <v>0</v>
      </c>
      <c r="K1719" s="455">
        <f t="shared" ca="1" si="131"/>
        <v>-552556.11230588343</v>
      </c>
      <c r="L1719" s="455">
        <f t="shared" ca="1" si="132"/>
        <v>-133166023.06571791</v>
      </c>
      <c r="M1719" s="471">
        <f t="shared" si="134"/>
        <v>0.05</v>
      </c>
      <c r="N1719" s="475">
        <f t="shared" si="135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33"/>
        <v>-133166023.06571791</v>
      </c>
      <c r="J1720" s="455">
        <f t="array" ref="J1720">IFERROR(INDEX('Retirement Calculator'!J:J,MATCH('Isaac 401k'!N1720,'Retirement Calculator'!A:A,0),0),0)</f>
        <v>0</v>
      </c>
      <c r="K1720" s="455">
        <f t="shared" ca="1" si="131"/>
        <v>-554858.42944049125</v>
      </c>
      <c r="L1720" s="455">
        <f t="shared" ca="1" si="132"/>
        <v>-133720881.4951584</v>
      </c>
      <c r="M1720" s="471">
        <f t="shared" si="134"/>
        <v>0.05</v>
      </c>
      <c r="N1720" s="475">
        <f t="shared" si="135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33"/>
        <v>-133720881.4951584</v>
      </c>
      <c r="J1721" s="455">
        <f t="array" ref="J1721">IFERROR(INDEX('Retirement Calculator'!J:J,MATCH('Isaac 401k'!N1721,'Retirement Calculator'!A:A,0),0),0)</f>
        <v>0</v>
      </c>
      <c r="K1721" s="455">
        <f t="shared" ca="1" si="131"/>
        <v>-557170.33956316009</v>
      </c>
      <c r="L1721" s="455">
        <f t="shared" ca="1" si="132"/>
        <v>-134278051.83472157</v>
      </c>
      <c r="M1721" s="471">
        <f t="shared" si="134"/>
        <v>0.05</v>
      </c>
      <c r="N1721" s="475">
        <f t="shared" si="135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33"/>
        <v>-134278051.83472157</v>
      </c>
      <c r="J1722" s="455">
        <f t="array" ref="J1722">IFERROR(INDEX('Retirement Calculator'!J:J,MATCH('Isaac 401k'!N1722,'Retirement Calculator'!A:A,0),0),0)</f>
        <v>0</v>
      </c>
      <c r="K1722" s="455">
        <f t="shared" ca="1" si="131"/>
        <v>-559491.88264467323</v>
      </c>
      <c r="L1722" s="455">
        <f t="shared" ca="1" si="132"/>
        <v>-134837543.71736625</v>
      </c>
      <c r="M1722" s="471">
        <f t="shared" si="134"/>
        <v>0.05</v>
      </c>
      <c r="N1722" s="475">
        <f t="shared" si="135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33"/>
        <v>-134837543.71736625</v>
      </c>
      <c r="J1723" s="455">
        <f t="array" ref="J1723">IFERROR(INDEX('Retirement Calculator'!J:J,MATCH('Isaac 401k'!N1723,'Retirement Calculator'!A:A,0),0),0)</f>
        <v>0</v>
      </c>
      <c r="K1723" s="455">
        <f t="shared" ca="1" si="131"/>
        <v>-561823.09882235934</v>
      </c>
      <c r="L1723" s="455">
        <f t="shared" ca="1" si="132"/>
        <v>-135399366.8161886</v>
      </c>
      <c r="M1723" s="471">
        <f t="shared" si="134"/>
        <v>0.05</v>
      </c>
      <c r="N1723" s="475">
        <f t="shared" si="135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33"/>
        <v>-135399366.8161886</v>
      </c>
      <c r="J1724" s="455">
        <f t="array" ref="J1724">IFERROR(INDEX('Retirement Calculator'!J:J,MATCH('Isaac 401k'!N1724,'Retirement Calculator'!A:A,0),0),0)</f>
        <v>0</v>
      </c>
      <c r="K1724" s="455">
        <f t="shared" ca="1" si="131"/>
        <v>-564164.02840078587</v>
      </c>
      <c r="L1724" s="455">
        <f t="shared" ca="1" si="132"/>
        <v>-135963530.84458938</v>
      </c>
      <c r="M1724" s="471">
        <f t="shared" si="134"/>
        <v>0.05</v>
      </c>
      <c r="N1724" s="475">
        <f t="shared" si="135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33"/>
        <v>-135963530.84458938</v>
      </c>
      <c r="J1725" s="455">
        <f t="array" ref="J1725">IFERROR(INDEX('Retirement Calculator'!J:J,MATCH('Isaac 401k'!N1725,'Retirement Calculator'!A:A,0),0),0)</f>
        <v>0</v>
      </c>
      <c r="K1725" s="455">
        <f t="shared" ca="1" si="131"/>
        <v>-566514.71185245574</v>
      </c>
      <c r="L1725" s="455">
        <f t="shared" ca="1" si="132"/>
        <v>-136530045.55644184</v>
      </c>
      <c r="M1725" s="471">
        <f t="shared" si="134"/>
        <v>0.05</v>
      </c>
      <c r="N1725" s="475">
        <f t="shared" si="135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33"/>
        <v>-136530045.55644184</v>
      </c>
      <c r="J1726" s="455">
        <f t="array" ref="J1726">IFERROR(INDEX('Retirement Calculator'!J:J,MATCH('Isaac 401k'!N1726,'Retirement Calculator'!A:A,0),0),0)</f>
        <v>0</v>
      </c>
      <c r="K1726" s="455">
        <f t="shared" ca="1" si="131"/>
        <v>-568875.18981850764</v>
      </c>
      <c r="L1726" s="455">
        <f t="shared" ca="1" si="132"/>
        <v>-137098920.74626034</v>
      </c>
      <c r="M1726" s="471">
        <f t="shared" si="134"/>
        <v>0.05</v>
      </c>
      <c r="N1726" s="475">
        <f t="shared" si="135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33"/>
        <v>-137098920.74626034</v>
      </c>
      <c r="J1727" s="455">
        <f t="array" ref="J1727">IFERROR(INDEX('Retirement Calculator'!J:J,MATCH('Isaac 401k'!N1727,'Retirement Calculator'!A:A,0),0),0)</f>
        <v>0</v>
      </c>
      <c r="K1727" s="455">
        <f t="shared" ca="1" si="131"/>
        <v>-571245.50310941809</v>
      </c>
      <c r="L1727" s="455">
        <f t="shared" ca="1" si="132"/>
        <v>-137670166.24936977</v>
      </c>
      <c r="M1727" s="471">
        <f t="shared" si="134"/>
        <v>0.05</v>
      </c>
      <c r="N1727" s="475">
        <f t="shared" si="135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33"/>
        <v>-137670166.24936977</v>
      </c>
      <c r="J1728" s="455">
        <f t="array" ref="J1728">IFERROR(INDEX('Retirement Calculator'!J:J,MATCH('Isaac 401k'!N1728,'Retirement Calculator'!A:A,0),0),0)</f>
        <v>0</v>
      </c>
      <c r="K1728" s="455">
        <f t="shared" ca="1" si="131"/>
        <v>-573625.69270570739</v>
      </c>
      <c r="L1728" s="455">
        <f t="shared" ca="1" si="132"/>
        <v>-138243791.94207549</v>
      </c>
      <c r="M1728" s="471">
        <f t="shared" si="134"/>
        <v>0.05</v>
      </c>
      <c r="N1728" s="475">
        <f t="shared" si="135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33"/>
        <v>-138243791.94207549</v>
      </c>
      <c r="J1729" s="455">
        <f t="array" ref="J1729">IFERROR(INDEX('Retirement Calculator'!J:J,MATCH('Isaac 401k'!N1729,'Retirement Calculator'!A:A,0),0),0)</f>
        <v>0</v>
      </c>
      <c r="K1729" s="455">
        <f t="shared" ca="1" si="131"/>
        <v>-576015.79975864792</v>
      </c>
      <c r="L1729" s="455">
        <f t="shared" ca="1" si="132"/>
        <v>-138819807.74183413</v>
      </c>
      <c r="M1729" s="471">
        <f t="shared" si="134"/>
        <v>0.05</v>
      </c>
      <c r="N1729" s="475">
        <f t="shared" si="135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33"/>
        <v>-138819807.74183413</v>
      </c>
      <c r="J1730" s="455">
        <f t="array" ref="J1730">IFERROR(INDEX('Retirement Calculator'!J:J,MATCH('Isaac 401k'!N1730,'Retirement Calculator'!A:A,0),0),0)</f>
        <v>0</v>
      </c>
      <c r="K1730" s="455">
        <f t="shared" ca="1" si="131"/>
        <v>-578415.8655909755</v>
      </c>
      <c r="L1730" s="455">
        <f t="shared" ca="1" si="132"/>
        <v>-139398223.60742512</v>
      </c>
      <c r="M1730" s="471">
        <f t="shared" si="134"/>
        <v>0.05</v>
      </c>
      <c r="N1730" s="475">
        <f t="shared" si="135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33"/>
        <v>-139398223.60742512</v>
      </c>
      <c r="J1731" s="455">
        <f t="array" ref="J1731">IFERROR(INDEX('Retirement Calculator'!J:J,MATCH('Isaac 401k'!N1731,'Retirement Calculator'!A:A,0),0),0)</f>
        <v>0</v>
      </c>
      <c r="K1731" s="455">
        <f t="shared" ca="1" si="131"/>
        <v>-580825.93169760471</v>
      </c>
      <c r="L1731" s="455">
        <f t="shared" ca="1" si="132"/>
        <v>-139979049.53912273</v>
      </c>
      <c r="M1731" s="471">
        <f t="shared" si="134"/>
        <v>0.05</v>
      </c>
      <c r="N1731" s="475">
        <f t="shared" si="135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33"/>
        <v>-139979049.53912273</v>
      </c>
      <c r="J1732" s="455">
        <f t="array" ref="J1732">IFERROR(INDEX('Retirement Calculator'!J:J,MATCH('Isaac 401k'!N1732,'Retirement Calculator'!A:A,0),0),0)</f>
        <v>0</v>
      </c>
      <c r="K1732" s="455">
        <f t="shared" ca="1" si="131"/>
        <v>-583246.03974634467</v>
      </c>
      <c r="L1732" s="455">
        <f t="shared" ca="1" si="132"/>
        <v>-140562295.57886907</v>
      </c>
      <c r="M1732" s="471">
        <f t="shared" si="134"/>
        <v>0.05</v>
      </c>
      <c r="N1732" s="475">
        <f t="shared" si="135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33"/>
        <v>-140562295.57886907</v>
      </c>
      <c r="J1733" s="455">
        <f t="array" ref="J1733">IFERROR(INDEX('Retirement Calculator'!J:J,MATCH('Isaac 401k'!N1733,'Retirement Calculator'!A:A,0),0),0)</f>
        <v>0</v>
      </c>
      <c r="K1733" s="455">
        <f t="shared" ca="1" si="131"/>
        <v>-585676.23157862108</v>
      </c>
      <c r="L1733" s="455">
        <f t="shared" ca="1" si="132"/>
        <v>-141147971.81044769</v>
      </c>
      <c r="M1733" s="471">
        <f t="shared" si="134"/>
        <v>0.05</v>
      </c>
      <c r="N1733" s="475">
        <f t="shared" si="135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33"/>
        <v>-141147971.81044769</v>
      </c>
      <c r="J1734" s="455">
        <f t="array" ref="J1734">IFERROR(INDEX('Retirement Calculator'!J:J,MATCH('Isaac 401k'!N1734,'Retirement Calculator'!A:A,0),0),0)</f>
        <v>0</v>
      </c>
      <c r="K1734" s="455">
        <f t="shared" ca="1" si="131"/>
        <v>-588116.54921019869</v>
      </c>
      <c r="L1734" s="455">
        <f t="shared" ca="1" si="132"/>
        <v>-141736088.35965788</v>
      </c>
      <c r="M1734" s="471">
        <f t="shared" si="134"/>
        <v>0.05</v>
      </c>
      <c r="N1734" s="475">
        <f t="shared" si="135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33"/>
        <v>-141736088.35965788</v>
      </c>
      <c r="J1735" s="455">
        <f t="array" ref="J1735">IFERROR(INDEX('Retirement Calculator'!J:J,MATCH('Isaac 401k'!N1735,'Retirement Calculator'!A:A,0),0),0)</f>
        <v>0</v>
      </c>
      <c r="K1735" s="455">
        <f t="shared" ca="1" si="131"/>
        <v>-590567.03483190783</v>
      </c>
      <c r="L1735" s="455">
        <f t="shared" ca="1" si="132"/>
        <v>-142326655.39448979</v>
      </c>
      <c r="M1735" s="471">
        <f t="shared" si="134"/>
        <v>0.05</v>
      </c>
      <c r="N1735" s="475">
        <f t="shared" si="135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33"/>
        <v>-142326655.39448979</v>
      </c>
      <c r="J1736" s="455">
        <f t="array" ref="J1736">IFERROR(INDEX('Retirement Calculator'!J:J,MATCH('Isaac 401k'!N1736,'Retirement Calculator'!A:A,0),0),0)</f>
        <v>0</v>
      </c>
      <c r="K1736" s="455">
        <f t="shared" ca="1" si="131"/>
        <v>-593027.73081037414</v>
      </c>
      <c r="L1736" s="455">
        <f t="shared" ca="1" si="132"/>
        <v>-142919683.12530017</v>
      </c>
      <c r="M1736" s="471">
        <f t="shared" si="134"/>
        <v>0.05</v>
      </c>
      <c r="N1736" s="475">
        <f t="shared" si="135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33"/>
        <v>-142919683.12530017</v>
      </c>
      <c r="J1737" s="455">
        <f t="array" ref="J1737">IFERROR(INDEX('Retirement Calculator'!J:J,MATCH('Isaac 401k'!N1737,'Retirement Calculator'!A:A,0),0),0)</f>
        <v>0</v>
      </c>
      <c r="K1737" s="455">
        <f t="shared" ca="1" si="131"/>
        <v>-595498.67968875065</v>
      </c>
      <c r="L1737" s="455">
        <f t="shared" ca="1" si="132"/>
        <v>-143515181.80498892</v>
      </c>
      <c r="M1737" s="471">
        <f t="shared" si="134"/>
        <v>0.05</v>
      </c>
      <c r="N1737" s="475">
        <f t="shared" si="135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33"/>
        <v>-143515181.80498892</v>
      </c>
      <c r="J1738" s="455">
        <f t="array" ref="J1738">IFERROR(INDEX('Retirement Calculator'!J:J,MATCH('Isaac 401k'!N1738,'Retirement Calculator'!A:A,0),0),0)</f>
        <v>0</v>
      </c>
      <c r="K1738" s="455">
        <f t="shared" ca="1" si="131"/>
        <v>-597979.92418745381</v>
      </c>
      <c r="L1738" s="455">
        <f t="shared" ca="1" si="132"/>
        <v>-144113161.72917637</v>
      </c>
      <c r="M1738" s="471">
        <f t="shared" si="134"/>
        <v>0.05</v>
      </c>
      <c r="N1738" s="475">
        <f t="shared" si="135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33"/>
        <v>-144113161.72917637</v>
      </c>
      <c r="J1739" s="455">
        <f t="array" ref="J1739">IFERROR(INDEX('Retirement Calculator'!J:J,MATCH('Isaac 401k'!N1739,'Retirement Calculator'!A:A,0),0),0)</f>
        <v>0</v>
      </c>
      <c r="K1739" s="455">
        <f t="shared" ca="1" si="131"/>
        <v>-600471.50720490154</v>
      </c>
      <c r="L1739" s="455">
        <f t="shared" ca="1" si="132"/>
        <v>-144713633.23638126</v>
      </c>
      <c r="M1739" s="471">
        <f t="shared" si="134"/>
        <v>0.05</v>
      </c>
      <c r="N1739" s="475">
        <f t="shared" si="135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33"/>
        <v>-144713633.23638126</v>
      </c>
      <c r="J1740" s="455">
        <f t="array" ref="J1740">IFERROR(INDEX('Retirement Calculator'!J:J,MATCH('Isaac 401k'!N1740,'Retirement Calculator'!A:A,0),0),0)</f>
        <v>0</v>
      </c>
      <c r="K1740" s="455">
        <f t="shared" ca="1" si="131"/>
        <v>-602973.47181825526</v>
      </c>
      <c r="L1740" s="455">
        <f t="shared" ca="1" si="132"/>
        <v>-145316606.70819953</v>
      </c>
      <c r="M1740" s="471">
        <f t="shared" si="134"/>
        <v>0.05</v>
      </c>
      <c r="N1740" s="475">
        <f t="shared" si="135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33"/>
        <v>-145316606.70819953</v>
      </c>
      <c r="J1741" s="455">
        <f t="array" ref="J1741">IFERROR(INDEX('Retirement Calculator'!J:J,MATCH('Isaac 401k'!N1741,'Retirement Calculator'!A:A,0),0),0)</f>
        <v>0</v>
      </c>
      <c r="K1741" s="455">
        <f t="shared" ca="1" si="131"/>
        <v>-605485.86128416471</v>
      </c>
      <c r="L1741" s="455">
        <f t="shared" ca="1" si="132"/>
        <v>-145922092.5694837</v>
      </c>
      <c r="M1741" s="471">
        <f t="shared" si="134"/>
        <v>0.05</v>
      </c>
      <c r="N1741" s="475">
        <f t="shared" si="135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33"/>
        <v>-145922092.5694837</v>
      </c>
      <c r="J1742" s="455">
        <f t="array" ref="J1742">IFERROR(INDEX('Retirement Calculator'!J:J,MATCH('Isaac 401k'!N1742,'Retirement Calculator'!A:A,0),0),0)</f>
        <v>0</v>
      </c>
      <c r="K1742" s="455">
        <f t="shared" ca="1" si="131"/>
        <v>-608008.71903951536</v>
      </c>
      <c r="L1742" s="455">
        <f t="shared" ca="1" si="132"/>
        <v>-146530101.28852323</v>
      </c>
      <c r="M1742" s="471">
        <f t="shared" si="134"/>
        <v>0.05</v>
      </c>
      <c r="N1742" s="475">
        <f t="shared" si="135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33"/>
        <v>-146530101.28852323</v>
      </c>
      <c r="J1743" s="455">
        <f t="array" ref="J1743">IFERROR(INDEX('Retirement Calculator'!J:J,MATCH('Isaac 401k'!N1743,'Retirement Calculator'!A:A,0),0),0)</f>
        <v>0</v>
      </c>
      <c r="K1743" s="455">
        <f t="shared" ca="1" si="131"/>
        <v>-610542.08870218007</v>
      </c>
      <c r="L1743" s="455">
        <f t="shared" ca="1" si="132"/>
        <v>-147140643.3772254</v>
      </c>
      <c r="M1743" s="471">
        <f t="shared" si="134"/>
        <v>0.05</v>
      </c>
      <c r="N1743" s="475">
        <f t="shared" si="135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33"/>
        <v>-147140643.3772254</v>
      </c>
      <c r="J1744" s="455">
        <f t="array" ref="J1744">IFERROR(INDEX('Retirement Calculator'!J:J,MATCH('Isaac 401k'!N1744,'Retirement Calculator'!A:A,0),0),0)</f>
        <v>0</v>
      </c>
      <c r="K1744" s="455">
        <f t="shared" ca="1" si="131"/>
        <v>-613086.01407177246</v>
      </c>
      <c r="L1744" s="455">
        <f t="shared" ca="1" si="132"/>
        <v>-147753729.39129716</v>
      </c>
      <c r="M1744" s="471">
        <f t="shared" si="134"/>
        <v>0.05</v>
      </c>
      <c r="N1744" s="475">
        <f t="shared" si="135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33"/>
        <v>-147753729.39129716</v>
      </c>
      <c r="J1745" s="455">
        <f t="array" ref="J1745">IFERROR(INDEX('Retirement Calculator'!J:J,MATCH('Isaac 401k'!N1745,'Retirement Calculator'!A:A,0),0),0)</f>
        <v>0</v>
      </c>
      <c r="K1745" s="455">
        <f t="shared" ca="1" si="131"/>
        <v>-615640.53913040482</v>
      </c>
      <c r="L1745" s="455">
        <f t="shared" ca="1" si="132"/>
        <v>-148369369.93042758</v>
      </c>
      <c r="M1745" s="471">
        <f t="shared" si="134"/>
        <v>0.05</v>
      </c>
      <c r="N1745" s="475">
        <f t="shared" si="135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33"/>
        <v>-148369369.93042758</v>
      </c>
      <c r="J1746" s="455">
        <f t="array" ref="J1746">IFERROR(INDEX('Retirement Calculator'!J:J,MATCH('Isaac 401k'!N1746,'Retirement Calculator'!A:A,0),0),0)</f>
        <v>0</v>
      </c>
      <c r="K1746" s="455">
        <f t="shared" ca="1" si="131"/>
        <v>-618205.70804344828</v>
      </c>
      <c r="L1746" s="455">
        <f t="shared" ca="1" si="132"/>
        <v>-148987575.63847104</v>
      </c>
      <c r="M1746" s="471">
        <f t="shared" si="134"/>
        <v>0.05</v>
      </c>
      <c r="N1746" s="475">
        <f t="shared" si="135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33"/>
        <v>-148987575.63847104</v>
      </c>
      <c r="J1747" s="455">
        <f t="array" ref="J1747">IFERROR(INDEX('Retirement Calculator'!J:J,MATCH('Isaac 401k'!N1747,'Retirement Calculator'!A:A,0),0),0)</f>
        <v>0</v>
      </c>
      <c r="K1747" s="455">
        <f t="shared" ca="1" si="131"/>
        <v>-620781.56516029593</v>
      </c>
      <c r="L1747" s="455">
        <f t="shared" ca="1" si="132"/>
        <v>-149608357.20363134</v>
      </c>
      <c r="M1747" s="471">
        <f t="shared" si="134"/>
        <v>0.05</v>
      </c>
      <c r="N1747" s="475">
        <f t="shared" si="135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33"/>
        <v>-149608357.20363134</v>
      </c>
      <c r="J1748" s="455">
        <f t="array" ref="J1748">IFERROR(INDEX('Retirement Calculator'!J:J,MATCH('Isaac 401k'!N1748,'Retirement Calculator'!A:A,0),0),0)</f>
        <v>0</v>
      </c>
      <c r="K1748" s="455">
        <f t="shared" ca="1" si="131"/>
        <v>-623368.15501513053</v>
      </c>
      <c r="L1748" s="455">
        <f t="shared" ca="1" si="132"/>
        <v>-150231725.35864648</v>
      </c>
      <c r="M1748" s="471">
        <f t="shared" si="134"/>
        <v>0.05</v>
      </c>
      <c r="N1748" s="475">
        <f t="shared" si="135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33"/>
        <v>-150231725.35864648</v>
      </c>
      <c r="J1749" s="455">
        <f t="array" ref="J1749">IFERROR(INDEX('Retirement Calculator'!J:J,MATCH('Isaac 401k'!N1749,'Retirement Calculator'!A:A,0),0),0)</f>
        <v>0</v>
      </c>
      <c r="K1749" s="455">
        <f t="shared" ca="1" si="131"/>
        <v>-625965.52232769364</v>
      </c>
      <c r="L1749" s="455">
        <f t="shared" ca="1" si="132"/>
        <v>-150857690.88097417</v>
      </c>
      <c r="M1749" s="471">
        <f t="shared" si="134"/>
        <v>0.05</v>
      </c>
      <c r="N1749" s="475">
        <f t="shared" si="135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33"/>
        <v>-150857690.88097417</v>
      </c>
      <c r="J1750" s="455">
        <f t="array" ref="J1750">IFERROR(INDEX('Retirement Calculator'!J:J,MATCH('Isaac 401k'!N1750,'Retirement Calculator'!A:A,0),0),0)</f>
        <v>0</v>
      </c>
      <c r="K1750" s="455">
        <f t="shared" ca="1" si="131"/>
        <v>-628573.71200405899</v>
      </c>
      <c r="L1750" s="455">
        <f t="shared" ca="1" si="132"/>
        <v>-151486264.59297824</v>
      </c>
      <c r="M1750" s="471">
        <f t="shared" si="134"/>
        <v>0.05</v>
      </c>
      <c r="N1750" s="475">
        <f t="shared" si="135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33"/>
        <v>-151486264.59297824</v>
      </c>
      <c r="J1751" s="455">
        <f t="array" ref="J1751">IFERROR(INDEX('Retirement Calculator'!J:J,MATCH('Isaac 401k'!N1751,'Retirement Calculator'!A:A,0),0),0)</f>
        <v>0</v>
      </c>
      <c r="K1751" s="455">
        <f t="shared" ca="1" si="131"/>
        <v>-631192.76913740928</v>
      </c>
      <c r="L1751" s="455">
        <f t="shared" ca="1" si="132"/>
        <v>-152117457.36211565</v>
      </c>
      <c r="M1751" s="471">
        <f t="shared" si="134"/>
        <v>0.05</v>
      </c>
      <c r="N1751" s="475">
        <f t="shared" si="135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33"/>
        <v>-152117457.36211565</v>
      </c>
      <c r="J1752" s="455">
        <f t="array" ref="J1752">IFERROR(INDEX('Retirement Calculator'!J:J,MATCH('Isaac 401k'!N1752,'Retirement Calculator'!A:A,0),0),0)</f>
        <v>0</v>
      </c>
      <c r="K1752" s="455">
        <f t="shared" ca="1" si="131"/>
        <v>-633822.73900881526</v>
      </c>
      <c r="L1752" s="455">
        <f t="shared" ca="1" si="132"/>
        <v>-152751280.10112447</v>
      </c>
      <c r="M1752" s="471">
        <f t="shared" si="134"/>
        <v>0.05</v>
      </c>
      <c r="N1752" s="475">
        <f t="shared" si="135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33"/>
        <v>-152751280.10112447</v>
      </c>
      <c r="J1753" s="455">
        <f t="array" ref="J1753">IFERROR(INDEX('Retirement Calculator'!J:J,MATCH('Isaac 401k'!N1753,'Retirement Calculator'!A:A,0),0),0)</f>
        <v>0</v>
      </c>
      <c r="K1753" s="455">
        <f t="shared" ca="1" si="131"/>
        <v>-636463.66708801861</v>
      </c>
      <c r="L1753" s="455">
        <f t="shared" ca="1" si="132"/>
        <v>-153387743.7682125</v>
      </c>
      <c r="M1753" s="471">
        <f t="shared" si="134"/>
        <v>0.05</v>
      </c>
      <c r="N1753" s="475">
        <f t="shared" si="135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33"/>
        <v>-153387743.7682125</v>
      </c>
      <c r="J1754" s="455">
        <f t="array" ref="J1754">IFERROR(INDEX('Retirement Calculator'!J:J,MATCH('Isaac 401k'!N1754,'Retirement Calculator'!A:A,0),0),0)</f>
        <v>0</v>
      </c>
      <c r="K1754" s="455">
        <f t="shared" ca="1" si="131"/>
        <v>-639115.5990342187</v>
      </c>
      <c r="L1754" s="455">
        <f t="shared" ca="1" si="132"/>
        <v>-154026859.36724672</v>
      </c>
      <c r="M1754" s="471">
        <f t="shared" si="134"/>
        <v>0.05</v>
      </c>
      <c r="N1754" s="475">
        <f t="shared" si="135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33"/>
        <v>-154026859.36724672</v>
      </c>
      <c r="J1755" s="455">
        <f t="array" ref="J1755">IFERROR(INDEX('Retirement Calculator'!J:J,MATCH('Isaac 401k'!N1755,'Retirement Calculator'!A:A,0),0),0)</f>
        <v>0</v>
      </c>
      <c r="K1755" s="455">
        <f t="shared" ca="1" si="131"/>
        <v>-641778.58069686126</v>
      </c>
      <c r="L1755" s="455">
        <f t="shared" ca="1" si="132"/>
        <v>-154668637.94794357</v>
      </c>
      <c r="M1755" s="471">
        <f t="shared" si="134"/>
        <v>0.05</v>
      </c>
      <c r="N1755" s="475">
        <f t="shared" si="135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33"/>
        <v>-154668637.94794357</v>
      </c>
      <c r="J1756" s="455">
        <f t="array" ref="J1756">IFERROR(INDEX('Retirement Calculator'!J:J,MATCH('Isaac 401k'!N1756,'Retirement Calculator'!A:A,0),0),0)</f>
        <v>0</v>
      </c>
      <c r="K1756" s="455">
        <f t="shared" ca="1" si="131"/>
        <v>-644452.65811643156</v>
      </c>
      <c r="L1756" s="455">
        <f t="shared" ca="1" si="132"/>
        <v>-155313090.60606</v>
      </c>
      <c r="M1756" s="471">
        <f t="shared" si="134"/>
        <v>0.05</v>
      </c>
      <c r="N1756" s="475">
        <f t="shared" si="135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33"/>
        <v>-155313090.60606</v>
      </c>
      <c r="J1757" s="455">
        <f t="array" ref="J1757">IFERROR(INDEX('Retirement Calculator'!J:J,MATCH('Isaac 401k'!N1757,'Retirement Calculator'!A:A,0),0),0)</f>
        <v>0</v>
      </c>
      <c r="K1757" s="455">
        <f t="shared" ca="1" si="131"/>
        <v>-647137.87752524996</v>
      </c>
      <c r="L1757" s="455">
        <f t="shared" ca="1" si="132"/>
        <v>-155960228.48358524</v>
      </c>
      <c r="M1757" s="471">
        <f t="shared" si="134"/>
        <v>0.05</v>
      </c>
      <c r="N1757" s="475">
        <f t="shared" si="135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33"/>
        <v>-155960228.48358524</v>
      </c>
      <c r="J1758" s="455">
        <f t="array" ref="J1758">IFERROR(INDEX('Retirement Calculator'!J:J,MATCH('Isaac 401k'!N1758,'Retirement Calculator'!A:A,0),0),0)</f>
        <v>0</v>
      </c>
      <c r="K1758" s="455">
        <f t="shared" ca="1" si="131"/>
        <v>-649834.28534827183</v>
      </c>
      <c r="L1758" s="455">
        <f t="shared" ca="1" si="132"/>
        <v>-156610062.7689335</v>
      </c>
      <c r="M1758" s="471">
        <f t="shared" si="134"/>
        <v>0.05</v>
      </c>
      <c r="N1758" s="475">
        <f t="shared" si="135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33"/>
        <v>-156610062.7689335</v>
      </c>
      <c r="J1759" s="455">
        <f t="array" ref="J1759">IFERROR(INDEX('Retirement Calculator'!J:J,MATCH('Isaac 401k'!N1759,'Retirement Calculator'!A:A,0),0),0)</f>
        <v>0</v>
      </c>
      <c r="K1759" s="455">
        <f t="shared" ca="1" si="131"/>
        <v>-652541.92820388963</v>
      </c>
      <c r="L1759" s="455">
        <f t="shared" ca="1" si="132"/>
        <v>-157262604.69713739</v>
      </c>
      <c r="M1759" s="471">
        <f t="shared" si="134"/>
        <v>0.05</v>
      </c>
      <c r="N1759" s="475">
        <f t="shared" si="135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33"/>
        <v>-157262604.69713739</v>
      </c>
      <c r="J1760" s="455">
        <f t="array" ref="J1760">IFERROR(INDEX('Retirement Calculator'!J:J,MATCH('Isaac 401k'!N1760,'Retirement Calculator'!A:A,0),0),0)</f>
        <v>0</v>
      </c>
      <c r="K1760" s="455">
        <f t="shared" ca="1" si="131"/>
        <v>-655260.85290473909</v>
      </c>
      <c r="L1760" s="455">
        <f t="shared" ca="1" si="132"/>
        <v>-157917865.55004212</v>
      </c>
      <c r="M1760" s="471">
        <f t="shared" si="134"/>
        <v>0.05</v>
      </c>
      <c r="N1760" s="475">
        <f t="shared" si="135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33"/>
        <v>-157917865.55004212</v>
      </c>
      <c r="J1761" s="455">
        <f t="array" ref="J1761">IFERROR(INDEX('Retirement Calculator'!J:J,MATCH('Isaac 401k'!N1761,'Retirement Calculator'!A:A,0),0),0)</f>
        <v>0</v>
      </c>
      <c r="K1761" s="455">
        <f t="shared" ca="1" si="131"/>
        <v>-657991.10645850888</v>
      </c>
      <c r="L1761" s="455">
        <f t="shared" ca="1" si="132"/>
        <v>-158575856.65650064</v>
      </c>
      <c r="M1761" s="471">
        <f t="shared" si="134"/>
        <v>0.05</v>
      </c>
      <c r="N1761" s="475">
        <f t="shared" si="135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33"/>
        <v>-158575856.65650064</v>
      </c>
      <c r="J1762" s="455">
        <f t="array" ref="J1762">IFERROR(INDEX('Retirement Calculator'!J:J,MATCH('Isaac 401k'!N1762,'Retirement Calculator'!A:A,0),0),0)</f>
        <v>0</v>
      </c>
      <c r="K1762" s="455">
        <f t="shared" ca="1" si="131"/>
        <v>-660732.73606875259</v>
      </c>
      <c r="L1762" s="455">
        <f t="shared" ca="1" si="132"/>
        <v>-159236589.39256939</v>
      </c>
      <c r="M1762" s="471">
        <f t="shared" si="134"/>
        <v>0.05</v>
      </c>
      <c r="N1762" s="475">
        <f t="shared" si="135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33"/>
        <v>-159236589.39256939</v>
      </c>
      <c r="J1763" s="455">
        <f t="array" ref="J1763">IFERROR(INDEX('Retirement Calculator'!J:J,MATCH('Isaac 401k'!N1763,'Retirement Calculator'!A:A,0),0),0)</f>
        <v>0</v>
      </c>
      <c r="K1763" s="455">
        <f t="shared" ca="1" si="131"/>
        <v>-663485.7891357058</v>
      </c>
      <c r="L1763" s="455">
        <f t="shared" ca="1" si="132"/>
        <v>-159900075.18170509</v>
      </c>
      <c r="M1763" s="471">
        <f t="shared" si="134"/>
        <v>0.05</v>
      </c>
      <c r="N1763" s="475">
        <f t="shared" si="135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33"/>
        <v>-159900075.18170509</v>
      </c>
      <c r="J1764" s="455">
        <f t="array" ref="J1764">IFERROR(INDEX('Retirement Calculator'!J:J,MATCH('Isaac 401k'!N1764,'Retirement Calculator'!A:A,0),0),0)</f>
        <v>0</v>
      </c>
      <c r="K1764" s="455">
        <f t="shared" ca="1" si="131"/>
        <v>-666250.31325710448</v>
      </c>
      <c r="L1764" s="455">
        <f t="shared" ca="1" si="132"/>
        <v>-160566325.49496219</v>
      </c>
      <c r="M1764" s="471">
        <f t="shared" si="134"/>
        <v>0.05</v>
      </c>
      <c r="N1764" s="475">
        <f t="shared" si="135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33"/>
        <v>-160566325.49496219</v>
      </c>
      <c r="J1765" s="455">
        <f t="array" ref="J1765">IFERROR(INDEX('Retirement Calculator'!J:J,MATCH('Isaac 401k'!N1765,'Retirement Calculator'!A:A,0),0),0)</f>
        <v>0</v>
      </c>
      <c r="K1765" s="455">
        <f t="shared" ca="1" si="131"/>
        <v>-669026.35622900911</v>
      </c>
      <c r="L1765" s="455">
        <f t="shared" ca="1" si="132"/>
        <v>-161235351.85119119</v>
      </c>
      <c r="M1765" s="471">
        <f t="shared" si="134"/>
        <v>0.05</v>
      </c>
      <c r="N1765" s="475">
        <f t="shared" si="135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33"/>
        <v>-161235351.85119119</v>
      </c>
      <c r="J1766" s="455">
        <f t="array" ref="J1766">IFERROR(INDEX('Retirement Calculator'!J:J,MATCH('Isaac 401k'!N1766,'Retirement Calculator'!A:A,0),0),0)</f>
        <v>0</v>
      </c>
      <c r="K1766" s="455">
        <f t="shared" ca="1" si="131"/>
        <v>-671813.96604662994</v>
      </c>
      <c r="L1766" s="455">
        <f t="shared" ca="1" si="132"/>
        <v>-161907165.81723782</v>
      </c>
      <c r="M1766" s="471">
        <f t="shared" si="134"/>
        <v>0.05</v>
      </c>
      <c r="N1766" s="475">
        <f t="shared" si="135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33"/>
        <v>-161907165.81723782</v>
      </c>
      <c r="J1767" s="455">
        <f t="array" ref="J1767">IFERROR(INDEX('Retirement Calculator'!J:J,MATCH('Isaac 401k'!N1767,'Retirement Calculator'!A:A,0),0),0)</f>
        <v>0</v>
      </c>
      <c r="K1767" s="455">
        <f t="shared" ca="1" si="131"/>
        <v>-674613.19090515759</v>
      </c>
      <c r="L1767" s="455">
        <f t="shared" ca="1" si="132"/>
        <v>-162581779.00814298</v>
      </c>
      <c r="M1767" s="471">
        <f t="shared" si="134"/>
        <v>0.05</v>
      </c>
      <c r="N1767" s="475">
        <f t="shared" si="135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33"/>
        <v>-162581779.00814298</v>
      </c>
      <c r="J1768" s="455">
        <f t="array" ref="J1768">IFERROR(INDEX('Retirement Calculator'!J:J,MATCH('Isaac 401k'!N1768,'Retirement Calculator'!A:A,0),0),0)</f>
        <v>0</v>
      </c>
      <c r="K1768" s="455">
        <f t="shared" ca="1" si="131"/>
        <v>-677424.07920059573</v>
      </c>
      <c r="L1768" s="455">
        <f t="shared" ca="1" si="132"/>
        <v>-163259203.08734357</v>
      </c>
      <c r="M1768" s="471">
        <f t="shared" si="134"/>
        <v>0.05</v>
      </c>
      <c r="N1768" s="475">
        <f t="shared" si="135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33"/>
        <v>-163259203.08734357</v>
      </c>
      <c r="J1769" s="455">
        <f t="array" ref="J1769">IFERROR(INDEX('Retirement Calculator'!J:J,MATCH('Isaac 401k'!N1769,'Retirement Calculator'!A:A,0),0),0)</f>
        <v>0</v>
      </c>
      <c r="K1769" s="455">
        <f t="shared" ca="1" si="131"/>
        <v>-680246.67953059822</v>
      </c>
      <c r="L1769" s="455">
        <f t="shared" ca="1" si="132"/>
        <v>-163939449.76687416</v>
      </c>
      <c r="M1769" s="471">
        <f t="shared" si="134"/>
        <v>0.05</v>
      </c>
      <c r="N1769" s="475">
        <f t="shared" si="135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33"/>
        <v>-163939449.76687416</v>
      </c>
      <c r="J1770" s="455">
        <f t="array" ref="J1770">IFERROR(INDEX('Retirement Calculator'!J:J,MATCH('Isaac 401k'!N1770,'Retirement Calculator'!A:A,0),0),0)</f>
        <v>0</v>
      </c>
      <c r="K1770" s="455">
        <f t="shared" ca="1" si="131"/>
        <v>-683081.04069530906</v>
      </c>
      <c r="L1770" s="455">
        <f t="shared" ca="1" si="132"/>
        <v>-164622530.80756947</v>
      </c>
      <c r="M1770" s="471">
        <f t="shared" si="134"/>
        <v>0.05</v>
      </c>
      <c r="N1770" s="475">
        <f t="shared" si="135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33"/>
        <v>-164622530.80756947</v>
      </c>
      <c r="J1771" s="455">
        <f t="array" ref="J1771">IFERROR(INDEX('Retirement Calculator'!J:J,MATCH('Isaac 401k'!N1771,'Retirement Calculator'!A:A,0),0),0)</f>
        <v>0</v>
      </c>
      <c r="K1771" s="455">
        <f t="shared" ca="1" si="131"/>
        <v>-685927.21169820614</v>
      </c>
      <c r="L1771" s="455">
        <f t="shared" ca="1" si="132"/>
        <v>-165308458.01926768</v>
      </c>
      <c r="M1771" s="471">
        <f t="shared" si="134"/>
        <v>0.05</v>
      </c>
      <c r="N1771" s="475">
        <f t="shared" si="135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33"/>
        <v>-165308458.01926768</v>
      </c>
      <c r="J1772" s="455">
        <f t="array" ref="J1772">IFERROR(INDEX('Retirement Calculator'!J:J,MATCH('Isaac 401k'!N1772,'Retirement Calculator'!A:A,0),0),0)</f>
        <v>0</v>
      </c>
      <c r="K1772" s="455">
        <f t="shared" ca="1" si="131"/>
        <v>-688785.24174694868</v>
      </c>
      <c r="L1772" s="455">
        <f t="shared" ca="1" si="132"/>
        <v>-165997243.26101464</v>
      </c>
      <c r="M1772" s="471">
        <f t="shared" si="134"/>
        <v>0.05</v>
      </c>
      <c r="N1772" s="475">
        <f t="shared" si="135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33"/>
        <v>-165997243.26101464</v>
      </c>
      <c r="J1773" s="455">
        <f t="array" ref="J1773">IFERROR(INDEX('Retirement Calculator'!J:J,MATCH('Isaac 401k'!N1773,'Retirement Calculator'!A:A,0),0),0)</f>
        <v>0</v>
      </c>
      <c r="K1773" s="455">
        <f t="shared" ca="1" si="131"/>
        <v>-691655.18025422771</v>
      </c>
      <c r="L1773" s="455">
        <f t="shared" ca="1" si="132"/>
        <v>-166688898.44126886</v>
      </c>
      <c r="M1773" s="471">
        <f t="shared" si="134"/>
        <v>0.05</v>
      </c>
      <c r="N1773" s="475">
        <f t="shared" si="135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33"/>
        <v>-166688898.44126886</v>
      </c>
      <c r="J1774" s="455">
        <f t="array" ref="J1774">IFERROR(INDEX('Retirement Calculator'!J:J,MATCH('Isaac 401k'!N1774,'Retirement Calculator'!A:A,0),0),0)</f>
        <v>0</v>
      </c>
      <c r="K1774" s="455">
        <f t="shared" ca="1" si="131"/>
        <v>-694537.07683862024</v>
      </c>
      <c r="L1774" s="455">
        <f t="shared" ca="1" si="132"/>
        <v>-167383435.51810747</v>
      </c>
      <c r="M1774" s="471">
        <f t="shared" si="134"/>
        <v>0.05</v>
      </c>
      <c r="N1774" s="475">
        <f t="shared" si="135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33"/>
        <v>-167383435.51810747</v>
      </c>
      <c r="J1775" s="455">
        <f t="array" ref="J1775">IFERROR(INDEX('Retirement Calculator'!J:J,MATCH('Isaac 401k'!N1775,'Retirement Calculator'!A:A,0),0),0)</f>
        <v>0</v>
      </c>
      <c r="K1775" s="455">
        <f t="shared" ca="1" si="131"/>
        <v>-697430.98132544779</v>
      </c>
      <c r="L1775" s="455">
        <f t="shared" ca="1" si="132"/>
        <v>-168080866.49943292</v>
      </c>
      <c r="M1775" s="471">
        <f t="shared" si="134"/>
        <v>0.05</v>
      </c>
      <c r="N1775" s="475">
        <f t="shared" si="135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33"/>
        <v>-168080866.49943292</v>
      </c>
      <c r="J1776" s="455">
        <f t="array" ref="J1776">IFERROR(INDEX('Retirement Calculator'!J:J,MATCH('Isaac 401k'!N1776,'Retirement Calculator'!A:A,0),0),0)</f>
        <v>0</v>
      </c>
      <c r="K1776" s="455">
        <f t="shared" ca="1" si="131"/>
        <v>-700336.94374763721</v>
      </c>
      <c r="L1776" s="455">
        <f t="shared" ca="1" si="132"/>
        <v>-168781203.44318056</v>
      </c>
      <c r="M1776" s="471">
        <f t="shared" si="134"/>
        <v>0.05</v>
      </c>
      <c r="N1776" s="475">
        <f t="shared" si="135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33"/>
        <v>-168781203.44318056</v>
      </c>
      <c r="J1777" s="455">
        <f t="array" ref="J1777">IFERROR(INDEX('Retirement Calculator'!J:J,MATCH('Isaac 401k'!N1777,'Retirement Calculator'!A:A,0),0),0)</f>
        <v>0</v>
      </c>
      <c r="K1777" s="455">
        <f t="shared" ca="1" si="131"/>
        <v>-703255.01434658561</v>
      </c>
      <c r="L1777" s="455">
        <f t="shared" ca="1" si="132"/>
        <v>-169484458.45752716</v>
      </c>
      <c r="M1777" s="471">
        <f t="shared" si="134"/>
        <v>0.05</v>
      </c>
      <c r="N1777" s="475">
        <f t="shared" si="135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33"/>
        <v>-169484458.45752716</v>
      </c>
      <c r="J1778" s="455">
        <f t="array" ref="J1778">IFERROR(INDEX('Retirement Calculator'!J:J,MATCH('Isaac 401k'!N1778,'Retirement Calculator'!A:A,0),0),0)</f>
        <v>0</v>
      </c>
      <c r="K1778" s="455">
        <f t="shared" ca="1" si="131"/>
        <v>-706185.24357302987</v>
      </c>
      <c r="L1778" s="455">
        <f t="shared" ca="1" si="132"/>
        <v>-170190643.7011002</v>
      </c>
      <c r="M1778" s="471">
        <f t="shared" si="134"/>
        <v>0.05</v>
      </c>
      <c r="N1778" s="475">
        <f t="shared" si="135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33"/>
        <v>-170190643.7011002</v>
      </c>
      <c r="J1779" s="455">
        <f t="array" ref="J1779">IFERROR(INDEX('Retirement Calculator'!J:J,MATCH('Isaac 401k'!N1779,'Retirement Calculator'!A:A,0),0),0)</f>
        <v>0</v>
      </c>
      <c r="K1779" s="455">
        <f t="shared" ca="1" si="131"/>
        <v>-709127.68208791746</v>
      </c>
      <c r="L1779" s="455">
        <f t="shared" ca="1" si="132"/>
        <v>-170899771.38318813</v>
      </c>
      <c r="M1779" s="471">
        <f t="shared" si="134"/>
        <v>0.05</v>
      </c>
      <c r="N1779" s="475">
        <f t="shared" si="135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33"/>
        <v>-170899771.38318813</v>
      </c>
      <c r="J1780" s="455">
        <f t="array" ref="J1780">IFERROR(INDEX('Retirement Calculator'!J:J,MATCH('Isaac 401k'!N1780,'Retirement Calculator'!A:A,0),0),0)</f>
        <v>0</v>
      </c>
      <c r="K1780" s="455">
        <f t="shared" ca="1" si="131"/>
        <v>-712082.38076328381</v>
      </c>
      <c r="L1780" s="455">
        <f t="shared" ca="1" si="132"/>
        <v>-171611853.76395142</v>
      </c>
      <c r="M1780" s="471">
        <f t="shared" si="134"/>
        <v>0.05</v>
      </c>
      <c r="N1780" s="475">
        <f t="shared" si="135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33"/>
        <v>-171611853.76395142</v>
      </c>
      <c r="J1781" s="455">
        <f t="array" ref="J1781">IFERROR(INDEX('Retirement Calculator'!J:J,MATCH('Isaac 401k'!N1781,'Retirement Calculator'!A:A,0),0),0)</f>
        <v>0</v>
      </c>
      <c r="K1781" s="455">
        <f t="shared" ca="1" si="131"/>
        <v>-715049.39068313094</v>
      </c>
      <c r="L1781" s="455">
        <f t="shared" ca="1" si="132"/>
        <v>-172326903.15463457</v>
      </c>
      <c r="M1781" s="471">
        <f t="shared" si="134"/>
        <v>0.05</v>
      </c>
      <c r="N1781" s="475">
        <f t="shared" si="135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33"/>
        <v>-172326903.15463457</v>
      </c>
      <c r="J1782" s="455">
        <f t="array" ref="J1782">IFERROR(INDEX('Retirement Calculator'!J:J,MATCH('Isaac 401k'!N1782,'Retirement Calculator'!A:A,0),0),0)</f>
        <v>0</v>
      </c>
      <c r="K1782" s="455">
        <f t="shared" ca="1" si="131"/>
        <v>-718028.76314431068</v>
      </c>
      <c r="L1782" s="455">
        <f t="shared" ca="1" si="132"/>
        <v>-173044931.91777888</v>
      </c>
      <c r="M1782" s="471">
        <f t="shared" si="134"/>
        <v>0.05</v>
      </c>
      <c r="N1782" s="475">
        <f t="shared" si="135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33"/>
        <v>-173044931.91777888</v>
      </c>
      <c r="J1783" s="455">
        <f t="array" ref="J1783">IFERROR(INDEX('Retirement Calculator'!J:J,MATCH('Isaac 401k'!N1783,'Retirement Calculator'!A:A,0),0),0)</f>
        <v>0</v>
      </c>
      <c r="K1783" s="455">
        <f t="shared" ca="1" si="131"/>
        <v>-721020.54965741199</v>
      </c>
      <c r="L1783" s="455">
        <f t="shared" ca="1" si="132"/>
        <v>-173765952.46743628</v>
      </c>
      <c r="M1783" s="471">
        <f t="shared" si="134"/>
        <v>0.05</v>
      </c>
      <c r="N1783" s="475">
        <f t="shared" si="135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33"/>
        <v>-173765952.46743628</v>
      </c>
      <c r="J1784" s="455">
        <f t="array" ref="J1784">IFERROR(INDEX('Retirement Calculator'!J:J,MATCH('Isaac 401k'!N1784,'Retirement Calculator'!A:A,0),0),0)</f>
        <v>0</v>
      </c>
      <c r="K1784" s="455">
        <f t="shared" ca="1" si="131"/>
        <v>-724024.8019476512</v>
      </c>
      <c r="L1784" s="455">
        <f t="shared" ca="1" si="132"/>
        <v>-174489977.26938394</v>
      </c>
      <c r="M1784" s="471">
        <f t="shared" si="134"/>
        <v>0.05</v>
      </c>
      <c r="N1784" s="475">
        <f t="shared" si="135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33"/>
        <v>-174489977.26938394</v>
      </c>
      <c r="J1785" s="455">
        <f t="array" ref="J1785">IFERROR(INDEX('Retirement Calculator'!J:J,MATCH('Isaac 401k'!N1785,'Retirement Calculator'!A:A,0),0),0)</f>
        <v>0</v>
      </c>
      <c r="K1785" s="455">
        <f t="shared" ca="1" si="131"/>
        <v>-727041.57195576641</v>
      </c>
      <c r="L1785" s="455">
        <f t="shared" ca="1" si="132"/>
        <v>-175217018.84133971</v>
      </c>
      <c r="M1785" s="471">
        <f t="shared" si="134"/>
        <v>0.05</v>
      </c>
      <c r="N1785" s="475">
        <f t="shared" si="135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33"/>
        <v>-175217018.84133971</v>
      </c>
      <c r="J1786" s="455">
        <f t="array" ref="J1786">IFERROR(INDEX('Retirement Calculator'!J:J,MATCH('Isaac 401k'!N1786,'Retirement Calculator'!A:A,0),0),0)</f>
        <v>0</v>
      </c>
      <c r="K1786" s="455">
        <f t="shared" ca="1" si="131"/>
        <v>-730070.91183891543</v>
      </c>
      <c r="L1786" s="455">
        <f t="shared" ca="1" si="132"/>
        <v>-175947089.75317863</v>
      </c>
      <c r="M1786" s="471">
        <f t="shared" si="134"/>
        <v>0.05</v>
      </c>
      <c r="N1786" s="475">
        <f t="shared" si="135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33"/>
        <v>-175947089.75317863</v>
      </c>
      <c r="J1787" s="455">
        <f t="array" ref="J1787">IFERROR(INDEX('Retirement Calculator'!J:J,MATCH('Isaac 401k'!N1787,'Retirement Calculator'!A:A,0),0),0)</f>
        <v>0</v>
      </c>
      <c r="K1787" s="455">
        <f t="shared" ca="1" si="131"/>
        <v>-733112.87397157762</v>
      </c>
      <c r="L1787" s="455">
        <f t="shared" ca="1" si="132"/>
        <v>-176680202.62715021</v>
      </c>
      <c r="M1787" s="471">
        <f t="shared" si="134"/>
        <v>0.05</v>
      </c>
      <c r="N1787" s="475">
        <f t="shared" si="135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33"/>
        <v>-176680202.62715021</v>
      </c>
      <c r="J1788" s="455">
        <f t="array" ref="J1788">IFERROR(INDEX('Retirement Calculator'!J:J,MATCH('Isaac 401k'!N1788,'Retirement Calculator'!A:A,0),0),0)</f>
        <v>0</v>
      </c>
      <c r="K1788" s="455">
        <f t="shared" ca="1" si="131"/>
        <v>-736167.51094645914</v>
      </c>
      <c r="L1788" s="455">
        <f t="shared" ca="1" si="132"/>
        <v>-177416370.13809666</v>
      </c>
      <c r="M1788" s="471">
        <f t="shared" si="134"/>
        <v>0.05</v>
      </c>
      <c r="N1788" s="475">
        <f t="shared" si="135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33"/>
        <v>-177416370.13809666</v>
      </c>
      <c r="J1789" s="455">
        <f t="array" ref="J1789">IFERROR(INDEX('Retirement Calculator'!J:J,MATCH('Isaac 401k'!N1789,'Retirement Calculator'!A:A,0),0),0)</f>
        <v>0</v>
      </c>
      <c r="K1789" s="455">
        <f t="shared" ca="1" si="131"/>
        <v>-739234.87557540275</v>
      </c>
      <c r="L1789" s="455">
        <f t="shared" ca="1" si="132"/>
        <v>-178155605.01367205</v>
      </c>
      <c r="M1789" s="471">
        <f t="shared" si="134"/>
        <v>0.05</v>
      </c>
      <c r="N1789" s="475">
        <f t="shared" si="135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33"/>
        <v>-178155605.01367205</v>
      </c>
      <c r="J1790" s="455">
        <f t="array" ref="J1790">IFERROR(INDEX('Retirement Calculator'!J:J,MATCH('Isaac 401k'!N1790,'Retirement Calculator'!A:A,0),0),0)</f>
        <v>0</v>
      </c>
      <c r="K1790" s="455">
        <f t="shared" ca="1" si="131"/>
        <v>-742315.02089030016</v>
      </c>
      <c r="L1790" s="455">
        <f t="shared" ca="1" si="132"/>
        <v>-178897920.03456235</v>
      </c>
      <c r="M1790" s="471">
        <f t="shared" si="134"/>
        <v>0.05</v>
      </c>
      <c r="N1790" s="475">
        <f t="shared" si="135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33"/>
        <v>-178897920.03456235</v>
      </c>
      <c r="J1791" s="455">
        <f t="array" ref="J1791">IFERROR(INDEX('Retirement Calculator'!J:J,MATCH('Isaac 401k'!N1791,'Retirement Calculator'!A:A,0),0),0)</f>
        <v>0</v>
      </c>
      <c r="K1791" s="455">
        <f t="shared" ca="1" si="131"/>
        <v>-745408.00014400983</v>
      </c>
      <c r="L1791" s="455">
        <f t="shared" ca="1" si="132"/>
        <v>-179643328.03470635</v>
      </c>
      <c r="M1791" s="471">
        <f t="shared" si="134"/>
        <v>0.05</v>
      </c>
      <c r="N1791" s="475">
        <f t="shared" si="135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33"/>
        <v>-179643328.03470635</v>
      </c>
      <c r="J1792" s="455">
        <f t="array" ref="J1792">IFERROR(INDEX('Retirement Calculator'!J:J,MATCH('Isaac 401k'!N1792,'Retirement Calculator'!A:A,0),0),0)</f>
        <v>0</v>
      </c>
      <c r="K1792" s="455">
        <f t="shared" ca="1" si="131"/>
        <v>-748513.86681127641</v>
      </c>
      <c r="L1792" s="455">
        <f t="shared" ca="1" si="132"/>
        <v>-180391841.90151763</v>
      </c>
      <c r="M1792" s="471">
        <f t="shared" si="134"/>
        <v>0.05</v>
      </c>
      <c r="N1792" s="475">
        <f t="shared" si="135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33"/>
        <v>-180391841.90151763</v>
      </c>
      <c r="J1793" s="455">
        <f t="array" ref="J1793">IFERROR(INDEX('Retirement Calculator'!J:J,MATCH('Isaac 401k'!N1793,'Retirement Calculator'!A:A,0),0),0)</f>
        <v>0</v>
      </c>
      <c r="K1793" s="455">
        <f t="shared" ref="K1793:K2047" ca="1" si="136">IPMT(M1793/12,1,12,-I1793+J1793,,0)</f>
        <v>-751632.67458965676</v>
      </c>
      <c r="L1793" s="455">
        <f t="shared" ref="L1793:L2047" ca="1" si="137">I1793-J1793+K1793</f>
        <v>-181143474.57610729</v>
      </c>
      <c r="M1793" s="471">
        <f t="shared" si="134"/>
        <v>0.05</v>
      </c>
      <c r="N1793" s="475">
        <f t="shared" si="135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38">L1793</f>
        <v>-181143474.57610729</v>
      </c>
      <c r="J1794" s="455">
        <f t="array" ref="J1794">IFERROR(INDEX('Retirement Calculator'!J:J,MATCH('Isaac 401k'!N1794,'Retirement Calculator'!A:A,0),0),0)</f>
        <v>0</v>
      </c>
      <c r="K1794" s="455">
        <f t="shared" ca="1" si="136"/>
        <v>-754764.47740044701</v>
      </c>
      <c r="L1794" s="455">
        <f t="shared" ca="1" si="137"/>
        <v>-181898239.05350775</v>
      </c>
      <c r="M1794" s="471">
        <f t="shared" ref="M1794:M2048" si="139">M1793</f>
        <v>0.05</v>
      </c>
      <c r="N1794" s="475">
        <f t="shared" ref="N1794:N2048" si="140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38"/>
        <v>-181898239.05350775</v>
      </c>
      <c r="J1795" s="455">
        <f t="array" ref="J1795">IFERROR(INDEX('Retirement Calculator'!J:J,MATCH('Isaac 401k'!N1795,'Retirement Calculator'!A:A,0),0),0)</f>
        <v>0</v>
      </c>
      <c r="K1795" s="455">
        <f t="shared" ca="1" si="136"/>
        <v>-757909.32938961557</v>
      </c>
      <c r="L1795" s="455">
        <f t="shared" ca="1" si="137"/>
        <v>-182656148.38289735</v>
      </c>
      <c r="M1795" s="471">
        <f t="shared" si="139"/>
        <v>0.05</v>
      </c>
      <c r="N1795" s="475">
        <f t="shared" si="140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38"/>
        <v>-182656148.38289735</v>
      </c>
      <c r="J1796" s="455">
        <f t="array" ref="J1796">IFERROR(INDEX('Retirement Calculator'!J:J,MATCH('Isaac 401k'!N1796,'Retirement Calculator'!A:A,0),0),0)</f>
        <v>0</v>
      </c>
      <c r="K1796" s="455">
        <f t="shared" ca="1" si="136"/>
        <v>-761067.28492873895</v>
      </c>
      <c r="L1796" s="455">
        <f t="shared" ca="1" si="137"/>
        <v>-183417215.66782609</v>
      </c>
      <c r="M1796" s="471">
        <f t="shared" si="139"/>
        <v>0.05</v>
      </c>
      <c r="N1796" s="475">
        <f t="shared" si="140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38"/>
        <v>-183417215.66782609</v>
      </c>
      <c r="J1797" s="455">
        <f t="array" ref="J1797">IFERROR(INDEX('Retirement Calculator'!J:J,MATCH('Isaac 401k'!N1797,'Retirement Calculator'!A:A,0),0),0)</f>
        <v>0</v>
      </c>
      <c r="K1797" s="455">
        <f t="shared" ca="1" si="136"/>
        <v>-764238.39861594199</v>
      </c>
      <c r="L1797" s="455">
        <f t="shared" ca="1" si="137"/>
        <v>-184181454.06644204</v>
      </c>
      <c r="M1797" s="471">
        <f t="shared" si="139"/>
        <v>0.05</v>
      </c>
      <c r="N1797" s="475">
        <f t="shared" si="140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38"/>
        <v>-184181454.06644204</v>
      </c>
      <c r="J1798" s="455">
        <f t="array" ref="J1798">IFERROR(INDEX('Retirement Calculator'!J:J,MATCH('Isaac 401k'!N1798,'Retirement Calculator'!A:A,0),0),0)</f>
        <v>0</v>
      </c>
      <c r="K1798" s="455">
        <f t="shared" ca="1" si="136"/>
        <v>-767422.72527684178</v>
      </c>
      <c r="L1798" s="455">
        <f t="shared" ca="1" si="137"/>
        <v>-184948876.79171887</v>
      </c>
      <c r="M1798" s="471">
        <f t="shared" si="139"/>
        <v>0.05</v>
      </c>
      <c r="N1798" s="475">
        <f t="shared" si="140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38"/>
        <v>-184948876.79171887</v>
      </c>
      <c r="J1799" s="455">
        <f t="array" ref="J1799">IFERROR(INDEX('Retirement Calculator'!J:J,MATCH('Isaac 401k'!N1799,'Retirement Calculator'!A:A,0),0),0)</f>
        <v>0</v>
      </c>
      <c r="K1799" s="455">
        <f t="shared" ca="1" si="136"/>
        <v>-770620.31996549526</v>
      </c>
      <c r="L1799" s="455">
        <f t="shared" ca="1" si="137"/>
        <v>-185719497.11168435</v>
      </c>
      <c r="M1799" s="471">
        <f t="shared" si="139"/>
        <v>0.05</v>
      </c>
      <c r="N1799" s="475">
        <f t="shared" si="140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38"/>
        <v>-185719497.11168435</v>
      </c>
      <c r="J1800" s="455">
        <f t="array" ref="J1800">IFERROR(INDEX('Retirement Calculator'!J:J,MATCH('Isaac 401k'!N1800,'Retirement Calculator'!A:A,0),0),0)</f>
        <v>0</v>
      </c>
      <c r="K1800" s="455">
        <f t="shared" ca="1" si="136"/>
        <v>-773831.23796535144</v>
      </c>
      <c r="L1800" s="455">
        <f t="shared" ca="1" si="137"/>
        <v>-186493328.3496497</v>
      </c>
      <c r="M1800" s="471">
        <f t="shared" si="139"/>
        <v>0.05</v>
      </c>
      <c r="N1800" s="475">
        <f t="shared" si="140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38"/>
        <v>-186493328.3496497</v>
      </c>
      <c r="J1801" s="455">
        <f t="array" ref="J1801">IFERROR(INDEX('Retirement Calculator'!J:J,MATCH('Isaac 401k'!N1801,'Retirement Calculator'!A:A,0),0),0)</f>
        <v>0</v>
      </c>
      <c r="K1801" s="455">
        <f t="shared" ca="1" si="136"/>
        <v>-777055.53479020705</v>
      </c>
      <c r="L1801" s="455">
        <f t="shared" ca="1" si="137"/>
        <v>-187270383.88443992</v>
      </c>
      <c r="M1801" s="471">
        <f t="shared" si="139"/>
        <v>0.05</v>
      </c>
      <c r="N1801" s="475">
        <f t="shared" si="140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38"/>
        <v>-187270383.88443992</v>
      </c>
      <c r="J1802" s="455">
        <f t="array" ref="J1802">IFERROR(INDEX('Retirement Calculator'!J:J,MATCH('Isaac 401k'!N1802,'Retirement Calculator'!A:A,0),0),0)</f>
        <v>0</v>
      </c>
      <c r="K1802" s="455">
        <f t="shared" ca="1" si="136"/>
        <v>-780293.26618516631</v>
      </c>
      <c r="L1802" s="455">
        <f t="shared" ca="1" si="137"/>
        <v>-188050677.15062508</v>
      </c>
      <c r="M1802" s="471">
        <f t="shared" si="139"/>
        <v>0.05</v>
      </c>
      <c r="N1802" s="475">
        <f t="shared" si="140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38"/>
        <v>-188050677.15062508</v>
      </c>
      <c r="J1803" s="455">
        <f t="array" ref="J1803">IFERROR(INDEX('Retirement Calculator'!J:J,MATCH('Isaac 401k'!N1803,'Retirement Calculator'!A:A,0),0),0)</f>
        <v>0</v>
      </c>
      <c r="K1803" s="455">
        <f t="shared" ca="1" si="136"/>
        <v>-783544.48812760448</v>
      </c>
      <c r="L1803" s="455">
        <f t="shared" ca="1" si="137"/>
        <v>-188834221.6387527</v>
      </c>
      <c r="M1803" s="471">
        <f t="shared" si="139"/>
        <v>0.05</v>
      </c>
      <c r="N1803" s="475">
        <f t="shared" si="140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38"/>
        <v>-188834221.6387527</v>
      </c>
      <c r="J1804" s="455">
        <f t="array" ref="J1804">IFERROR(INDEX('Retirement Calculator'!J:J,MATCH('Isaac 401k'!N1804,'Retirement Calculator'!A:A,0),0),0)</f>
        <v>0</v>
      </c>
      <c r="K1804" s="455">
        <f t="shared" ca="1" si="136"/>
        <v>-786809.25682813628</v>
      </c>
      <c r="L1804" s="455">
        <f t="shared" ca="1" si="137"/>
        <v>-189621030.89558083</v>
      </c>
      <c r="M1804" s="471">
        <f t="shared" si="139"/>
        <v>0.05</v>
      </c>
      <c r="N1804" s="475">
        <f t="shared" si="140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38"/>
        <v>-189621030.89558083</v>
      </c>
      <c r="J1805" s="455">
        <f t="array" ref="J1805">IFERROR(INDEX('Retirement Calculator'!J:J,MATCH('Isaac 401k'!N1805,'Retirement Calculator'!A:A,0),0),0)</f>
        <v>0</v>
      </c>
      <c r="K1805" s="455">
        <f t="shared" ca="1" si="136"/>
        <v>-790087.62873158674</v>
      </c>
      <c r="L1805" s="455">
        <f t="shared" ca="1" si="137"/>
        <v>-190411118.52431241</v>
      </c>
      <c r="M1805" s="471">
        <f t="shared" si="139"/>
        <v>0.05</v>
      </c>
      <c r="N1805" s="475">
        <f t="shared" si="140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38"/>
        <v>-190411118.52431241</v>
      </c>
      <c r="J1806" s="455">
        <f t="array" ref="J1806">IFERROR(INDEX('Retirement Calculator'!J:J,MATCH('Isaac 401k'!N1806,'Retirement Calculator'!A:A,0),0),0)</f>
        <v>0</v>
      </c>
      <c r="K1806" s="455">
        <f t="shared" ca="1" si="136"/>
        <v>-793379.66051796835</v>
      </c>
      <c r="L1806" s="455">
        <f t="shared" ca="1" si="137"/>
        <v>-191204498.18483037</v>
      </c>
      <c r="M1806" s="471">
        <f t="shared" si="139"/>
        <v>0.05</v>
      </c>
      <c r="N1806" s="475">
        <f t="shared" si="140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38"/>
        <v>-191204498.18483037</v>
      </c>
      <c r="J1807" s="455">
        <f t="array" ref="J1807">IFERROR(INDEX('Retirement Calculator'!J:J,MATCH('Isaac 401k'!N1807,'Retirement Calculator'!A:A,0),0),0)</f>
        <v>0</v>
      </c>
      <c r="K1807" s="455">
        <f t="shared" ca="1" si="136"/>
        <v>-796685.40910345991</v>
      </c>
      <c r="L1807" s="455">
        <f t="shared" ca="1" si="137"/>
        <v>-192001183.59393382</v>
      </c>
      <c r="M1807" s="471">
        <f t="shared" si="139"/>
        <v>0.05</v>
      </c>
      <c r="N1807" s="475">
        <f t="shared" si="140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38"/>
        <v>-192001183.59393382</v>
      </c>
      <c r="J1808" s="455">
        <f t="array" ref="J1808">IFERROR(INDEX('Retirement Calculator'!J:J,MATCH('Isaac 401k'!N1808,'Retirement Calculator'!A:A,0),0),0)</f>
        <v>0</v>
      </c>
      <c r="K1808" s="455">
        <f t="shared" ca="1" si="136"/>
        <v>-800004.9316413909</v>
      </c>
      <c r="L1808" s="455">
        <f t="shared" ca="1" si="137"/>
        <v>-192801188.52557522</v>
      </c>
      <c r="M1808" s="471">
        <f t="shared" si="139"/>
        <v>0.05</v>
      </c>
      <c r="N1808" s="475">
        <f t="shared" si="140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38"/>
        <v>-192801188.52557522</v>
      </c>
      <c r="J1809" s="455">
        <f t="array" ref="J1809">IFERROR(INDEX('Retirement Calculator'!J:J,MATCH('Isaac 401k'!N1809,'Retirement Calculator'!A:A,0),0),0)</f>
        <v>0</v>
      </c>
      <c r="K1809" s="455">
        <f t="shared" ca="1" si="136"/>
        <v>-803338.28552323009</v>
      </c>
      <c r="L1809" s="455">
        <f t="shared" ca="1" si="137"/>
        <v>-193604526.81109846</v>
      </c>
      <c r="M1809" s="471">
        <f t="shared" si="139"/>
        <v>0.05</v>
      </c>
      <c r="N1809" s="475">
        <f t="shared" si="140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38"/>
        <v>-193604526.81109846</v>
      </c>
      <c r="J1810" s="455">
        <f t="array" ref="J1810">IFERROR(INDEX('Retirement Calculator'!J:J,MATCH('Isaac 401k'!N1810,'Retirement Calculator'!A:A,0),0),0)</f>
        <v>0</v>
      </c>
      <c r="K1810" s="455">
        <f t="shared" ca="1" si="136"/>
        <v>-806685.52837957686</v>
      </c>
      <c r="L1810" s="455">
        <f t="shared" ca="1" si="137"/>
        <v>-194411212.33947805</v>
      </c>
      <c r="M1810" s="471">
        <f t="shared" si="139"/>
        <v>0.05</v>
      </c>
      <c r="N1810" s="475">
        <f t="shared" si="140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38"/>
        <v>-194411212.33947805</v>
      </c>
      <c r="J1811" s="455">
        <f t="array" ref="J1811">IFERROR(INDEX('Retirement Calculator'!J:J,MATCH('Isaac 401k'!N1811,'Retirement Calculator'!A:A,0),0),0)</f>
        <v>0</v>
      </c>
      <c r="K1811" s="455">
        <f t="shared" ca="1" si="136"/>
        <v>-810046.71808115847</v>
      </c>
      <c r="L1811" s="455">
        <f t="shared" ca="1" si="137"/>
        <v>-195221259.05755919</v>
      </c>
      <c r="M1811" s="471">
        <f t="shared" si="139"/>
        <v>0.05</v>
      </c>
      <c r="N1811" s="475">
        <f t="shared" si="140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38"/>
        <v>-195221259.05755919</v>
      </c>
      <c r="J1812" s="455">
        <f t="array" ref="J1812">IFERROR(INDEX('Retirement Calculator'!J:J,MATCH('Isaac 401k'!N1812,'Retirement Calculator'!A:A,0),0),0)</f>
        <v>0</v>
      </c>
      <c r="K1812" s="455">
        <f t="shared" ca="1" si="136"/>
        <v>-813421.91273982998</v>
      </c>
      <c r="L1812" s="455">
        <f t="shared" ca="1" si="137"/>
        <v>-196034680.97029904</v>
      </c>
      <c r="M1812" s="471">
        <f t="shared" si="139"/>
        <v>0.05</v>
      </c>
      <c r="N1812" s="475">
        <f t="shared" si="140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38"/>
        <v>-196034680.97029904</v>
      </c>
      <c r="J1813" s="455">
        <f t="array" ref="J1813">IFERROR(INDEX('Retirement Calculator'!J:J,MATCH('Isaac 401k'!N1813,'Retirement Calculator'!A:A,0),0),0)</f>
        <v>0</v>
      </c>
      <c r="K1813" s="455">
        <f t="shared" ca="1" si="136"/>
        <v>-816811.17070957925</v>
      </c>
      <c r="L1813" s="455">
        <f t="shared" ca="1" si="137"/>
        <v>-196851492.14100862</v>
      </c>
      <c r="M1813" s="471">
        <f t="shared" si="139"/>
        <v>0.05</v>
      </c>
      <c r="N1813" s="475">
        <f t="shared" si="140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38"/>
        <v>-196851492.14100862</v>
      </c>
      <c r="J1814" s="455">
        <f t="array" ref="J1814">IFERROR(INDEX('Retirement Calculator'!J:J,MATCH('Isaac 401k'!N1814,'Retirement Calculator'!A:A,0),0),0)</f>
        <v>0</v>
      </c>
      <c r="K1814" s="455">
        <f t="shared" ca="1" si="136"/>
        <v>-820214.55058753584</v>
      </c>
      <c r="L1814" s="455">
        <f t="shared" ca="1" si="137"/>
        <v>-197671706.69159615</v>
      </c>
      <c r="M1814" s="471">
        <f t="shared" si="139"/>
        <v>0.05</v>
      </c>
      <c r="N1814" s="475">
        <f t="shared" si="140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38"/>
        <v>-197671706.69159615</v>
      </c>
      <c r="J1815" s="455">
        <f t="array" ref="J1815">IFERROR(INDEX('Retirement Calculator'!J:J,MATCH('Isaac 401k'!N1815,'Retirement Calculator'!A:A,0),0),0)</f>
        <v>0</v>
      </c>
      <c r="K1815" s="455">
        <f t="shared" ca="1" si="136"/>
        <v>-823632.11121498398</v>
      </c>
      <c r="L1815" s="455">
        <f t="shared" ca="1" si="137"/>
        <v>-198495338.80281115</v>
      </c>
      <c r="M1815" s="471">
        <f t="shared" si="139"/>
        <v>0.05</v>
      </c>
      <c r="N1815" s="475">
        <f t="shared" si="140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38"/>
        <v>-198495338.80281115</v>
      </c>
      <c r="J1816" s="455">
        <f t="array" ref="J1816">IFERROR(INDEX('Retirement Calculator'!J:J,MATCH('Isaac 401k'!N1816,'Retirement Calculator'!A:A,0),0),0)</f>
        <v>0</v>
      </c>
      <c r="K1816" s="455">
        <f t="shared" ca="1" si="136"/>
        <v>-827063.91167837975</v>
      </c>
      <c r="L1816" s="455">
        <f t="shared" ca="1" si="137"/>
        <v>-199322402.71448952</v>
      </c>
      <c r="M1816" s="471">
        <f t="shared" si="139"/>
        <v>0.05</v>
      </c>
      <c r="N1816" s="475">
        <f t="shared" si="140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38"/>
        <v>-199322402.71448952</v>
      </c>
      <c r="J1817" s="455">
        <f t="array" ref="J1817">IFERROR(INDEX('Retirement Calculator'!J:J,MATCH('Isaac 401k'!N1817,'Retirement Calculator'!A:A,0),0),0)</f>
        <v>0</v>
      </c>
      <c r="K1817" s="455">
        <f t="shared" ca="1" si="136"/>
        <v>-830510.01131037297</v>
      </c>
      <c r="L1817" s="455">
        <f t="shared" ca="1" si="137"/>
        <v>-200152912.72579989</v>
      </c>
      <c r="M1817" s="471">
        <f t="shared" si="139"/>
        <v>0.05</v>
      </c>
      <c r="N1817" s="475">
        <f t="shared" si="140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38"/>
        <v>-200152912.72579989</v>
      </c>
      <c r="J1818" s="455">
        <f t="array" ref="J1818">IFERROR(INDEX('Retirement Calculator'!J:J,MATCH('Isaac 401k'!N1818,'Retirement Calculator'!A:A,0),0),0)</f>
        <v>0</v>
      </c>
      <c r="K1818" s="455">
        <f t="shared" ca="1" si="136"/>
        <v>-833970.46969083289</v>
      </c>
      <c r="L1818" s="455">
        <f t="shared" ca="1" si="137"/>
        <v>-200986883.19549072</v>
      </c>
      <c r="M1818" s="471">
        <f t="shared" si="139"/>
        <v>0.05</v>
      </c>
      <c r="N1818" s="475">
        <f t="shared" si="140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38"/>
        <v>-200986883.19549072</v>
      </c>
      <c r="J1819" s="455">
        <f t="array" ref="J1819">IFERROR(INDEX('Retirement Calculator'!J:J,MATCH('Isaac 401k'!N1819,'Retirement Calculator'!A:A,0),0),0)</f>
        <v>0</v>
      </c>
      <c r="K1819" s="455">
        <f t="shared" ca="1" si="136"/>
        <v>-837445.34664787794</v>
      </c>
      <c r="L1819" s="455">
        <f t="shared" ca="1" si="137"/>
        <v>-201824328.54213861</v>
      </c>
      <c r="M1819" s="471">
        <f t="shared" si="139"/>
        <v>0.05</v>
      </c>
      <c r="N1819" s="475">
        <f t="shared" si="140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38"/>
        <v>-201824328.54213861</v>
      </c>
      <c r="J1820" s="455">
        <f t="array" ref="J1820">IFERROR(INDEX('Retirement Calculator'!J:J,MATCH('Isaac 401k'!N1820,'Retirement Calculator'!A:A,0),0),0)</f>
        <v>0</v>
      </c>
      <c r="K1820" s="455">
        <f t="shared" ca="1" si="136"/>
        <v>-840934.70225891087</v>
      </c>
      <c r="L1820" s="455">
        <f t="shared" ca="1" si="137"/>
        <v>-202665263.24439752</v>
      </c>
      <c r="M1820" s="471">
        <f t="shared" si="139"/>
        <v>0.05</v>
      </c>
      <c r="N1820" s="475">
        <f t="shared" si="140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38"/>
        <v>-202665263.24439752</v>
      </c>
      <c r="J1821" s="455">
        <f t="array" ref="J1821">IFERROR(INDEX('Retirement Calculator'!J:J,MATCH('Isaac 401k'!N1821,'Retirement Calculator'!A:A,0),0),0)</f>
        <v>0</v>
      </c>
      <c r="K1821" s="455">
        <f t="shared" ca="1" si="136"/>
        <v>-844438.59685165633</v>
      </c>
      <c r="L1821" s="455">
        <f t="shared" ca="1" si="137"/>
        <v>-203509701.84124917</v>
      </c>
      <c r="M1821" s="471">
        <f t="shared" si="139"/>
        <v>0.05</v>
      </c>
      <c r="N1821" s="475">
        <f t="shared" si="140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38"/>
        <v>-203509701.84124917</v>
      </c>
      <c r="J1822" s="455">
        <f t="array" ref="J1822">IFERROR(INDEX('Retirement Calculator'!J:J,MATCH('Isaac 401k'!N1822,'Retirement Calculator'!A:A,0),0),0)</f>
        <v>0</v>
      </c>
      <c r="K1822" s="455">
        <f t="shared" ca="1" si="136"/>
        <v>-847957.09100520483</v>
      </c>
      <c r="L1822" s="455">
        <f t="shared" ca="1" si="137"/>
        <v>-204357658.93225437</v>
      </c>
      <c r="M1822" s="471">
        <f t="shared" si="139"/>
        <v>0.05</v>
      </c>
      <c r="N1822" s="475">
        <f t="shared" si="140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38"/>
        <v>-204357658.93225437</v>
      </c>
      <c r="J1823" s="455">
        <f t="array" ref="J1823">IFERROR(INDEX('Retirement Calculator'!J:J,MATCH('Isaac 401k'!N1823,'Retirement Calculator'!A:A,0),0),0)</f>
        <v>0</v>
      </c>
      <c r="K1823" s="455">
        <f t="shared" ca="1" si="136"/>
        <v>-851490.24555105984</v>
      </c>
      <c r="L1823" s="455">
        <f t="shared" ca="1" si="137"/>
        <v>-205209149.17780542</v>
      </c>
      <c r="M1823" s="471">
        <f t="shared" si="139"/>
        <v>0.05</v>
      </c>
      <c r="N1823" s="475">
        <f t="shared" si="140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38"/>
        <v>-205209149.17780542</v>
      </c>
      <c r="J1824" s="455">
        <f t="array" ref="J1824">IFERROR(INDEX('Retirement Calculator'!J:J,MATCH('Isaac 401k'!N1824,'Retirement Calculator'!A:A,0),0),0)</f>
        <v>0</v>
      </c>
      <c r="K1824" s="455">
        <f t="shared" ca="1" si="136"/>
        <v>-855038.12157418928</v>
      </c>
      <c r="L1824" s="455">
        <f t="shared" ca="1" si="137"/>
        <v>-206064187.29937962</v>
      </c>
      <c r="M1824" s="471">
        <f t="shared" si="139"/>
        <v>0.05</v>
      </c>
      <c r="N1824" s="475">
        <f t="shared" si="140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38"/>
        <v>-206064187.29937962</v>
      </c>
      <c r="J1825" s="455">
        <f t="array" ref="J1825">IFERROR(INDEX('Retirement Calculator'!J:J,MATCH('Isaac 401k'!N1825,'Retirement Calculator'!A:A,0),0),0)</f>
        <v>0</v>
      </c>
      <c r="K1825" s="455">
        <f t="shared" ca="1" si="136"/>
        <v>-858600.78041408176</v>
      </c>
      <c r="L1825" s="455">
        <f t="shared" ca="1" si="137"/>
        <v>-206922788.07979369</v>
      </c>
      <c r="M1825" s="471">
        <f t="shared" si="139"/>
        <v>0.05</v>
      </c>
      <c r="N1825" s="475">
        <f t="shared" si="140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38"/>
        <v>-206922788.07979369</v>
      </c>
      <c r="J1826" s="455">
        <f t="array" ref="J1826">IFERROR(INDEX('Retirement Calculator'!J:J,MATCH('Isaac 401k'!N1826,'Retirement Calculator'!A:A,0),0),0)</f>
        <v>0</v>
      </c>
      <c r="K1826" s="455">
        <f t="shared" ca="1" si="136"/>
        <v>-862178.28366580699</v>
      </c>
      <c r="L1826" s="455">
        <f t="shared" ca="1" si="137"/>
        <v>-207784966.3634595</v>
      </c>
      <c r="M1826" s="471">
        <f t="shared" si="139"/>
        <v>0.05</v>
      </c>
      <c r="N1826" s="475">
        <f t="shared" si="140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38"/>
        <v>-207784966.3634595</v>
      </c>
      <c r="J1827" s="455">
        <f t="array" ref="J1827">IFERROR(INDEX('Retirement Calculator'!J:J,MATCH('Isaac 401k'!N1827,'Retirement Calculator'!A:A,0),0),0)</f>
        <v>0</v>
      </c>
      <c r="K1827" s="455">
        <f t="shared" ca="1" si="136"/>
        <v>-865770.69318108121</v>
      </c>
      <c r="L1827" s="455">
        <f t="shared" ca="1" si="137"/>
        <v>-208650737.05664057</v>
      </c>
      <c r="M1827" s="471">
        <f t="shared" si="139"/>
        <v>0.05</v>
      </c>
      <c r="N1827" s="475">
        <f t="shared" si="140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38"/>
        <v>-208650737.05664057</v>
      </c>
      <c r="J1828" s="455">
        <f t="array" ref="J1828">IFERROR(INDEX('Retirement Calculator'!J:J,MATCH('Isaac 401k'!N1828,'Retirement Calculator'!A:A,0),0),0)</f>
        <v>0</v>
      </c>
      <c r="K1828" s="455">
        <f t="shared" ca="1" si="136"/>
        <v>-869378.07106933568</v>
      </c>
      <c r="L1828" s="455">
        <f t="shared" ca="1" si="137"/>
        <v>-209520115.1277099</v>
      </c>
      <c r="M1828" s="471">
        <f t="shared" si="139"/>
        <v>0.05</v>
      </c>
      <c r="N1828" s="475">
        <f t="shared" si="140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38"/>
        <v>-209520115.1277099</v>
      </c>
      <c r="J1829" s="455">
        <f t="array" ref="J1829">IFERROR(INDEX('Retirement Calculator'!J:J,MATCH('Isaac 401k'!N1829,'Retirement Calculator'!A:A,0),0),0)</f>
        <v>0</v>
      </c>
      <c r="K1829" s="455">
        <f t="shared" ca="1" si="136"/>
        <v>-873000.47969879117</v>
      </c>
      <c r="L1829" s="455">
        <f t="shared" ca="1" si="137"/>
        <v>-210393115.60740867</v>
      </c>
      <c r="M1829" s="471">
        <f t="shared" si="139"/>
        <v>0.05</v>
      </c>
      <c r="N1829" s="475">
        <f t="shared" si="140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38"/>
        <v>-210393115.60740867</v>
      </c>
      <c r="J1830" s="455">
        <f t="array" ref="J1830">IFERROR(INDEX('Retirement Calculator'!J:J,MATCH('Isaac 401k'!N1830,'Retirement Calculator'!A:A,0),0),0)</f>
        <v>0</v>
      </c>
      <c r="K1830" s="455">
        <f t="shared" ca="1" si="136"/>
        <v>-876637.98169753607</v>
      </c>
      <c r="L1830" s="455">
        <f t="shared" ca="1" si="137"/>
        <v>-211269753.5891062</v>
      </c>
      <c r="M1830" s="471">
        <f t="shared" si="139"/>
        <v>0.05</v>
      </c>
      <c r="N1830" s="475">
        <f t="shared" si="140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38"/>
        <v>-211269753.5891062</v>
      </c>
      <c r="J1831" s="455">
        <f t="array" ref="J1831">IFERROR(INDEX('Retirement Calculator'!J:J,MATCH('Isaac 401k'!N1831,'Retirement Calculator'!A:A,0),0),0)</f>
        <v>0</v>
      </c>
      <c r="K1831" s="455">
        <f t="shared" ca="1" si="136"/>
        <v>-880290.63995460898</v>
      </c>
      <c r="L1831" s="455">
        <f t="shared" ca="1" si="137"/>
        <v>-212150044.2290608</v>
      </c>
      <c r="M1831" s="471">
        <f t="shared" si="139"/>
        <v>0.05</v>
      </c>
      <c r="N1831" s="475">
        <f t="shared" si="140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38"/>
        <v>-212150044.2290608</v>
      </c>
      <c r="J1832" s="455">
        <f t="array" ref="J1832">IFERROR(INDEX('Retirement Calculator'!J:J,MATCH('Isaac 401k'!N1832,'Retirement Calculator'!A:A,0),0),0)</f>
        <v>0</v>
      </c>
      <c r="K1832" s="455">
        <f t="shared" ca="1" si="136"/>
        <v>-883958.51762108668</v>
      </c>
      <c r="L1832" s="455">
        <f t="shared" ca="1" si="137"/>
        <v>-213034002.7466819</v>
      </c>
      <c r="M1832" s="471">
        <f t="shared" si="139"/>
        <v>0.05</v>
      </c>
      <c r="N1832" s="475">
        <f t="shared" si="140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38"/>
        <v>-213034002.7466819</v>
      </c>
      <c r="J1833" s="455">
        <f t="array" ref="J1833">IFERROR(INDEX('Retirement Calculator'!J:J,MATCH('Isaac 401k'!N1833,'Retirement Calculator'!A:A,0),0),0)</f>
        <v>0</v>
      </c>
      <c r="K1833" s="455">
        <f t="shared" ca="1" si="136"/>
        <v>-887641.67811117449</v>
      </c>
      <c r="L1833" s="455">
        <f t="shared" ca="1" si="137"/>
        <v>-213921644.42479306</v>
      </c>
      <c r="M1833" s="471">
        <f t="shared" si="139"/>
        <v>0.05</v>
      </c>
      <c r="N1833" s="475">
        <f t="shared" si="140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38"/>
        <v>-213921644.42479306</v>
      </c>
      <c r="J1834" s="455">
        <f t="array" ref="J1834">IFERROR(INDEX('Retirement Calculator'!J:J,MATCH('Isaac 401k'!N1834,'Retirement Calculator'!A:A,0),0),0)</f>
        <v>0</v>
      </c>
      <c r="K1834" s="455">
        <f t="shared" ca="1" si="136"/>
        <v>-891340.18510330445</v>
      </c>
      <c r="L1834" s="455">
        <f t="shared" ca="1" si="137"/>
        <v>-214812984.60989636</v>
      </c>
      <c r="M1834" s="471">
        <f t="shared" si="139"/>
        <v>0.05</v>
      </c>
      <c r="N1834" s="475">
        <f t="shared" si="140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38"/>
        <v>-214812984.60989636</v>
      </c>
      <c r="J1835" s="455">
        <f t="array" ref="J1835">IFERROR(INDEX('Retirement Calculator'!J:J,MATCH('Isaac 401k'!N1835,'Retirement Calculator'!A:A,0),0),0)</f>
        <v>0</v>
      </c>
      <c r="K1835" s="455">
        <f t="shared" ca="1" si="136"/>
        <v>-895054.10254123469</v>
      </c>
      <c r="L1835" s="455">
        <f t="shared" ca="1" si="137"/>
        <v>-215708038.7124376</v>
      </c>
      <c r="M1835" s="471">
        <f t="shared" si="139"/>
        <v>0.05</v>
      </c>
      <c r="N1835" s="475">
        <f t="shared" si="140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38"/>
        <v>-215708038.7124376</v>
      </c>
      <c r="J1836" s="455">
        <f t="array" ref="J1836">IFERROR(INDEX('Retirement Calculator'!J:J,MATCH('Isaac 401k'!N1836,'Retirement Calculator'!A:A,0),0),0)</f>
        <v>0</v>
      </c>
      <c r="K1836" s="455">
        <f t="shared" ca="1" si="136"/>
        <v>-898783.49463515671</v>
      </c>
      <c r="L1836" s="455">
        <f t="shared" ca="1" si="137"/>
        <v>-216606822.20707276</v>
      </c>
      <c r="M1836" s="471">
        <f t="shared" si="139"/>
        <v>0.05</v>
      </c>
      <c r="N1836" s="475">
        <f t="shared" si="140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38"/>
        <v>-216606822.20707276</v>
      </c>
      <c r="J1837" s="455">
        <f t="array" ref="J1837">IFERROR(INDEX('Retirement Calculator'!J:J,MATCH('Isaac 401k'!N1837,'Retirement Calculator'!A:A,0),0),0)</f>
        <v>0</v>
      </c>
      <c r="K1837" s="455">
        <f t="shared" ca="1" si="136"/>
        <v>-902528.42586280324</v>
      </c>
      <c r="L1837" s="455">
        <f t="shared" ca="1" si="137"/>
        <v>-217509350.63293555</v>
      </c>
      <c r="M1837" s="471">
        <f t="shared" si="139"/>
        <v>0.05</v>
      </c>
      <c r="N1837" s="475">
        <f t="shared" si="140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38"/>
        <v>-217509350.63293555</v>
      </c>
      <c r="J1838" s="455">
        <f t="array" ref="J1838">IFERROR(INDEX('Retirement Calculator'!J:J,MATCH('Isaac 401k'!N1838,'Retirement Calculator'!A:A,0),0),0)</f>
        <v>0</v>
      </c>
      <c r="K1838" s="455">
        <f t="shared" ca="1" si="136"/>
        <v>-906288.96097056475</v>
      </c>
      <c r="L1838" s="455">
        <f t="shared" ca="1" si="137"/>
        <v>-218415639.5939061</v>
      </c>
      <c r="M1838" s="471">
        <f t="shared" si="139"/>
        <v>0.05</v>
      </c>
      <c r="N1838" s="475">
        <f t="shared" si="140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38"/>
        <v>-218415639.5939061</v>
      </c>
      <c r="J1839" s="455">
        <f t="array" ref="J1839">IFERROR(INDEX('Retirement Calculator'!J:J,MATCH('Isaac 401k'!N1839,'Retirement Calculator'!A:A,0),0),0)</f>
        <v>0</v>
      </c>
      <c r="K1839" s="455">
        <f t="shared" ca="1" si="136"/>
        <v>-910065.16497460881</v>
      </c>
      <c r="L1839" s="455">
        <f t="shared" ca="1" si="137"/>
        <v>-219325704.7588807</v>
      </c>
      <c r="M1839" s="471">
        <f t="shared" si="139"/>
        <v>0.05</v>
      </c>
      <c r="N1839" s="475">
        <f t="shared" si="140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38"/>
        <v>-219325704.7588807</v>
      </c>
      <c r="J1840" s="455">
        <f t="array" ref="J1840">IFERROR(INDEX('Retirement Calculator'!J:J,MATCH('Isaac 401k'!N1840,'Retirement Calculator'!A:A,0),0),0)</f>
        <v>0</v>
      </c>
      <c r="K1840" s="455">
        <f t="shared" ca="1" si="136"/>
        <v>-913857.10316200287</v>
      </c>
      <c r="L1840" s="455">
        <f t="shared" ca="1" si="137"/>
        <v>-220239561.8620427</v>
      </c>
      <c r="M1840" s="471">
        <f t="shared" si="139"/>
        <v>0.05</v>
      </c>
      <c r="N1840" s="475">
        <f t="shared" si="140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38"/>
        <v>-220239561.8620427</v>
      </c>
      <c r="J1841" s="455">
        <f t="array" ref="J1841">IFERROR(INDEX('Retirement Calculator'!J:J,MATCH('Isaac 401k'!N1841,'Retirement Calculator'!A:A,0),0),0)</f>
        <v>0</v>
      </c>
      <c r="K1841" s="455">
        <f t="shared" ca="1" si="136"/>
        <v>-917664.8410918446</v>
      </c>
      <c r="L1841" s="455">
        <f t="shared" ca="1" si="137"/>
        <v>-221157226.70313454</v>
      </c>
      <c r="M1841" s="471">
        <f t="shared" si="139"/>
        <v>0.05</v>
      </c>
      <c r="N1841" s="475">
        <f t="shared" si="140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38"/>
        <v>-221157226.70313454</v>
      </c>
      <c r="J1842" s="455">
        <f t="array" ref="J1842">IFERROR(INDEX('Retirement Calculator'!J:J,MATCH('Isaac 401k'!N1842,'Retirement Calculator'!A:A,0),0),0)</f>
        <v>0</v>
      </c>
      <c r="K1842" s="455">
        <f t="shared" ca="1" si="136"/>
        <v>-921488.44459639397</v>
      </c>
      <c r="L1842" s="455">
        <f t="shared" ca="1" si="137"/>
        <v>-222078715.14773092</v>
      </c>
      <c r="M1842" s="471">
        <f t="shared" si="139"/>
        <v>0.05</v>
      </c>
      <c r="N1842" s="475">
        <f t="shared" si="140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38"/>
        <v>-222078715.14773092</v>
      </c>
      <c r="J1843" s="455">
        <f t="array" ref="J1843">IFERROR(INDEX('Retirement Calculator'!J:J,MATCH('Isaac 401k'!N1843,'Retirement Calculator'!A:A,0),0),0)</f>
        <v>0</v>
      </c>
      <c r="K1843" s="455">
        <f t="shared" ca="1" si="136"/>
        <v>-925327.97978221218</v>
      </c>
      <c r="L1843" s="455">
        <f t="shared" ca="1" si="137"/>
        <v>-223004043.12751314</v>
      </c>
      <c r="M1843" s="471">
        <f t="shared" si="139"/>
        <v>0.05</v>
      </c>
      <c r="N1843" s="475">
        <f t="shared" si="140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38"/>
        <v>-223004043.12751314</v>
      </c>
      <c r="J1844" s="455">
        <f t="array" ref="J1844">IFERROR(INDEX('Retirement Calculator'!J:J,MATCH('Isaac 401k'!N1844,'Retirement Calculator'!A:A,0),0),0)</f>
        <v>0</v>
      </c>
      <c r="K1844" s="455">
        <f t="shared" ca="1" si="136"/>
        <v>-929183.51303130458</v>
      </c>
      <c r="L1844" s="455">
        <f t="shared" ca="1" si="137"/>
        <v>-223933226.64054444</v>
      </c>
      <c r="M1844" s="471">
        <f t="shared" si="139"/>
        <v>0.05</v>
      </c>
      <c r="N1844" s="475">
        <f t="shared" si="140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38"/>
        <v>-223933226.64054444</v>
      </c>
      <c r="J1845" s="455">
        <f t="array" ref="J1845">IFERROR(INDEX('Retirement Calculator'!J:J,MATCH('Isaac 401k'!N1845,'Retirement Calculator'!A:A,0),0),0)</f>
        <v>0</v>
      </c>
      <c r="K1845" s="455">
        <f t="shared" ca="1" si="136"/>
        <v>-933055.11100226862</v>
      </c>
      <c r="L1845" s="455">
        <f t="shared" ca="1" si="137"/>
        <v>-224866281.75154671</v>
      </c>
      <c r="M1845" s="471">
        <f t="shared" si="139"/>
        <v>0.05</v>
      </c>
      <c r="N1845" s="475">
        <f t="shared" si="140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38"/>
        <v>-224866281.75154671</v>
      </c>
      <c r="J1846" s="455">
        <f t="array" ref="J1846">IFERROR(INDEX('Retirement Calculator'!J:J,MATCH('Isaac 401k'!N1846,'Retirement Calculator'!A:A,0),0),0)</f>
        <v>0</v>
      </c>
      <c r="K1846" s="455">
        <f t="shared" ca="1" si="136"/>
        <v>-936942.84063144459</v>
      </c>
      <c r="L1846" s="455">
        <f t="shared" ca="1" si="137"/>
        <v>-225803224.59217817</v>
      </c>
      <c r="M1846" s="471">
        <f t="shared" si="139"/>
        <v>0.05</v>
      </c>
      <c r="N1846" s="475">
        <f t="shared" si="140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38"/>
        <v>-225803224.59217817</v>
      </c>
      <c r="J1847" s="455">
        <f t="array" ref="J1847">IFERROR(INDEX('Retirement Calculator'!J:J,MATCH('Isaac 401k'!N1847,'Retirement Calculator'!A:A,0),0),0)</f>
        <v>0</v>
      </c>
      <c r="K1847" s="455">
        <f t="shared" ca="1" si="136"/>
        <v>-940846.76913407585</v>
      </c>
      <c r="L1847" s="455">
        <f t="shared" ca="1" si="137"/>
        <v>-226744071.36131224</v>
      </c>
      <c r="M1847" s="471">
        <f t="shared" si="139"/>
        <v>0.05</v>
      </c>
      <c r="N1847" s="475">
        <f t="shared" si="140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38"/>
        <v>-226744071.36131224</v>
      </c>
      <c r="J1848" s="455">
        <f t="array" ref="J1848">IFERROR(INDEX('Retirement Calculator'!J:J,MATCH('Isaac 401k'!N1848,'Retirement Calculator'!A:A,0),0),0)</f>
        <v>0</v>
      </c>
      <c r="K1848" s="455">
        <f t="shared" ca="1" si="136"/>
        <v>-944766.9640054676</v>
      </c>
      <c r="L1848" s="455">
        <f t="shared" ca="1" si="137"/>
        <v>-227688838.32531771</v>
      </c>
      <c r="M1848" s="471">
        <f t="shared" si="139"/>
        <v>0.05</v>
      </c>
      <c r="N1848" s="475">
        <f t="shared" si="140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38"/>
        <v>-227688838.32531771</v>
      </c>
      <c r="J1849" s="455">
        <f t="array" ref="J1849">IFERROR(INDEX('Retirement Calculator'!J:J,MATCH('Isaac 401k'!N1849,'Retirement Calculator'!A:A,0),0),0)</f>
        <v>0</v>
      </c>
      <c r="K1849" s="455">
        <f t="shared" ca="1" si="136"/>
        <v>-948703.49302215711</v>
      </c>
      <c r="L1849" s="455">
        <f t="shared" ca="1" si="137"/>
        <v>-228637541.81833985</v>
      </c>
      <c r="M1849" s="471">
        <f t="shared" si="139"/>
        <v>0.05</v>
      </c>
      <c r="N1849" s="475">
        <f t="shared" si="140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38"/>
        <v>-228637541.81833985</v>
      </c>
      <c r="J1850" s="455">
        <f t="array" ref="J1850">IFERROR(INDEX('Retirement Calculator'!J:J,MATCH('Isaac 401k'!N1850,'Retirement Calculator'!A:A,0),0),0)</f>
        <v>0</v>
      </c>
      <c r="K1850" s="455">
        <f t="shared" ca="1" si="136"/>
        <v>-952656.42424308276</v>
      </c>
      <c r="L1850" s="455">
        <f t="shared" ca="1" si="137"/>
        <v>-229590198.24258295</v>
      </c>
      <c r="M1850" s="471">
        <f t="shared" si="139"/>
        <v>0.05</v>
      </c>
      <c r="N1850" s="475">
        <f t="shared" si="140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38"/>
        <v>-229590198.24258295</v>
      </c>
      <c r="J1851" s="455">
        <f t="array" ref="J1851">IFERROR(INDEX('Retirement Calculator'!J:J,MATCH('Isaac 401k'!N1851,'Retirement Calculator'!A:A,0),0),0)</f>
        <v>0</v>
      </c>
      <c r="K1851" s="455">
        <f t="shared" ca="1" si="136"/>
        <v>-956625.82601076225</v>
      </c>
      <c r="L1851" s="455">
        <f t="shared" ca="1" si="137"/>
        <v>-230546824.06859371</v>
      </c>
      <c r="M1851" s="471">
        <f t="shared" si="139"/>
        <v>0.05</v>
      </c>
      <c r="N1851" s="475">
        <f t="shared" si="140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38"/>
        <v>-230546824.06859371</v>
      </c>
      <c r="J1852" s="455">
        <f t="array" ref="J1852">IFERROR(INDEX('Retirement Calculator'!J:J,MATCH('Isaac 401k'!N1852,'Retirement Calculator'!A:A,0),0),0)</f>
        <v>0</v>
      </c>
      <c r="K1852" s="455">
        <f t="shared" ca="1" si="136"/>
        <v>-960611.7669524739</v>
      </c>
      <c r="L1852" s="455">
        <f t="shared" ca="1" si="137"/>
        <v>-231507435.8355462</v>
      </c>
      <c r="M1852" s="471">
        <f t="shared" si="139"/>
        <v>0.05</v>
      </c>
      <c r="N1852" s="475">
        <f t="shared" si="140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38"/>
        <v>-231507435.8355462</v>
      </c>
      <c r="J1853" s="455">
        <f t="array" ref="J1853">IFERROR(INDEX('Retirement Calculator'!J:J,MATCH('Isaac 401k'!N1853,'Retirement Calculator'!A:A,0),0),0)</f>
        <v>0</v>
      </c>
      <c r="K1853" s="455">
        <f t="shared" ca="1" si="136"/>
        <v>-964614.31598144246</v>
      </c>
      <c r="L1853" s="455">
        <f t="shared" ca="1" si="137"/>
        <v>-232472050.15152764</v>
      </c>
      <c r="M1853" s="471">
        <f t="shared" si="139"/>
        <v>0.05</v>
      </c>
      <c r="N1853" s="475">
        <f t="shared" si="140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38"/>
        <v>-232472050.15152764</v>
      </c>
      <c r="J1854" s="455">
        <f t="array" ref="J1854">IFERROR(INDEX('Retirement Calculator'!J:J,MATCH('Isaac 401k'!N1854,'Retirement Calculator'!A:A,0),0),0)</f>
        <v>0</v>
      </c>
      <c r="K1854" s="455">
        <f t="shared" ca="1" si="136"/>
        <v>-968633.54229803185</v>
      </c>
      <c r="L1854" s="455">
        <f t="shared" ca="1" si="137"/>
        <v>-233440683.69382566</v>
      </c>
      <c r="M1854" s="471">
        <f t="shared" si="139"/>
        <v>0.05</v>
      </c>
      <c r="N1854" s="475">
        <f t="shared" si="140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38"/>
        <v>-233440683.69382566</v>
      </c>
      <c r="J1855" s="455">
        <f t="array" ref="J1855">IFERROR(INDEX('Retirement Calculator'!J:J,MATCH('Isaac 401k'!N1855,'Retirement Calculator'!A:A,0),0),0)</f>
        <v>0</v>
      </c>
      <c r="K1855" s="455">
        <f t="shared" ca="1" si="136"/>
        <v>-972669.51539094013</v>
      </c>
      <c r="L1855" s="455">
        <f t="shared" ca="1" si="137"/>
        <v>-234413353.20921659</v>
      </c>
      <c r="M1855" s="471">
        <f t="shared" si="139"/>
        <v>0.05</v>
      </c>
      <c r="N1855" s="475">
        <f t="shared" si="140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38"/>
        <v>-234413353.20921659</v>
      </c>
      <c r="J1856" s="455">
        <f t="array" ref="J1856">IFERROR(INDEX('Retirement Calculator'!J:J,MATCH('Isaac 401k'!N1856,'Retirement Calculator'!A:A,0),0),0)</f>
        <v>0</v>
      </c>
      <c r="K1856" s="455">
        <f t="shared" ca="1" si="136"/>
        <v>-976722.30503840244</v>
      </c>
      <c r="L1856" s="455">
        <f t="shared" ca="1" si="137"/>
        <v>-235390075.51425499</v>
      </c>
      <c r="M1856" s="471">
        <f t="shared" si="139"/>
        <v>0.05</v>
      </c>
      <c r="N1856" s="475">
        <f t="shared" si="140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38"/>
        <v>-235390075.51425499</v>
      </c>
      <c r="J1857" s="455">
        <f t="array" ref="J1857">IFERROR(INDEX('Retirement Calculator'!J:J,MATCH('Isaac 401k'!N1857,'Retirement Calculator'!A:A,0),0),0)</f>
        <v>0</v>
      </c>
      <c r="K1857" s="455">
        <f t="shared" ca="1" si="136"/>
        <v>-980791.98130939575</v>
      </c>
      <c r="L1857" s="455">
        <f t="shared" ca="1" si="137"/>
        <v>-236370867.49556437</v>
      </c>
      <c r="M1857" s="471">
        <f t="shared" si="139"/>
        <v>0.05</v>
      </c>
      <c r="N1857" s="475">
        <f t="shared" si="140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38"/>
        <v>-236370867.49556437</v>
      </c>
      <c r="J1858" s="455">
        <f t="array" ref="J1858">IFERROR(INDEX('Retirement Calculator'!J:J,MATCH('Isaac 401k'!N1858,'Retirement Calculator'!A:A,0),0),0)</f>
        <v>0</v>
      </c>
      <c r="K1858" s="455">
        <f t="shared" ca="1" si="136"/>
        <v>-984878.61456485162</v>
      </c>
      <c r="L1858" s="455">
        <f t="shared" ca="1" si="137"/>
        <v>-237355746.11012924</v>
      </c>
      <c r="M1858" s="471">
        <f t="shared" si="139"/>
        <v>0.05</v>
      </c>
      <c r="N1858" s="475">
        <f t="shared" si="140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38"/>
        <v>-237355746.11012924</v>
      </c>
      <c r="J1859" s="455">
        <f t="array" ref="J1859">IFERROR(INDEX('Retirement Calculator'!J:J,MATCH('Isaac 401k'!N1859,'Retirement Calculator'!A:A,0),0),0)</f>
        <v>0</v>
      </c>
      <c r="K1859" s="455">
        <f t="shared" ca="1" si="136"/>
        <v>-988982.27545887185</v>
      </c>
      <c r="L1859" s="455">
        <f t="shared" ca="1" si="137"/>
        <v>-238344728.38558811</v>
      </c>
      <c r="M1859" s="471">
        <f t="shared" si="139"/>
        <v>0.05</v>
      </c>
      <c r="N1859" s="475">
        <f t="shared" si="140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38"/>
        <v>-238344728.38558811</v>
      </c>
      <c r="J1860" s="455">
        <f t="array" ref="J1860">IFERROR(INDEX('Retirement Calculator'!J:J,MATCH('Isaac 401k'!N1860,'Retirement Calculator'!A:A,0),0),0)</f>
        <v>0</v>
      </c>
      <c r="K1860" s="455">
        <f t="shared" ca="1" si="136"/>
        <v>-993103.03493995045</v>
      </c>
      <c r="L1860" s="455">
        <f t="shared" ca="1" si="137"/>
        <v>-239337831.42052805</v>
      </c>
      <c r="M1860" s="471">
        <f t="shared" si="139"/>
        <v>0.05</v>
      </c>
      <c r="N1860" s="475">
        <f t="shared" si="140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38"/>
        <v>-239337831.42052805</v>
      </c>
      <c r="J1861" s="455">
        <f t="array" ref="J1861">IFERROR(INDEX('Retirement Calculator'!J:J,MATCH('Isaac 401k'!N1861,'Retirement Calculator'!A:A,0),0),0)</f>
        <v>0</v>
      </c>
      <c r="K1861" s="455">
        <f t="shared" ca="1" si="136"/>
        <v>-997240.96425220021</v>
      </c>
      <c r="L1861" s="455">
        <f t="shared" ca="1" si="137"/>
        <v>-240335072.38478026</v>
      </c>
      <c r="M1861" s="471">
        <f t="shared" si="139"/>
        <v>0.05</v>
      </c>
      <c r="N1861" s="475">
        <f t="shared" si="140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38"/>
        <v>-240335072.38478026</v>
      </c>
      <c r="J1862" s="455">
        <f t="array" ref="J1862">IFERROR(INDEX('Retirement Calculator'!J:J,MATCH('Isaac 401k'!N1862,'Retirement Calculator'!A:A,0),0),0)</f>
        <v>0</v>
      </c>
      <c r="K1862" s="455">
        <f t="shared" ca="1" si="136"/>
        <v>-1001396.1349365844</v>
      </c>
      <c r="L1862" s="455">
        <f t="shared" ca="1" si="137"/>
        <v>-241336468.51971683</v>
      </c>
      <c r="M1862" s="471">
        <f t="shared" si="139"/>
        <v>0.05</v>
      </c>
      <c r="N1862" s="475">
        <f t="shared" si="140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38"/>
        <v>-241336468.51971683</v>
      </c>
      <c r="J1863" s="455">
        <f t="array" ref="J1863">IFERROR(INDEX('Retirement Calculator'!J:J,MATCH('Isaac 401k'!N1863,'Retirement Calculator'!A:A,0),0),0)</f>
        <v>0</v>
      </c>
      <c r="K1863" s="455">
        <f t="shared" ca="1" si="136"/>
        <v>-1005568.6188321534</v>
      </c>
      <c r="L1863" s="455">
        <f t="shared" ca="1" si="137"/>
        <v>-242342037.13854897</v>
      </c>
      <c r="M1863" s="471">
        <f t="shared" si="139"/>
        <v>0.05</v>
      </c>
      <c r="N1863" s="475">
        <f t="shared" si="140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38"/>
        <v>-242342037.13854897</v>
      </c>
      <c r="J1864" s="455">
        <f t="array" ref="J1864">IFERROR(INDEX('Retirement Calculator'!J:J,MATCH('Isaac 401k'!N1864,'Retirement Calculator'!A:A,0),0),0)</f>
        <v>0</v>
      </c>
      <c r="K1864" s="455">
        <f t="shared" ca="1" si="136"/>
        <v>-1009758.4880772873</v>
      </c>
      <c r="L1864" s="455">
        <f t="shared" ca="1" si="137"/>
        <v>-243351795.62662625</v>
      </c>
      <c r="M1864" s="471">
        <f t="shared" si="139"/>
        <v>0.05</v>
      </c>
      <c r="N1864" s="475">
        <f t="shared" si="140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38"/>
        <v>-243351795.62662625</v>
      </c>
      <c r="J1865" s="455">
        <f t="array" ref="J1865">IFERROR(INDEX('Retirement Calculator'!J:J,MATCH('Isaac 401k'!N1865,'Retirement Calculator'!A:A,0),0),0)</f>
        <v>0</v>
      </c>
      <c r="K1865" s="455">
        <f t="shared" ca="1" si="136"/>
        <v>-1013965.8151109427</v>
      </c>
      <c r="L1865" s="455">
        <f t="shared" ca="1" si="137"/>
        <v>-244365761.4417372</v>
      </c>
      <c r="M1865" s="471">
        <f t="shared" si="139"/>
        <v>0.05</v>
      </c>
      <c r="N1865" s="475">
        <f t="shared" si="140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38"/>
        <v>-244365761.4417372</v>
      </c>
      <c r="J1866" s="455">
        <f t="array" ref="J1866">IFERROR(INDEX('Retirement Calculator'!J:J,MATCH('Isaac 401k'!N1866,'Retirement Calculator'!A:A,0),0),0)</f>
        <v>0</v>
      </c>
      <c r="K1866" s="455">
        <f t="shared" ca="1" si="136"/>
        <v>-1018190.672673905</v>
      </c>
      <c r="L1866" s="455">
        <f t="shared" ca="1" si="137"/>
        <v>-245383952.11441112</v>
      </c>
      <c r="M1866" s="471">
        <f t="shared" si="139"/>
        <v>0.05</v>
      </c>
      <c r="N1866" s="475">
        <f t="shared" si="140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38"/>
        <v>-245383952.11441112</v>
      </c>
      <c r="J1867" s="455">
        <f t="array" ref="J1867">IFERROR(INDEX('Retirement Calculator'!J:J,MATCH('Isaac 401k'!N1867,'Retirement Calculator'!A:A,0),0),0)</f>
        <v>0</v>
      </c>
      <c r="K1867" s="455">
        <f t="shared" ca="1" si="136"/>
        <v>-1022433.1338100465</v>
      </c>
      <c r="L1867" s="455">
        <f t="shared" ca="1" si="137"/>
        <v>-246406385.24822116</v>
      </c>
      <c r="M1867" s="471">
        <f t="shared" si="139"/>
        <v>0.05</v>
      </c>
      <c r="N1867" s="475">
        <f t="shared" si="140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38"/>
        <v>-246406385.24822116</v>
      </c>
      <c r="J1868" s="455">
        <f t="array" ref="J1868">IFERROR(INDEX('Retirement Calculator'!J:J,MATCH('Isaac 401k'!N1868,'Retirement Calculator'!A:A,0),0),0)</f>
        <v>0</v>
      </c>
      <c r="K1868" s="455">
        <f t="shared" ca="1" si="136"/>
        <v>-1026693.2718675882</v>
      </c>
      <c r="L1868" s="455">
        <f t="shared" ca="1" si="137"/>
        <v>-247433078.52008873</v>
      </c>
      <c r="M1868" s="471">
        <f t="shared" si="139"/>
        <v>0.05</v>
      </c>
      <c r="N1868" s="475">
        <f t="shared" si="140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38"/>
        <v>-247433078.52008873</v>
      </c>
      <c r="J1869" s="455">
        <f t="array" ref="J1869">IFERROR(INDEX('Retirement Calculator'!J:J,MATCH('Isaac 401k'!N1869,'Retirement Calculator'!A:A,0),0),0)</f>
        <v>0</v>
      </c>
      <c r="K1869" s="455">
        <f t="shared" ca="1" si="136"/>
        <v>-1030971.1605003697</v>
      </c>
      <c r="L1869" s="455">
        <f t="shared" ca="1" si="137"/>
        <v>-248464049.68058911</v>
      </c>
      <c r="M1869" s="471">
        <f t="shared" si="139"/>
        <v>0.05</v>
      </c>
      <c r="N1869" s="475">
        <f t="shared" si="140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38"/>
        <v>-248464049.68058911</v>
      </c>
      <c r="J1870" s="455">
        <f t="array" ref="J1870">IFERROR(INDEX('Retirement Calculator'!J:J,MATCH('Isaac 401k'!N1870,'Retirement Calculator'!A:A,0),0),0)</f>
        <v>0</v>
      </c>
      <c r="K1870" s="455">
        <f t="shared" ca="1" si="136"/>
        <v>-1035266.8736691213</v>
      </c>
      <c r="L1870" s="455">
        <f t="shared" ca="1" si="137"/>
        <v>-249499316.55425823</v>
      </c>
      <c r="M1870" s="471">
        <f t="shared" si="139"/>
        <v>0.05</v>
      </c>
      <c r="N1870" s="475">
        <f t="shared" si="140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38"/>
        <v>-249499316.55425823</v>
      </c>
      <c r="J1871" s="455">
        <f t="array" ref="J1871">IFERROR(INDEX('Retirement Calculator'!J:J,MATCH('Isaac 401k'!N1871,'Retirement Calculator'!A:A,0),0),0)</f>
        <v>0</v>
      </c>
      <c r="K1871" s="455">
        <f t="shared" ca="1" si="136"/>
        <v>-1039580.4856427425</v>
      </c>
      <c r="L1871" s="455">
        <f t="shared" ca="1" si="137"/>
        <v>-250538897.03990096</v>
      </c>
      <c r="M1871" s="471">
        <f t="shared" si="139"/>
        <v>0.05</v>
      </c>
      <c r="N1871" s="475">
        <f t="shared" si="140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38"/>
        <v>-250538897.03990096</v>
      </c>
      <c r="J1872" s="455">
        <f t="array" ref="J1872">IFERROR(INDEX('Retirement Calculator'!J:J,MATCH('Isaac 401k'!N1872,'Retirement Calculator'!A:A,0),0),0)</f>
        <v>0</v>
      </c>
      <c r="K1872" s="455">
        <f t="shared" ca="1" si="136"/>
        <v>-1043912.0709995872</v>
      </c>
      <c r="L1872" s="455">
        <f t="shared" ca="1" si="137"/>
        <v>-251582809.11090055</v>
      </c>
      <c r="M1872" s="471">
        <f t="shared" si="139"/>
        <v>0.05</v>
      </c>
      <c r="N1872" s="475">
        <f t="shared" si="140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38"/>
        <v>-251582809.11090055</v>
      </c>
      <c r="J1873" s="455">
        <f t="array" ref="J1873">IFERROR(INDEX('Retirement Calculator'!J:J,MATCH('Isaac 401k'!N1873,'Retirement Calculator'!A:A,0),0),0)</f>
        <v>0</v>
      </c>
      <c r="K1873" s="455">
        <f t="shared" ca="1" si="136"/>
        <v>-1048261.7046287523</v>
      </c>
      <c r="L1873" s="455">
        <f t="shared" ca="1" si="137"/>
        <v>-252631070.81552932</v>
      </c>
      <c r="M1873" s="471">
        <f t="shared" si="139"/>
        <v>0.05</v>
      </c>
      <c r="N1873" s="475">
        <f t="shared" si="140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38"/>
        <v>-252631070.81552932</v>
      </c>
      <c r="J1874" s="455">
        <f t="array" ref="J1874">IFERROR(INDEX('Retirement Calculator'!J:J,MATCH('Isaac 401k'!N1874,'Retirement Calculator'!A:A,0),0),0)</f>
        <v>0</v>
      </c>
      <c r="K1874" s="455">
        <f t="shared" ca="1" si="136"/>
        <v>-1052629.4617313722</v>
      </c>
      <c r="L1874" s="455">
        <f t="shared" ca="1" si="137"/>
        <v>-253683700.27726069</v>
      </c>
      <c r="M1874" s="471">
        <f t="shared" si="139"/>
        <v>0.05</v>
      </c>
      <c r="N1874" s="475">
        <f t="shared" si="140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38"/>
        <v>-253683700.27726069</v>
      </c>
      <c r="J1875" s="455">
        <f t="array" ref="J1875">IFERROR(INDEX('Retirement Calculator'!J:J,MATCH('Isaac 401k'!N1875,'Retirement Calculator'!A:A,0),0),0)</f>
        <v>0</v>
      </c>
      <c r="K1875" s="455">
        <f t="shared" ca="1" si="136"/>
        <v>-1057015.4178219195</v>
      </c>
      <c r="L1875" s="455">
        <f t="shared" ca="1" si="137"/>
        <v>-254740715.6950826</v>
      </c>
      <c r="M1875" s="471">
        <f t="shared" si="139"/>
        <v>0.05</v>
      </c>
      <c r="N1875" s="475">
        <f t="shared" si="140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38"/>
        <v>-254740715.6950826</v>
      </c>
      <c r="J1876" s="455">
        <f t="array" ref="J1876">IFERROR(INDEX('Retirement Calculator'!J:J,MATCH('Isaac 401k'!N1876,'Retirement Calculator'!A:A,0),0),0)</f>
        <v>0</v>
      </c>
      <c r="K1876" s="455">
        <f t="shared" ca="1" si="136"/>
        <v>-1061419.6487295108</v>
      </c>
      <c r="L1876" s="455">
        <f t="shared" ca="1" si="137"/>
        <v>-255802135.34381211</v>
      </c>
      <c r="M1876" s="471">
        <f t="shared" si="139"/>
        <v>0.05</v>
      </c>
      <c r="N1876" s="475">
        <f t="shared" si="140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38"/>
        <v>-255802135.34381211</v>
      </c>
      <c r="J1877" s="455">
        <f t="array" ref="J1877">IFERROR(INDEX('Retirement Calculator'!J:J,MATCH('Isaac 401k'!N1877,'Retirement Calculator'!A:A,0),0),0)</f>
        <v>0</v>
      </c>
      <c r="K1877" s="455">
        <f t="shared" ca="1" si="136"/>
        <v>-1065842.2305992171</v>
      </c>
      <c r="L1877" s="455">
        <f t="shared" ca="1" si="137"/>
        <v>-256867977.57441133</v>
      </c>
      <c r="M1877" s="471">
        <f t="shared" si="139"/>
        <v>0.05</v>
      </c>
      <c r="N1877" s="475">
        <f t="shared" si="140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38"/>
        <v>-256867977.57441133</v>
      </c>
      <c r="J1878" s="455">
        <f t="array" ref="J1878">IFERROR(INDEX('Retirement Calculator'!J:J,MATCH('Isaac 401k'!N1878,'Retirement Calculator'!A:A,0),0),0)</f>
        <v>0</v>
      </c>
      <c r="K1878" s="455">
        <f t="shared" ca="1" si="136"/>
        <v>-1070283.2398933806</v>
      </c>
      <c r="L1878" s="455">
        <f t="shared" ca="1" si="137"/>
        <v>-257938260.81430471</v>
      </c>
      <c r="M1878" s="471">
        <f t="shared" si="139"/>
        <v>0.05</v>
      </c>
      <c r="N1878" s="475">
        <f t="shared" si="140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38"/>
        <v>-257938260.81430471</v>
      </c>
      <c r="J1879" s="455">
        <f t="array" ref="J1879">IFERROR(INDEX('Retirement Calculator'!J:J,MATCH('Isaac 401k'!N1879,'Retirement Calculator'!A:A,0),0),0)</f>
        <v>0</v>
      </c>
      <c r="K1879" s="455">
        <f t="shared" ca="1" si="136"/>
        <v>-1074742.7533929362</v>
      </c>
      <c r="L1879" s="455">
        <f t="shared" ca="1" si="137"/>
        <v>-259013003.56769764</v>
      </c>
      <c r="M1879" s="471">
        <f t="shared" si="139"/>
        <v>0.05</v>
      </c>
      <c r="N1879" s="475">
        <f t="shared" si="140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38"/>
        <v>-259013003.56769764</v>
      </c>
      <c r="J1880" s="455">
        <f t="array" ref="J1880">IFERROR(INDEX('Retirement Calculator'!J:J,MATCH('Isaac 401k'!N1880,'Retirement Calculator'!A:A,0),0),0)</f>
        <v>0</v>
      </c>
      <c r="K1880" s="455">
        <f t="shared" ca="1" si="136"/>
        <v>-1079220.8481987403</v>
      </c>
      <c r="L1880" s="455">
        <f t="shared" ca="1" si="137"/>
        <v>-260092224.41589639</v>
      </c>
      <c r="M1880" s="471">
        <f t="shared" si="139"/>
        <v>0.05</v>
      </c>
      <c r="N1880" s="475">
        <f t="shared" si="140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38"/>
        <v>-260092224.41589639</v>
      </c>
      <c r="J1881" s="455">
        <f t="array" ref="J1881">IFERROR(INDEX('Retirement Calculator'!J:J,MATCH('Isaac 401k'!N1881,'Retirement Calculator'!A:A,0),0),0)</f>
        <v>0</v>
      </c>
      <c r="K1881" s="455">
        <f t="shared" ca="1" si="136"/>
        <v>-1083717.6017329015</v>
      </c>
      <c r="L1881" s="455">
        <f t="shared" ca="1" si="137"/>
        <v>-261175942.0176293</v>
      </c>
      <c r="M1881" s="471">
        <f t="shared" si="139"/>
        <v>0.05</v>
      </c>
      <c r="N1881" s="475">
        <f t="shared" si="140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38"/>
        <v>-261175942.0176293</v>
      </c>
      <c r="J1882" s="455">
        <f t="array" ref="J1882">IFERROR(INDEX('Retirement Calculator'!J:J,MATCH('Isaac 401k'!N1882,'Retirement Calculator'!A:A,0),0),0)</f>
        <v>0</v>
      </c>
      <c r="K1882" s="455">
        <f t="shared" ca="1" si="136"/>
        <v>-1088233.0917401218</v>
      </c>
      <c r="L1882" s="455">
        <f t="shared" ca="1" si="137"/>
        <v>-262264175.10936943</v>
      </c>
      <c r="M1882" s="471">
        <f t="shared" si="139"/>
        <v>0.05</v>
      </c>
      <c r="N1882" s="475">
        <f t="shared" si="140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38"/>
        <v>-262264175.10936943</v>
      </c>
      <c r="J1883" s="455">
        <f t="array" ref="J1883">IFERROR(INDEX('Retirement Calculator'!J:J,MATCH('Isaac 401k'!N1883,'Retirement Calculator'!A:A,0),0),0)</f>
        <v>0</v>
      </c>
      <c r="K1883" s="455">
        <f t="shared" ca="1" si="136"/>
        <v>-1092767.3962890392</v>
      </c>
      <c r="L1883" s="455">
        <f t="shared" ca="1" si="137"/>
        <v>-263356942.50565848</v>
      </c>
      <c r="M1883" s="471">
        <f t="shared" si="139"/>
        <v>0.05</v>
      </c>
      <c r="N1883" s="475">
        <f t="shared" si="140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38"/>
        <v>-263356942.50565848</v>
      </c>
      <c r="J1884" s="455">
        <f t="array" ref="J1884">IFERROR(INDEX('Retirement Calculator'!J:J,MATCH('Isaac 401k'!N1884,'Retirement Calculator'!A:A,0),0),0)</f>
        <v>0</v>
      </c>
      <c r="K1884" s="455">
        <f t="shared" ca="1" si="136"/>
        <v>-1097320.5937735771</v>
      </c>
      <c r="L1884" s="455">
        <f t="shared" ca="1" si="137"/>
        <v>-264454263.09943205</v>
      </c>
      <c r="M1884" s="471">
        <f t="shared" si="139"/>
        <v>0.05</v>
      </c>
      <c r="N1884" s="475">
        <f t="shared" si="140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38"/>
        <v>-264454263.09943205</v>
      </c>
      <c r="J1885" s="455">
        <f t="array" ref="J1885">IFERROR(INDEX('Retirement Calculator'!J:J,MATCH('Isaac 401k'!N1885,'Retirement Calculator'!A:A,0),0),0)</f>
        <v>0</v>
      </c>
      <c r="K1885" s="455">
        <f t="shared" ca="1" si="136"/>
        <v>-1101892.7629143002</v>
      </c>
      <c r="L1885" s="455">
        <f t="shared" ca="1" si="137"/>
        <v>-265556155.86234635</v>
      </c>
      <c r="M1885" s="471">
        <f t="shared" si="139"/>
        <v>0.05</v>
      </c>
      <c r="N1885" s="475">
        <f t="shared" si="140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38"/>
        <v>-265556155.86234635</v>
      </c>
      <c r="J1886" s="455">
        <f t="array" ref="J1886">IFERROR(INDEX('Retirement Calculator'!J:J,MATCH('Isaac 401k'!N1886,'Retirement Calculator'!A:A,0),0),0)</f>
        <v>0</v>
      </c>
      <c r="K1886" s="455">
        <f t="shared" ca="1" si="136"/>
        <v>-1106483.9827597765</v>
      </c>
      <c r="L1886" s="455">
        <f t="shared" ca="1" si="137"/>
        <v>-266662639.84510612</v>
      </c>
      <c r="M1886" s="471">
        <f t="shared" si="139"/>
        <v>0.05</v>
      </c>
      <c r="N1886" s="475">
        <f t="shared" si="140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38"/>
        <v>-266662639.84510612</v>
      </c>
      <c r="J1887" s="455">
        <f t="array" ref="J1887">IFERROR(INDEX('Retirement Calculator'!J:J,MATCH('Isaac 401k'!N1887,'Retirement Calculator'!A:A,0),0),0)</f>
        <v>0</v>
      </c>
      <c r="K1887" s="455">
        <f t="shared" ca="1" si="136"/>
        <v>-1111094.3326879421</v>
      </c>
      <c r="L1887" s="455">
        <f t="shared" ca="1" si="137"/>
        <v>-267773734.17779407</v>
      </c>
      <c r="M1887" s="471">
        <f t="shared" si="139"/>
        <v>0.05</v>
      </c>
      <c r="N1887" s="475">
        <f t="shared" si="140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38"/>
        <v>-267773734.17779407</v>
      </c>
      <c r="J1888" s="455">
        <f t="array" ref="J1888">IFERROR(INDEX('Retirement Calculator'!J:J,MATCH('Isaac 401k'!N1888,'Retirement Calculator'!A:A,0),0),0)</f>
        <v>0</v>
      </c>
      <c r="K1888" s="455">
        <f t="shared" ca="1" si="136"/>
        <v>-1115723.8924074753</v>
      </c>
      <c r="L1888" s="455">
        <f t="shared" ca="1" si="137"/>
        <v>-268889458.07020152</v>
      </c>
      <c r="M1888" s="471">
        <f t="shared" si="139"/>
        <v>0.05</v>
      </c>
      <c r="N1888" s="475">
        <f t="shared" si="140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38"/>
        <v>-268889458.07020152</v>
      </c>
      <c r="J1889" s="455">
        <f t="array" ref="J1889">IFERROR(INDEX('Retirement Calculator'!J:J,MATCH('Isaac 401k'!N1889,'Retirement Calculator'!A:A,0),0),0)</f>
        <v>0</v>
      </c>
      <c r="K1889" s="455">
        <f t="shared" ca="1" si="136"/>
        <v>-1120372.741959173</v>
      </c>
      <c r="L1889" s="455">
        <f t="shared" ca="1" si="137"/>
        <v>-270009830.81216067</v>
      </c>
      <c r="M1889" s="471">
        <f t="shared" si="139"/>
        <v>0.05</v>
      </c>
      <c r="N1889" s="475">
        <f t="shared" si="140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38"/>
        <v>-270009830.81216067</v>
      </c>
      <c r="J1890" s="455">
        <f t="array" ref="J1890">IFERROR(INDEX('Retirement Calculator'!J:J,MATCH('Isaac 401k'!N1890,'Retirement Calculator'!A:A,0),0),0)</f>
        <v>0</v>
      </c>
      <c r="K1890" s="455">
        <f t="shared" ca="1" si="136"/>
        <v>-1125040.9617173362</v>
      </c>
      <c r="L1890" s="455">
        <f t="shared" ca="1" si="137"/>
        <v>-271134871.77387798</v>
      </c>
      <c r="M1890" s="471">
        <f t="shared" si="139"/>
        <v>0.05</v>
      </c>
      <c r="N1890" s="475">
        <f t="shared" si="140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38"/>
        <v>-271134871.77387798</v>
      </c>
      <c r="J1891" s="455">
        <f t="array" ref="J1891">IFERROR(INDEX('Retirement Calculator'!J:J,MATCH('Isaac 401k'!N1891,'Retirement Calculator'!A:A,0),0),0)</f>
        <v>0</v>
      </c>
      <c r="K1891" s="455">
        <f t="shared" ca="1" si="136"/>
        <v>-1129728.6323911583</v>
      </c>
      <c r="L1891" s="455">
        <f t="shared" ca="1" si="137"/>
        <v>-272264600.40626913</v>
      </c>
      <c r="M1891" s="471">
        <f t="shared" si="139"/>
        <v>0.05</v>
      </c>
      <c r="N1891" s="475">
        <f t="shared" si="140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38"/>
        <v>-272264600.40626913</v>
      </c>
      <c r="J1892" s="455">
        <f t="array" ref="J1892">IFERROR(INDEX('Retirement Calculator'!J:J,MATCH('Isaac 401k'!N1892,'Retirement Calculator'!A:A,0),0),0)</f>
        <v>0</v>
      </c>
      <c r="K1892" s="455">
        <f t="shared" ca="1" si="136"/>
        <v>-1134435.8350261215</v>
      </c>
      <c r="L1892" s="455">
        <f t="shared" ca="1" si="137"/>
        <v>-273399036.24129528</v>
      </c>
      <c r="M1892" s="471">
        <f t="shared" si="139"/>
        <v>0.05</v>
      </c>
      <c r="N1892" s="475">
        <f t="shared" si="140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38"/>
        <v>-273399036.24129528</v>
      </c>
      <c r="J1893" s="455">
        <f t="array" ref="J1893">IFERROR(INDEX('Retirement Calculator'!J:J,MATCH('Isaac 401k'!N1893,'Retirement Calculator'!A:A,0),0),0)</f>
        <v>0</v>
      </c>
      <c r="K1893" s="455">
        <f t="shared" ca="1" si="136"/>
        <v>-1139162.6510053971</v>
      </c>
      <c r="L1893" s="455">
        <f t="shared" ca="1" si="137"/>
        <v>-274538198.89230067</v>
      </c>
      <c r="M1893" s="471">
        <f t="shared" si="139"/>
        <v>0.05</v>
      </c>
      <c r="N1893" s="475">
        <f t="shared" si="140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38"/>
        <v>-274538198.89230067</v>
      </c>
      <c r="J1894" s="455">
        <f t="array" ref="J1894">IFERROR(INDEX('Retirement Calculator'!J:J,MATCH('Isaac 401k'!N1894,'Retirement Calculator'!A:A,0),0),0)</f>
        <v>0</v>
      </c>
      <c r="K1894" s="455">
        <f t="shared" ca="1" si="136"/>
        <v>-1143909.1620512528</v>
      </c>
      <c r="L1894" s="455">
        <f t="shared" ca="1" si="137"/>
        <v>-275682108.05435193</v>
      </c>
      <c r="M1894" s="471">
        <f t="shared" si="139"/>
        <v>0.05</v>
      </c>
      <c r="N1894" s="475">
        <f t="shared" si="140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38"/>
        <v>-275682108.05435193</v>
      </c>
      <c r="J1895" s="455">
        <f t="array" ref="J1895">IFERROR(INDEX('Retirement Calculator'!J:J,MATCH('Isaac 401k'!N1895,'Retirement Calculator'!A:A,0),0),0)</f>
        <v>0</v>
      </c>
      <c r="K1895" s="455">
        <f t="shared" ca="1" si="136"/>
        <v>-1148675.4502264664</v>
      </c>
      <c r="L1895" s="455">
        <f t="shared" ca="1" si="137"/>
        <v>-276830783.50457841</v>
      </c>
      <c r="M1895" s="471">
        <f t="shared" si="139"/>
        <v>0.05</v>
      </c>
      <c r="N1895" s="475">
        <f t="shared" si="140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38"/>
        <v>-276830783.50457841</v>
      </c>
      <c r="J1896" s="455">
        <f t="array" ref="J1896">IFERROR(INDEX('Retirement Calculator'!J:J,MATCH('Isaac 401k'!N1896,'Retirement Calculator'!A:A,0),0),0)</f>
        <v>0</v>
      </c>
      <c r="K1896" s="455">
        <f t="shared" ca="1" si="136"/>
        <v>-1153461.5979357434</v>
      </c>
      <c r="L1896" s="455">
        <f t="shared" ca="1" si="137"/>
        <v>-277984245.10251415</v>
      </c>
      <c r="M1896" s="471">
        <f t="shared" si="139"/>
        <v>0.05</v>
      </c>
      <c r="N1896" s="475">
        <f t="shared" si="140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38"/>
        <v>-277984245.10251415</v>
      </c>
      <c r="J1897" s="455">
        <f t="array" ref="J1897">IFERROR(INDEX('Retirement Calculator'!J:J,MATCH('Isaac 401k'!N1897,'Retirement Calculator'!A:A,0),0),0)</f>
        <v>0</v>
      </c>
      <c r="K1897" s="455">
        <f t="shared" ca="1" si="136"/>
        <v>-1158267.6879271423</v>
      </c>
      <c r="L1897" s="455">
        <f t="shared" ca="1" si="137"/>
        <v>-279142512.79044127</v>
      </c>
      <c r="M1897" s="471">
        <f t="shared" si="139"/>
        <v>0.05</v>
      </c>
      <c r="N1897" s="475">
        <f t="shared" si="140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38"/>
        <v>-279142512.79044127</v>
      </c>
      <c r="J1898" s="455">
        <f t="array" ref="J1898">IFERROR(INDEX('Retirement Calculator'!J:J,MATCH('Isaac 401k'!N1898,'Retirement Calculator'!A:A,0),0),0)</f>
        <v>0</v>
      </c>
      <c r="K1898" s="455">
        <f t="shared" ca="1" si="136"/>
        <v>-1163093.8032935052</v>
      </c>
      <c r="L1898" s="455">
        <f t="shared" ca="1" si="137"/>
        <v>-280305606.5937348</v>
      </c>
      <c r="M1898" s="471">
        <f t="shared" si="139"/>
        <v>0.05</v>
      </c>
      <c r="N1898" s="475">
        <f t="shared" si="140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38"/>
        <v>-280305606.5937348</v>
      </c>
      <c r="J1899" s="455">
        <f t="array" ref="J1899">IFERROR(INDEX('Retirement Calculator'!J:J,MATCH('Isaac 401k'!N1899,'Retirement Calculator'!A:A,0),0),0)</f>
        <v>0</v>
      </c>
      <c r="K1899" s="455">
        <f t="shared" ca="1" si="136"/>
        <v>-1167940.0274738949</v>
      </c>
      <c r="L1899" s="455">
        <f t="shared" ca="1" si="137"/>
        <v>-281473546.62120867</v>
      </c>
      <c r="M1899" s="471">
        <f t="shared" si="139"/>
        <v>0.05</v>
      </c>
      <c r="N1899" s="475">
        <f t="shared" si="140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38"/>
        <v>-281473546.62120867</v>
      </c>
      <c r="J1900" s="455">
        <f t="array" ref="J1900">IFERROR(INDEX('Retirement Calculator'!J:J,MATCH('Isaac 401k'!N1900,'Retirement Calculator'!A:A,0),0),0)</f>
        <v>0</v>
      </c>
      <c r="K1900" s="455">
        <f t="shared" ca="1" si="136"/>
        <v>-1172806.4442550361</v>
      </c>
      <c r="L1900" s="455">
        <f t="shared" ca="1" si="137"/>
        <v>-282646353.06546372</v>
      </c>
      <c r="M1900" s="471">
        <f t="shared" si="139"/>
        <v>0.05</v>
      </c>
      <c r="N1900" s="475">
        <f t="shared" si="140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38"/>
        <v>-282646353.06546372</v>
      </c>
      <c r="J1901" s="455">
        <f t="array" ref="J1901">IFERROR(INDEX('Retirement Calculator'!J:J,MATCH('Isaac 401k'!N1901,'Retirement Calculator'!A:A,0),0),0)</f>
        <v>0</v>
      </c>
      <c r="K1901" s="455">
        <f t="shared" ca="1" si="136"/>
        <v>-1177693.1377727655</v>
      </c>
      <c r="L1901" s="455">
        <f t="shared" ca="1" si="137"/>
        <v>-283824046.20323646</v>
      </c>
      <c r="M1901" s="471">
        <f t="shared" si="139"/>
        <v>0.05</v>
      </c>
      <c r="N1901" s="475">
        <f t="shared" si="140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38"/>
        <v>-283824046.20323646</v>
      </c>
      <c r="J1902" s="455">
        <f t="array" ref="J1902">IFERROR(INDEX('Retirement Calculator'!J:J,MATCH('Isaac 401k'!N1902,'Retirement Calculator'!A:A,0),0),0)</f>
        <v>0</v>
      </c>
      <c r="K1902" s="455">
        <f t="shared" ca="1" si="136"/>
        <v>-1182600.1925134852</v>
      </c>
      <c r="L1902" s="455">
        <f t="shared" ca="1" si="137"/>
        <v>-285006646.39574993</v>
      </c>
      <c r="M1902" s="471">
        <f t="shared" si="139"/>
        <v>0.05</v>
      </c>
      <c r="N1902" s="475">
        <f t="shared" si="140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38"/>
        <v>-285006646.39574993</v>
      </c>
      <c r="J1903" s="455">
        <f t="array" ref="J1903">IFERROR(INDEX('Retirement Calculator'!J:J,MATCH('Isaac 401k'!N1903,'Retirement Calculator'!A:A,0),0),0)</f>
        <v>0</v>
      </c>
      <c r="K1903" s="455">
        <f t="shared" ca="1" si="136"/>
        <v>-1187527.6933156247</v>
      </c>
      <c r="L1903" s="455">
        <f t="shared" ca="1" si="137"/>
        <v>-286194174.08906555</v>
      </c>
      <c r="M1903" s="471">
        <f t="shared" si="139"/>
        <v>0.05</v>
      </c>
      <c r="N1903" s="475">
        <f t="shared" si="140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38"/>
        <v>-286194174.08906555</v>
      </c>
      <c r="J1904" s="455">
        <f t="array" ref="J1904">IFERROR(INDEX('Retirement Calculator'!J:J,MATCH('Isaac 401k'!N1904,'Retirement Calculator'!A:A,0),0),0)</f>
        <v>0</v>
      </c>
      <c r="K1904" s="455">
        <f t="shared" ca="1" si="136"/>
        <v>-1192475.7253711065</v>
      </c>
      <c r="L1904" s="455">
        <f t="shared" ca="1" si="137"/>
        <v>-287386649.81443667</v>
      </c>
      <c r="M1904" s="471">
        <f t="shared" si="139"/>
        <v>0.05</v>
      </c>
      <c r="N1904" s="475">
        <f t="shared" si="140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38"/>
        <v>-287386649.81443667</v>
      </c>
      <c r="J1905" s="455">
        <f t="array" ref="J1905">IFERROR(INDEX('Retirement Calculator'!J:J,MATCH('Isaac 401k'!N1905,'Retirement Calculator'!A:A,0),0),0)</f>
        <v>0</v>
      </c>
      <c r="K1905" s="455">
        <f t="shared" ca="1" si="136"/>
        <v>-1197444.3742268195</v>
      </c>
      <c r="L1905" s="455">
        <f t="shared" ca="1" si="137"/>
        <v>-288584094.18866348</v>
      </c>
      <c r="M1905" s="471">
        <f t="shared" si="139"/>
        <v>0.05</v>
      </c>
      <c r="N1905" s="475">
        <f t="shared" si="140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38"/>
        <v>-288584094.18866348</v>
      </c>
      <c r="J1906" s="455">
        <f t="array" ref="J1906">IFERROR(INDEX('Retirement Calculator'!J:J,MATCH('Isaac 401k'!N1906,'Retirement Calculator'!A:A,0),0),0)</f>
        <v>0</v>
      </c>
      <c r="K1906" s="455">
        <f t="shared" ca="1" si="136"/>
        <v>-1202433.7257860978</v>
      </c>
      <c r="L1906" s="455">
        <f t="shared" ca="1" si="137"/>
        <v>-289786527.91444957</v>
      </c>
      <c r="M1906" s="471">
        <f t="shared" si="139"/>
        <v>0.05</v>
      </c>
      <c r="N1906" s="475">
        <f t="shared" si="140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38"/>
        <v>-289786527.91444957</v>
      </c>
      <c r="J1907" s="455">
        <f t="array" ref="J1907">IFERROR(INDEX('Retirement Calculator'!J:J,MATCH('Isaac 401k'!N1907,'Retirement Calculator'!A:A,0),0),0)</f>
        <v>0</v>
      </c>
      <c r="K1907" s="455">
        <f t="shared" ca="1" si="136"/>
        <v>-1207443.8663102065</v>
      </c>
      <c r="L1907" s="455">
        <f t="shared" ca="1" si="137"/>
        <v>-290993971.78075975</v>
      </c>
      <c r="M1907" s="471">
        <f t="shared" si="139"/>
        <v>0.05</v>
      </c>
      <c r="N1907" s="475">
        <f t="shared" si="140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38"/>
        <v>-290993971.78075975</v>
      </c>
      <c r="J1908" s="455">
        <f t="array" ref="J1908">IFERROR(INDEX('Retirement Calculator'!J:J,MATCH('Isaac 401k'!N1908,'Retirement Calculator'!A:A,0),0),0)</f>
        <v>0</v>
      </c>
      <c r="K1908" s="455">
        <f t="shared" ca="1" si="136"/>
        <v>-1212474.8824198323</v>
      </c>
      <c r="L1908" s="455">
        <f t="shared" ca="1" si="137"/>
        <v>-292206446.66317958</v>
      </c>
      <c r="M1908" s="471">
        <f t="shared" si="139"/>
        <v>0.05</v>
      </c>
      <c r="N1908" s="475">
        <f t="shared" si="140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38"/>
        <v>-292206446.66317958</v>
      </c>
      <c r="J1909" s="455">
        <f t="array" ref="J1909">IFERROR(INDEX('Retirement Calculator'!J:J,MATCH('Isaac 401k'!N1909,'Retirement Calculator'!A:A,0),0),0)</f>
        <v>0</v>
      </c>
      <c r="K1909" s="455">
        <f t="shared" ca="1" si="136"/>
        <v>-1217526.8610965814</v>
      </c>
      <c r="L1909" s="455">
        <f t="shared" ca="1" si="137"/>
        <v>-293423973.52427614</v>
      </c>
      <c r="M1909" s="471">
        <f t="shared" si="139"/>
        <v>0.05</v>
      </c>
      <c r="N1909" s="475">
        <f t="shared" si="140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38"/>
        <v>-293423973.52427614</v>
      </c>
      <c r="J1910" s="455">
        <f t="array" ref="J1910">IFERROR(INDEX('Retirement Calculator'!J:J,MATCH('Isaac 401k'!N1910,'Retirement Calculator'!A:A,0),0),0)</f>
        <v>0</v>
      </c>
      <c r="K1910" s="455">
        <f t="shared" ca="1" si="136"/>
        <v>-1222599.8896844839</v>
      </c>
      <c r="L1910" s="455">
        <f t="shared" ca="1" si="137"/>
        <v>-294646573.41396064</v>
      </c>
      <c r="M1910" s="471">
        <f t="shared" si="139"/>
        <v>0.05</v>
      </c>
      <c r="N1910" s="475">
        <f t="shared" si="140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38"/>
        <v>-294646573.41396064</v>
      </c>
      <c r="J1911" s="455">
        <f t="array" ref="J1911">IFERROR(INDEX('Retirement Calculator'!J:J,MATCH('Isaac 401k'!N1911,'Retirement Calculator'!A:A,0),0),0)</f>
        <v>0</v>
      </c>
      <c r="K1911" s="455">
        <f t="shared" ca="1" si="136"/>
        <v>-1227694.0558915026</v>
      </c>
      <c r="L1911" s="455">
        <f t="shared" ca="1" si="137"/>
        <v>-295874267.46985215</v>
      </c>
      <c r="M1911" s="471">
        <f t="shared" si="139"/>
        <v>0.05</v>
      </c>
      <c r="N1911" s="475">
        <f t="shared" si="140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38"/>
        <v>-295874267.46985215</v>
      </c>
      <c r="J1912" s="455">
        <f t="array" ref="J1912">IFERROR(INDEX('Retirement Calculator'!J:J,MATCH('Isaac 401k'!N1912,'Retirement Calculator'!A:A,0),0),0)</f>
        <v>0</v>
      </c>
      <c r="K1912" s="455">
        <f t="shared" ca="1" si="136"/>
        <v>-1232809.4477910507</v>
      </c>
      <c r="L1912" s="455">
        <f t="shared" ca="1" si="137"/>
        <v>-297107076.91764319</v>
      </c>
      <c r="M1912" s="471">
        <f t="shared" si="139"/>
        <v>0.05</v>
      </c>
      <c r="N1912" s="475">
        <f t="shared" si="140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38"/>
        <v>-297107076.91764319</v>
      </c>
      <c r="J1913" s="455">
        <f t="array" ref="J1913">IFERROR(INDEX('Retirement Calculator'!J:J,MATCH('Isaac 401k'!N1913,'Retirement Calculator'!A:A,0),0),0)</f>
        <v>0</v>
      </c>
      <c r="K1913" s="455">
        <f t="shared" ca="1" si="136"/>
        <v>-1237946.1538235133</v>
      </c>
      <c r="L1913" s="455">
        <f t="shared" ca="1" si="137"/>
        <v>-298345023.07146668</v>
      </c>
      <c r="M1913" s="471">
        <f t="shared" si="139"/>
        <v>0.05</v>
      </c>
      <c r="N1913" s="475">
        <f t="shared" si="140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38"/>
        <v>-298345023.07146668</v>
      </c>
      <c r="J1914" s="455">
        <f t="array" ref="J1914">IFERROR(INDEX('Retirement Calculator'!J:J,MATCH('Isaac 401k'!N1914,'Retirement Calculator'!A:A,0),0),0)</f>
        <v>0</v>
      </c>
      <c r="K1914" s="455">
        <f t="shared" ca="1" si="136"/>
        <v>-1243104.2627977778</v>
      </c>
      <c r="L1914" s="455">
        <f t="shared" ca="1" si="137"/>
        <v>-299588127.33426446</v>
      </c>
      <c r="M1914" s="471">
        <f t="shared" si="139"/>
        <v>0.05</v>
      </c>
      <c r="N1914" s="475">
        <f t="shared" si="140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38"/>
        <v>-299588127.33426446</v>
      </c>
      <c r="J1915" s="455">
        <f t="array" ref="J1915">IFERROR(INDEX('Retirement Calculator'!J:J,MATCH('Isaac 401k'!N1915,'Retirement Calculator'!A:A,0),0),0)</f>
        <v>0</v>
      </c>
      <c r="K1915" s="455">
        <f t="shared" ca="1" si="136"/>
        <v>-1248283.8638927685</v>
      </c>
      <c r="L1915" s="455">
        <f t="shared" ca="1" si="137"/>
        <v>-300836411.19815725</v>
      </c>
      <c r="M1915" s="471">
        <f t="shared" si="139"/>
        <v>0.05</v>
      </c>
      <c r="N1915" s="475">
        <f t="shared" si="140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38"/>
        <v>-300836411.19815725</v>
      </c>
      <c r="J1916" s="455">
        <f t="array" ref="J1916">IFERROR(INDEX('Retirement Calculator'!J:J,MATCH('Isaac 401k'!N1916,'Retirement Calculator'!A:A,0),0),0)</f>
        <v>0</v>
      </c>
      <c r="K1916" s="455">
        <f t="shared" ca="1" si="136"/>
        <v>-1253485.0466589886</v>
      </c>
      <c r="L1916" s="455">
        <f t="shared" ca="1" si="137"/>
        <v>-302089896.24481624</v>
      </c>
      <c r="M1916" s="471">
        <f t="shared" si="139"/>
        <v>0.05</v>
      </c>
      <c r="N1916" s="475">
        <f t="shared" si="140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38"/>
        <v>-302089896.24481624</v>
      </c>
      <c r="J1917" s="455">
        <f t="array" ref="J1917">IFERROR(INDEX('Retirement Calculator'!J:J,MATCH('Isaac 401k'!N1917,'Retirement Calculator'!A:A,0),0),0)</f>
        <v>0</v>
      </c>
      <c r="K1917" s="455">
        <f t="shared" ca="1" si="136"/>
        <v>-1258707.9010200677</v>
      </c>
      <c r="L1917" s="455">
        <f t="shared" ca="1" si="137"/>
        <v>-303348604.14583629</v>
      </c>
      <c r="M1917" s="471">
        <f t="shared" si="139"/>
        <v>0.05</v>
      </c>
      <c r="N1917" s="475">
        <f t="shared" si="140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38"/>
        <v>-303348604.14583629</v>
      </c>
      <c r="J1918" s="455">
        <f t="array" ref="J1918">IFERROR(INDEX('Retirement Calculator'!J:J,MATCH('Isaac 401k'!N1918,'Retirement Calculator'!A:A,0),0),0)</f>
        <v>0</v>
      </c>
      <c r="K1918" s="455">
        <f t="shared" ca="1" si="136"/>
        <v>-1263952.5172743178</v>
      </c>
      <c r="L1918" s="455">
        <f t="shared" ca="1" si="137"/>
        <v>-304612556.66311061</v>
      </c>
      <c r="M1918" s="471">
        <f t="shared" si="139"/>
        <v>0.05</v>
      </c>
      <c r="N1918" s="475">
        <f t="shared" si="140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38"/>
        <v>-304612556.66311061</v>
      </c>
      <c r="J1919" s="455">
        <f t="array" ref="J1919">IFERROR(INDEX('Retirement Calculator'!J:J,MATCH('Isaac 401k'!N1919,'Retirement Calculator'!A:A,0),0),0)</f>
        <v>0</v>
      </c>
      <c r="K1919" s="455">
        <f t="shared" ca="1" si="136"/>
        <v>-1269218.9860962941</v>
      </c>
      <c r="L1919" s="455">
        <f t="shared" ca="1" si="137"/>
        <v>-305881775.64920694</v>
      </c>
      <c r="M1919" s="471">
        <f t="shared" si="139"/>
        <v>0.05</v>
      </c>
      <c r="N1919" s="475">
        <f t="shared" si="140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38"/>
        <v>-305881775.64920694</v>
      </c>
      <c r="J1920" s="455">
        <f t="array" ref="J1920">IFERROR(INDEX('Retirement Calculator'!J:J,MATCH('Isaac 401k'!N1920,'Retirement Calculator'!A:A,0),0),0)</f>
        <v>0</v>
      </c>
      <c r="K1920" s="455">
        <f t="shared" ca="1" si="136"/>
        <v>-1274507.3985383622</v>
      </c>
      <c r="L1920" s="455">
        <f t="shared" ca="1" si="137"/>
        <v>-307156283.04774529</v>
      </c>
      <c r="M1920" s="471">
        <f t="shared" si="139"/>
        <v>0.05</v>
      </c>
      <c r="N1920" s="475">
        <f t="shared" si="140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38"/>
        <v>-307156283.04774529</v>
      </c>
      <c r="J1921" s="455">
        <f t="array" ref="J1921">IFERROR(INDEX('Retirement Calculator'!J:J,MATCH('Isaac 401k'!N1921,'Retirement Calculator'!A:A,0),0),0)</f>
        <v>0</v>
      </c>
      <c r="K1921" s="455">
        <f t="shared" ca="1" si="136"/>
        <v>-1279817.8460322721</v>
      </c>
      <c r="L1921" s="455">
        <f t="shared" ca="1" si="137"/>
        <v>-308436100.89377755</v>
      </c>
      <c r="M1921" s="471">
        <f t="shared" si="139"/>
        <v>0.05</v>
      </c>
      <c r="N1921" s="475">
        <f t="shared" si="140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38"/>
        <v>-308436100.89377755</v>
      </c>
      <c r="J1922" s="455">
        <f t="array" ref="J1922">IFERROR(INDEX('Retirement Calculator'!J:J,MATCH('Isaac 401k'!N1922,'Retirement Calculator'!A:A,0),0),0)</f>
        <v>0</v>
      </c>
      <c r="K1922" s="455">
        <f t="shared" ca="1" si="136"/>
        <v>-1285150.4203907398</v>
      </c>
      <c r="L1922" s="455">
        <f t="shared" ca="1" si="137"/>
        <v>-309721251.31416827</v>
      </c>
      <c r="M1922" s="471">
        <f t="shared" si="139"/>
        <v>0.05</v>
      </c>
      <c r="N1922" s="475">
        <f t="shared" si="140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38"/>
        <v>-309721251.31416827</v>
      </c>
      <c r="J1923" s="455">
        <f t="array" ref="J1923">IFERROR(INDEX('Retirement Calculator'!J:J,MATCH('Isaac 401k'!N1923,'Retirement Calculator'!A:A,0),0),0)</f>
        <v>0</v>
      </c>
      <c r="K1923" s="455">
        <f t="shared" ca="1" si="136"/>
        <v>-1290505.2138090346</v>
      </c>
      <c r="L1923" s="455">
        <f t="shared" ca="1" si="137"/>
        <v>-311011756.52797729</v>
      </c>
      <c r="M1923" s="471">
        <f t="shared" si="139"/>
        <v>0.05</v>
      </c>
      <c r="N1923" s="475">
        <f t="shared" si="140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38"/>
        <v>-311011756.52797729</v>
      </c>
      <c r="J1924" s="455">
        <f t="array" ref="J1924">IFERROR(INDEX('Retirement Calculator'!J:J,MATCH('Isaac 401k'!N1924,'Retirement Calculator'!A:A,0),0),0)</f>
        <v>0</v>
      </c>
      <c r="K1924" s="455">
        <f t="shared" ca="1" si="136"/>
        <v>-1295882.3188665721</v>
      </c>
      <c r="L1924" s="455">
        <f t="shared" ca="1" si="137"/>
        <v>-312307638.84684384</v>
      </c>
      <c r="M1924" s="471">
        <f t="shared" si="139"/>
        <v>0.05</v>
      </c>
      <c r="N1924" s="475">
        <f t="shared" si="140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38"/>
        <v>-312307638.84684384</v>
      </c>
      <c r="J1925" s="455">
        <f t="array" ref="J1925">IFERROR(INDEX('Retirement Calculator'!J:J,MATCH('Isaac 401k'!N1925,'Retirement Calculator'!A:A,0),0),0)</f>
        <v>0</v>
      </c>
      <c r="K1925" s="455">
        <f t="shared" ca="1" si="136"/>
        <v>-1301281.828528516</v>
      </c>
      <c r="L1925" s="455">
        <f t="shared" ca="1" si="137"/>
        <v>-313608920.67537236</v>
      </c>
      <c r="M1925" s="471">
        <f t="shared" si="139"/>
        <v>0.05</v>
      </c>
      <c r="N1925" s="475">
        <f t="shared" si="140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38"/>
        <v>-313608920.67537236</v>
      </c>
      <c r="J1926" s="455">
        <f t="array" ref="J1926">IFERROR(INDEX('Retirement Calculator'!J:J,MATCH('Isaac 401k'!N1926,'Retirement Calculator'!A:A,0),0),0)</f>
        <v>0</v>
      </c>
      <c r="K1926" s="455">
        <f t="shared" ca="1" si="136"/>
        <v>-1306703.8361473847</v>
      </c>
      <c r="L1926" s="455">
        <f t="shared" ca="1" si="137"/>
        <v>-314915624.51151973</v>
      </c>
      <c r="M1926" s="471">
        <f t="shared" si="139"/>
        <v>0.05</v>
      </c>
      <c r="N1926" s="475">
        <f t="shared" si="140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38"/>
        <v>-314915624.51151973</v>
      </c>
      <c r="J1927" s="455">
        <f t="array" ref="J1927">IFERROR(INDEX('Retirement Calculator'!J:J,MATCH('Isaac 401k'!N1927,'Retirement Calculator'!A:A,0),0),0)</f>
        <v>0</v>
      </c>
      <c r="K1927" s="455">
        <f t="shared" ca="1" si="136"/>
        <v>-1312148.4354646655</v>
      </c>
      <c r="L1927" s="455">
        <f t="shared" ca="1" si="137"/>
        <v>-316227772.94698441</v>
      </c>
      <c r="M1927" s="471">
        <f t="shared" si="139"/>
        <v>0.05</v>
      </c>
      <c r="N1927" s="475">
        <f t="shared" si="140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38"/>
        <v>-316227772.94698441</v>
      </c>
      <c r="J1928" s="455">
        <f t="array" ref="J1928">IFERROR(INDEX('Retirement Calculator'!J:J,MATCH('Isaac 401k'!N1928,'Retirement Calculator'!A:A,0),0),0)</f>
        <v>0</v>
      </c>
      <c r="K1928" s="455">
        <f t="shared" ca="1" si="136"/>
        <v>-1317615.7206124351</v>
      </c>
      <c r="L1928" s="455">
        <f t="shared" ca="1" si="137"/>
        <v>-317545388.66759682</v>
      </c>
      <c r="M1928" s="471">
        <f t="shared" si="139"/>
        <v>0.05</v>
      </c>
      <c r="N1928" s="475">
        <f t="shared" si="140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38"/>
        <v>-317545388.66759682</v>
      </c>
      <c r="J1929" s="455">
        <f t="array" ref="J1929">IFERROR(INDEX('Retirement Calculator'!J:J,MATCH('Isaac 401k'!N1929,'Retirement Calculator'!A:A,0),0),0)</f>
        <v>0</v>
      </c>
      <c r="K1929" s="455">
        <f t="shared" ca="1" si="136"/>
        <v>-1323105.7861149868</v>
      </c>
      <c r="L1929" s="455">
        <f t="shared" ca="1" si="137"/>
        <v>-318868494.45371181</v>
      </c>
      <c r="M1929" s="471">
        <f t="shared" si="139"/>
        <v>0.05</v>
      </c>
      <c r="N1929" s="475">
        <f t="shared" si="140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38"/>
        <v>-318868494.45371181</v>
      </c>
      <c r="J1930" s="455">
        <f t="array" ref="J1930">IFERROR(INDEX('Retirement Calculator'!J:J,MATCH('Isaac 401k'!N1930,'Retirement Calculator'!A:A,0),0),0)</f>
        <v>0</v>
      </c>
      <c r="K1930" s="455">
        <f t="shared" ca="1" si="136"/>
        <v>-1328618.7268904659</v>
      </c>
      <c r="L1930" s="455">
        <f t="shared" ca="1" si="137"/>
        <v>-320197113.18060225</v>
      </c>
      <c r="M1930" s="471">
        <f t="shared" si="139"/>
        <v>0.05</v>
      </c>
      <c r="N1930" s="475">
        <f t="shared" si="140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38"/>
        <v>-320197113.18060225</v>
      </c>
      <c r="J1931" s="455">
        <f t="array" ref="J1931">IFERROR(INDEX('Retirement Calculator'!J:J,MATCH('Isaac 401k'!N1931,'Retirement Calculator'!A:A,0),0),0)</f>
        <v>0</v>
      </c>
      <c r="K1931" s="455">
        <f t="shared" ca="1" si="136"/>
        <v>-1334154.6382525093</v>
      </c>
      <c r="L1931" s="455">
        <f t="shared" ca="1" si="137"/>
        <v>-321531267.81885475</v>
      </c>
      <c r="M1931" s="471">
        <f t="shared" si="139"/>
        <v>0.05</v>
      </c>
      <c r="N1931" s="475">
        <f t="shared" si="140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38"/>
        <v>-321531267.81885475</v>
      </c>
      <c r="J1932" s="455">
        <f t="array" ref="J1932">IFERROR(INDEX('Retirement Calculator'!J:J,MATCH('Isaac 401k'!N1932,'Retirement Calculator'!A:A,0),0),0)</f>
        <v>0</v>
      </c>
      <c r="K1932" s="455">
        <f t="shared" ca="1" si="136"/>
        <v>-1339713.6159118947</v>
      </c>
      <c r="L1932" s="455">
        <f t="shared" ca="1" si="137"/>
        <v>-322870981.43476665</v>
      </c>
      <c r="M1932" s="471">
        <f t="shared" si="139"/>
        <v>0.05</v>
      </c>
      <c r="N1932" s="475">
        <f t="shared" si="140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38"/>
        <v>-322870981.43476665</v>
      </c>
      <c r="J1933" s="455">
        <f t="array" ref="J1933">IFERROR(INDEX('Retirement Calculator'!J:J,MATCH('Isaac 401k'!N1933,'Retirement Calculator'!A:A,0),0),0)</f>
        <v>0</v>
      </c>
      <c r="K1933" s="455">
        <f t="shared" ca="1" si="136"/>
        <v>-1345295.7559781943</v>
      </c>
      <c r="L1933" s="455">
        <f t="shared" ca="1" si="137"/>
        <v>-324216277.19074482</v>
      </c>
      <c r="M1933" s="471">
        <f t="shared" si="139"/>
        <v>0.05</v>
      </c>
      <c r="N1933" s="475">
        <f t="shared" si="140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38"/>
        <v>-324216277.19074482</v>
      </c>
      <c r="J1934" s="455">
        <f t="array" ref="J1934">IFERROR(INDEX('Retirement Calculator'!J:J,MATCH('Isaac 401k'!N1934,'Retirement Calculator'!A:A,0),0),0)</f>
        <v>0</v>
      </c>
      <c r="K1934" s="455">
        <f t="shared" ca="1" si="136"/>
        <v>-1350901.1549614368</v>
      </c>
      <c r="L1934" s="455">
        <f t="shared" ca="1" si="137"/>
        <v>-325567178.34570622</v>
      </c>
      <c r="M1934" s="471">
        <f t="shared" si="139"/>
        <v>0.05</v>
      </c>
      <c r="N1934" s="475">
        <f t="shared" si="140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38"/>
        <v>-325567178.34570622</v>
      </c>
      <c r="J1935" s="455">
        <f t="array" ref="J1935">IFERROR(INDEX('Retirement Calculator'!J:J,MATCH('Isaac 401k'!N1935,'Retirement Calculator'!A:A,0),0),0)</f>
        <v>0</v>
      </c>
      <c r="K1935" s="455">
        <f t="shared" ca="1" si="136"/>
        <v>-1356529.9097737758</v>
      </c>
      <c r="L1935" s="455">
        <f t="shared" ca="1" si="137"/>
        <v>-326923708.25547999</v>
      </c>
      <c r="M1935" s="471">
        <f t="shared" si="139"/>
        <v>0.05</v>
      </c>
      <c r="N1935" s="475">
        <f t="shared" si="140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38"/>
        <v>-326923708.25547999</v>
      </c>
      <c r="J1936" s="455">
        <f t="array" ref="J1936">IFERROR(INDEX('Retirement Calculator'!J:J,MATCH('Isaac 401k'!N1936,'Retirement Calculator'!A:A,0),0),0)</f>
        <v>0</v>
      </c>
      <c r="K1936" s="455">
        <f t="shared" ca="1" si="136"/>
        <v>-1362182.1177311665</v>
      </c>
      <c r="L1936" s="455">
        <f t="shared" ca="1" si="137"/>
        <v>-328285890.37321115</v>
      </c>
      <c r="M1936" s="471">
        <f t="shared" si="139"/>
        <v>0.05</v>
      </c>
      <c r="N1936" s="475">
        <f t="shared" si="140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38"/>
        <v>-328285890.37321115</v>
      </c>
      <c r="J1937" s="455">
        <f t="array" ref="J1937">IFERROR(INDEX('Retirement Calculator'!J:J,MATCH('Isaac 401k'!N1937,'Retirement Calculator'!A:A,0),0),0)</f>
        <v>0</v>
      </c>
      <c r="K1937" s="455">
        <f t="shared" ca="1" si="136"/>
        <v>-1367857.8765550465</v>
      </c>
      <c r="L1937" s="455">
        <f t="shared" ca="1" si="137"/>
        <v>-329653748.24976617</v>
      </c>
      <c r="M1937" s="471">
        <f t="shared" si="139"/>
        <v>0.05</v>
      </c>
      <c r="N1937" s="475">
        <f t="shared" si="140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38"/>
        <v>-329653748.24976617</v>
      </c>
      <c r="J1938" s="455">
        <f t="array" ref="J1938">IFERROR(INDEX('Retirement Calculator'!J:J,MATCH('Isaac 401k'!N1938,'Retirement Calculator'!A:A,0),0),0)</f>
        <v>0</v>
      </c>
      <c r="K1938" s="455">
        <f t="shared" ca="1" si="136"/>
        <v>-1373557.2843740257</v>
      </c>
      <c r="L1938" s="455">
        <f t="shared" ca="1" si="137"/>
        <v>-331027305.53414017</v>
      </c>
      <c r="M1938" s="471">
        <f t="shared" si="139"/>
        <v>0.05</v>
      </c>
      <c r="N1938" s="475">
        <f t="shared" si="140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38"/>
        <v>-331027305.53414017</v>
      </c>
      <c r="J1939" s="455">
        <f t="array" ref="J1939">IFERROR(INDEX('Retirement Calculator'!J:J,MATCH('Isaac 401k'!N1939,'Retirement Calculator'!A:A,0),0),0)</f>
        <v>0</v>
      </c>
      <c r="K1939" s="455">
        <f t="shared" ca="1" si="136"/>
        <v>-1379280.4397255841</v>
      </c>
      <c r="L1939" s="455">
        <f t="shared" ca="1" si="137"/>
        <v>-332406585.97386575</v>
      </c>
      <c r="M1939" s="471">
        <f t="shared" si="139"/>
        <v>0.05</v>
      </c>
      <c r="N1939" s="475">
        <f t="shared" si="140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38"/>
        <v>-332406585.97386575</v>
      </c>
      <c r="J1940" s="455">
        <f t="array" ref="J1940">IFERROR(INDEX('Retirement Calculator'!J:J,MATCH('Isaac 401k'!N1940,'Retirement Calculator'!A:A,0),0),0)</f>
        <v>0</v>
      </c>
      <c r="K1940" s="455">
        <f t="shared" ca="1" si="136"/>
        <v>-1385027.4415577739</v>
      </c>
      <c r="L1940" s="455">
        <f t="shared" ca="1" si="137"/>
        <v>-333791613.41542351</v>
      </c>
      <c r="M1940" s="471">
        <f t="shared" si="139"/>
        <v>0.05</v>
      </c>
      <c r="N1940" s="475">
        <f t="shared" si="140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38"/>
        <v>-333791613.41542351</v>
      </c>
      <c r="J1941" s="455">
        <f t="array" ref="J1941">IFERROR(INDEX('Retirement Calculator'!J:J,MATCH('Isaac 401k'!N1941,'Retirement Calculator'!A:A,0),0),0)</f>
        <v>0</v>
      </c>
      <c r="K1941" s="455">
        <f t="shared" ca="1" si="136"/>
        <v>-1390798.3892309312</v>
      </c>
      <c r="L1941" s="455">
        <f t="shared" ca="1" si="137"/>
        <v>-335182411.80465442</v>
      </c>
      <c r="M1941" s="471">
        <f t="shared" si="139"/>
        <v>0.05</v>
      </c>
      <c r="N1941" s="475">
        <f t="shared" si="140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38"/>
        <v>-335182411.80465442</v>
      </c>
      <c r="J1942" s="455">
        <f t="array" ref="J1942">IFERROR(INDEX('Retirement Calculator'!J:J,MATCH('Isaac 401k'!N1942,'Retirement Calculator'!A:A,0),0),0)</f>
        <v>0</v>
      </c>
      <c r="K1942" s="455">
        <f t="shared" ca="1" si="136"/>
        <v>-1396593.3825193935</v>
      </c>
      <c r="L1942" s="455">
        <f t="shared" ca="1" si="137"/>
        <v>-336579005.18717378</v>
      </c>
      <c r="M1942" s="471">
        <f t="shared" si="139"/>
        <v>0.05</v>
      </c>
      <c r="N1942" s="475">
        <f t="shared" si="140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38"/>
        <v>-336579005.18717378</v>
      </c>
      <c r="J1943" s="455">
        <f t="array" ref="J1943">IFERROR(INDEX('Retirement Calculator'!J:J,MATCH('Isaac 401k'!N1943,'Retirement Calculator'!A:A,0),0),0)</f>
        <v>0</v>
      </c>
      <c r="K1943" s="455">
        <f t="shared" ca="1" si="136"/>
        <v>-1402412.5216132242</v>
      </c>
      <c r="L1943" s="455">
        <f t="shared" ca="1" si="137"/>
        <v>-337981417.70878702</v>
      </c>
      <c r="M1943" s="471">
        <f t="shared" si="139"/>
        <v>0.05</v>
      </c>
      <c r="N1943" s="475">
        <f t="shared" si="140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38"/>
        <v>-337981417.70878702</v>
      </c>
      <c r="J1944" s="455">
        <f t="array" ref="J1944">IFERROR(INDEX('Retirement Calculator'!J:J,MATCH('Isaac 401k'!N1944,'Retirement Calculator'!A:A,0),0),0)</f>
        <v>0</v>
      </c>
      <c r="K1944" s="455">
        <f t="shared" ca="1" si="136"/>
        <v>-1408255.9071199459</v>
      </c>
      <c r="L1944" s="455">
        <f t="shared" ca="1" si="137"/>
        <v>-339389673.61590695</v>
      </c>
      <c r="M1944" s="471">
        <f t="shared" si="139"/>
        <v>0.05</v>
      </c>
      <c r="N1944" s="475">
        <f t="shared" si="140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38"/>
        <v>-339389673.61590695</v>
      </c>
      <c r="J1945" s="455">
        <f t="array" ref="J1945">IFERROR(INDEX('Retirement Calculator'!J:J,MATCH('Isaac 401k'!N1945,'Retirement Calculator'!A:A,0),0),0)</f>
        <v>0</v>
      </c>
      <c r="K1945" s="455">
        <f t="shared" ca="1" si="136"/>
        <v>-1414123.6400662789</v>
      </c>
      <c r="L1945" s="455">
        <f t="shared" ca="1" si="137"/>
        <v>-340803797.25597322</v>
      </c>
      <c r="M1945" s="471">
        <f t="shared" si="139"/>
        <v>0.05</v>
      </c>
      <c r="N1945" s="475">
        <f t="shared" si="140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38"/>
        <v>-340803797.25597322</v>
      </c>
      <c r="J1946" s="455">
        <f t="array" ref="J1946">IFERROR(INDEX('Retirement Calculator'!J:J,MATCH('Isaac 401k'!N1946,'Retirement Calculator'!A:A,0),0),0)</f>
        <v>0</v>
      </c>
      <c r="K1946" s="455">
        <f t="shared" ca="1" si="136"/>
        <v>-1420015.8218998883</v>
      </c>
      <c r="L1946" s="455">
        <f t="shared" ca="1" si="137"/>
        <v>-342223813.07787311</v>
      </c>
      <c r="M1946" s="471">
        <f t="shared" si="139"/>
        <v>0.05</v>
      </c>
      <c r="N1946" s="475">
        <f t="shared" si="140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38"/>
        <v>-342223813.07787311</v>
      </c>
      <c r="J1947" s="455">
        <f t="array" ref="J1947">IFERROR(INDEX('Retirement Calculator'!J:J,MATCH('Isaac 401k'!N1947,'Retirement Calculator'!A:A,0),0),0)</f>
        <v>0</v>
      </c>
      <c r="K1947" s="455">
        <f t="shared" ca="1" si="136"/>
        <v>-1425932.5544911379</v>
      </c>
      <c r="L1947" s="455">
        <f t="shared" ca="1" si="137"/>
        <v>-343649745.63236427</v>
      </c>
      <c r="M1947" s="471">
        <f t="shared" si="139"/>
        <v>0.05</v>
      </c>
      <c r="N1947" s="475">
        <f t="shared" si="140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38"/>
        <v>-343649745.63236427</v>
      </c>
      <c r="J1948" s="455">
        <f t="array" ref="J1948">IFERROR(INDEX('Retirement Calculator'!J:J,MATCH('Isaac 401k'!N1948,'Retirement Calculator'!A:A,0),0),0)</f>
        <v>0</v>
      </c>
      <c r="K1948" s="455">
        <f t="shared" ca="1" si="136"/>
        <v>-1431873.940134851</v>
      </c>
      <c r="L1948" s="455">
        <f t="shared" ca="1" si="137"/>
        <v>-345081619.5724991</v>
      </c>
      <c r="M1948" s="471">
        <f t="shared" si="139"/>
        <v>0.05</v>
      </c>
      <c r="N1948" s="475">
        <f t="shared" si="140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38"/>
        <v>-345081619.5724991</v>
      </c>
      <c r="J1949" s="455">
        <f t="array" ref="J1949">IFERROR(INDEX('Retirement Calculator'!J:J,MATCH('Isaac 401k'!N1949,'Retirement Calculator'!A:A,0),0),0)</f>
        <v>0</v>
      </c>
      <c r="K1949" s="455">
        <f t="shared" ca="1" si="136"/>
        <v>-1437840.0815520796</v>
      </c>
      <c r="L1949" s="455">
        <f t="shared" ca="1" si="137"/>
        <v>-346519459.65405118</v>
      </c>
      <c r="M1949" s="471">
        <f t="shared" si="139"/>
        <v>0.05</v>
      </c>
      <c r="N1949" s="475">
        <f t="shared" si="140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38"/>
        <v>-346519459.65405118</v>
      </c>
      <c r="J1950" s="455">
        <f t="array" ref="J1950">IFERROR(INDEX('Retirement Calculator'!J:J,MATCH('Isaac 401k'!N1950,'Retirement Calculator'!A:A,0),0),0)</f>
        <v>0</v>
      </c>
      <c r="K1950" s="455">
        <f t="shared" ca="1" si="136"/>
        <v>-1443831.0818918799</v>
      </c>
      <c r="L1950" s="455">
        <f t="shared" ca="1" si="137"/>
        <v>-347963290.73594308</v>
      </c>
      <c r="M1950" s="471">
        <f t="shared" si="139"/>
        <v>0.05</v>
      </c>
      <c r="N1950" s="475">
        <f t="shared" si="140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38"/>
        <v>-347963290.73594308</v>
      </c>
      <c r="J1951" s="455">
        <f t="array" ref="J1951">IFERROR(INDEX('Retirement Calculator'!J:J,MATCH('Isaac 401k'!N1951,'Retirement Calculator'!A:A,0),0),0)</f>
        <v>0</v>
      </c>
      <c r="K1951" s="455">
        <f t="shared" ca="1" si="136"/>
        <v>-1449847.0447330961</v>
      </c>
      <c r="L1951" s="455">
        <f t="shared" ca="1" si="137"/>
        <v>-349413137.78067619</v>
      </c>
      <c r="M1951" s="471">
        <f t="shared" si="139"/>
        <v>0.05</v>
      </c>
      <c r="N1951" s="475">
        <f t="shared" si="140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38"/>
        <v>-349413137.78067619</v>
      </c>
      <c r="J1952" s="455">
        <f t="array" ref="J1952">IFERROR(INDEX('Retirement Calculator'!J:J,MATCH('Isaac 401k'!N1952,'Retirement Calculator'!A:A,0),0),0)</f>
        <v>0</v>
      </c>
      <c r="K1952" s="455">
        <f t="shared" ca="1" si="136"/>
        <v>-1455888.0740861509</v>
      </c>
      <c r="L1952" s="455">
        <f t="shared" ca="1" si="137"/>
        <v>-350869025.85476232</v>
      </c>
      <c r="M1952" s="471">
        <f t="shared" si="139"/>
        <v>0.05</v>
      </c>
      <c r="N1952" s="475">
        <f t="shared" si="140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38"/>
        <v>-350869025.85476232</v>
      </c>
      <c r="J1953" s="455">
        <f t="array" ref="J1953">IFERROR(INDEX('Retirement Calculator'!J:J,MATCH('Isaac 401k'!N1953,'Retirement Calculator'!A:A,0),0),0)</f>
        <v>0</v>
      </c>
      <c r="K1953" s="455">
        <f t="shared" ca="1" si="136"/>
        <v>-1461954.274394843</v>
      </c>
      <c r="L1953" s="455">
        <f t="shared" ca="1" si="137"/>
        <v>-352330980.12915719</v>
      </c>
      <c r="M1953" s="471">
        <f t="shared" si="139"/>
        <v>0.05</v>
      </c>
      <c r="N1953" s="475">
        <f t="shared" si="140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38"/>
        <v>-352330980.12915719</v>
      </c>
      <c r="J1954" s="455">
        <f t="array" ref="J1954">IFERROR(INDEX('Retirement Calculator'!J:J,MATCH('Isaac 401k'!N1954,'Retirement Calculator'!A:A,0),0),0)</f>
        <v>0</v>
      </c>
      <c r="K1954" s="455">
        <f t="shared" ca="1" si="136"/>
        <v>-1468045.750538155</v>
      </c>
      <c r="L1954" s="455">
        <f t="shared" ca="1" si="137"/>
        <v>-353799025.87969536</v>
      </c>
      <c r="M1954" s="471">
        <f t="shared" si="139"/>
        <v>0.05</v>
      </c>
      <c r="N1954" s="475">
        <f t="shared" si="140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38"/>
        <v>-353799025.87969536</v>
      </c>
      <c r="J1955" s="455">
        <f t="array" ref="J1955">IFERROR(INDEX('Retirement Calculator'!J:J,MATCH('Isaac 401k'!N1955,'Retirement Calculator'!A:A,0),0),0)</f>
        <v>0</v>
      </c>
      <c r="K1955" s="455">
        <f t="shared" ca="1" si="136"/>
        <v>-1474162.6078320639</v>
      </c>
      <c r="L1955" s="455">
        <f t="shared" ca="1" si="137"/>
        <v>-355273188.48752743</v>
      </c>
      <c r="M1955" s="471">
        <f t="shared" si="139"/>
        <v>0.05</v>
      </c>
      <c r="N1955" s="475">
        <f t="shared" si="140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38"/>
        <v>-355273188.48752743</v>
      </c>
      <c r="J1956" s="455">
        <f t="array" ref="J1956">IFERROR(INDEX('Retirement Calculator'!J:J,MATCH('Isaac 401k'!N1956,'Retirement Calculator'!A:A,0),0),0)</f>
        <v>0</v>
      </c>
      <c r="K1956" s="455">
        <f t="shared" ca="1" si="136"/>
        <v>-1480304.9520313642</v>
      </c>
      <c r="L1956" s="455">
        <f t="shared" ca="1" si="137"/>
        <v>-356753493.4395588</v>
      </c>
      <c r="M1956" s="471">
        <f t="shared" si="139"/>
        <v>0.05</v>
      </c>
      <c r="N1956" s="475">
        <f t="shared" si="140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38"/>
        <v>-356753493.4395588</v>
      </c>
      <c r="J1957" s="455">
        <f t="array" ref="J1957">IFERROR(INDEX('Retirement Calculator'!J:J,MATCH('Isaac 401k'!N1957,'Retirement Calculator'!A:A,0),0),0)</f>
        <v>0</v>
      </c>
      <c r="K1957" s="455">
        <f t="shared" ca="1" si="136"/>
        <v>-1486472.8893314949</v>
      </c>
      <c r="L1957" s="455">
        <f t="shared" ca="1" si="137"/>
        <v>-358239966.32889032</v>
      </c>
      <c r="M1957" s="471">
        <f t="shared" si="139"/>
        <v>0.05</v>
      </c>
      <c r="N1957" s="475">
        <f t="shared" si="140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38"/>
        <v>-358239966.32889032</v>
      </c>
      <c r="J1958" s="455">
        <f t="array" ref="J1958">IFERROR(INDEX('Retirement Calculator'!J:J,MATCH('Isaac 401k'!N1958,'Retirement Calculator'!A:A,0),0),0)</f>
        <v>0</v>
      </c>
      <c r="K1958" s="455">
        <f t="shared" ca="1" si="136"/>
        <v>-1492666.5263703763</v>
      </c>
      <c r="L1958" s="455">
        <f t="shared" ca="1" si="137"/>
        <v>-359732632.85526073</v>
      </c>
      <c r="M1958" s="471">
        <f t="shared" si="139"/>
        <v>0.05</v>
      </c>
      <c r="N1958" s="475">
        <f t="shared" si="140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38"/>
        <v>-359732632.85526073</v>
      </c>
      <c r="J1959" s="455">
        <f t="array" ref="J1959">IFERROR(INDEX('Retirement Calculator'!J:J,MATCH('Isaac 401k'!N1959,'Retirement Calculator'!A:A,0),0),0)</f>
        <v>0</v>
      </c>
      <c r="K1959" s="455">
        <f t="shared" ca="1" si="136"/>
        <v>-1498885.9702302529</v>
      </c>
      <c r="L1959" s="455">
        <f t="shared" ca="1" si="137"/>
        <v>-361231518.82549101</v>
      </c>
      <c r="M1959" s="471">
        <f t="shared" si="139"/>
        <v>0.05</v>
      </c>
      <c r="N1959" s="475">
        <f t="shared" si="140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38"/>
        <v>-361231518.82549101</v>
      </c>
      <c r="J1960" s="455">
        <f t="array" ref="J1960">IFERROR(INDEX('Retirement Calculator'!J:J,MATCH('Isaac 401k'!N1960,'Retirement Calculator'!A:A,0),0),0)</f>
        <v>0</v>
      </c>
      <c r="K1960" s="455">
        <f t="shared" ca="1" si="136"/>
        <v>-1505131.3284395458</v>
      </c>
      <c r="L1960" s="455">
        <f t="shared" ca="1" si="137"/>
        <v>-362736650.15393054</v>
      </c>
      <c r="M1960" s="471">
        <f t="shared" si="139"/>
        <v>0.05</v>
      </c>
      <c r="N1960" s="475">
        <f t="shared" si="140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38"/>
        <v>-362736650.15393054</v>
      </c>
      <c r="J1961" s="455">
        <f t="array" ref="J1961">IFERROR(INDEX('Retirement Calculator'!J:J,MATCH('Isaac 401k'!N1961,'Retirement Calculator'!A:A,0),0),0)</f>
        <v>0</v>
      </c>
      <c r="K1961" s="455">
        <f t="shared" ca="1" si="136"/>
        <v>-1511402.7089747107</v>
      </c>
      <c r="L1961" s="455">
        <f t="shared" ca="1" si="137"/>
        <v>-364248052.86290526</v>
      </c>
      <c r="M1961" s="471">
        <f t="shared" si="139"/>
        <v>0.05</v>
      </c>
      <c r="N1961" s="475">
        <f t="shared" si="140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38"/>
        <v>-364248052.86290526</v>
      </c>
      <c r="J1962" s="455">
        <f t="array" ref="J1962">IFERROR(INDEX('Retirement Calculator'!J:J,MATCH('Isaac 401k'!N1962,'Retirement Calculator'!A:A,0),0),0)</f>
        <v>0</v>
      </c>
      <c r="K1962" s="455">
        <f t="shared" ca="1" si="136"/>
        <v>-1517700.2202621053</v>
      </c>
      <c r="L1962" s="455">
        <f t="shared" ca="1" si="137"/>
        <v>-365765753.08316737</v>
      </c>
      <c r="M1962" s="471">
        <f t="shared" si="139"/>
        <v>0.05</v>
      </c>
      <c r="N1962" s="475">
        <f t="shared" si="140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38"/>
        <v>-365765753.08316737</v>
      </c>
      <c r="J1963" s="455">
        <f t="array" ref="J1963">IFERROR(INDEX('Retirement Calculator'!J:J,MATCH('Isaac 401k'!N1963,'Retirement Calculator'!A:A,0),0),0)</f>
        <v>0</v>
      </c>
      <c r="K1963" s="455">
        <f t="shared" ca="1" si="136"/>
        <v>-1524023.9711798641</v>
      </c>
      <c r="L1963" s="455">
        <f t="shared" ca="1" si="137"/>
        <v>-367289777.05434722</v>
      </c>
      <c r="M1963" s="471">
        <f t="shared" si="139"/>
        <v>0.05</v>
      </c>
      <c r="N1963" s="475">
        <f t="shared" si="140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38"/>
        <v>-367289777.05434722</v>
      </c>
      <c r="J1964" s="455">
        <f t="array" ref="J1964">IFERROR(INDEX('Retirement Calculator'!J:J,MATCH('Isaac 401k'!N1964,'Retirement Calculator'!A:A,0),0),0)</f>
        <v>0</v>
      </c>
      <c r="K1964" s="455">
        <f t="shared" ca="1" si="136"/>
        <v>-1530374.07105978</v>
      </c>
      <c r="L1964" s="455">
        <f t="shared" ca="1" si="137"/>
        <v>-368820151.12540698</v>
      </c>
      <c r="M1964" s="471">
        <f t="shared" si="139"/>
        <v>0.05</v>
      </c>
      <c r="N1964" s="475">
        <f t="shared" si="140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38"/>
        <v>-368820151.12540698</v>
      </c>
      <c r="J1965" s="455">
        <f t="array" ref="J1965">IFERROR(INDEX('Retirement Calculator'!J:J,MATCH('Isaac 401k'!N1965,'Retirement Calculator'!A:A,0),0),0)</f>
        <v>0</v>
      </c>
      <c r="K1965" s="455">
        <f t="shared" ca="1" si="136"/>
        <v>-1536750.6296891957</v>
      </c>
      <c r="L1965" s="455">
        <f t="shared" ca="1" si="137"/>
        <v>-370356901.7550962</v>
      </c>
      <c r="M1965" s="471">
        <f t="shared" si="139"/>
        <v>0.05</v>
      </c>
      <c r="N1965" s="475">
        <f t="shared" si="140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38"/>
        <v>-370356901.7550962</v>
      </c>
      <c r="J1966" s="455">
        <f t="array" ref="J1966">IFERROR(INDEX('Retirement Calculator'!J:J,MATCH('Isaac 401k'!N1966,'Retirement Calculator'!A:A,0),0),0)</f>
        <v>0</v>
      </c>
      <c r="K1966" s="455">
        <f t="shared" ca="1" si="136"/>
        <v>-1543153.7573129009</v>
      </c>
      <c r="L1966" s="455">
        <f t="shared" ca="1" si="137"/>
        <v>-371900055.51240909</v>
      </c>
      <c r="M1966" s="471">
        <f t="shared" si="139"/>
        <v>0.05</v>
      </c>
      <c r="N1966" s="475">
        <f t="shared" si="140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38"/>
        <v>-371900055.51240909</v>
      </c>
      <c r="J1967" s="455">
        <f t="array" ref="J1967">IFERROR(INDEX('Retirement Calculator'!J:J,MATCH('Isaac 401k'!N1967,'Retirement Calculator'!A:A,0),0),0)</f>
        <v>0</v>
      </c>
      <c r="K1967" s="455">
        <f t="shared" ca="1" si="136"/>
        <v>-1549583.5646350379</v>
      </c>
      <c r="L1967" s="455">
        <f t="shared" ca="1" si="137"/>
        <v>-373449639.07704413</v>
      </c>
      <c r="M1967" s="471">
        <f t="shared" si="139"/>
        <v>0.05</v>
      </c>
      <c r="N1967" s="475">
        <f t="shared" si="140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38"/>
        <v>-373449639.07704413</v>
      </c>
      <c r="J1968" s="455">
        <f t="array" ref="J1968">IFERROR(INDEX('Retirement Calculator'!J:J,MATCH('Isaac 401k'!N1968,'Retirement Calculator'!A:A,0),0),0)</f>
        <v>0</v>
      </c>
      <c r="K1968" s="455">
        <f t="shared" ca="1" si="136"/>
        <v>-1556040.1628210172</v>
      </c>
      <c r="L1968" s="455">
        <f t="shared" ca="1" si="137"/>
        <v>-375005679.23986512</v>
      </c>
      <c r="M1968" s="471">
        <f t="shared" si="139"/>
        <v>0.05</v>
      </c>
      <c r="N1968" s="475">
        <f t="shared" si="140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38"/>
        <v>-375005679.23986512</v>
      </c>
      <c r="J1969" s="455">
        <f t="array" ref="J1969">IFERROR(INDEX('Retirement Calculator'!J:J,MATCH('Isaac 401k'!N1969,'Retirement Calculator'!A:A,0),0),0)</f>
        <v>0</v>
      </c>
      <c r="K1969" s="455">
        <f t="shared" ca="1" si="136"/>
        <v>-1562523.663499438</v>
      </c>
      <c r="L1969" s="455">
        <f t="shared" ca="1" si="137"/>
        <v>-376568202.90336454</v>
      </c>
      <c r="M1969" s="471">
        <f t="shared" si="139"/>
        <v>0.05</v>
      </c>
      <c r="N1969" s="475">
        <f t="shared" si="140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38"/>
        <v>-376568202.90336454</v>
      </c>
      <c r="J1970" s="455">
        <f t="array" ref="J1970">IFERROR(INDEX('Retirement Calculator'!J:J,MATCH('Isaac 401k'!N1970,'Retirement Calculator'!A:A,0),0),0)</f>
        <v>0</v>
      </c>
      <c r="K1970" s="455">
        <f t="shared" ca="1" si="136"/>
        <v>-1569034.1787640189</v>
      </c>
      <c r="L1970" s="455">
        <f t="shared" ca="1" si="137"/>
        <v>-378137237.08212858</v>
      </c>
      <c r="M1970" s="471">
        <f t="shared" si="139"/>
        <v>0.05</v>
      </c>
      <c r="N1970" s="475">
        <f t="shared" si="140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38"/>
        <v>-378137237.08212858</v>
      </c>
      <c r="J1971" s="455">
        <f t="array" ref="J1971">IFERROR(INDEX('Retirement Calculator'!J:J,MATCH('Isaac 401k'!N1971,'Retirement Calculator'!A:A,0),0),0)</f>
        <v>0</v>
      </c>
      <c r="K1971" s="455">
        <f t="shared" ca="1" si="136"/>
        <v>-1575571.8211755357</v>
      </c>
      <c r="L1971" s="455">
        <f t="shared" ca="1" si="137"/>
        <v>-379712808.9033041</v>
      </c>
      <c r="M1971" s="471">
        <f t="shared" si="139"/>
        <v>0.05</v>
      </c>
      <c r="N1971" s="475">
        <f t="shared" si="140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38"/>
        <v>-379712808.9033041</v>
      </c>
      <c r="J1972" s="455">
        <f t="array" ref="J1972">IFERROR(INDEX('Retirement Calculator'!J:J,MATCH('Isaac 401k'!N1972,'Retirement Calculator'!A:A,0),0),0)</f>
        <v>0</v>
      </c>
      <c r="K1972" s="455">
        <f t="shared" ca="1" si="136"/>
        <v>-1582136.7037637671</v>
      </c>
      <c r="L1972" s="455">
        <f t="shared" ca="1" si="137"/>
        <v>-381294945.60706788</v>
      </c>
      <c r="M1972" s="471">
        <f t="shared" si="139"/>
        <v>0.05</v>
      </c>
      <c r="N1972" s="475">
        <f t="shared" si="140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38"/>
        <v>-381294945.60706788</v>
      </c>
      <c r="J1973" s="455">
        <f t="array" ref="J1973">IFERROR(INDEX('Retirement Calculator'!J:J,MATCH('Isaac 401k'!N1973,'Retirement Calculator'!A:A,0),0),0)</f>
        <v>0</v>
      </c>
      <c r="K1973" s="455">
        <f t="shared" ca="1" si="136"/>
        <v>-1588728.9400294495</v>
      </c>
      <c r="L1973" s="455">
        <f t="shared" ca="1" si="137"/>
        <v>-382883674.54709733</v>
      </c>
      <c r="M1973" s="471">
        <f t="shared" si="139"/>
        <v>0.05</v>
      </c>
      <c r="N1973" s="475">
        <f t="shared" si="140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38"/>
        <v>-382883674.54709733</v>
      </c>
      <c r="J1974" s="455">
        <f t="array" ref="J1974">IFERROR(INDEX('Retirement Calculator'!J:J,MATCH('Isaac 401k'!N1974,'Retirement Calculator'!A:A,0),0),0)</f>
        <v>0</v>
      </c>
      <c r="K1974" s="455">
        <f t="shared" ca="1" si="136"/>
        <v>-1595348.6439462388</v>
      </c>
      <c r="L1974" s="455">
        <f t="shared" ca="1" si="137"/>
        <v>-384479023.19104356</v>
      </c>
      <c r="M1974" s="471">
        <f t="shared" si="139"/>
        <v>0.05</v>
      </c>
      <c r="N1974" s="475">
        <f t="shared" si="140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38"/>
        <v>-384479023.19104356</v>
      </c>
      <c r="J1975" s="455">
        <f t="array" ref="J1975">IFERROR(INDEX('Retirement Calculator'!J:J,MATCH('Isaac 401k'!N1975,'Retirement Calculator'!A:A,0),0),0)</f>
        <v>0</v>
      </c>
      <c r="K1975" s="455">
        <f t="shared" ca="1" si="136"/>
        <v>-1601995.9299626814</v>
      </c>
      <c r="L1975" s="455">
        <f t="shared" ca="1" si="137"/>
        <v>-386081019.12100625</v>
      </c>
      <c r="M1975" s="471">
        <f t="shared" si="139"/>
        <v>0.05</v>
      </c>
      <c r="N1975" s="475">
        <f t="shared" si="140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38"/>
        <v>-386081019.12100625</v>
      </c>
      <c r="J1976" s="455">
        <f t="array" ref="J1976">IFERROR(INDEX('Retirement Calculator'!J:J,MATCH('Isaac 401k'!N1976,'Retirement Calculator'!A:A,0),0),0)</f>
        <v>0</v>
      </c>
      <c r="K1976" s="455">
        <f t="shared" ca="1" si="136"/>
        <v>-1608670.9130041928</v>
      </c>
      <c r="L1976" s="455">
        <f t="shared" ca="1" si="137"/>
        <v>-387689690.03401047</v>
      </c>
      <c r="M1976" s="471">
        <f t="shared" si="139"/>
        <v>0.05</v>
      </c>
      <c r="N1976" s="475">
        <f t="shared" si="140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38"/>
        <v>-387689690.03401047</v>
      </c>
      <c r="J1977" s="455">
        <f t="array" ref="J1977">IFERROR(INDEX('Retirement Calculator'!J:J,MATCH('Isaac 401k'!N1977,'Retirement Calculator'!A:A,0),0),0)</f>
        <v>0</v>
      </c>
      <c r="K1977" s="455">
        <f t="shared" ca="1" si="136"/>
        <v>-1615373.7084750435</v>
      </c>
      <c r="L1977" s="455">
        <f t="shared" ca="1" si="137"/>
        <v>-389305063.74248552</v>
      </c>
      <c r="M1977" s="471">
        <f t="shared" si="139"/>
        <v>0.05</v>
      </c>
      <c r="N1977" s="475">
        <f t="shared" si="140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38"/>
        <v>-389305063.74248552</v>
      </c>
      <c r="J1978" s="455">
        <f t="array" ref="J1978">IFERROR(INDEX('Retirement Calculator'!J:J,MATCH('Isaac 401k'!N1978,'Retirement Calculator'!A:A,0),0),0)</f>
        <v>0</v>
      </c>
      <c r="K1978" s="455">
        <f t="shared" ca="1" si="136"/>
        <v>-1622104.4322603564</v>
      </c>
      <c r="L1978" s="455">
        <f t="shared" ca="1" si="137"/>
        <v>-390927168.17474586</v>
      </c>
      <c r="M1978" s="471">
        <f t="shared" si="139"/>
        <v>0.05</v>
      </c>
      <c r="N1978" s="475">
        <f t="shared" si="140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38"/>
        <v>-390927168.17474586</v>
      </c>
      <c r="J1979" s="455">
        <f t="array" ref="J1979">IFERROR(INDEX('Retirement Calculator'!J:J,MATCH('Isaac 401k'!N1979,'Retirement Calculator'!A:A,0),0),0)</f>
        <v>0</v>
      </c>
      <c r="K1979" s="455">
        <f t="shared" ca="1" si="136"/>
        <v>-1628863.2007281077</v>
      </c>
      <c r="L1979" s="455">
        <f t="shared" ca="1" si="137"/>
        <v>-392556031.37547398</v>
      </c>
      <c r="M1979" s="471">
        <f t="shared" si="139"/>
        <v>0.05</v>
      </c>
      <c r="N1979" s="475">
        <f t="shared" si="140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38"/>
        <v>-392556031.37547398</v>
      </c>
      <c r="J1980" s="455">
        <f t="array" ref="J1980">IFERROR(INDEX('Retirement Calculator'!J:J,MATCH('Isaac 401k'!N1980,'Retirement Calculator'!A:A,0),0),0)</f>
        <v>0</v>
      </c>
      <c r="K1980" s="455">
        <f t="shared" ca="1" si="136"/>
        <v>-1635650.1307311417</v>
      </c>
      <c r="L1980" s="455">
        <f t="shared" ca="1" si="137"/>
        <v>-394191681.50620514</v>
      </c>
      <c r="M1980" s="471">
        <f t="shared" si="139"/>
        <v>0.05</v>
      </c>
      <c r="N1980" s="475">
        <f t="shared" si="140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38"/>
        <v>-394191681.50620514</v>
      </c>
      <c r="J1981" s="455">
        <f t="array" ref="J1981">IFERROR(INDEX('Retirement Calculator'!J:J,MATCH('Isaac 401k'!N1981,'Retirement Calculator'!A:A,0),0),0)</f>
        <v>0</v>
      </c>
      <c r="K1981" s="455">
        <f t="shared" ca="1" si="136"/>
        <v>-1642465.339609188</v>
      </c>
      <c r="L1981" s="455">
        <f t="shared" ca="1" si="137"/>
        <v>-395834146.84581435</v>
      </c>
      <c r="M1981" s="471">
        <f t="shared" si="139"/>
        <v>0.05</v>
      </c>
      <c r="N1981" s="475">
        <f t="shared" si="140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38"/>
        <v>-395834146.84581435</v>
      </c>
      <c r="J1982" s="455">
        <f t="array" ref="J1982">IFERROR(INDEX('Retirement Calculator'!J:J,MATCH('Isaac 401k'!N1982,'Retirement Calculator'!A:A,0),0),0)</f>
        <v>0</v>
      </c>
      <c r="K1982" s="455">
        <f t="shared" ca="1" si="136"/>
        <v>-1649308.945190893</v>
      </c>
      <c r="L1982" s="455">
        <f t="shared" ca="1" si="137"/>
        <v>-397483455.79100525</v>
      </c>
      <c r="M1982" s="471">
        <f t="shared" si="139"/>
        <v>0.05</v>
      </c>
      <c r="N1982" s="475">
        <f t="shared" si="140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38"/>
        <v>-397483455.79100525</v>
      </c>
      <c r="J1983" s="455">
        <f t="array" ref="J1983">IFERROR(INDEX('Retirement Calculator'!J:J,MATCH('Isaac 401k'!N1983,'Retirement Calculator'!A:A,0),0),0)</f>
        <v>0</v>
      </c>
      <c r="K1983" s="455">
        <f t="shared" ca="1" si="136"/>
        <v>-1656181.0657958551</v>
      </c>
      <c r="L1983" s="455">
        <f t="shared" ca="1" si="137"/>
        <v>-399139636.85680109</v>
      </c>
      <c r="M1983" s="471">
        <f t="shared" si="139"/>
        <v>0.05</v>
      </c>
      <c r="N1983" s="475">
        <f t="shared" si="140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38"/>
        <v>-399139636.85680109</v>
      </c>
      <c r="J1984" s="455">
        <f t="array" ref="J1984">IFERROR(INDEX('Retirement Calculator'!J:J,MATCH('Isaac 401k'!N1984,'Retirement Calculator'!A:A,0),0),0)</f>
        <v>0</v>
      </c>
      <c r="K1984" s="455">
        <f t="shared" ca="1" si="136"/>
        <v>-1663081.8202366713</v>
      </c>
      <c r="L1984" s="455">
        <f t="shared" ca="1" si="137"/>
        <v>-400802718.67703778</v>
      </c>
      <c r="M1984" s="471">
        <f t="shared" si="139"/>
        <v>0.05</v>
      </c>
      <c r="N1984" s="475">
        <f t="shared" si="140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38"/>
        <v>-400802718.67703778</v>
      </c>
      <c r="J1985" s="455">
        <f t="array" ref="J1985">IFERROR(INDEX('Retirement Calculator'!J:J,MATCH('Isaac 401k'!N1985,'Retirement Calculator'!A:A,0),0),0)</f>
        <v>0</v>
      </c>
      <c r="K1985" s="455">
        <f t="shared" ca="1" si="136"/>
        <v>-1670011.3278209907</v>
      </c>
      <c r="L1985" s="455">
        <f t="shared" ca="1" si="137"/>
        <v>-402472730.00485879</v>
      </c>
      <c r="M1985" s="471">
        <f t="shared" si="139"/>
        <v>0.05</v>
      </c>
      <c r="N1985" s="475">
        <f t="shared" si="140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38"/>
        <v>-402472730.00485879</v>
      </c>
      <c r="J1986" s="455">
        <f t="array" ref="J1986">IFERROR(INDEX('Retirement Calculator'!J:J,MATCH('Isaac 401k'!N1986,'Retirement Calculator'!A:A,0),0),0)</f>
        <v>0</v>
      </c>
      <c r="K1986" s="455">
        <f t="shared" ca="1" si="136"/>
        <v>-1676969.7083535783</v>
      </c>
      <c r="L1986" s="455">
        <f t="shared" ca="1" si="137"/>
        <v>-404149699.71321237</v>
      </c>
      <c r="M1986" s="471">
        <f t="shared" si="139"/>
        <v>0.05</v>
      </c>
      <c r="N1986" s="475">
        <f t="shared" si="140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38"/>
        <v>-404149699.71321237</v>
      </c>
      <c r="J1987" s="455">
        <f t="array" ref="J1987">IFERROR(INDEX('Retirement Calculator'!J:J,MATCH('Isaac 401k'!N1987,'Retirement Calculator'!A:A,0),0),0)</f>
        <v>0</v>
      </c>
      <c r="K1987" s="455">
        <f t="shared" ca="1" si="136"/>
        <v>-1683957.0821383849</v>
      </c>
      <c r="L1987" s="455">
        <f t="shared" ca="1" si="137"/>
        <v>-405833656.79535073</v>
      </c>
      <c r="M1987" s="471">
        <f t="shared" si="139"/>
        <v>0.05</v>
      </c>
      <c r="N1987" s="475">
        <f t="shared" si="140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38"/>
        <v>-405833656.79535073</v>
      </c>
      <c r="J1988" s="455">
        <f t="array" ref="J1988">IFERROR(INDEX('Retirement Calculator'!J:J,MATCH('Isaac 401k'!N1988,'Retirement Calculator'!A:A,0),0),0)</f>
        <v>0</v>
      </c>
      <c r="K1988" s="455">
        <f t="shared" ca="1" si="136"/>
        <v>-1690973.5699806281</v>
      </c>
      <c r="L1988" s="455">
        <f t="shared" ca="1" si="137"/>
        <v>-407524630.36533135</v>
      </c>
      <c r="M1988" s="471">
        <f t="shared" si="139"/>
        <v>0.05</v>
      </c>
      <c r="N1988" s="475">
        <f t="shared" si="140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38"/>
        <v>-407524630.36533135</v>
      </c>
      <c r="J1989" s="455">
        <f t="array" ref="J1989">IFERROR(INDEX('Retirement Calculator'!J:J,MATCH('Isaac 401k'!N1989,'Retirement Calculator'!A:A,0),0),0)</f>
        <v>0</v>
      </c>
      <c r="K1989" s="455">
        <f t="shared" ca="1" si="136"/>
        <v>-1698019.2931888807</v>
      </c>
      <c r="L1989" s="455">
        <f t="shared" ca="1" si="137"/>
        <v>-409222649.65852022</v>
      </c>
      <c r="M1989" s="471">
        <f t="shared" si="139"/>
        <v>0.05</v>
      </c>
      <c r="N1989" s="475">
        <f t="shared" si="140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38"/>
        <v>-409222649.65852022</v>
      </c>
      <c r="J1990" s="455">
        <f t="array" ref="J1990">IFERROR(INDEX('Retirement Calculator'!J:J,MATCH('Isaac 401k'!N1990,'Retirement Calculator'!A:A,0),0),0)</f>
        <v>0</v>
      </c>
      <c r="K1990" s="455">
        <f t="shared" ca="1" si="136"/>
        <v>-1705094.3735771675</v>
      </c>
      <c r="L1990" s="455">
        <f t="shared" ca="1" si="137"/>
        <v>-410927744.0320974</v>
      </c>
      <c r="M1990" s="471">
        <f t="shared" si="139"/>
        <v>0.05</v>
      </c>
      <c r="N1990" s="475">
        <f t="shared" si="140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38"/>
        <v>-410927744.0320974</v>
      </c>
      <c r="J1991" s="455">
        <f t="array" ref="J1991">IFERROR(INDEX('Retirement Calculator'!J:J,MATCH('Isaac 401k'!N1991,'Retirement Calculator'!A:A,0),0),0)</f>
        <v>0</v>
      </c>
      <c r="K1991" s="455">
        <f t="shared" ca="1" si="136"/>
        <v>-1712198.9334670724</v>
      </c>
      <c r="L1991" s="455">
        <f t="shared" ca="1" si="137"/>
        <v>-412639942.96556449</v>
      </c>
      <c r="M1991" s="471">
        <f t="shared" si="139"/>
        <v>0.05</v>
      </c>
      <c r="N1991" s="475">
        <f t="shared" si="140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38"/>
        <v>-412639942.96556449</v>
      </c>
      <c r="J1992" s="455">
        <f t="array" ref="J1992">IFERROR(INDEX('Retirement Calculator'!J:J,MATCH('Isaac 401k'!N1992,'Retirement Calculator'!A:A,0),0),0)</f>
        <v>0</v>
      </c>
      <c r="K1992" s="455">
        <f t="shared" ca="1" si="136"/>
        <v>-1719333.095689852</v>
      </c>
      <c r="L1992" s="455">
        <f t="shared" ca="1" si="137"/>
        <v>-414359276.06125432</v>
      </c>
      <c r="M1992" s="471">
        <f t="shared" si="139"/>
        <v>0.05</v>
      </c>
      <c r="N1992" s="475">
        <f t="shared" si="140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38"/>
        <v>-414359276.06125432</v>
      </c>
      <c r="J1993" s="455">
        <f t="array" ref="J1993">IFERROR(INDEX('Retirement Calculator'!J:J,MATCH('Isaac 401k'!N1993,'Retirement Calculator'!A:A,0),0),0)</f>
        <v>0</v>
      </c>
      <c r="K1993" s="455">
        <f t="shared" ca="1" si="136"/>
        <v>-1726496.9835885596</v>
      </c>
      <c r="L1993" s="455">
        <f t="shared" ca="1" si="137"/>
        <v>-416085773.0448429</v>
      </c>
      <c r="M1993" s="471">
        <f t="shared" si="139"/>
        <v>0.05</v>
      </c>
      <c r="N1993" s="475">
        <f t="shared" si="140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38"/>
        <v>-416085773.0448429</v>
      </c>
      <c r="J1994" s="455">
        <f t="array" ref="J1994">IFERROR(INDEX('Retirement Calculator'!J:J,MATCH('Isaac 401k'!N1994,'Retirement Calculator'!A:A,0),0),0)</f>
        <v>0</v>
      </c>
      <c r="K1994" s="455">
        <f t="shared" ca="1" si="136"/>
        <v>-1733690.7210201786</v>
      </c>
      <c r="L1994" s="455">
        <f t="shared" ca="1" si="137"/>
        <v>-417819463.76586306</v>
      </c>
      <c r="M1994" s="471">
        <f t="shared" si="139"/>
        <v>0.05</v>
      </c>
      <c r="N1994" s="475">
        <f t="shared" si="140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38"/>
        <v>-417819463.76586306</v>
      </c>
      <c r="J1995" s="455">
        <f t="array" ref="J1995">IFERROR(INDEX('Retirement Calculator'!J:J,MATCH('Isaac 401k'!N1995,'Retirement Calculator'!A:A,0),0),0)</f>
        <v>0</v>
      </c>
      <c r="K1995" s="455">
        <f t="shared" ca="1" si="136"/>
        <v>-1740914.4323577627</v>
      </c>
      <c r="L1995" s="455">
        <f t="shared" ca="1" si="137"/>
        <v>-419560378.19822085</v>
      </c>
      <c r="M1995" s="471">
        <f t="shared" si="139"/>
        <v>0.05</v>
      </c>
      <c r="N1995" s="475">
        <f t="shared" si="140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38"/>
        <v>-419560378.19822085</v>
      </c>
      <c r="J1996" s="455">
        <f t="array" ref="J1996">IFERROR(INDEX('Retirement Calculator'!J:J,MATCH('Isaac 401k'!N1996,'Retirement Calculator'!A:A,0),0),0)</f>
        <v>0</v>
      </c>
      <c r="K1996" s="455">
        <f t="shared" ca="1" si="136"/>
        <v>-1748168.2424925866</v>
      </c>
      <c r="L1996" s="455">
        <f t="shared" ca="1" si="137"/>
        <v>-421308546.44071347</v>
      </c>
      <c r="M1996" s="471">
        <f t="shared" si="139"/>
        <v>0.05</v>
      </c>
      <c r="N1996" s="475">
        <f t="shared" si="140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38"/>
        <v>-421308546.44071347</v>
      </c>
      <c r="J1997" s="455">
        <f t="array" ref="J1997">IFERROR(INDEX('Retirement Calculator'!J:J,MATCH('Isaac 401k'!N1997,'Retirement Calculator'!A:A,0),0),0)</f>
        <v>0</v>
      </c>
      <c r="K1997" s="455">
        <f t="shared" ca="1" si="136"/>
        <v>-1755452.2768363061</v>
      </c>
      <c r="L1997" s="455">
        <f t="shared" ca="1" si="137"/>
        <v>-423063998.7175498</v>
      </c>
      <c r="M1997" s="471">
        <f t="shared" si="139"/>
        <v>0.05</v>
      </c>
      <c r="N1997" s="475">
        <f t="shared" si="140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38"/>
        <v>-423063998.7175498</v>
      </c>
      <c r="J1998" s="455">
        <f t="array" ref="J1998">IFERROR(INDEX('Retirement Calculator'!J:J,MATCH('Isaac 401k'!N1998,'Retirement Calculator'!A:A,0),0),0)</f>
        <v>0</v>
      </c>
      <c r="K1998" s="455">
        <f t="shared" ca="1" si="136"/>
        <v>-1762766.6613231241</v>
      </c>
      <c r="L1998" s="455">
        <f t="shared" ca="1" si="137"/>
        <v>-424826765.37887293</v>
      </c>
      <c r="M1998" s="471">
        <f t="shared" si="139"/>
        <v>0.05</v>
      </c>
      <c r="N1998" s="475">
        <f t="shared" si="140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38"/>
        <v>-424826765.37887293</v>
      </c>
      <c r="J1999" s="455">
        <f t="array" ref="J1999">IFERROR(INDEX('Retirement Calculator'!J:J,MATCH('Isaac 401k'!N1999,'Retirement Calculator'!A:A,0),0),0)</f>
        <v>0</v>
      </c>
      <c r="K1999" s="455">
        <f t="shared" ca="1" si="136"/>
        <v>-1770111.5224119704</v>
      </c>
      <c r="L1999" s="455">
        <f t="shared" ca="1" si="137"/>
        <v>-426596876.90128487</v>
      </c>
      <c r="M1999" s="471">
        <f t="shared" si="139"/>
        <v>0.05</v>
      </c>
      <c r="N1999" s="475">
        <f t="shared" si="140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38"/>
        <v>-426596876.90128487</v>
      </c>
      <c r="J2000" s="455">
        <f t="array" ref="J2000">IFERROR(INDEX('Retirement Calculator'!J:J,MATCH('Isaac 401k'!N2000,'Retirement Calculator'!A:A,0),0),0)</f>
        <v>0</v>
      </c>
      <c r="K2000" s="455">
        <f t="shared" ca="1" si="136"/>
        <v>-1777486.987088687</v>
      </c>
      <c r="L2000" s="455">
        <f t="shared" ca="1" si="137"/>
        <v>-428374363.88837355</v>
      </c>
      <c r="M2000" s="471">
        <f t="shared" si="139"/>
        <v>0.05</v>
      </c>
      <c r="N2000" s="475">
        <f t="shared" si="140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38"/>
        <v>-428374363.88837355</v>
      </c>
      <c r="J2001" s="455">
        <f t="array" ref="J2001">IFERROR(INDEX('Retirement Calculator'!J:J,MATCH('Isaac 401k'!N2001,'Retirement Calculator'!A:A,0),0),0)</f>
        <v>0</v>
      </c>
      <c r="K2001" s="455">
        <f t="shared" ca="1" si="136"/>
        <v>-1784893.1828682229</v>
      </c>
      <c r="L2001" s="455">
        <f t="shared" ca="1" si="137"/>
        <v>-430159257.0712418</v>
      </c>
      <c r="M2001" s="471">
        <f t="shared" si="139"/>
        <v>0.05</v>
      </c>
      <c r="N2001" s="475">
        <f t="shared" si="140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38"/>
        <v>-430159257.0712418</v>
      </c>
      <c r="J2002" s="455">
        <f t="array" ref="J2002">IFERROR(INDEX('Retirement Calculator'!J:J,MATCH('Isaac 401k'!N2002,'Retirement Calculator'!A:A,0),0),0)</f>
        <v>0</v>
      </c>
      <c r="K2002" s="455">
        <f t="shared" ca="1" si="136"/>
        <v>-1792330.2377968407</v>
      </c>
      <c r="L2002" s="455">
        <f t="shared" ca="1" si="137"/>
        <v>-431951587.30903864</v>
      </c>
      <c r="M2002" s="471">
        <f t="shared" si="139"/>
        <v>0.05</v>
      </c>
      <c r="N2002" s="475">
        <f t="shared" si="140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38"/>
        <v>-431951587.30903864</v>
      </c>
      <c r="J2003" s="455">
        <f t="array" ref="J2003">IFERROR(INDEX('Retirement Calculator'!J:J,MATCH('Isaac 401k'!N2003,'Retirement Calculator'!A:A,0),0),0)</f>
        <v>0</v>
      </c>
      <c r="K2003" s="455">
        <f t="shared" ca="1" si="136"/>
        <v>-1799798.2804543276</v>
      </c>
      <c r="L2003" s="455">
        <f t="shared" ca="1" si="137"/>
        <v>-433751385.58949298</v>
      </c>
      <c r="M2003" s="471">
        <f t="shared" si="139"/>
        <v>0.05</v>
      </c>
      <c r="N2003" s="475">
        <f t="shared" si="140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38"/>
        <v>-433751385.58949298</v>
      </c>
      <c r="J2004" s="455">
        <f t="array" ref="J2004">IFERROR(INDEX('Retirement Calculator'!J:J,MATCH('Isaac 401k'!N2004,'Retirement Calculator'!A:A,0),0),0)</f>
        <v>0</v>
      </c>
      <c r="K2004" s="455">
        <f t="shared" ca="1" si="136"/>
        <v>-1807297.439956221</v>
      </c>
      <c r="L2004" s="455">
        <f t="shared" ca="1" si="137"/>
        <v>-435558683.02944922</v>
      </c>
      <c r="M2004" s="471">
        <f t="shared" si="139"/>
        <v>0.05</v>
      </c>
      <c r="N2004" s="475">
        <f t="shared" si="140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38"/>
        <v>-435558683.02944922</v>
      </c>
      <c r="J2005" s="455">
        <f t="array" ref="J2005">IFERROR(INDEX('Retirement Calculator'!J:J,MATCH('Isaac 401k'!N2005,'Retirement Calculator'!A:A,0),0),0)</f>
        <v>0</v>
      </c>
      <c r="K2005" s="455">
        <f t="shared" ca="1" si="136"/>
        <v>-1814827.8459560385</v>
      </c>
      <c r="L2005" s="455">
        <f t="shared" ca="1" si="137"/>
        <v>-437373510.87540525</v>
      </c>
      <c r="M2005" s="471">
        <f t="shared" si="139"/>
        <v>0.05</v>
      </c>
      <c r="N2005" s="475">
        <f t="shared" si="140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38"/>
        <v>-437373510.87540525</v>
      </c>
      <c r="J2006" s="455">
        <f t="array" ref="J2006">IFERROR(INDEX('Retirement Calculator'!J:J,MATCH('Isaac 401k'!N2006,'Retirement Calculator'!A:A,0),0),0)</f>
        <v>0</v>
      </c>
      <c r="K2006" s="455">
        <f t="shared" ca="1" si="136"/>
        <v>-1822389.6286475218</v>
      </c>
      <c r="L2006" s="455">
        <f t="shared" ca="1" si="137"/>
        <v>-439195900.50405276</v>
      </c>
      <c r="M2006" s="471">
        <f t="shared" si="139"/>
        <v>0.05</v>
      </c>
      <c r="N2006" s="475">
        <f t="shared" si="140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38"/>
        <v>-439195900.50405276</v>
      </c>
      <c r="J2007" s="455">
        <f t="array" ref="J2007">IFERROR(INDEX('Retirement Calculator'!J:J,MATCH('Isaac 401k'!N2007,'Retirement Calculator'!A:A,0),0),0)</f>
        <v>0</v>
      </c>
      <c r="K2007" s="455">
        <f t="shared" ca="1" si="136"/>
        <v>-1829982.9187668862</v>
      </c>
      <c r="L2007" s="455">
        <f t="shared" ca="1" si="137"/>
        <v>-441025883.42281967</v>
      </c>
      <c r="M2007" s="471">
        <f t="shared" si="139"/>
        <v>0.05</v>
      </c>
      <c r="N2007" s="475">
        <f t="shared" si="140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38"/>
        <v>-441025883.42281967</v>
      </c>
      <c r="J2008" s="455">
        <f t="array" ref="J2008">IFERROR(INDEX('Retirement Calculator'!J:J,MATCH('Isaac 401k'!N2008,'Retirement Calculator'!A:A,0),0),0)</f>
        <v>0</v>
      </c>
      <c r="K2008" s="455">
        <f t="shared" ca="1" si="136"/>
        <v>-1837607.8475950821</v>
      </c>
      <c r="L2008" s="455">
        <f t="shared" ca="1" si="137"/>
        <v>-442863491.27041477</v>
      </c>
      <c r="M2008" s="471">
        <f t="shared" si="139"/>
        <v>0.05</v>
      </c>
      <c r="N2008" s="475">
        <f t="shared" si="140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38"/>
        <v>-442863491.27041477</v>
      </c>
      <c r="J2009" s="455">
        <f t="array" ref="J2009">IFERROR(INDEX('Retirement Calculator'!J:J,MATCH('Isaac 401k'!N2009,'Retirement Calculator'!A:A,0),0),0)</f>
        <v>0</v>
      </c>
      <c r="K2009" s="455">
        <f t="shared" ca="1" si="136"/>
        <v>-1845264.5469600614</v>
      </c>
      <c r="L2009" s="455">
        <f t="shared" ca="1" si="137"/>
        <v>-444708755.81737483</v>
      </c>
      <c r="M2009" s="471">
        <f t="shared" si="139"/>
        <v>0.05</v>
      </c>
      <c r="N2009" s="475">
        <f t="shared" si="140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38"/>
        <v>-444708755.81737483</v>
      </c>
      <c r="J2010" s="455">
        <f t="array" ref="J2010">IFERROR(INDEX('Retirement Calculator'!J:J,MATCH('Isaac 401k'!N2010,'Retirement Calculator'!A:A,0),0),0)</f>
        <v>0</v>
      </c>
      <c r="K2010" s="455">
        <f t="shared" ca="1" si="136"/>
        <v>-1852953.1492390616</v>
      </c>
      <c r="L2010" s="455">
        <f t="shared" ca="1" si="137"/>
        <v>-446561708.96661389</v>
      </c>
      <c r="M2010" s="471">
        <f t="shared" si="139"/>
        <v>0.05</v>
      </c>
      <c r="N2010" s="475">
        <f t="shared" si="140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38"/>
        <v>-446561708.96661389</v>
      </c>
      <c r="J2011" s="455">
        <f t="array" ref="J2011">IFERROR(INDEX('Retirement Calculator'!J:J,MATCH('Isaac 401k'!N2011,'Retirement Calculator'!A:A,0),0),0)</f>
        <v>0</v>
      </c>
      <c r="K2011" s="455">
        <f t="shared" ca="1" si="136"/>
        <v>-1860673.787360891</v>
      </c>
      <c r="L2011" s="455">
        <f t="shared" ca="1" si="137"/>
        <v>-448422382.7539748</v>
      </c>
      <c r="M2011" s="471">
        <f t="shared" si="139"/>
        <v>0.05</v>
      </c>
      <c r="N2011" s="475">
        <f t="shared" si="140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38"/>
        <v>-448422382.7539748</v>
      </c>
      <c r="J2012" s="455">
        <f t="array" ref="J2012">IFERROR(INDEX('Retirement Calculator'!J:J,MATCH('Isaac 401k'!N2012,'Retirement Calculator'!A:A,0),0),0)</f>
        <v>0</v>
      </c>
      <c r="K2012" s="455">
        <f t="shared" ca="1" si="136"/>
        <v>-1868426.5948082285</v>
      </c>
      <c r="L2012" s="455">
        <f t="shared" ca="1" si="137"/>
        <v>-450290809.34878302</v>
      </c>
      <c r="M2012" s="471">
        <f t="shared" si="139"/>
        <v>0.05</v>
      </c>
      <c r="N2012" s="475">
        <f t="shared" si="140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38"/>
        <v>-450290809.34878302</v>
      </c>
      <c r="J2013" s="455">
        <f t="array" ref="J2013">IFERROR(INDEX('Retirement Calculator'!J:J,MATCH('Isaac 401k'!N2013,'Retirement Calculator'!A:A,0),0),0)</f>
        <v>0</v>
      </c>
      <c r="K2013" s="455">
        <f t="shared" ca="1" si="136"/>
        <v>-1876211.7056199291</v>
      </c>
      <c r="L2013" s="455">
        <f t="shared" ca="1" si="137"/>
        <v>-452167021.05440295</v>
      </c>
      <c r="M2013" s="471">
        <f t="shared" si="139"/>
        <v>0.05</v>
      </c>
      <c r="N2013" s="475">
        <f t="shared" si="140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38"/>
        <v>-452167021.05440295</v>
      </c>
      <c r="J2014" s="455">
        <f t="array" ref="J2014">IFERROR(INDEX('Retirement Calculator'!J:J,MATCH('Isaac 401k'!N2014,'Retirement Calculator'!A:A,0),0),0)</f>
        <v>0</v>
      </c>
      <c r="K2014" s="455">
        <f t="shared" ca="1" si="136"/>
        <v>-1884029.2543933454</v>
      </c>
      <c r="L2014" s="455">
        <f t="shared" ca="1" si="137"/>
        <v>-454051050.30879629</v>
      </c>
      <c r="M2014" s="471">
        <f t="shared" si="139"/>
        <v>0.05</v>
      </c>
      <c r="N2014" s="475">
        <f t="shared" si="140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38"/>
        <v>-454051050.30879629</v>
      </c>
      <c r="J2015" s="455">
        <f t="array" ref="J2015">IFERROR(INDEX('Retirement Calculator'!J:J,MATCH('Isaac 401k'!N2015,'Retirement Calculator'!A:A,0),0),0)</f>
        <v>0</v>
      </c>
      <c r="K2015" s="455">
        <f t="shared" ca="1" si="136"/>
        <v>-1891879.376286651</v>
      </c>
      <c r="L2015" s="455">
        <f t="shared" ca="1" si="137"/>
        <v>-455942929.68508291</v>
      </c>
      <c r="M2015" s="471">
        <f t="shared" si="139"/>
        <v>0.05</v>
      </c>
      <c r="N2015" s="475">
        <f t="shared" si="140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38"/>
        <v>-455942929.68508291</v>
      </c>
      <c r="J2016" s="455">
        <f t="array" ref="J2016">IFERROR(INDEX('Retirement Calculator'!J:J,MATCH('Isaac 401k'!N2016,'Retirement Calculator'!A:A,0),0),0)</f>
        <v>0</v>
      </c>
      <c r="K2016" s="455">
        <f t="shared" ca="1" si="136"/>
        <v>-1899762.2070211789</v>
      </c>
      <c r="L2016" s="455">
        <f t="shared" ca="1" si="137"/>
        <v>-457842691.89210409</v>
      </c>
      <c r="M2016" s="471">
        <f t="shared" si="139"/>
        <v>0.05</v>
      </c>
      <c r="N2016" s="475">
        <f t="shared" si="140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38"/>
        <v>-457842691.89210409</v>
      </c>
      <c r="J2017" s="455">
        <f t="array" ref="J2017">IFERROR(INDEX('Retirement Calculator'!J:J,MATCH('Isaac 401k'!N2017,'Retirement Calculator'!A:A,0),0),0)</f>
        <v>0</v>
      </c>
      <c r="K2017" s="455">
        <f t="shared" ca="1" si="136"/>
        <v>-1907677.8828837669</v>
      </c>
      <c r="L2017" s="455">
        <f t="shared" ca="1" si="137"/>
        <v>-459750369.77498788</v>
      </c>
      <c r="M2017" s="471">
        <f t="shared" si="139"/>
        <v>0.05</v>
      </c>
      <c r="N2017" s="475">
        <f t="shared" si="140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38"/>
        <v>-459750369.77498788</v>
      </c>
      <c r="J2018" s="455">
        <f t="array" ref="J2018">IFERROR(INDEX('Retirement Calculator'!J:J,MATCH('Isaac 401k'!N2018,'Retirement Calculator'!A:A,0),0),0)</f>
        <v>0</v>
      </c>
      <c r="K2018" s="455">
        <f t="shared" ca="1" si="136"/>
        <v>-1915626.5407291162</v>
      </c>
      <c r="L2018" s="455">
        <f t="shared" ca="1" si="137"/>
        <v>-461665996.31571698</v>
      </c>
      <c r="M2018" s="471">
        <f t="shared" si="139"/>
        <v>0.05</v>
      </c>
      <c r="N2018" s="475">
        <f t="shared" si="140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38"/>
        <v>-461665996.31571698</v>
      </c>
      <c r="J2019" s="455">
        <f t="array" ref="J2019">IFERROR(INDEX('Retirement Calculator'!J:J,MATCH('Isaac 401k'!N2019,'Retirement Calculator'!A:A,0),0),0)</f>
        <v>0</v>
      </c>
      <c r="K2019" s="455">
        <f t="shared" ca="1" si="136"/>
        <v>-1923608.3179821537</v>
      </c>
      <c r="L2019" s="455">
        <f t="shared" ca="1" si="137"/>
        <v>-463589604.63369912</v>
      </c>
      <c r="M2019" s="471">
        <f t="shared" si="139"/>
        <v>0.05</v>
      </c>
      <c r="N2019" s="475">
        <f t="shared" si="140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38"/>
        <v>-463589604.63369912</v>
      </c>
      <c r="J2020" s="455">
        <f t="array" ref="J2020">IFERROR(INDEX('Retirement Calculator'!J:J,MATCH('Isaac 401k'!N2020,'Retirement Calculator'!A:A,0),0),0)</f>
        <v>0</v>
      </c>
      <c r="K2020" s="455">
        <f t="shared" ca="1" si="136"/>
        <v>-1931623.352640413</v>
      </c>
      <c r="L2020" s="455">
        <f t="shared" ca="1" si="137"/>
        <v>-465521227.98633951</v>
      </c>
      <c r="M2020" s="471">
        <f t="shared" si="139"/>
        <v>0.05</v>
      </c>
      <c r="N2020" s="475">
        <f t="shared" si="140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38"/>
        <v>-465521227.98633951</v>
      </c>
      <c r="J2021" s="455">
        <f t="array" ref="J2021">IFERROR(INDEX('Retirement Calculator'!J:J,MATCH('Isaac 401k'!N2021,'Retirement Calculator'!A:A,0),0),0)</f>
        <v>0</v>
      </c>
      <c r="K2021" s="455">
        <f t="shared" ca="1" si="136"/>
        <v>-1939671.7832764145</v>
      </c>
      <c r="L2021" s="455">
        <f t="shared" ca="1" si="137"/>
        <v>-467460899.76961595</v>
      </c>
      <c r="M2021" s="471">
        <f t="shared" si="139"/>
        <v>0.05</v>
      </c>
      <c r="N2021" s="475">
        <f t="shared" si="140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38"/>
        <v>-467460899.76961595</v>
      </c>
      <c r="J2022" s="455">
        <f t="array" ref="J2022">IFERROR(INDEX('Retirement Calculator'!J:J,MATCH('Isaac 401k'!N2022,'Retirement Calculator'!A:A,0),0),0)</f>
        <v>0</v>
      </c>
      <c r="K2022" s="455">
        <f t="shared" ca="1" si="136"/>
        <v>-1947753.7490400663</v>
      </c>
      <c r="L2022" s="455">
        <f t="shared" ca="1" si="137"/>
        <v>-469408653.51865602</v>
      </c>
      <c r="M2022" s="471">
        <f t="shared" si="139"/>
        <v>0.05</v>
      </c>
      <c r="N2022" s="475">
        <f t="shared" si="140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38"/>
        <v>-469408653.51865602</v>
      </c>
      <c r="J2023" s="455">
        <f t="array" ref="J2023">IFERROR(INDEX('Retirement Calculator'!J:J,MATCH('Isaac 401k'!N2023,'Retirement Calculator'!A:A,0),0),0)</f>
        <v>0</v>
      </c>
      <c r="K2023" s="455">
        <f t="shared" ca="1" si="136"/>
        <v>-1955869.3896610665</v>
      </c>
      <c r="L2023" s="455">
        <f t="shared" ca="1" si="137"/>
        <v>-471364522.90831709</v>
      </c>
      <c r="M2023" s="471">
        <f t="shared" si="139"/>
        <v>0.05</v>
      </c>
      <c r="N2023" s="475">
        <f t="shared" si="140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38"/>
        <v>-471364522.90831709</v>
      </c>
      <c r="J2024" s="455">
        <f t="array" ref="J2024">IFERROR(INDEX('Retirement Calculator'!J:J,MATCH('Isaac 401k'!N2024,'Retirement Calculator'!A:A,0),0),0)</f>
        <v>0</v>
      </c>
      <c r="K2024" s="455">
        <f t="shared" ca="1" si="136"/>
        <v>-1964018.8454513212</v>
      </c>
      <c r="L2024" s="455">
        <f t="shared" ca="1" si="137"/>
        <v>-473328541.75376838</v>
      </c>
      <c r="M2024" s="471">
        <f t="shared" si="139"/>
        <v>0.05</v>
      </c>
      <c r="N2024" s="475">
        <f t="shared" si="140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38"/>
        <v>-473328541.75376838</v>
      </c>
      <c r="J2025" s="455">
        <f t="array" ref="J2025">IFERROR(INDEX('Retirement Calculator'!J:J,MATCH('Isaac 401k'!N2025,'Retirement Calculator'!A:A,0),0),0)</f>
        <v>0</v>
      </c>
      <c r="K2025" s="455">
        <f t="shared" ca="1" si="136"/>
        <v>-1972202.2573073683</v>
      </c>
      <c r="L2025" s="455">
        <f t="shared" ca="1" si="137"/>
        <v>-475300744.01107574</v>
      </c>
      <c r="M2025" s="471">
        <f t="shared" si="139"/>
        <v>0.05</v>
      </c>
      <c r="N2025" s="475">
        <f t="shared" si="140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38"/>
        <v>-475300744.01107574</v>
      </c>
      <c r="J2026" s="455">
        <f t="array" ref="J2026">IFERROR(INDEX('Retirement Calculator'!J:J,MATCH('Isaac 401k'!N2026,'Retirement Calculator'!A:A,0),0),0)</f>
        <v>0</v>
      </c>
      <c r="K2026" s="455">
        <f t="shared" ca="1" si="136"/>
        <v>-1980419.7667128153</v>
      </c>
      <c r="L2026" s="455">
        <f t="shared" ca="1" si="137"/>
        <v>-477281163.77778858</v>
      </c>
      <c r="M2026" s="471">
        <f t="shared" si="139"/>
        <v>0.05</v>
      </c>
      <c r="N2026" s="475">
        <f t="shared" si="140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38"/>
        <v>-477281163.77778858</v>
      </c>
      <c r="J2027" s="455">
        <f t="array" ref="J2027">IFERROR(INDEX('Retirement Calculator'!J:J,MATCH('Isaac 401k'!N2027,'Retirement Calculator'!A:A,0),0),0)</f>
        <v>0</v>
      </c>
      <c r="K2027" s="455">
        <f t="shared" ca="1" si="136"/>
        <v>-1988671.5157407857</v>
      </c>
      <c r="L2027" s="455">
        <f t="shared" ca="1" si="137"/>
        <v>-479269835.29352939</v>
      </c>
      <c r="M2027" s="471">
        <f t="shared" si="139"/>
        <v>0.05</v>
      </c>
      <c r="N2027" s="475">
        <f t="shared" si="140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38"/>
        <v>-479269835.29352939</v>
      </c>
      <c r="J2028" s="455">
        <f t="array" ref="J2028">IFERROR(INDEX('Retirement Calculator'!J:J,MATCH('Isaac 401k'!N2028,'Retirement Calculator'!A:A,0),0),0)</f>
        <v>0</v>
      </c>
      <c r="K2028" s="455">
        <f t="shared" ca="1" si="136"/>
        <v>-1996957.6470563724</v>
      </c>
      <c r="L2028" s="455">
        <f t="shared" ca="1" si="137"/>
        <v>-481266792.94058579</v>
      </c>
      <c r="M2028" s="471">
        <f t="shared" si="139"/>
        <v>0.05</v>
      </c>
      <c r="N2028" s="475">
        <f t="shared" si="140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38"/>
        <v>-481266792.94058579</v>
      </c>
      <c r="J2029" s="455">
        <f t="array" ref="J2029">IFERROR(INDEX('Retirement Calculator'!J:J,MATCH('Isaac 401k'!N2029,'Retirement Calculator'!A:A,0),0),0)</f>
        <v>0</v>
      </c>
      <c r="K2029" s="455">
        <f t="shared" ca="1" si="136"/>
        <v>-2005278.3039191077</v>
      </c>
      <c r="L2029" s="455">
        <f t="shared" ca="1" si="137"/>
        <v>-483272071.24450493</v>
      </c>
      <c r="M2029" s="471">
        <f t="shared" si="139"/>
        <v>0.05</v>
      </c>
      <c r="N2029" s="475">
        <f t="shared" si="140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38"/>
        <v>-483272071.24450493</v>
      </c>
      <c r="J2030" s="455">
        <f t="array" ref="J2030">IFERROR(INDEX('Retirement Calculator'!J:J,MATCH('Isaac 401k'!N2030,'Retirement Calculator'!A:A,0),0),0)</f>
        <v>0</v>
      </c>
      <c r="K2030" s="455">
        <f t="shared" ca="1" si="136"/>
        <v>-2013633.6301854372</v>
      </c>
      <c r="L2030" s="455">
        <f t="shared" ca="1" si="137"/>
        <v>-485285704.87469035</v>
      </c>
      <c r="M2030" s="471">
        <f t="shared" si="139"/>
        <v>0.05</v>
      </c>
      <c r="N2030" s="475">
        <f t="shared" si="140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38"/>
        <v>-485285704.87469035</v>
      </c>
      <c r="J2031" s="455">
        <f t="array" ref="J2031">IFERROR(INDEX('Retirement Calculator'!J:J,MATCH('Isaac 401k'!N2031,'Retirement Calculator'!A:A,0),0),0)</f>
        <v>0</v>
      </c>
      <c r="K2031" s="455">
        <f t="shared" ca="1" si="136"/>
        <v>-2022023.7703112101</v>
      </c>
      <c r="L2031" s="455">
        <f t="shared" ca="1" si="137"/>
        <v>-487307728.64500159</v>
      </c>
      <c r="M2031" s="471">
        <f t="shared" si="139"/>
        <v>0.05</v>
      </c>
      <c r="N2031" s="475">
        <f t="shared" si="140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38"/>
        <v>-487307728.64500159</v>
      </c>
      <c r="J2032" s="455">
        <f t="array" ref="J2032">IFERROR(INDEX('Retirement Calculator'!J:J,MATCH('Isaac 401k'!N2032,'Retirement Calculator'!A:A,0),0),0)</f>
        <v>0</v>
      </c>
      <c r="K2032" s="455">
        <f t="shared" ca="1" si="136"/>
        <v>-2030448.8693541733</v>
      </c>
      <c r="L2032" s="455">
        <f t="shared" ca="1" si="137"/>
        <v>-489338177.51435578</v>
      </c>
      <c r="M2032" s="471">
        <f t="shared" si="139"/>
        <v>0.05</v>
      </c>
      <c r="N2032" s="475">
        <f t="shared" si="140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38"/>
        <v>-489338177.51435578</v>
      </c>
      <c r="J2033" s="455">
        <f t="array" ref="J2033">IFERROR(INDEX('Retirement Calculator'!J:J,MATCH('Isaac 401k'!N2033,'Retirement Calculator'!A:A,0),0),0)</f>
        <v>0</v>
      </c>
      <c r="K2033" s="455">
        <f t="shared" ca="1" si="136"/>
        <v>-2038909.0729764823</v>
      </c>
      <c r="L2033" s="455">
        <f t="shared" ca="1" si="137"/>
        <v>-491377086.58733225</v>
      </c>
      <c r="M2033" s="471">
        <f t="shared" si="139"/>
        <v>0.05</v>
      </c>
      <c r="N2033" s="475">
        <f t="shared" si="140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38"/>
        <v>-491377086.58733225</v>
      </c>
      <c r="J2034" s="455">
        <f t="array" ref="J2034">IFERROR(INDEX('Retirement Calculator'!J:J,MATCH('Isaac 401k'!N2034,'Retirement Calculator'!A:A,0),0),0)</f>
        <v>0</v>
      </c>
      <c r="K2034" s="455">
        <f t="shared" ca="1" si="136"/>
        <v>-2047404.5274472176</v>
      </c>
      <c r="L2034" s="455">
        <f t="shared" ca="1" si="137"/>
        <v>-493424491.11477947</v>
      </c>
      <c r="M2034" s="471">
        <f t="shared" si="139"/>
        <v>0.05</v>
      </c>
      <c r="N2034" s="475">
        <f t="shared" si="140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38"/>
        <v>-493424491.11477947</v>
      </c>
      <c r="J2035" s="455">
        <f t="array" ref="J2035">IFERROR(INDEX('Retirement Calculator'!J:J,MATCH('Isaac 401k'!N2035,'Retirement Calculator'!A:A,0),0),0)</f>
        <v>0</v>
      </c>
      <c r="K2035" s="455">
        <f t="shared" ca="1" si="136"/>
        <v>-2055935.3796449145</v>
      </c>
      <c r="L2035" s="455">
        <f t="shared" ca="1" si="137"/>
        <v>-495480426.4944244</v>
      </c>
      <c r="M2035" s="471">
        <f t="shared" si="139"/>
        <v>0.05</v>
      </c>
      <c r="N2035" s="475">
        <f t="shared" si="140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38"/>
        <v>-495480426.4944244</v>
      </c>
      <c r="J2036" s="455">
        <f t="array" ref="J2036">IFERROR(INDEX('Retirement Calculator'!J:J,MATCH('Isaac 401k'!N2036,'Retirement Calculator'!A:A,0),0),0)</f>
        <v>0</v>
      </c>
      <c r="K2036" s="455">
        <f t="shared" ca="1" si="136"/>
        <v>-2064501.7770601017</v>
      </c>
      <c r="L2036" s="455">
        <f t="shared" ca="1" si="137"/>
        <v>-497544928.27148449</v>
      </c>
      <c r="M2036" s="471">
        <f t="shared" si="139"/>
        <v>0.05</v>
      </c>
      <c r="N2036" s="475">
        <f t="shared" si="140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38"/>
        <v>-497544928.27148449</v>
      </c>
      <c r="J2037" s="455">
        <f t="array" ref="J2037">IFERROR(INDEX('Retirement Calculator'!J:J,MATCH('Isaac 401k'!N2037,'Retirement Calculator'!A:A,0),0),0)</f>
        <v>0</v>
      </c>
      <c r="K2037" s="455">
        <f t="shared" ca="1" si="136"/>
        <v>-2073103.8677978523</v>
      </c>
      <c r="L2037" s="455">
        <f t="shared" ca="1" si="137"/>
        <v>-499618032.13928235</v>
      </c>
      <c r="M2037" s="471">
        <f t="shared" si="139"/>
        <v>0.05</v>
      </c>
      <c r="N2037" s="475">
        <f t="shared" si="140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38"/>
        <v>-499618032.13928235</v>
      </c>
      <c r="J2038" s="455">
        <f t="array" ref="J2038">IFERROR(INDEX('Retirement Calculator'!J:J,MATCH('Isaac 401k'!N2038,'Retirement Calculator'!A:A,0),0),0)</f>
        <v>0</v>
      </c>
      <c r="K2038" s="455">
        <f t="shared" ca="1" si="136"/>
        <v>-2081741.800580343</v>
      </c>
      <c r="L2038" s="455">
        <f t="shared" ca="1" si="137"/>
        <v>-501699773.93986267</v>
      </c>
      <c r="M2038" s="471">
        <f t="shared" si="139"/>
        <v>0.05</v>
      </c>
      <c r="N2038" s="475">
        <f t="shared" si="140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38"/>
        <v>-501699773.93986267</v>
      </c>
      <c r="J2039" s="455">
        <f t="array" ref="J2039">IFERROR(INDEX('Retirement Calculator'!J:J,MATCH('Isaac 401k'!N2039,'Retirement Calculator'!A:A,0),0),0)</f>
        <v>0</v>
      </c>
      <c r="K2039" s="455">
        <f t="shared" ca="1" si="136"/>
        <v>-2090415.7247494278</v>
      </c>
      <c r="L2039" s="455">
        <f t="shared" ca="1" si="137"/>
        <v>-503790189.66461211</v>
      </c>
      <c r="M2039" s="471">
        <f t="shared" si="139"/>
        <v>0.05</v>
      </c>
      <c r="N2039" s="475">
        <f t="shared" si="140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38"/>
        <v>-503790189.66461211</v>
      </c>
      <c r="J2040" s="455">
        <f t="array" ref="J2040">IFERROR(INDEX('Retirement Calculator'!J:J,MATCH('Isaac 401k'!N2040,'Retirement Calculator'!A:A,0),0),0)</f>
        <v>0</v>
      </c>
      <c r="K2040" s="455">
        <f t="shared" ca="1" si="136"/>
        <v>-2099125.790269217</v>
      </c>
      <c r="L2040" s="455">
        <f t="shared" ca="1" si="137"/>
        <v>-505889315.45488131</v>
      </c>
      <c r="M2040" s="471">
        <f t="shared" si="139"/>
        <v>0.05</v>
      </c>
      <c r="N2040" s="475">
        <f t="shared" si="140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38"/>
        <v>-505889315.45488131</v>
      </c>
      <c r="J2041" s="455">
        <f t="array" ref="J2041">IFERROR(INDEX('Retirement Calculator'!J:J,MATCH('Isaac 401k'!N2041,'Retirement Calculator'!A:A,0),0),0)</f>
        <v>0</v>
      </c>
      <c r="K2041" s="455">
        <f t="shared" ca="1" si="136"/>
        <v>-2107872.1477286723</v>
      </c>
      <c r="L2041" s="455">
        <f t="shared" ca="1" si="137"/>
        <v>-507997187.60260999</v>
      </c>
      <c r="M2041" s="471">
        <f t="shared" si="139"/>
        <v>0.05</v>
      </c>
      <c r="N2041" s="475">
        <f t="shared" si="140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38"/>
        <v>-507997187.60260999</v>
      </c>
      <c r="J2042" s="455">
        <f t="array" ref="J2042">IFERROR(INDEX('Retirement Calculator'!J:J,MATCH('Isaac 401k'!N2042,'Retirement Calculator'!A:A,0),0),0)</f>
        <v>0</v>
      </c>
      <c r="K2042" s="455">
        <f t="shared" ca="1" si="136"/>
        <v>-2116654.9483442083</v>
      </c>
      <c r="L2042" s="455">
        <f t="shared" ca="1" si="137"/>
        <v>-510113842.55095422</v>
      </c>
      <c r="M2042" s="471">
        <f t="shared" si="139"/>
        <v>0.05</v>
      </c>
      <c r="N2042" s="475">
        <f t="shared" si="140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38"/>
        <v>-510113842.55095422</v>
      </c>
      <c r="J2043" s="455">
        <f t="array" ref="J2043">IFERROR(INDEX('Retirement Calculator'!J:J,MATCH('Isaac 401k'!N2043,'Retirement Calculator'!A:A,0),0),0)</f>
        <v>0</v>
      </c>
      <c r="K2043" s="455">
        <f t="shared" ca="1" si="136"/>
        <v>-2125474.3439623094</v>
      </c>
      <c r="L2043" s="455">
        <f t="shared" ca="1" si="137"/>
        <v>-512239316.89491653</v>
      </c>
      <c r="M2043" s="471">
        <f t="shared" si="139"/>
        <v>0.05</v>
      </c>
      <c r="N2043" s="475">
        <f t="shared" si="140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38"/>
        <v>-512239316.89491653</v>
      </c>
      <c r="J2044" s="455">
        <f t="array" ref="J2044">IFERROR(INDEX('Retirement Calculator'!J:J,MATCH('Isaac 401k'!N2044,'Retirement Calculator'!A:A,0),0),0)</f>
        <v>0</v>
      </c>
      <c r="K2044" s="455">
        <f t="shared" ca="1" si="136"/>
        <v>-2134330.487062152</v>
      </c>
      <c r="L2044" s="455">
        <f t="shared" ca="1" si="137"/>
        <v>-514373647.38197869</v>
      </c>
      <c r="M2044" s="471">
        <f t="shared" si="139"/>
        <v>0.05</v>
      </c>
      <c r="N2044" s="475">
        <f t="shared" si="140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38"/>
        <v>-514373647.38197869</v>
      </c>
      <c r="J2045" s="455">
        <f t="array" ref="J2045">IFERROR(INDEX('Retirement Calculator'!J:J,MATCH('Isaac 401k'!N2045,'Retirement Calculator'!A:A,0),0),0)</f>
        <v>0</v>
      </c>
      <c r="K2045" s="455">
        <f t="shared" ca="1" si="136"/>
        <v>-2143223.5307582445</v>
      </c>
      <c r="L2045" s="455">
        <f t="shared" ca="1" si="137"/>
        <v>-516516870.91273695</v>
      </c>
      <c r="M2045" s="471">
        <f t="shared" si="139"/>
        <v>0.05</v>
      </c>
      <c r="N2045" s="475">
        <f t="shared" si="140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38"/>
        <v>-516516870.91273695</v>
      </c>
      <c r="J2046" s="455">
        <f t="array" ref="J2046">IFERROR(INDEX('Retirement Calculator'!J:J,MATCH('Isaac 401k'!N2046,'Retirement Calculator'!A:A,0),0),0)</f>
        <v>0</v>
      </c>
      <c r="K2046" s="455">
        <f t="shared" ca="1" si="136"/>
        <v>-2152153.6288030706</v>
      </c>
      <c r="L2046" s="455">
        <f t="shared" ca="1" si="137"/>
        <v>-518669024.54154003</v>
      </c>
      <c r="M2046" s="471">
        <f t="shared" si="139"/>
        <v>0.05</v>
      </c>
      <c r="N2046" s="475">
        <f t="shared" si="140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38"/>
        <v>-518669024.54154003</v>
      </c>
      <c r="J2047" s="455">
        <f t="array" ref="J2047">IFERROR(INDEX('Retirement Calculator'!J:J,MATCH('Isaac 401k'!N2047,'Retirement Calculator'!A:A,0),0),0)</f>
        <v>0</v>
      </c>
      <c r="K2047" s="455">
        <f t="shared" ca="1" si="136"/>
        <v>-2161120.9355897498</v>
      </c>
      <c r="L2047" s="455">
        <f t="shared" ca="1" si="137"/>
        <v>-520830145.47712976</v>
      </c>
      <c r="M2047" s="471">
        <f t="shared" si="139"/>
        <v>0.05</v>
      </c>
      <c r="N2047" s="475">
        <f t="shared" si="140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38"/>
        <v>-520830145.47712976</v>
      </c>
      <c r="J2048" s="455">
        <f t="array" ref="J2048">IFERROR(INDEX('Retirement Calculator'!J:J,MATCH('Isaac 401k'!N2048,'Retirement Calculator'!A:A,0),0),0)</f>
        <v>0</v>
      </c>
      <c r="K2048" s="455">
        <f t="shared" ref="K2048:K2302" ca="1" si="141">IPMT(M2048/12,1,12,-I2048+J2048,,0)</f>
        <v>-2170125.6061547073</v>
      </c>
      <c r="L2048" s="455">
        <f t="shared" ref="L2048:L2302" ca="1" si="142">I2048-J2048+K2048</f>
        <v>-523000271.08328444</v>
      </c>
      <c r="M2048" s="471">
        <f t="shared" si="139"/>
        <v>0.05</v>
      </c>
      <c r="N2048" s="475">
        <f t="shared" si="140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43">L2048</f>
        <v>-523000271.08328444</v>
      </c>
      <c r="J2049" s="455">
        <f t="array" ref="J2049">IFERROR(INDEX('Retirement Calculator'!J:J,MATCH('Isaac 401k'!N2049,'Retirement Calculator'!A:A,0),0),0)</f>
        <v>0</v>
      </c>
      <c r="K2049" s="455">
        <f t="shared" ca="1" si="141"/>
        <v>-2179167.7961803521</v>
      </c>
      <c r="L2049" s="455">
        <f t="shared" ca="1" si="142"/>
        <v>-525179438.87946481</v>
      </c>
      <c r="M2049" s="471">
        <f t="shared" ref="M2049:M2303" si="144">M2048</f>
        <v>0.05</v>
      </c>
      <c r="N2049" s="475">
        <f t="shared" ref="N2049:N2303" si="145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43"/>
        <v>-525179438.87946481</v>
      </c>
      <c r="J2050" s="455">
        <f t="array" ref="J2050">IFERROR(INDEX('Retirement Calculator'!J:J,MATCH('Isaac 401k'!N2050,'Retirement Calculator'!A:A,0),0),0)</f>
        <v>0</v>
      </c>
      <c r="K2050" s="455">
        <f t="shared" ca="1" si="141"/>
        <v>-2188247.66199777</v>
      </c>
      <c r="L2050" s="455">
        <f t="shared" ca="1" si="142"/>
        <v>-527367686.5414626</v>
      </c>
      <c r="M2050" s="471">
        <f t="shared" si="144"/>
        <v>0.05</v>
      </c>
      <c r="N2050" s="475">
        <f t="shared" si="145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43"/>
        <v>-527367686.5414626</v>
      </c>
      <c r="J2051" s="455">
        <f t="array" ref="J2051">IFERROR(INDEX('Retirement Calculator'!J:J,MATCH('Isaac 401k'!N2051,'Retirement Calculator'!A:A,0),0),0)</f>
        <v>0</v>
      </c>
      <c r="K2051" s="455">
        <f t="shared" ca="1" si="141"/>
        <v>-2197365.3605894274</v>
      </c>
      <c r="L2051" s="455">
        <f t="shared" ca="1" si="142"/>
        <v>-529565051.90205204</v>
      </c>
      <c r="M2051" s="471">
        <f t="shared" si="144"/>
        <v>0.05</v>
      </c>
      <c r="N2051" s="475">
        <f t="shared" si="145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43"/>
        <v>-529565051.90205204</v>
      </c>
      <c r="J2052" s="455">
        <f t="array" ref="J2052">IFERROR(INDEX('Retirement Calculator'!J:J,MATCH('Isaac 401k'!N2052,'Retirement Calculator'!A:A,0),0),0)</f>
        <v>0</v>
      </c>
      <c r="K2052" s="455">
        <f t="shared" ca="1" si="141"/>
        <v>-2206521.0495918831</v>
      </c>
      <c r="L2052" s="455">
        <f t="shared" ca="1" si="142"/>
        <v>-531771572.95164394</v>
      </c>
      <c r="M2052" s="471">
        <f t="shared" si="144"/>
        <v>0.05</v>
      </c>
      <c r="N2052" s="475">
        <f t="shared" si="145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43"/>
        <v>-531771572.95164394</v>
      </c>
      <c r="J2053" s="455">
        <f t="array" ref="J2053">IFERROR(INDEX('Retirement Calculator'!J:J,MATCH('Isaac 401k'!N2053,'Retirement Calculator'!A:A,0),0),0)</f>
        <v>0</v>
      </c>
      <c r="K2053" s="455">
        <f t="shared" ca="1" si="141"/>
        <v>-2215714.8872985165</v>
      </c>
      <c r="L2053" s="455">
        <f t="shared" ca="1" si="142"/>
        <v>-533987287.83894247</v>
      </c>
      <c r="M2053" s="471">
        <f t="shared" si="144"/>
        <v>0.05</v>
      </c>
      <c r="N2053" s="475">
        <f t="shared" si="145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43"/>
        <v>-533987287.83894247</v>
      </c>
      <c r="J2054" s="455">
        <f t="array" ref="J2054">IFERROR(INDEX('Retirement Calculator'!J:J,MATCH('Isaac 401k'!N2054,'Retirement Calculator'!A:A,0),0),0)</f>
        <v>0</v>
      </c>
      <c r="K2054" s="455">
        <f t="shared" ca="1" si="141"/>
        <v>-2224947.0326622603</v>
      </c>
      <c r="L2054" s="455">
        <f t="shared" ca="1" si="142"/>
        <v>-536212234.87160474</v>
      </c>
      <c r="M2054" s="471">
        <f t="shared" si="144"/>
        <v>0.05</v>
      </c>
      <c r="N2054" s="475">
        <f t="shared" si="145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43"/>
        <v>-536212234.87160474</v>
      </c>
      <c r="J2055" s="455">
        <f t="array" ref="J2055">IFERROR(INDEX('Retirement Calculator'!J:J,MATCH('Isaac 401k'!N2055,'Retirement Calculator'!A:A,0),0),0)</f>
        <v>0</v>
      </c>
      <c r="K2055" s="455">
        <f t="shared" ca="1" si="141"/>
        <v>-2234217.6452983534</v>
      </c>
      <c r="L2055" s="455">
        <f t="shared" ca="1" si="142"/>
        <v>-538446452.51690304</v>
      </c>
      <c r="M2055" s="471">
        <f t="shared" si="144"/>
        <v>0.05</v>
      </c>
      <c r="N2055" s="475">
        <f t="shared" si="145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43"/>
        <v>-538446452.51690304</v>
      </c>
      <c r="J2056" s="455">
        <f t="array" ref="J2056">IFERROR(INDEX('Retirement Calculator'!J:J,MATCH('Isaac 401k'!N2056,'Retirement Calculator'!A:A,0),0),0)</f>
        <v>0</v>
      </c>
      <c r="K2056" s="455">
        <f t="shared" ca="1" si="141"/>
        <v>-2243526.8854870959</v>
      </c>
      <c r="L2056" s="455">
        <f t="shared" ca="1" si="142"/>
        <v>-540689979.40239012</v>
      </c>
      <c r="M2056" s="471">
        <f t="shared" si="144"/>
        <v>0.05</v>
      </c>
      <c r="N2056" s="475">
        <f t="shared" si="145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43"/>
        <v>-540689979.40239012</v>
      </c>
      <c r="J2057" s="455">
        <f t="array" ref="J2057">IFERROR(INDEX('Retirement Calculator'!J:J,MATCH('Isaac 401k'!N2057,'Retirement Calculator'!A:A,0),0),0)</f>
        <v>0</v>
      </c>
      <c r="K2057" s="455">
        <f t="shared" ca="1" si="141"/>
        <v>-2252874.9141766257</v>
      </c>
      <c r="L2057" s="455">
        <f t="shared" ca="1" si="142"/>
        <v>-542942854.31656671</v>
      </c>
      <c r="M2057" s="471">
        <f t="shared" si="144"/>
        <v>0.05</v>
      </c>
      <c r="N2057" s="475">
        <f t="shared" si="145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43"/>
        <v>-542942854.31656671</v>
      </c>
      <c r="J2058" s="455">
        <f t="array" ref="J2058">IFERROR(INDEX('Retirement Calculator'!J:J,MATCH('Isaac 401k'!N2058,'Retirement Calculator'!A:A,0),0),0)</f>
        <v>0</v>
      </c>
      <c r="K2058" s="455">
        <f t="shared" ca="1" si="141"/>
        <v>-2262261.8929856946</v>
      </c>
      <c r="L2058" s="455">
        <f t="shared" ca="1" si="142"/>
        <v>-545205116.20955241</v>
      </c>
      <c r="M2058" s="471">
        <f t="shared" si="144"/>
        <v>0.05</v>
      </c>
      <c r="N2058" s="475">
        <f t="shared" si="145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43"/>
        <v>-545205116.20955241</v>
      </c>
      <c r="J2059" s="455">
        <f t="array" ref="J2059">IFERROR(INDEX('Retirement Calculator'!J:J,MATCH('Isaac 401k'!N2059,'Retirement Calculator'!A:A,0),0),0)</f>
        <v>0</v>
      </c>
      <c r="K2059" s="455">
        <f t="shared" ca="1" si="141"/>
        <v>-2271687.9842064683</v>
      </c>
      <c r="L2059" s="455">
        <f t="shared" ca="1" si="142"/>
        <v>-547476804.19375885</v>
      </c>
      <c r="M2059" s="471">
        <f t="shared" si="144"/>
        <v>0.05</v>
      </c>
      <c r="N2059" s="475">
        <f t="shared" si="145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43"/>
        <v>-547476804.19375885</v>
      </c>
      <c r="J2060" s="455">
        <f t="array" ref="J2060">IFERROR(INDEX('Retirement Calculator'!J:J,MATCH('Isaac 401k'!N2060,'Retirement Calculator'!A:A,0),0),0)</f>
        <v>0</v>
      </c>
      <c r="K2060" s="455">
        <f t="shared" ca="1" si="141"/>
        <v>-2281153.3508073287</v>
      </c>
      <c r="L2060" s="455">
        <f t="shared" ca="1" si="142"/>
        <v>-549757957.54456615</v>
      </c>
      <c r="M2060" s="471">
        <f t="shared" si="144"/>
        <v>0.05</v>
      </c>
      <c r="N2060" s="475">
        <f t="shared" si="145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43"/>
        <v>-549757957.54456615</v>
      </c>
      <c r="J2061" s="455">
        <f t="array" ref="J2061">IFERROR(INDEX('Retirement Calculator'!J:J,MATCH('Isaac 401k'!N2061,'Retirement Calculator'!A:A,0),0),0)</f>
        <v>0</v>
      </c>
      <c r="K2061" s="455">
        <f t="shared" ca="1" si="141"/>
        <v>-2290658.1564356922</v>
      </c>
      <c r="L2061" s="455">
        <f t="shared" ca="1" si="142"/>
        <v>-552048615.70100188</v>
      </c>
      <c r="M2061" s="471">
        <f t="shared" si="144"/>
        <v>0.05</v>
      </c>
      <c r="N2061" s="475">
        <f t="shared" si="145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43"/>
        <v>-552048615.70100188</v>
      </c>
      <c r="J2062" s="455">
        <f t="array" ref="J2062">IFERROR(INDEX('Retirement Calculator'!J:J,MATCH('Isaac 401k'!N2062,'Retirement Calculator'!A:A,0),0),0)</f>
        <v>0</v>
      </c>
      <c r="K2062" s="455">
        <f t="shared" ca="1" si="141"/>
        <v>-2300202.5654208413</v>
      </c>
      <c r="L2062" s="455">
        <f t="shared" ca="1" si="142"/>
        <v>-554348818.26642275</v>
      </c>
      <c r="M2062" s="471">
        <f t="shared" si="144"/>
        <v>0.05</v>
      </c>
      <c r="N2062" s="475">
        <f t="shared" si="145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43"/>
        <v>-554348818.26642275</v>
      </c>
      <c r="J2063" s="455">
        <f t="array" ref="J2063">IFERROR(INDEX('Retirement Calculator'!J:J,MATCH('Isaac 401k'!N2063,'Retirement Calculator'!A:A,0),0),0)</f>
        <v>0</v>
      </c>
      <c r="K2063" s="455">
        <f t="shared" ca="1" si="141"/>
        <v>-2309786.7427767613</v>
      </c>
      <c r="L2063" s="455">
        <f t="shared" ca="1" si="142"/>
        <v>-556658605.0091995</v>
      </c>
      <c r="M2063" s="471">
        <f t="shared" si="144"/>
        <v>0.05</v>
      </c>
      <c r="N2063" s="475">
        <f t="shared" si="145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43"/>
        <v>-556658605.0091995</v>
      </c>
      <c r="J2064" s="455">
        <f t="array" ref="J2064">IFERROR(INDEX('Retirement Calculator'!J:J,MATCH('Isaac 401k'!N2064,'Retirement Calculator'!A:A,0),0),0)</f>
        <v>0</v>
      </c>
      <c r="K2064" s="455">
        <f t="shared" ca="1" si="141"/>
        <v>-2319410.8542049979</v>
      </c>
      <c r="L2064" s="455">
        <f t="shared" ca="1" si="142"/>
        <v>-558978015.86340451</v>
      </c>
      <c r="M2064" s="471">
        <f t="shared" si="144"/>
        <v>0.05</v>
      </c>
      <c r="N2064" s="475">
        <f t="shared" si="145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43"/>
        <v>-558978015.86340451</v>
      </c>
      <c r="J2065" s="455">
        <f t="array" ref="J2065">IFERROR(INDEX('Retirement Calculator'!J:J,MATCH('Isaac 401k'!N2065,'Retirement Calculator'!A:A,0),0),0)</f>
        <v>0</v>
      </c>
      <c r="K2065" s="455">
        <f t="shared" ca="1" si="141"/>
        <v>-2329075.0660975189</v>
      </c>
      <c r="L2065" s="455">
        <f t="shared" ca="1" si="142"/>
        <v>-561307090.92950201</v>
      </c>
      <c r="M2065" s="471">
        <f t="shared" si="144"/>
        <v>0.05</v>
      </c>
      <c r="N2065" s="475">
        <f t="shared" si="145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43"/>
        <v>-561307090.92950201</v>
      </c>
      <c r="J2066" s="455">
        <f t="array" ref="J2066">IFERROR(INDEX('Retirement Calculator'!J:J,MATCH('Isaac 401k'!N2066,'Retirement Calculator'!A:A,0),0),0)</f>
        <v>0</v>
      </c>
      <c r="K2066" s="455">
        <f t="shared" ca="1" si="141"/>
        <v>-2338779.5455395915</v>
      </c>
      <c r="L2066" s="455">
        <f t="shared" ca="1" si="142"/>
        <v>-563645870.47504163</v>
      </c>
      <c r="M2066" s="471">
        <f t="shared" si="144"/>
        <v>0.05</v>
      </c>
      <c r="N2066" s="475">
        <f t="shared" si="145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43"/>
        <v>-563645870.47504163</v>
      </c>
      <c r="J2067" s="455">
        <f t="array" ref="J2067">IFERROR(INDEX('Retirement Calculator'!J:J,MATCH('Isaac 401k'!N2067,'Retirement Calculator'!A:A,0),0),0)</f>
        <v>0</v>
      </c>
      <c r="K2067" s="455">
        <f t="shared" ca="1" si="141"/>
        <v>-2348524.4603126734</v>
      </c>
      <c r="L2067" s="455">
        <f t="shared" ca="1" si="142"/>
        <v>-565994394.93535435</v>
      </c>
      <c r="M2067" s="471">
        <f t="shared" si="144"/>
        <v>0.05</v>
      </c>
      <c r="N2067" s="475">
        <f t="shared" si="145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43"/>
        <v>-565994394.93535435</v>
      </c>
      <c r="J2068" s="455">
        <f t="array" ref="J2068">IFERROR(INDEX('Retirement Calculator'!J:J,MATCH('Isaac 401k'!N2068,'Retirement Calculator'!A:A,0),0),0)</f>
        <v>0</v>
      </c>
      <c r="K2068" s="455">
        <f t="shared" ca="1" si="141"/>
        <v>-2358309.9788973099</v>
      </c>
      <c r="L2068" s="455">
        <f t="shared" ca="1" si="142"/>
        <v>-568352704.91425169</v>
      </c>
      <c r="M2068" s="471">
        <f t="shared" si="144"/>
        <v>0.05</v>
      </c>
      <c r="N2068" s="475">
        <f t="shared" si="145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43"/>
        <v>-568352704.91425169</v>
      </c>
      <c r="J2069" s="455">
        <f t="array" ref="J2069">IFERROR(INDEX('Retirement Calculator'!J:J,MATCH('Isaac 401k'!N2069,'Retirement Calculator'!A:A,0),0),0)</f>
        <v>0</v>
      </c>
      <c r="K2069" s="455">
        <f t="shared" ca="1" si="141"/>
        <v>-2368136.2704760488</v>
      </c>
      <c r="L2069" s="455">
        <f t="shared" ca="1" si="142"/>
        <v>-570720841.18472779</v>
      </c>
      <c r="M2069" s="471">
        <f t="shared" si="144"/>
        <v>0.05</v>
      </c>
      <c r="N2069" s="475">
        <f t="shared" si="145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43"/>
        <v>-570720841.18472779</v>
      </c>
      <c r="J2070" s="455">
        <f t="array" ref="J2070">IFERROR(INDEX('Retirement Calculator'!J:J,MATCH('Isaac 401k'!N2070,'Retirement Calculator'!A:A,0),0),0)</f>
        <v>0</v>
      </c>
      <c r="K2070" s="455">
        <f t="shared" ca="1" si="141"/>
        <v>-2378003.5049363659</v>
      </c>
      <c r="L2070" s="455">
        <f t="shared" ca="1" si="142"/>
        <v>-573098844.68966413</v>
      </c>
      <c r="M2070" s="471">
        <f t="shared" si="144"/>
        <v>0.05</v>
      </c>
      <c r="N2070" s="475">
        <f t="shared" si="145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43"/>
        <v>-573098844.68966413</v>
      </c>
      <c r="J2071" s="455">
        <f t="array" ref="J2071">IFERROR(INDEX('Retirement Calculator'!J:J,MATCH('Isaac 401k'!N2071,'Retirement Calculator'!A:A,0),0),0)</f>
        <v>0</v>
      </c>
      <c r="K2071" s="455">
        <f t="shared" ca="1" si="141"/>
        <v>-2387911.8528736006</v>
      </c>
      <c r="L2071" s="455">
        <f t="shared" ca="1" si="142"/>
        <v>-575486756.54253769</v>
      </c>
      <c r="M2071" s="471">
        <f t="shared" si="144"/>
        <v>0.05</v>
      </c>
      <c r="N2071" s="475">
        <f t="shared" si="145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43"/>
        <v>-575486756.54253769</v>
      </c>
      <c r="J2072" s="455">
        <f t="array" ref="J2072">IFERROR(INDEX('Retirement Calculator'!J:J,MATCH('Isaac 401k'!N2072,'Retirement Calculator'!A:A,0),0),0)</f>
        <v>0</v>
      </c>
      <c r="K2072" s="455">
        <f t="shared" ca="1" si="141"/>
        <v>-2397861.4855939071</v>
      </c>
      <c r="L2072" s="455">
        <f t="shared" ca="1" si="142"/>
        <v>-577884618.0281316</v>
      </c>
      <c r="M2072" s="471">
        <f t="shared" si="144"/>
        <v>0.05</v>
      </c>
      <c r="N2072" s="475">
        <f t="shared" si="145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43"/>
        <v>-577884618.0281316</v>
      </c>
      <c r="J2073" s="455">
        <f t="array" ref="J2073">IFERROR(INDEX('Retirement Calculator'!J:J,MATCH('Isaac 401k'!N2073,'Retirement Calculator'!A:A,0),0),0)</f>
        <v>0</v>
      </c>
      <c r="K2073" s="455">
        <f t="shared" ca="1" si="141"/>
        <v>-2407852.575117215</v>
      </c>
      <c r="L2073" s="455">
        <f t="shared" ca="1" si="142"/>
        <v>-580292470.60324883</v>
      </c>
      <c r="M2073" s="471">
        <f t="shared" si="144"/>
        <v>0.05</v>
      </c>
      <c r="N2073" s="475">
        <f t="shared" si="145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43"/>
        <v>-580292470.60324883</v>
      </c>
      <c r="J2074" s="455">
        <f t="array" ref="J2074">IFERROR(INDEX('Retirement Calculator'!J:J,MATCH('Isaac 401k'!N2074,'Retirement Calculator'!A:A,0),0),0)</f>
        <v>0</v>
      </c>
      <c r="K2074" s="455">
        <f t="shared" ca="1" si="141"/>
        <v>-2417885.2941802032</v>
      </c>
      <c r="L2074" s="455">
        <f t="shared" ca="1" si="142"/>
        <v>-582710355.89742899</v>
      </c>
      <c r="M2074" s="471">
        <f t="shared" si="144"/>
        <v>0.05</v>
      </c>
      <c r="N2074" s="475">
        <f t="shared" si="145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43"/>
        <v>-582710355.89742899</v>
      </c>
      <c r="J2075" s="455">
        <f t="array" ref="J2075">IFERROR(INDEX('Retirement Calculator'!J:J,MATCH('Isaac 401k'!N2075,'Retirement Calculator'!A:A,0),0),0)</f>
        <v>0</v>
      </c>
      <c r="K2075" s="455">
        <f t="shared" ca="1" si="141"/>
        <v>-2427959.8162392876</v>
      </c>
      <c r="L2075" s="455">
        <f t="shared" ca="1" si="142"/>
        <v>-585138315.71366823</v>
      </c>
      <c r="M2075" s="471">
        <f t="shared" si="144"/>
        <v>0.05</v>
      </c>
      <c r="N2075" s="475">
        <f t="shared" si="145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43"/>
        <v>-585138315.71366823</v>
      </c>
      <c r="J2076" s="455">
        <f t="array" ref="J2076">IFERROR(INDEX('Retirement Calculator'!J:J,MATCH('Isaac 401k'!N2076,'Retirement Calculator'!A:A,0),0),0)</f>
        <v>0</v>
      </c>
      <c r="K2076" s="455">
        <f t="shared" ca="1" si="141"/>
        <v>-2438076.3154736175</v>
      </c>
      <c r="L2076" s="455">
        <f t="shared" ca="1" si="142"/>
        <v>-587576392.0291419</v>
      </c>
      <c r="M2076" s="471">
        <f t="shared" si="144"/>
        <v>0.05</v>
      </c>
      <c r="N2076" s="475">
        <f t="shared" si="145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43"/>
        <v>-587576392.0291419</v>
      </c>
      <c r="J2077" s="455">
        <f t="array" ref="J2077">IFERROR(INDEX('Retirement Calculator'!J:J,MATCH('Isaac 401k'!N2077,'Retirement Calculator'!A:A,0),0),0)</f>
        <v>0</v>
      </c>
      <c r="K2077" s="455">
        <f t="shared" ca="1" si="141"/>
        <v>-2448234.9667880912</v>
      </c>
      <c r="L2077" s="455">
        <f t="shared" ca="1" si="142"/>
        <v>-590024626.99592996</v>
      </c>
      <c r="M2077" s="471">
        <f t="shared" si="144"/>
        <v>0.05</v>
      </c>
      <c r="N2077" s="475">
        <f t="shared" si="145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43"/>
        <v>-590024626.99592996</v>
      </c>
      <c r="J2078" s="455">
        <f t="array" ref="J2078">IFERROR(INDEX('Retirement Calculator'!J:J,MATCH('Isaac 401k'!N2078,'Retirement Calculator'!A:A,0),0),0)</f>
        <v>0</v>
      </c>
      <c r="K2078" s="455">
        <f t="shared" ca="1" si="141"/>
        <v>-2458435.9458163748</v>
      </c>
      <c r="L2078" s="455">
        <f t="shared" ca="1" si="142"/>
        <v>-592483062.94174635</v>
      </c>
      <c r="M2078" s="471">
        <f t="shared" si="144"/>
        <v>0.05</v>
      </c>
      <c r="N2078" s="475">
        <f t="shared" si="145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43"/>
        <v>-592483062.94174635</v>
      </c>
      <c r="J2079" s="455">
        <f t="array" ref="J2079">IFERROR(INDEX('Retirement Calculator'!J:J,MATCH('Isaac 401k'!N2079,'Retirement Calculator'!A:A,0),0),0)</f>
        <v>0</v>
      </c>
      <c r="K2079" s="455">
        <f t="shared" ca="1" si="141"/>
        <v>-2468679.4289239431</v>
      </c>
      <c r="L2079" s="455">
        <f t="shared" ca="1" si="142"/>
        <v>-594951742.37067032</v>
      </c>
      <c r="M2079" s="471">
        <f t="shared" si="144"/>
        <v>0.05</v>
      </c>
      <c r="N2079" s="475">
        <f t="shared" si="145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43"/>
        <v>-594951742.37067032</v>
      </c>
      <c r="J2080" s="455">
        <f t="array" ref="J2080">IFERROR(INDEX('Retirement Calculator'!J:J,MATCH('Isaac 401k'!N2080,'Retirement Calculator'!A:A,0),0),0)</f>
        <v>0</v>
      </c>
      <c r="K2080" s="455">
        <f t="shared" ca="1" si="141"/>
        <v>-2478965.5932111265</v>
      </c>
      <c r="L2080" s="455">
        <f t="shared" ca="1" si="142"/>
        <v>-597430707.96388149</v>
      </c>
      <c r="M2080" s="471">
        <f t="shared" si="144"/>
        <v>0.05</v>
      </c>
      <c r="N2080" s="475">
        <f t="shared" si="145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43"/>
        <v>-597430707.96388149</v>
      </c>
      <c r="J2081" s="455">
        <f t="array" ref="J2081">IFERROR(INDEX('Retirement Calculator'!J:J,MATCH('Isaac 401k'!N2081,'Retirement Calculator'!A:A,0),0),0)</f>
        <v>0</v>
      </c>
      <c r="K2081" s="455">
        <f t="shared" ca="1" si="141"/>
        <v>-2489294.6165161729</v>
      </c>
      <c r="L2081" s="455">
        <f t="shared" ca="1" si="142"/>
        <v>-599920002.58039761</v>
      </c>
      <c r="M2081" s="471">
        <f t="shared" si="144"/>
        <v>0.05</v>
      </c>
      <c r="N2081" s="475">
        <f t="shared" si="145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43"/>
        <v>-599920002.58039761</v>
      </c>
      <c r="J2082" s="455">
        <f t="array" ref="J2082">IFERROR(INDEX('Retirement Calculator'!J:J,MATCH('Isaac 401k'!N2082,'Retirement Calculator'!A:A,0),0),0)</f>
        <v>0</v>
      </c>
      <c r="K2082" s="455">
        <f t="shared" ca="1" si="141"/>
        <v>-2499666.6774183232</v>
      </c>
      <c r="L2082" s="455">
        <f t="shared" ca="1" si="142"/>
        <v>-602419669.25781596</v>
      </c>
      <c r="M2082" s="471">
        <f t="shared" si="144"/>
        <v>0.05</v>
      </c>
      <c r="N2082" s="475">
        <f t="shared" si="145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43"/>
        <v>-602419669.25781596</v>
      </c>
      <c r="J2083" s="455">
        <f t="array" ref="J2083">IFERROR(INDEX('Retirement Calculator'!J:J,MATCH('Isaac 401k'!N2083,'Retirement Calculator'!A:A,0),0),0)</f>
        <v>0</v>
      </c>
      <c r="K2083" s="455">
        <f t="shared" ca="1" si="141"/>
        <v>-2510081.9552408997</v>
      </c>
      <c r="L2083" s="455">
        <f t="shared" ca="1" si="142"/>
        <v>-604929751.2130568</v>
      </c>
      <c r="M2083" s="471">
        <f t="shared" si="144"/>
        <v>0.05</v>
      </c>
      <c r="N2083" s="475">
        <f t="shared" si="145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43"/>
        <v>-604929751.2130568</v>
      </c>
      <c r="J2084" s="455">
        <f t="array" ref="J2084">IFERROR(INDEX('Retirement Calculator'!J:J,MATCH('Isaac 401k'!N2084,'Retirement Calculator'!A:A,0),0),0)</f>
        <v>0</v>
      </c>
      <c r="K2084" s="455">
        <f t="shared" ca="1" si="141"/>
        <v>-2520540.6300544031</v>
      </c>
      <c r="L2084" s="455">
        <f t="shared" ca="1" si="142"/>
        <v>-607450291.84311116</v>
      </c>
      <c r="M2084" s="471">
        <f t="shared" si="144"/>
        <v>0.05</v>
      </c>
      <c r="N2084" s="475">
        <f t="shared" si="145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43"/>
        <v>-607450291.84311116</v>
      </c>
      <c r="J2085" s="455">
        <f t="array" ref="J2085">IFERROR(INDEX('Retirement Calculator'!J:J,MATCH('Isaac 401k'!N2085,'Retirement Calculator'!A:A,0),0),0)</f>
        <v>0</v>
      </c>
      <c r="K2085" s="455">
        <f t="shared" ca="1" si="141"/>
        <v>-2531042.8826796296</v>
      </c>
      <c r="L2085" s="455">
        <f t="shared" ca="1" si="142"/>
        <v>-609981334.72579074</v>
      </c>
      <c r="M2085" s="471">
        <f t="shared" si="144"/>
        <v>0.05</v>
      </c>
      <c r="N2085" s="475">
        <f t="shared" si="145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43"/>
        <v>-609981334.72579074</v>
      </c>
      <c r="J2086" s="455">
        <f t="array" ref="J2086">IFERROR(INDEX('Retirement Calculator'!J:J,MATCH('Isaac 401k'!N2086,'Retirement Calculator'!A:A,0),0),0)</f>
        <v>0</v>
      </c>
      <c r="K2086" s="455">
        <f t="shared" ca="1" si="141"/>
        <v>-2541588.8946907949</v>
      </c>
      <c r="L2086" s="455">
        <f t="shared" ca="1" si="142"/>
        <v>-612522923.62048149</v>
      </c>
      <c r="M2086" s="471">
        <f t="shared" si="144"/>
        <v>0.05</v>
      </c>
      <c r="N2086" s="475">
        <f t="shared" si="145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43"/>
        <v>-612522923.62048149</v>
      </c>
      <c r="J2087" s="455">
        <f t="array" ref="J2087">IFERROR(INDEX('Retirement Calculator'!J:J,MATCH('Isaac 401k'!N2087,'Retirement Calculator'!A:A,0),0),0)</f>
        <v>0</v>
      </c>
      <c r="K2087" s="455">
        <f t="shared" ca="1" si="141"/>
        <v>-2552178.848418673</v>
      </c>
      <c r="L2087" s="455">
        <f t="shared" ca="1" si="142"/>
        <v>-615075102.4689002</v>
      </c>
      <c r="M2087" s="471">
        <f t="shared" si="144"/>
        <v>0.05</v>
      </c>
      <c r="N2087" s="475">
        <f t="shared" si="145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43"/>
        <v>-615075102.4689002</v>
      </c>
      <c r="J2088" s="455">
        <f t="array" ref="J2088">IFERROR(INDEX('Retirement Calculator'!J:J,MATCH('Isaac 401k'!N2088,'Retirement Calculator'!A:A,0),0),0)</f>
        <v>0</v>
      </c>
      <c r="K2088" s="455">
        <f t="shared" ca="1" si="141"/>
        <v>-2562812.9269537507</v>
      </c>
      <c r="L2088" s="455">
        <f t="shared" ca="1" si="142"/>
        <v>-617637915.395854</v>
      </c>
      <c r="M2088" s="471">
        <f t="shared" si="144"/>
        <v>0.05</v>
      </c>
      <c r="N2088" s="475">
        <f t="shared" si="145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43"/>
        <v>-617637915.395854</v>
      </c>
      <c r="J2089" s="455">
        <f t="array" ref="J2089">IFERROR(INDEX('Retirement Calculator'!J:J,MATCH('Isaac 401k'!N2089,'Retirement Calculator'!A:A,0),0),0)</f>
        <v>0</v>
      </c>
      <c r="K2089" s="455">
        <f t="shared" ca="1" si="141"/>
        <v>-2573491.3141493918</v>
      </c>
      <c r="L2089" s="455">
        <f t="shared" ca="1" si="142"/>
        <v>-620211406.71000338</v>
      </c>
      <c r="M2089" s="471">
        <f t="shared" si="144"/>
        <v>0.05</v>
      </c>
      <c r="N2089" s="475">
        <f t="shared" si="145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43"/>
        <v>-620211406.71000338</v>
      </c>
      <c r="J2090" s="455">
        <f t="array" ref="J2090">IFERROR(INDEX('Retirement Calculator'!J:J,MATCH('Isaac 401k'!N2090,'Retirement Calculator'!A:A,0),0),0)</f>
        <v>0</v>
      </c>
      <c r="K2090" s="455">
        <f t="shared" ca="1" si="141"/>
        <v>-2584214.194625014</v>
      </c>
      <c r="L2090" s="455">
        <f t="shared" ca="1" si="142"/>
        <v>-622795620.9046284</v>
      </c>
      <c r="M2090" s="471">
        <f t="shared" si="144"/>
        <v>0.05</v>
      </c>
      <c r="N2090" s="475">
        <f t="shared" si="145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43"/>
        <v>-622795620.9046284</v>
      </c>
      <c r="J2091" s="455">
        <f t="array" ref="J2091">IFERROR(INDEX('Retirement Calculator'!J:J,MATCH('Isaac 401k'!N2091,'Retirement Calculator'!A:A,0),0),0)</f>
        <v>0</v>
      </c>
      <c r="K2091" s="455">
        <f t="shared" ca="1" si="141"/>
        <v>-2594981.753769285</v>
      </c>
      <c r="L2091" s="455">
        <f t="shared" ca="1" si="142"/>
        <v>-625390602.65839767</v>
      </c>
      <c r="M2091" s="471">
        <f t="shared" si="144"/>
        <v>0.05</v>
      </c>
      <c r="N2091" s="475">
        <f t="shared" si="145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43"/>
        <v>-625390602.65839767</v>
      </c>
      <c r="J2092" s="455">
        <f t="array" ref="J2092">IFERROR(INDEX('Retirement Calculator'!J:J,MATCH('Isaac 401k'!N2092,'Retirement Calculator'!A:A,0),0),0)</f>
        <v>0</v>
      </c>
      <c r="K2092" s="455">
        <f t="shared" ca="1" si="141"/>
        <v>-2605794.1777433236</v>
      </c>
      <c r="L2092" s="455">
        <f t="shared" ca="1" si="142"/>
        <v>-627996396.83614099</v>
      </c>
      <c r="M2092" s="471">
        <f t="shared" si="144"/>
        <v>0.05</v>
      </c>
      <c r="N2092" s="475">
        <f t="shared" si="145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43"/>
        <v>-627996396.83614099</v>
      </c>
      <c r="J2093" s="455">
        <f t="array" ref="J2093">IFERROR(INDEX('Retirement Calculator'!J:J,MATCH('Isaac 401k'!N2093,'Retirement Calculator'!A:A,0),0),0)</f>
        <v>0</v>
      </c>
      <c r="K2093" s="455">
        <f t="shared" ca="1" si="141"/>
        <v>-2616651.6534839207</v>
      </c>
      <c r="L2093" s="455">
        <f t="shared" ca="1" si="142"/>
        <v>-630613048.48962486</v>
      </c>
      <c r="M2093" s="471">
        <f t="shared" si="144"/>
        <v>0.05</v>
      </c>
      <c r="N2093" s="475">
        <f t="shared" si="145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43"/>
        <v>-630613048.48962486</v>
      </c>
      <c r="J2094" s="455">
        <f t="array" ref="J2094">IFERROR(INDEX('Retirement Calculator'!J:J,MATCH('Isaac 401k'!N2094,'Retirement Calculator'!A:A,0),0),0)</f>
        <v>0</v>
      </c>
      <c r="K2094" s="455">
        <f t="shared" ca="1" si="141"/>
        <v>-2627554.3687067702</v>
      </c>
      <c r="L2094" s="455">
        <f t="shared" ca="1" si="142"/>
        <v>-633240602.85833168</v>
      </c>
      <c r="M2094" s="471">
        <f t="shared" si="144"/>
        <v>0.05</v>
      </c>
      <c r="N2094" s="475">
        <f t="shared" si="145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43"/>
        <v>-633240602.85833168</v>
      </c>
      <c r="J2095" s="455">
        <f t="array" ref="J2095">IFERROR(INDEX('Retirement Calculator'!J:J,MATCH('Isaac 401k'!N2095,'Retirement Calculator'!A:A,0),0),0)</f>
        <v>0</v>
      </c>
      <c r="K2095" s="455">
        <f t="shared" ca="1" si="141"/>
        <v>-2638502.5119097154</v>
      </c>
      <c r="L2095" s="455">
        <f t="shared" ca="1" si="142"/>
        <v>-635879105.3702414</v>
      </c>
      <c r="M2095" s="471">
        <f t="shared" si="144"/>
        <v>0.05</v>
      </c>
      <c r="N2095" s="475">
        <f t="shared" si="145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43"/>
        <v>-635879105.3702414</v>
      </c>
      <c r="J2096" s="455">
        <f t="array" ref="J2096">IFERROR(INDEX('Retirement Calculator'!J:J,MATCH('Isaac 401k'!N2096,'Retirement Calculator'!A:A,0),0),0)</f>
        <v>0</v>
      </c>
      <c r="K2096" s="455">
        <f t="shared" ca="1" si="141"/>
        <v>-2649496.272376006</v>
      </c>
      <c r="L2096" s="455">
        <f t="shared" ca="1" si="142"/>
        <v>-638528601.64261746</v>
      </c>
      <c r="M2096" s="471">
        <f t="shared" si="144"/>
        <v>0.05</v>
      </c>
      <c r="N2096" s="475">
        <f t="shared" si="145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43"/>
        <v>-638528601.64261746</v>
      </c>
      <c r="J2097" s="455">
        <f t="array" ref="J2097">IFERROR(INDEX('Retirement Calculator'!J:J,MATCH('Isaac 401k'!N2097,'Retirement Calculator'!A:A,0),0),0)</f>
        <v>0</v>
      </c>
      <c r="K2097" s="455">
        <f t="shared" ca="1" si="141"/>
        <v>-2660535.8401775728</v>
      </c>
      <c r="L2097" s="455">
        <f t="shared" ca="1" si="142"/>
        <v>-641189137.482795</v>
      </c>
      <c r="M2097" s="471">
        <f t="shared" si="144"/>
        <v>0.05</v>
      </c>
      <c r="N2097" s="475">
        <f t="shared" si="145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43"/>
        <v>-641189137.482795</v>
      </c>
      <c r="J2098" s="455">
        <f t="array" ref="J2098">IFERROR(INDEX('Retirement Calculator'!J:J,MATCH('Isaac 401k'!N2098,'Retirement Calculator'!A:A,0),0),0)</f>
        <v>0</v>
      </c>
      <c r="K2098" s="455">
        <f t="shared" ca="1" si="141"/>
        <v>-2671621.4061783124</v>
      </c>
      <c r="L2098" s="455">
        <f t="shared" ca="1" si="142"/>
        <v>-643860758.88897336</v>
      </c>
      <c r="M2098" s="471">
        <f t="shared" si="144"/>
        <v>0.05</v>
      </c>
      <c r="N2098" s="475">
        <f t="shared" si="145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43"/>
        <v>-643860758.88897336</v>
      </c>
      <c r="J2099" s="455">
        <f t="array" ref="J2099">IFERROR(INDEX('Retirement Calculator'!J:J,MATCH('Isaac 401k'!N2099,'Retirement Calculator'!A:A,0),0),0)</f>
        <v>0</v>
      </c>
      <c r="K2099" s="455">
        <f t="shared" ca="1" si="141"/>
        <v>-2682753.1620373889</v>
      </c>
      <c r="L2099" s="455">
        <f t="shared" ca="1" si="142"/>
        <v>-646543512.05101073</v>
      </c>
      <c r="M2099" s="471">
        <f t="shared" si="144"/>
        <v>0.05</v>
      </c>
      <c r="N2099" s="475">
        <f t="shared" si="145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43"/>
        <v>-646543512.05101073</v>
      </c>
      <c r="J2100" s="455">
        <f t="array" ref="J2100">IFERROR(INDEX('Retirement Calculator'!J:J,MATCH('Isaac 401k'!N2100,'Retirement Calculator'!A:A,0),0),0)</f>
        <v>0</v>
      </c>
      <c r="K2100" s="455">
        <f t="shared" ca="1" si="141"/>
        <v>-2693931.3002125449</v>
      </c>
      <c r="L2100" s="455">
        <f t="shared" ca="1" si="142"/>
        <v>-649237443.35122323</v>
      </c>
      <c r="M2100" s="471">
        <f t="shared" si="144"/>
        <v>0.05</v>
      </c>
      <c r="N2100" s="475">
        <f t="shared" si="145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43"/>
        <v>-649237443.35122323</v>
      </c>
      <c r="J2101" s="455">
        <f t="array" ref="J2101">IFERROR(INDEX('Retirement Calculator'!J:J,MATCH('Isaac 401k'!N2101,'Retirement Calculator'!A:A,0),0),0)</f>
        <v>0</v>
      </c>
      <c r="K2101" s="455">
        <f t="shared" ca="1" si="141"/>
        <v>-2705156.0139634302</v>
      </c>
      <c r="L2101" s="455">
        <f t="shared" ca="1" si="142"/>
        <v>-651942599.36518669</v>
      </c>
      <c r="M2101" s="471">
        <f t="shared" si="144"/>
        <v>0.05</v>
      </c>
      <c r="N2101" s="475">
        <f t="shared" si="145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43"/>
        <v>-651942599.36518669</v>
      </c>
      <c r="J2102" s="455">
        <f t="array" ref="J2102">IFERROR(INDEX('Retirement Calculator'!J:J,MATCH('Isaac 401k'!N2102,'Retirement Calculator'!A:A,0),0),0)</f>
        <v>0</v>
      </c>
      <c r="K2102" s="455">
        <f t="shared" ca="1" si="141"/>
        <v>-2716427.4973549447</v>
      </c>
      <c r="L2102" s="455">
        <f t="shared" ca="1" si="142"/>
        <v>-654659026.86254168</v>
      </c>
      <c r="M2102" s="471">
        <f t="shared" si="144"/>
        <v>0.05</v>
      </c>
      <c r="N2102" s="475">
        <f t="shared" si="145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43"/>
        <v>-654659026.86254168</v>
      </c>
      <c r="J2103" s="455">
        <f t="array" ref="J2103">IFERROR(INDEX('Retirement Calculator'!J:J,MATCH('Isaac 401k'!N2103,'Retirement Calculator'!A:A,0),0),0)</f>
        <v>0</v>
      </c>
      <c r="K2103" s="455">
        <f t="shared" ca="1" si="141"/>
        <v>-2727745.9452605904</v>
      </c>
      <c r="L2103" s="455">
        <f t="shared" ca="1" si="142"/>
        <v>-657386772.80780232</v>
      </c>
      <c r="M2103" s="471">
        <f t="shared" si="144"/>
        <v>0.05</v>
      </c>
      <c r="N2103" s="475">
        <f t="shared" si="145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43"/>
        <v>-657386772.80780232</v>
      </c>
      <c r="J2104" s="455">
        <f t="array" ref="J2104">IFERROR(INDEX('Retirement Calculator'!J:J,MATCH('Isaac 401k'!N2104,'Retirement Calculator'!A:A,0),0),0)</f>
        <v>0</v>
      </c>
      <c r="K2104" s="455">
        <f t="shared" ca="1" si="141"/>
        <v>-2739111.5533658429</v>
      </c>
      <c r="L2104" s="455">
        <f t="shared" ca="1" si="142"/>
        <v>-660125884.36116815</v>
      </c>
      <c r="M2104" s="471">
        <f t="shared" si="144"/>
        <v>0.05</v>
      </c>
      <c r="N2104" s="475">
        <f t="shared" si="145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43"/>
        <v>-660125884.36116815</v>
      </c>
      <c r="J2105" s="455">
        <f t="array" ref="J2105">IFERROR(INDEX('Retirement Calculator'!J:J,MATCH('Isaac 401k'!N2105,'Retirement Calculator'!A:A,0),0),0)</f>
        <v>0</v>
      </c>
      <c r="K2105" s="455">
        <f t="shared" ca="1" si="141"/>
        <v>-2750524.5181715339</v>
      </c>
      <c r="L2105" s="455">
        <f t="shared" ca="1" si="142"/>
        <v>-662876408.87933969</v>
      </c>
      <c r="M2105" s="471">
        <f t="shared" si="144"/>
        <v>0.05</v>
      </c>
      <c r="N2105" s="475">
        <f t="shared" si="145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43"/>
        <v>-662876408.87933969</v>
      </c>
      <c r="J2106" s="455">
        <f t="array" ref="J2106">IFERROR(INDEX('Retirement Calculator'!J:J,MATCH('Isaac 401k'!N2106,'Retirement Calculator'!A:A,0),0),0)</f>
        <v>0</v>
      </c>
      <c r="K2106" s="455">
        <f t="shared" ca="1" si="141"/>
        <v>-2761985.0369972489</v>
      </c>
      <c r="L2106" s="455">
        <f t="shared" ca="1" si="142"/>
        <v>-665638393.91633689</v>
      </c>
      <c r="M2106" s="471">
        <f t="shared" si="144"/>
        <v>0.05</v>
      </c>
      <c r="N2106" s="475">
        <f t="shared" si="145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43"/>
        <v>-665638393.91633689</v>
      </c>
      <c r="J2107" s="455">
        <f t="array" ref="J2107">IFERROR(INDEX('Retirement Calculator'!J:J,MATCH('Isaac 401k'!N2107,'Retirement Calculator'!A:A,0),0),0)</f>
        <v>0</v>
      </c>
      <c r="K2107" s="455">
        <f t="shared" ca="1" si="141"/>
        <v>-2773493.3079847372</v>
      </c>
      <c r="L2107" s="455">
        <f t="shared" ca="1" si="142"/>
        <v>-668411887.2243216</v>
      </c>
      <c r="M2107" s="471">
        <f t="shared" si="144"/>
        <v>0.05</v>
      </c>
      <c r="N2107" s="475">
        <f t="shared" si="145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43"/>
        <v>-668411887.2243216</v>
      </c>
      <c r="J2108" s="455">
        <f t="array" ref="J2108">IFERROR(INDEX('Retirement Calculator'!J:J,MATCH('Isaac 401k'!N2108,'Retirement Calculator'!A:A,0),0),0)</f>
        <v>0</v>
      </c>
      <c r="K2108" s="455">
        <f t="shared" ca="1" si="141"/>
        <v>-2785049.5301013398</v>
      </c>
      <c r="L2108" s="455">
        <f t="shared" ca="1" si="142"/>
        <v>-671196936.7544229</v>
      </c>
      <c r="M2108" s="471">
        <f t="shared" si="144"/>
        <v>0.05</v>
      </c>
      <c r="N2108" s="475">
        <f t="shared" si="145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43"/>
        <v>-671196936.7544229</v>
      </c>
      <c r="J2109" s="455">
        <f t="array" ref="J2109">IFERROR(INDEX('Retirement Calculator'!J:J,MATCH('Isaac 401k'!N2109,'Retirement Calculator'!A:A,0),0),0)</f>
        <v>0</v>
      </c>
      <c r="K2109" s="455">
        <f t="shared" ca="1" si="141"/>
        <v>-2796653.9031434287</v>
      </c>
      <c r="L2109" s="455">
        <f t="shared" ca="1" si="142"/>
        <v>-673993590.65756631</v>
      </c>
      <c r="M2109" s="471">
        <f t="shared" si="144"/>
        <v>0.05</v>
      </c>
      <c r="N2109" s="475">
        <f t="shared" si="145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43"/>
        <v>-673993590.65756631</v>
      </c>
      <c r="J2110" s="455">
        <f t="array" ref="J2110">IFERROR(INDEX('Retirement Calculator'!J:J,MATCH('Isaac 401k'!N2110,'Retirement Calculator'!A:A,0),0),0)</f>
        <v>0</v>
      </c>
      <c r="K2110" s="455">
        <f t="shared" ca="1" si="141"/>
        <v>-2808306.6277398597</v>
      </c>
      <c r="L2110" s="455">
        <f t="shared" ca="1" si="142"/>
        <v>-676801897.28530622</v>
      </c>
      <c r="M2110" s="471">
        <f t="shared" si="144"/>
        <v>0.05</v>
      </c>
      <c r="N2110" s="475">
        <f t="shared" si="145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43"/>
        <v>-676801897.28530622</v>
      </c>
      <c r="J2111" s="455">
        <f t="array" ref="J2111">IFERROR(INDEX('Retirement Calculator'!J:J,MATCH('Isaac 401k'!N2111,'Retirement Calculator'!A:A,0),0),0)</f>
        <v>0</v>
      </c>
      <c r="K2111" s="455">
        <f t="shared" ca="1" si="141"/>
        <v>-2820007.9053554423</v>
      </c>
      <c r="L2111" s="455">
        <f t="shared" ca="1" si="142"/>
        <v>-679621905.19066167</v>
      </c>
      <c r="M2111" s="471">
        <f t="shared" si="144"/>
        <v>0.05</v>
      </c>
      <c r="N2111" s="475">
        <f t="shared" si="145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43"/>
        <v>-679621905.19066167</v>
      </c>
      <c r="J2112" s="455">
        <f t="array" ref="J2112">IFERROR(INDEX('Retirement Calculator'!J:J,MATCH('Isaac 401k'!N2112,'Retirement Calculator'!A:A,0),0),0)</f>
        <v>0</v>
      </c>
      <c r="K2112" s="455">
        <f t="shared" ca="1" si="141"/>
        <v>-2831757.9382944237</v>
      </c>
      <c r="L2112" s="455">
        <f t="shared" ca="1" si="142"/>
        <v>-682453663.12895608</v>
      </c>
      <c r="M2112" s="471">
        <f t="shared" si="144"/>
        <v>0.05</v>
      </c>
      <c r="N2112" s="475">
        <f t="shared" si="145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43"/>
        <v>-682453663.12895608</v>
      </c>
      <c r="J2113" s="455">
        <f t="array" ref="J2113">IFERROR(INDEX('Retirement Calculator'!J:J,MATCH('Isaac 401k'!N2113,'Retirement Calculator'!A:A,0),0),0)</f>
        <v>0</v>
      </c>
      <c r="K2113" s="455">
        <f t="shared" ca="1" si="141"/>
        <v>-2843556.9297039835</v>
      </c>
      <c r="L2113" s="455">
        <f t="shared" ca="1" si="142"/>
        <v>-685297220.05866003</v>
      </c>
      <c r="M2113" s="471">
        <f t="shared" si="144"/>
        <v>0.05</v>
      </c>
      <c r="N2113" s="475">
        <f t="shared" si="145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43"/>
        <v>-685297220.05866003</v>
      </c>
      <c r="J2114" s="455">
        <f t="array" ref="J2114">IFERROR(INDEX('Retirement Calculator'!J:J,MATCH('Isaac 401k'!N2114,'Retirement Calculator'!A:A,0),0),0)</f>
        <v>0</v>
      </c>
      <c r="K2114" s="455">
        <f t="shared" ca="1" si="141"/>
        <v>-2855405.0835777503</v>
      </c>
      <c r="L2114" s="455">
        <f t="shared" ca="1" si="142"/>
        <v>-688152625.14223778</v>
      </c>
      <c r="M2114" s="471">
        <f t="shared" si="144"/>
        <v>0.05</v>
      </c>
      <c r="N2114" s="475">
        <f t="shared" si="145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43"/>
        <v>-688152625.14223778</v>
      </c>
      <c r="J2115" s="455">
        <f t="array" ref="J2115">IFERROR(INDEX('Retirement Calculator'!J:J,MATCH('Isaac 401k'!N2115,'Retirement Calculator'!A:A,0),0),0)</f>
        <v>0</v>
      </c>
      <c r="K2115" s="455">
        <f t="shared" ca="1" si="141"/>
        <v>-2867302.6047593239</v>
      </c>
      <c r="L2115" s="455">
        <f t="shared" ca="1" si="142"/>
        <v>-691019927.74699712</v>
      </c>
      <c r="M2115" s="471">
        <f t="shared" si="144"/>
        <v>0.05</v>
      </c>
      <c r="N2115" s="475">
        <f t="shared" si="145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43"/>
        <v>-691019927.74699712</v>
      </c>
      <c r="J2116" s="455">
        <f t="array" ref="J2116">IFERROR(INDEX('Retirement Calculator'!J:J,MATCH('Isaac 401k'!N2116,'Retirement Calculator'!A:A,0),0),0)</f>
        <v>0</v>
      </c>
      <c r="K2116" s="455">
        <f t="shared" ca="1" si="141"/>
        <v>-2879249.6989458213</v>
      </c>
      <c r="L2116" s="455">
        <f t="shared" ca="1" si="142"/>
        <v>-693899177.445943</v>
      </c>
      <c r="M2116" s="471">
        <f t="shared" si="144"/>
        <v>0.05</v>
      </c>
      <c r="N2116" s="475">
        <f t="shared" si="145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43"/>
        <v>-693899177.445943</v>
      </c>
      <c r="J2117" s="455">
        <f t="array" ref="J2117">IFERROR(INDEX('Retirement Calculator'!J:J,MATCH('Isaac 401k'!N2117,'Retirement Calculator'!A:A,0),0),0)</f>
        <v>0</v>
      </c>
      <c r="K2117" s="455">
        <f t="shared" ca="1" si="141"/>
        <v>-2891246.5726914289</v>
      </c>
      <c r="L2117" s="455">
        <f t="shared" ca="1" si="142"/>
        <v>-696790424.01863444</v>
      </c>
      <c r="M2117" s="471">
        <f t="shared" si="144"/>
        <v>0.05</v>
      </c>
      <c r="N2117" s="475">
        <f t="shared" si="145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43"/>
        <v>-696790424.01863444</v>
      </c>
      <c r="J2118" s="455">
        <f t="array" ref="J2118">IFERROR(INDEX('Retirement Calculator'!J:J,MATCH('Isaac 401k'!N2118,'Retirement Calculator'!A:A,0),0),0)</f>
        <v>0</v>
      </c>
      <c r="K2118" s="455">
        <f t="shared" ca="1" si="141"/>
        <v>-2903293.433410977</v>
      </c>
      <c r="L2118" s="455">
        <f t="shared" ca="1" si="142"/>
        <v>-699693717.45204544</v>
      </c>
      <c r="M2118" s="471">
        <f t="shared" si="144"/>
        <v>0.05</v>
      </c>
      <c r="N2118" s="475">
        <f t="shared" si="145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43"/>
        <v>-699693717.45204544</v>
      </c>
      <c r="J2119" s="455">
        <f t="array" ref="J2119">IFERROR(INDEX('Retirement Calculator'!J:J,MATCH('Isaac 401k'!N2119,'Retirement Calculator'!A:A,0),0),0)</f>
        <v>0</v>
      </c>
      <c r="K2119" s="455">
        <f t="shared" ca="1" si="141"/>
        <v>-2915390.4893835224</v>
      </c>
      <c r="L2119" s="455">
        <f t="shared" ca="1" si="142"/>
        <v>-702609107.94142902</v>
      </c>
      <c r="M2119" s="471">
        <f t="shared" si="144"/>
        <v>0.05</v>
      </c>
      <c r="N2119" s="475">
        <f t="shared" si="145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43"/>
        <v>-702609107.94142902</v>
      </c>
      <c r="J2120" s="455">
        <f t="array" ref="J2120">IFERROR(INDEX('Retirement Calculator'!J:J,MATCH('Isaac 401k'!N2120,'Retirement Calculator'!A:A,0),0),0)</f>
        <v>0</v>
      </c>
      <c r="K2120" s="455">
        <f t="shared" ca="1" si="141"/>
        <v>-2927537.9497559541</v>
      </c>
      <c r="L2120" s="455">
        <f t="shared" ca="1" si="142"/>
        <v>-705536645.89118493</v>
      </c>
      <c r="M2120" s="471">
        <f t="shared" si="144"/>
        <v>0.05</v>
      </c>
      <c r="N2120" s="475">
        <f t="shared" si="145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43"/>
        <v>-705536645.89118493</v>
      </c>
      <c r="J2121" s="455">
        <f t="array" ref="J2121">IFERROR(INDEX('Retirement Calculator'!J:J,MATCH('Isaac 401k'!N2121,'Retirement Calculator'!A:A,0),0),0)</f>
        <v>0</v>
      </c>
      <c r="K2121" s="455">
        <f t="shared" ca="1" si="141"/>
        <v>-2939736.0245466037</v>
      </c>
      <c r="L2121" s="455">
        <f t="shared" ca="1" si="142"/>
        <v>-708476381.91573155</v>
      </c>
      <c r="M2121" s="471">
        <f t="shared" si="144"/>
        <v>0.05</v>
      </c>
      <c r="N2121" s="475">
        <f t="shared" si="145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43"/>
        <v>-708476381.91573155</v>
      </c>
      <c r="J2122" s="455">
        <f t="array" ref="J2122">IFERROR(INDEX('Retirement Calculator'!J:J,MATCH('Isaac 401k'!N2122,'Retirement Calculator'!A:A,0),0),0)</f>
        <v>0</v>
      </c>
      <c r="K2122" s="455">
        <f t="shared" ca="1" si="141"/>
        <v>-2951984.9246488814</v>
      </c>
      <c r="L2122" s="455">
        <f t="shared" ca="1" si="142"/>
        <v>-711428366.84038043</v>
      </c>
      <c r="M2122" s="471">
        <f t="shared" si="144"/>
        <v>0.05</v>
      </c>
      <c r="N2122" s="475">
        <f t="shared" si="145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43"/>
        <v>-711428366.84038043</v>
      </c>
      <c r="J2123" s="455">
        <f t="array" ref="J2123">IFERROR(INDEX('Retirement Calculator'!J:J,MATCH('Isaac 401k'!N2123,'Retirement Calculator'!A:A,0),0),0)</f>
        <v>0</v>
      </c>
      <c r="K2123" s="455">
        <f t="shared" ca="1" si="141"/>
        <v>-2964284.8618349186</v>
      </c>
      <c r="L2123" s="455">
        <f t="shared" ca="1" si="142"/>
        <v>-714392651.70221531</v>
      </c>
      <c r="M2123" s="471">
        <f t="shared" si="144"/>
        <v>0.05</v>
      </c>
      <c r="N2123" s="475">
        <f t="shared" si="145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43"/>
        <v>-714392651.70221531</v>
      </c>
      <c r="J2124" s="455">
        <f t="array" ref="J2124">IFERROR(INDEX('Retirement Calculator'!J:J,MATCH('Isaac 401k'!N2124,'Retirement Calculator'!A:A,0),0),0)</f>
        <v>0</v>
      </c>
      <c r="K2124" s="455">
        <f t="shared" ca="1" si="141"/>
        <v>-2976636.0487592304</v>
      </c>
      <c r="L2124" s="455">
        <f t="shared" ca="1" si="142"/>
        <v>-717369287.75097454</v>
      </c>
      <c r="M2124" s="471">
        <f t="shared" si="144"/>
        <v>0.05</v>
      </c>
      <c r="N2124" s="475">
        <f t="shared" si="145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43"/>
        <v>-717369287.75097454</v>
      </c>
      <c r="J2125" s="455">
        <f t="array" ref="J2125">IFERROR(INDEX('Retirement Calculator'!J:J,MATCH('Isaac 401k'!N2125,'Retirement Calculator'!A:A,0),0),0)</f>
        <v>0</v>
      </c>
      <c r="K2125" s="455">
        <f t="shared" ca="1" si="141"/>
        <v>-2989038.6989623937</v>
      </c>
      <c r="L2125" s="455">
        <f t="shared" ca="1" si="142"/>
        <v>-720358326.44993699</v>
      </c>
      <c r="M2125" s="471">
        <f t="shared" si="144"/>
        <v>0.05</v>
      </c>
      <c r="N2125" s="475">
        <f t="shared" si="145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43"/>
        <v>-720358326.44993699</v>
      </c>
      <c r="J2126" s="455">
        <f t="array" ref="J2126">IFERROR(INDEX('Retirement Calculator'!J:J,MATCH('Isaac 401k'!N2126,'Retirement Calculator'!A:A,0),0),0)</f>
        <v>0</v>
      </c>
      <c r="K2126" s="455">
        <f t="shared" ca="1" si="141"/>
        <v>-3001493.0268747373</v>
      </c>
      <c r="L2126" s="455">
        <f t="shared" ca="1" si="142"/>
        <v>-723359819.47681177</v>
      </c>
      <c r="M2126" s="471">
        <f t="shared" si="144"/>
        <v>0.05</v>
      </c>
      <c r="N2126" s="475">
        <f t="shared" si="145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43"/>
        <v>-723359819.47681177</v>
      </c>
      <c r="J2127" s="455">
        <f t="array" ref="J2127">IFERROR(INDEX('Retirement Calculator'!J:J,MATCH('Isaac 401k'!N2127,'Retirement Calculator'!A:A,0),0),0)</f>
        <v>0</v>
      </c>
      <c r="K2127" s="455">
        <f t="shared" ca="1" si="141"/>
        <v>-3013999.2478200491</v>
      </c>
      <c r="L2127" s="455">
        <f t="shared" ca="1" si="142"/>
        <v>-726373818.72463179</v>
      </c>
      <c r="M2127" s="471">
        <f t="shared" si="144"/>
        <v>0.05</v>
      </c>
      <c r="N2127" s="475">
        <f t="shared" si="145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43"/>
        <v>-726373818.72463179</v>
      </c>
      <c r="J2128" s="455">
        <f t="array" ref="J2128">IFERROR(INDEX('Retirement Calculator'!J:J,MATCH('Isaac 401k'!N2128,'Retirement Calculator'!A:A,0),0),0)</f>
        <v>0</v>
      </c>
      <c r="K2128" s="455">
        <f t="shared" ca="1" si="141"/>
        <v>-3026557.5780192991</v>
      </c>
      <c r="L2128" s="455">
        <f t="shared" ca="1" si="142"/>
        <v>-729400376.30265105</v>
      </c>
      <c r="M2128" s="471">
        <f t="shared" si="144"/>
        <v>0.05</v>
      </c>
      <c r="N2128" s="475">
        <f t="shared" si="145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43"/>
        <v>-729400376.30265105</v>
      </c>
      <c r="J2129" s="455">
        <f t="array" ref="J2129">IFERROR(INDEX('Retirement Calculator'!J:J,MATCH('Isaac 401k'!N2129,'Retirement Calculator'!A:A,0),0),0)</f>
        <v>0</v>
      </c>
      <c r="K2129" s="455">
        <f t="shared" ca="1" si="141"/>
        <v>-3039168.2345943796</v>
      </c>
      <c r="L2129" s="455">
        <f t="shared" ca="1" si="142"/>
        <v>-732439544.53724539</v>
      </c>
      <c r="M2129" s="471">
        <f t="shared" si="144"/>
        <v>0.05</v>
      </c>
      <c r="N2129" s="475">
        <f t="shared" si="145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43"/>
        <v>-732439544.53724539</v>
      </c>
      <c r="J2130" s="455">
        <f t="array" ref="J2130">IFERROR(INDEX('Retirement Calculator'!J:J,MATCH('Isaac 401k'!N2130,'Retirement Calculator'!A:A,0),0),0)</f>
        <v>0</v>
      </c>
      <c r="K2130" s="455">
        <f t="shared" ca="1" si="141"/>
        <v>-3051831.4355718559</v>
      </c>
      <c r="L2130" s="455">
        <f t="shared" ca="1" si="142"/>
        <v>-735491375.9728173</v>
      </c>
      <c r="M2130" s="471">
        <f t="shared" si="144"/>
        <v>0.05</v>
      </c>
      <c r="N2130" s="475">
        <f t="shared" si="145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43"/>
        <v>-735491375.9728173</v>
      </c>
      <c r="J2131" s="455">
        <f t="array" ref="J2131">IFERROR(INDEX('Retirement Calculator'!J:J,MATCH('Isaac 401k'!N2131,'Retirement Calculator'!A:A,0),0),0)</f>
        <v>0</v>
      </c>
      <c r="K2131" s="455">
        <f t="shared" ca="1" si="141"/>
        <v>-3064547.3998867385</v>
      </c>
      <c r="L2131" s="455">
        <f t="shared" ca="1" si="142"/>
        <v>-738555923.37270403</v>
      </c>
      <c r="M2131" s="471">
        <f t="shared" si="144"/>
        <v>0.05</v>
      </c>
      <c r="N2131" s="475">
        <f t="shared" si="145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43"/>
        <v>-738555923.37270403</v>
      </c>
      <c r="J2132" s="455">
        <f t="array" ref="J2132">IFERROR(INDEX('Retirement Calculator'!J:J,MATCH('Isaac 401k'!N2132,'Retirement Calculator'!A:A,0),0),0)</f>
        <v>0</v>
      </c>
      <c r="K2132" s="455">
        <f t="shared" ca="1" si="141"/>
        <v>-3077316.3473862666</v>
      </c>
      <c r="L2132" s="455">
        <f t="shared" ca="1" si="142"/>
        <v>-741633239.72009027</v>
      </c>
      <c r="M2132" s="471">
        <f t="shared" si="144"/>
        <v>0.05</v>
      </c>
      <c r="N2132" s="475">
        <f t="shared" si="145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43"/>
        <v>-741633239.72009027</v>
      </c>
      <c r="J2133" s="455">
        <f t="array" ref="J2133">IFERROR(INDEX('Retirement Calculator'!J:J,MATCH('Isaac 401k'!N2133,'Retirement Calculator'!A:A,0),0),0)</f>
        <v>0</v>
      </c>
      <c r="K2133" s="455">
        <f t="shared" ca="1" si="141"/>
        <v>-3090138.4988337094</v>
      </c>
      <c r="L2133" s="455">
        <f t="shared" ca="1" si="142"/>
        <v>-744723378.21892393</v>
      </c>
      <c r="M2133" s="471">
        <f t="shared" si="144"/>
        <v>0.05</v>
      </c>
      <c r="N2133" s="475">
        <f t="shared" si="145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43"/>
        <v>-744723378.21892393</v>
      </c>
      <c r="J2134" s="455">
        <f t="array" ref="J2134">IFERROR(INDEX('Retirement Calculator'!J:J,MATCH('Isaac 401k'!N2134,'Retirement Calculator'!A:A,0),0),0)</f>
        <v>0</v>
      </c>
      <c r="K2134" s="455">
        <f t="shared" ca="1" si="141"/>
        <v>-3103014.0759121832</v>
      </c>
      <c r="L2134" s="455">
        <f t="shared" ca="1" si="142"/>
        <v>-747826392.29483616</v>
      </c>
      <c r="M2134" s="471">
        <f t="shared" si="144"/>
        <v>0.05</v>
      </c>
      <c r="N2134" s="475">
        <f t="shared" si="145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43"/>
        <v>-747826392.29483616</v>
      </c>
      <c r="J2135" s="455">
        <f t="array" ref="J2135">IFERROR(INDEX('Retirement Calculator'!J:J,MATCH('Isaac 401k'!N2135,'Retirement Calculator'!A:A,0),0),0)</f>
        <v>0</v>
      </c>
      <c r="K2135" s="455">
        <f t="shared" ca="1" si="141"/>
        <v>-3115943.3012284841</v>
      </c>
      <c r="L2135" s="455">
        <f t="shared" ca="1" si="142"/>
        <v>-750942335.59606469</v>
      </c>
      <c r="M2135" s="471">
        <f t="shared" si="144"/>
        <v>0.05</v>
      </c>
      <c r="N2135" s="475">
        <f t="shared" si="145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43"/>
        <v>-750942335.59606469</v>
      </c>
      <c r="J2136" s="455">
        <f t="array" ref="J2136">IFERROR(INDEX('Retirement Calculator'!J:J,MATCH('Isaac 401k'!N2136,'Retirement Calculator'!A:A,0),0),0)</f>
        <v>0</v>
      </c>
      <c r="K2136" s="455">
        <f t="shared" ca="1" si="141"/>
        <v>-3128926.3983169361</v>
      </c>
      <c r="L2136" s="455">
        <f t="shared" ca="1" si="142"/>
        <v>-754071261.99438167</v>
      </c>
      <c r="M2136" s="471">
        <f t="shared" si="144"/>
        <v>0.05</v>
      </c>
      <c r="N2136" s="475">
        <f t="shared" si="145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43"/>
        <v>-754071261.99438167</v>
      </c>
      <c r="J2137" s="455">
        <f t="array" ref="J2137">IFERROR(INDEX('Retirement Calculator'!J:J,MATCH('Isaac 401k'!N2137,'Retirement Calculator'!A:A,0),0),0)</f>
        <v>0</v>
      </c>
      <c r="K2137" s="455">
        <f t="shared" ca="1" si="141"/>
        <v>-3141963.5916432571</v>
      </c>
      <c r="L2137" s="455">
        <f t="shared" ca="1" si="142"/>
        <v>-757213225.58602488</v>
      </c>
      <c r="M2137" s="471">
        <f t="shared" si="144"/>
        <v>0.05</v>
      </c>
      <c r="N2137" s="475">
        <f t="shared" si="145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43"/>
        <v>-757213225.58602488</v>
      </c>
      <c r="J2138" s="455">
        <f t="array" ref="J2138">IFERROR(INDEX('Retirement Calculator'!J:J,MATCH('Isaac 401k'!N2138,'Retirement Calculator'!A:A,0),0),0)</f>
        <v>0</v>
      </c>
      <c r="K2138" s="455">
        <f t="shared" ca="1" si="141"/>
        <v>-3155055.1066084369</v>
      </c>
      <c r="L2138" s="455">
        <f t="shared" ca="1" si="142"/>
        <v>-760368280.69263327</v>
      </c>
      <c r="M2138" s="471">
        <f t="shared" si="144"/>
        <v>0.05</v>
      </c>
      <c r="N2138" s="475">
        <f t="shared" si="145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43"/>
        <v>-760368280.69263327</v>
      </c>
      <c r="J2139" s="455">
        <f t="array" ref="J2139">IFERROR(INDEX('Retirement Calculator'!J:J,MATCH('Isaac 401k'!N2139,'Retirement Calculator'!A:A,0),0),0)</f>
        <v>0</v>
      </c>
      <c r="K2139" s="455">
        <f t="shared" ca="1" si="141"/>
        <v>-3168201.1695526387</v>
      </c>
      <c r="L2139" s="455">
        <f t="shared" ca="1" si="142"/>
        <v>-763536481.86218596</v>
      </c>
      <c r="M2139" s="471">
        <f t="shared" si="144"/>
        <v>0.05</v>
      </c>
      <c r="N2139" s="475">
        <f t="shared" si="145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43"/>
        <v>-763536481.86218596</v>
      </c>
      <c r="J2140" s="455">
        <f t="array" ref="J2140">IFERROR(INDEX('Retirement Calculator'!J:J,MATCH('Isaac 401k'!N2140,'Retirement Calculator'!A:A,0),0),0)</f>
        <v>0</v>
      </c>
      <c r="K2140" s="455">
        <f t="shared" ca="1" si="141"/>
        <v>-3181402.0077591082</v>
      </c>
      <c r="L2140" s="455">
        <f t="shared" ca="1" si="142"/>
        <v>-766717883.86994505</v>
      </c>
      <c r="M2140" s="471">
        <f t="shared" si="144"/>
        <v>0.05</v>
      </c>
      <c r="N2140" s="475">
        <f t="shared" si="145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43"/>
        <v>-766717883.86994505</v>
      </c>
      <c r="J2141" s="455">
        <f t="array" ref="J2141">IFERROR(INDEX('Retirement Calculator'!J:J,MATCH('Isaac 401k'!N2141,'Retirement Calculator'!A:A,0),0),0)</f>
        <v>0</v>
      </c>
      <c r="K2141" s="455">
        <f t="shared" ca="1" si="141"/>
        <v>-3194657.8494581045</v>
      </c>
      <c r="L2141" s="455">
        <f t="shared" ca="1" si="142"/>
        <v>-769912541.71940315</v>
      </c>
      <c r="M2141" s="471">
        <f t="shared" si="144"/>
        <v>0.05</v>
      </c>
      <c r="N2141" s="475">
        <f t="shared" si="145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43"/>
        <v>-769912541.71940315</v>
      </c>
      <c r="J2142" s="455">
        <f t="array" ref="J2142">IFERROR(INDEX('Retirement Calculator'!J:J,MATCH('Isaac 401k'!N2142,'Retirement Calculator'!A:A,0),0),0)</f>
        <v>0</v>
      </c>
      <c r="K2142" s="455">
        <f t="shared" ca="1" si="141"/>
        <v>-3207968.9238308463</v>
      </c>
      <c r="L2142" s="455">
        <f t="shared" ca="1" si="142"/>
        <v>-773120510.64323401</v>
      </c>
      <c r="M2142" s="471">
        <f t="shared" si="144"/>
        <v>0.05</v>
      </c>
      <c r="N2142" s="475">
        <f t="shared" si="145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43"/>
        <v>-773120510.64323401</v>
      </c>
      <c r="J2143" s="455">
        <f t="array" ref="J2143">IFERROR(INDEX('Retirement Calculator'!J:J,MATCH('Isaac 401k'!N2143,'Retirement Calculator'!A:A,0),0),0)</f>
        <v>0</v>
      </c>
      <c r="K2143" s="455">
        <f t="shared" ca="1" si="141"/>
        <v>-3221335.461013475</v>
      </c>
      <c r="L2143" s="455">
        <f t="shared" ca="1" si="142"/>
        <v>-776341846.10424745</v>
      </c>
      <c r="M2143" s="471">
        <f t="shared" si="144"/>
        <v>0.05</v>
      </c>
      <c r="N2143" s="475">
        <f t="shared" si="145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43"/>
        <v>-776341846.10424745</v>
      </c>
      <c r="J2144" s="455">
        <f t="array" ref="J2144">IFERROR(INDEX('Retirement Calculator'!J:J,MATCH('Isaac 401k'!N2144,'Retirement Calculator'!A:A,0),0),0)</f>
        <v>0</v>
      </c>
      <c r="K2144" s="455">
        <f t="shared" ca="1" si="141"/>
        <v>-3234757.6921010311</v>
      </c>
      <c r="L2144" s="455">
        <f t="shared" ca="1" si="142"/>
        <v>-779576603.79634845</v>
      </c>
      <c r="M2144" s="471">
        <f t="shared" si="144"/>
        <v>0.05</v>
      </c>
      <c r="N2144" s="475">
        <f t="shared" si="145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43"/>
        <v>-779576603.79634845</v>
      </c>
      <c r="J2145" s="455">
        <f t="array" ref="J2145">IFERROR(INDEX('Retirement Calculator'!J:J,MATCH('Isaac 401k'!N2145,'Retirement Calculator'!A:A,0),0),0)</f>
        <v>0</v>
      </c>
      <c r="K2145" s="455">
        <f t="shared" ca="1" si="141"/>
        <v>-3248235.8491514521</v>
      </c>
      <c r="L2145" s="455">
        <f t="shared" ca="1" si="142"/>
        <v>-782824839.64549994</v>
      </c>
      <c r="M2145" s="471">
        <f t="shared" si="144"/>
        <v>0.05</v>
      </c>
      <c r="N2145" s="475">
        <f t="shared" si="145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43"/>
        <v>-782824839.64549994</v>
      </c>
      <c r="J2146" s="455">
        <f t="array" ref="J2146">IFERROR(INDEX('Retirement Calculator'!J:J,MATCH('Isaac 401k'!N2146,'Retirement Calculator'!A:A,0),0),0)</f>
        <v>0</v>
      </c>
      <c r="K2146" s="455">
        <f t="shared" ca="1" si="141"/>
        <v>-3261770.1651895829</v>
      </c>
      <c r="L2146" s="455">
        <f t="shared" ca="1" si="142"/>
        <v>-786086609.81068957</v>
      </c>
      <c r="M2146" s="471">
        <f t="shared" si="144"/>
        <v>0.05</v>
      </c>
      <c r="N2146" s="475">
        <f t="shared" si="145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43"/>
        <v>-786086609.81068957</v>
      </c>
      <c r="J2147" s="455">
        <f t="array" ref="J2147">IFERROR(INDEX('Retirement Calculator'!J:J,MATCH('Isaac 401k'!N2147,'Retirement Calculator'!A:A,0),0),0)</f>
        <v>0</v>
      </c>
      <c r="K2147" s="455">
        <f t="shared" ca="1" si="141"/>
        <v>-3275360.8742112066</v>
      </c>
      <c r="L2147" s="455">
        <f t="shared" ca="1" si="142"/>
        <v>-789361970.68490076</v>
      </c>
      <c r="M2147" s="471">
        <f t="shared" si="144"/>
        <v>0.05</v>
      </c>
      <c r="N2147" s="475">
        <f t="shared" si="145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43"/>
        <v>-789361970.68490076</v>
      </c>
      <c r="J2148" s="455">
        <f t="array" ref="J2148">IFERROR(INDEX('Retirement Calculator'!J:J,MATCH('Isaac 401k'!N2148,'Retirement Calculator'!A:A,0),0),0)</f>
        <v>0</v>
      </c>
      <c r="K2148" s="455">
        <f t="shared" ca="1" si="141"/>
        <v>-3289008.2111870865</v>
      </c>
      <c r="L2148" s="455">
        <f t="shared" ca="1" si="142"/>
        <v>-792650978.89608788</v>
      </c>
      <c r="M2148" s="471">
        <f t="shared" si="144"/>
        <v>0.05</v>
      </c>
      <c r="N2148" s="475">
        <f t="shared" si="145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43"/>
        <v>-792650978.89608788</v>
      </c>
      <c r="J2149" s="455">
        <f t="array" ref="J2149">IFERROR(INDEX('Retirement Calculator'!J:J,MATCH('Isaac 401k'!N2149,'Retirement Calculator'!A:A,0),0),0)</f>
        <v>0</v>
      </c>
      <c r="K2149" s="455">
        <f t="shared" ca="1" si="141"/>
        <v>-3302712.4120670329</v>
      </c>
      <c r="L2149" s="455">
        <f t="shared" ca="1" si="142"/>
        <v>-795953691.30815494</v>
      </c>
      <c r="M2149" s="471">
        <f t="shared" si="144"/>
        <v>0.05</v>
      </c>
      <c r="N2149" s="475">
        <f t="shared" si="145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43"/>
        <v>-795953691.30815494</v>
      </c>
      <c r="J2150" s="455">
        <f t="array" ref="J2150">IFERROR(INDEX('Retirement Calculator'!J:J,MATCH('Isaac 401k'!N2150,'Retirement Calculator'!A:A,0),0),0)</f>
        <v>0</v>
      </c>
      <c r="K2150" s="455">
        <f t="shared" ca="1" si="141"/>
        <v>-3316473.713783979</v>
      </c>
      <c r="L2150" s="455">
        <f t="shared" ca="1" si="142"/>
        <v>-799270165.02193892</v>
      </c>
      <c r="M2150" s="471">
        <f t="shared" si="144"/>
        <v>0.05</v>
      </c>
      <c r="N2150" s="475">
        <f t="shared" si="145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43"/>
        <v>-799270165.02193892</v>
      </c>
      <c r="J2151" s="455">
        <f t="array" ref="J2151">IFERROR(INDEX('Retirement Calculator'!J:J,MATCH('Isaac 401k'!N2151,'Retirement Calculator'!A:A,0),0),0)</f>
        <v>0</v>
      </c>
      <c r="K2151" s="455">
        <f t="shared" ca="1" si="141"/>
        <v>-3330292.3542580786</v>
      </c>
      <c r="L2151" s="455">
        <f t="shared" ca="1" si="142"/>
        <v>-802600457.37619698</v>
      </c>
      <c r="M2151" s="471">
        <f t="shared" si="144"/>
        <v>0.05</v>
      </c>
      <c r="N2151" s="475">
        <f t="shared" si="145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43"/>
        <v>-802600457.37619698</v>
      </c>
      <c r="J2152" s="455">
        <f t="array" ref="J2152">IFERROR(INDEX('Retirement Calculator'!J:J,MATCH('Isaac 401k'!N2152,'Retirement Calculator'!A:A,0),0),0)</f>
        <v>0</v>
      </c>
      <c r="K2152" s="455">
        <f t="shared" ca="1" si="141"/>
        <v>-3344168.5724008209</v>
      </c>
      <c r="L2152" s="455">
        <f t="shared" ca="1" si="142"/>
        <v>-805944625.94859779</v>
      </c>
      <c r="M2152" s="471">
        <f t="shared" si="144"/>
        <v>0.05</v>
      </c>
      <c r="N2152" s="475">
        <f t="shared" si="145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43"/>
        <v>-805944625.94859779</v>
      </c>
      <c r="J2153" s="455">
        <f t="array" ref="J2153">IFERROR(INDEX('Retirement Calculator'!J:J,MATCH('Isaac 401k'!N2153,'Retirement Calculator'!A:A,0),0),0)</f>
        <v>0</v>
      </c>
      <c r="K2153" s="455">
        <f t="shared" ca="1" si="141"/>
        <v>-3358102.6081191576</v>
      </c>
      <c r="L2153" s="455">
        <f t="shared" ca="1" si="142"/>
        <v>-809302728.55671692</v>
      </c>
      <c r="M2153" s="471">
        <f t="shared" si="144"/>
        <v>0.05</v>
      </c>
      <c r="N2153" s="475">
        <f t="shared" si="145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43"/>
        <v>-809302728.55671692</v>
      </c>
      <c r="J2154" s="455">
        <f t="array" ref="J2154">IFERROR(INDEX('Retirement Calculator'!J:J,MATCH('Isaac 401k'!N2154,'Retirement Calculator'!A:A,0),0),0)</f>
        <v>0</v>
      </c>
      <c r="K2154" s="455">
        <f t="shared" ca="1" si="141"/>
        <v>-3372094.7023196537</v>
      </c>
      <c r="L2154" s="455">
        <f t="shared" ca="1" si="142"/>
        <v>-812674823.25903654</v>
      </c>
      <c r="M2154" s="471">
        <f t="shared" si="144"/>
        <v>0.05</v>
      </c>
      <c r="N2154" s="475">
        <f t="shared" si="145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43"/>
        <v>-812674823.25903654</v>
      </c>
      <c r="J2155" s="455">
        <f t="array" ref="J2155">IFERROR(INDEX('Retirement Calculator'!J:J,MATCH('Isaac 401k'!N2155,'Retirement Calculator'!A:A,0),0),0)</f>
        <v>0</v>
      </c>
      <c r="K2155" s="455">
        <f t="shared" ca="1" si="141"/>
        <v>-3386145.0969126523</v>
      </c>
      <c r="L2155" s="455">
        <f t="shared" ca="1" si="142"/>
        <v>-816060968.35594916</v>
      </c>
      <c r="M2155" s="471">
        <f t="shared" si="144"/>
        <v>0.05</v>
      </c>
      <c r="N2155" s="475">
        <f t="shared" si="145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43"/>
        <v>-816060968.35594916</v>
      </c>
      <c r="J2156" s="455">
        <f t="array" ref="J2156">IFERROR(INDEX('Retirement Calculator'!J:J,MATCH('Isaac 401k'!N2156,'Retirement Calculator'!A:A,0),0),0)</f>
        <v>0</v>
      </c>
      <c r="K2156" s="455">
        <f t="shared" ca="1" si="141"/>
        <v>-3400254.0348164546</v>
      </c>
      <c r="L2156" s="455">
        <f t="shared" ca="1" si="142"/>
        <v>-819461222.39076567</v>
      </c>
      <c r="M2156" s="471">
        <f t="shared" si="144"/>
        <v>0.05</v>
      </c>
      <c r="N2156" s="475">
        <f t="shared" si="145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43"/>
        <v>-819461222.39076567</v>
      </c>
      <c r="J2157" s="455">
        <f t="array" ref="J2157">IFERROR(INDEX('Retirement Calculator'!J:J,MATCH('Isaac 401k'!N2157,'Retirement Calculator'!A:A,0),0),0)</f>
        <v>0</v>
      </c>
      <c r="K2157" s="455">
        <f t="shared" ca="1" si="141"/>
        <v>-3414421.7599615236</v>
      </c>
      <c r="L2157" s="455">
        <f t="shared" ca="1" si="142"/>
        <v>-822875644.15072715</v>
      </c>
      <c r="M2157" s="471">
        <f t="shared" si="144"/>
        <v>0.05</v>
      </c>
      <c r="N2157" s="475">
        <f t="shared" si="145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43"/>
        <v>-822875644.15072715</v>
      </c>
      <c r="J2158" s="455">
        <f t="array" ref="J2158">IFERROR(INDEX('Retirement Calculator'!J:J,MATCH('Isaac 401k'!N2158,'Retirement Calculator'!A:A,0),0),0)</f>
        <v>0</v>
      </c>
      <c r="K2158" s="455">
        <f t="shared" ca="1" si="141"/>
        <v>-3428648.5172946965</v>
      </c>
      <c r="L2158" s="455">
        <f t="shared" ca="1" si="142"/>
        <v>-826304292.6680218</v>
      </c>
      <c r="M2158" s="471">
        <f t="shared" si="144"/>
        <v>0.05</v>
      </c>
      <c r="N2158" s="475">
        <f t="shared" si="145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43"/>
        <v>-826304292.6680218</v>
      </c>
      <c r="J2159" s="455">
        <f t="array" ref="J2159">IFERROR(INDEX('Retirement Calculator'!J:J,MATCH('Isaac 401k'!N2159,'Retirement Calculator'!A:A,0),0),0)</f>
        <v>0</v>
      </c>
      <c r="K2159" s="455">
        <f t="shared" ca="1" si="141"/>
        <v>-3442934.552783424</v>
      </c>
      <c r="L2159" s="455">
        <f t="shared" ca="1" si="142"/>
        <v>-829747227.22080517</v>
      </c>
      <c r="M2159" s="471">
        <f t="shared" si="144"/>
        <v>0.05</v>
      </c>
      <c r="N2159" s="475">
        <f t="shared" si="145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43"/>
        <v>-829747227.22080517</v>
      </c>
      <c r="J2160" s="455">
        <f t="array" ref="J2160">IFERROR(INDEX('Retirement Calculator'!J:J,MATCH('Isaac 401k'!N2160,'Retirement Calculator'!A:A,0),0),0)</f>
        <v>0</v>
      </c>
      <c r="K2160" s="455">
        <f t="shared" ca="1" si="141"/>
        <v>-3457280.1134200213</v>
      </c>
      <c r="L2160" s="455">
        <f t="shared" ca="1" si="142"/>
        <v>-833204507.33422518</v>
      </c>
      <c r="M2160" s="471">
        <f t="shared" si="144"/>
        <v>0.05</v>
      </c>
      <c r="N2160" s="475">
        <f t="shared" si="145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43"/>
        <v>-833204507.33422518</v>
      </c>
      <c r="J2161" s="455">
        <f t="array" ref="J2161">IFERROR(INDEX('Retirement Calculator'!J:J,MATCH('Isaac 401k'!N2161,'Retirement Calculator'!A:A,0),0),0)</f>
        <v>0</v>
      </c>
      <c r="K2161" s="455">
        <f t="shared" ca="1" si="141"/>
        <v>-3471685.4472259381</v>
      </c>
      <c r="L2161" s="455">
        <f t="shared" ca="1" si="142"/>
        <v>-836676192.78145111</v>
      </c>
      <c r="M2161" s="471">
        <f t="shared" si="144"/>
        <v>0.05</v>
      </c>
      <c r="N2161" s="475">
        <f t="shared" si="145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43"/>
        <v>-836676192.78145111</v>
      </c>
      <c r="J2162" s="455">
        <f t="array" ref="J2162">IFERROR(INDEX('Retirement Calculator'!J:J,MATCH('Isaac 401k'!N2162,'Retirement Calculator'!A:A,0),0),0)</f>
        <v>0</v>
      </c>
      <c r="K2162" s="455">
        <f t="shared" ca="1" si="141"/>
        <v>-3486150.803256046</v>
      </c>
      <c r="L2162" s="455">
        <f t="shared" ca="1" si="142"/>
        <v>-840162343.58470714</v>
      </c>
      <c r="M2162" s="471">
        <f t="shared" si="144"/>
        <v>0.05</v>
      </c>
      <c r="N2162" s="475">
        <f t="shared" si="145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43"/>
        <v>-840162343.58470714</v>
      </c>
      <c r="J2163" s="455">
        <f t="array" ref="J2163">IFERROR(INDEX('Retirement Calculator'!J:J,MATCH('Isaac 401k'!N2163,'Retirement Calculator'!A:A,0),0),0)</f>
        <v>0</v>
      </c>
      <c r="K2163" s="455">
        <f t="shared" ca="1" si="141"/>
        <v>-3500676.4316029465</v>
      </c>
      <c r="L2163" s="455">
        <f t="shared" ca="1" si="142"/>
        <v>-843663020.0163101</v>
      </c>
      <c r="M2163" s="471">
        <f t="shared" si="144"/>
        <v>0.05</v>
      </c>
      <c r="N2163" s="475">
        <f t="shared" si="145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43"/>
        <v>-843663020.0163101</v>
      </c>
      <c r="J2164" s="455">
        <f t="array" ref="J2164">IFERROR(INDEX('Retirement Calculator'!J:J,MATCH('Isaac 401k'!N2164,'Retirement Calculator'!A:A,0),0),0)</f>
        <v>0</v>
      </c>
      <c r="K2164" s="455">
        <f t="shared" ca="1" si="141"/>
        <v>-3515262.5834012916</v>
      </c>
      <c r="L2164" s="455">
        <f t="shared" ca="1" si="142"/>
        <v>-847178282.59971142</v>
      </c>
      <c r="M2164" s="471">
        <f t="shared" si="144"/>
        <v>0.05</v>
      </c>
      <c r="N2164" s="475">
        <f t="shared" si="145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43"/>
        <v>-847178282.59971142</v>
      </c>
      <c r="J2165" s="455">
        <f t="array" ref="J2165">IFERROR(INDEX('Retirement Calculator'!J:J,MATCH('Isaac 401k'!N2165,'Retirement Calculator'!A:A,0),0),0)</f>
        <v>0</v>
      </c>
      <c r="K2165" s="455">
        <f t="shared" ca="1" si="141"/>
        <v>-3529909.5108321309</v>
      </c>
      <c r="L2165" s="455">
        <f t="shared" ca="1" si="142"/>
        <v>-850708192.11054349</v>
      </c>
      <c r="M2165" s="471">
        <f t="shared" si="144"/>
        <v>0.05</v>
      </c>
      <c r="N2165" s="475">
        <f t="shared" si="145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43"/>
        <v>-850708192.11054349</v>
      </c>
      <c r="J2166" s="455">
        <f t="array" ref="J2166">IFERROR(INDEX('Retirement Calculator'!J:J,MATCH('Isaac 401k'!N2166,'Retirement Calculator'!A:A,0),0),0)</f>
        <v>0</v>
      </c>
      <c r="K2166" s="455">
        <f t="shared" ca="1" si="141"/>
        <v>-3544617.4671272645</v>
      </c>
      <c r="L2166" s="455">
        <f t="shared" ca="1" si="142"/>
        <v>-854252809.57767081</v>
      </c>
      <c r="M2166" s="471">
        <f t="shared" si="144"/>
        <v>0.05</v>
      </c>
      <c r="N2166" s="475">
        <f t="shared" si="145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43"/>
        <v>-854252809.57767081</v>
      </c>
      <c r="J2167" s="455">
        <f t="array" ref="J2167">IFERROR(INDEX('Retirement Calculator'!J:J,MATCH('Isaac 401k'!N2167,'Retirement Calculator'!A:A,0),0),0)</f>
        <v>0</v>
      </c>
      <c r="K2167" s="455">
        <f t="shared" ca="1" si="141"/>
        <v>-3559386.7065736284</v>
      </c>
      <c r="L2167" s="455">
        <f t="shared" ca="1" si="142"/>
        <v>-857812196.28424442</v>
      </c>
      <c r="M2167" s="471">
        <f t="shared" si="144"/>
        <v>0.05</v>
      </c>
      <c r="N2167" s="475">
        <f t="shared" si="145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43"/>
        <v>-857812196.28424442</v>
      </c>
      <c r="J2168" s="455">
        <f t="array" ref="J2168">IFERROR(INDEX('Retirement Calculator'!J:J,MATCH('Isaac 401k'!N2168,'Retirement Calculator'!A:A,0),0),0)</f>
        <v>0</v>
      </c>
      <c r="K2168" s="455">
        <f t="shared" ca="1" si="141"/>
        <v>-3574217.4845176851</v>
      </c>
      <c r="L2168" s="455">
        <f t="shared" ca="1" si="142"/>
        <v>-861386413.76876211</v>
      </c>
      <c r="M2168" s="471">
        <f t="shared" si="144"/>
        <v>0.05</v>
      </c>
      <c r="N2168" s="475">
        <f t="shared" si="145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43"/>
        <v>-861386413.76876211</v>
      </c>
      <c r="J2169" s="455">
        <f t="array" ref="J2169">IFERROR(INDEX('Retirement Calculator'!J:J,MATCH('Isaac 401k'!N2169,'Retirement Calculator'!A:A,0),0),0)</f>
        <v>0</v>
      </c>
      <c r="K2169" s="455">
        <f t="shared" ca="1" si="141"/>
        <v>-3589110.0573698427</v>
      </c>
      <c r="L2169" s="455">
        <f t="shared" ca="1" si="142"/>
        <v>-864975523.82613194</v>
      </c>
      <c r="M2169" s="471">
        <f t="shared" si="144"/>
        <v>0.05</v>
      </c>
      <c r="N2169" s="475">
        <f t="shared" si="145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43"/>
        <v>-864975523.82613194</v>
      </c>
      <c r="J2170" s="455">
        <f t="array" ref="J2170">IFERROR(INDEX('Retirement Calculator'!J:J,MATCH('Isaac 401k'!N2170,'Retirement Calculator'!A:A,0),0),0)</f>
        <v>0</v>
      </c>
      <c r="K2170" s="455">
        <f t="shared" ca="1" si="141"/>
        <v>-3604064.6826088829</v>
      </c>
      <c r="L2170" s="455">
        <f t="shared" ca="1" si="142"/>
        <v>-868579588.50874078</v>
      </c>
      <c r="M2170" s="471">
        <f t="shared" si="144"/>
        <v>0.05</v>
      </c>
      <c r="N2170" s="475">
        <f t="shared" si="145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43"/>
        <v>-868579588.50874078</v>
      </c>
      <c r="J2171" s="455">
        <f t="array" ref="J2171">IFERROR(INDEX('Retirement Calculator'!J:J,MATCH('Isaac 401k'!N2171,'Retirement Calculator'!A:A,0),0),0)</f>
        <v>0</v>
      </c>
      <c r="K2171" s="455">
        <f t="shared" ca="1" si="141"/>
        <v>-3619081.6187864193</v>
      </c>
      <c r="L2171" s="455">
        <f t="shared" ca="1" si="142"/>
        <v>-872198670.12752724</v>
      </c>
      <c r="M2171" s="471">
        <f t="shared" si="144"/>
        <v>0.05</v>
      </c>
      <c r="N2171" s="475">
        <f t="shared" si="145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43"/>
        <v>-872198670.12752724</v>
      </c>
      <c r="J2172" s="455">
        <f t="array" ref="J2172">IFERROR(INDEX('Retirement Calculator'!J:J,MATCH('Isaac 401k'!N2172,'Retirement Calculator'!A:A,0),0),0)</f>
        <v>0</v>
      </c>
      <c r="K2172" s="455">
        <f t="shared" ca="1" si="141"/>
        <v>-3634161.1255313633</v>
      </c>
      <c r="L2172" s="455">
        <f t="shared" ca="1" si="142"/>
        <v>-875832831.25305855</v>
      </c>
      <c r="M2172" s="471">
        <f t="shared" si="144"/>
        <v>0.05</v>
      </c>
      <c r="N2172" s="475">
        <f t="shared" si="145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43"/>
        <v>-875832831.25305855</v>
      </c>
      <c r="J2173" s="455">
        <f t="array" ref="J2173">IFERROR(INDEX('Retirement Calculator'!J:J,MATCH('Isaac 401k'!N2173,'Retirement Calculator'!A:A,0),0),0)</f>
        <v>0</v>
      </c>
      <c r="K2173" s="455">
        <f t="shared" ca="1" si="141"/>
        <v>-3649303.4635544112</v>
      </c>
      <c r="L2173" s="455">
        <f t="shared" ca="1" si="142"/>
        <v>-879482134.71661294</v>
      </c>
      <c r="M2173" s="471">
        <f t="shared" si="144"/>
        <v>0.05</v>
      </c>
      <c r="N2173" s="475">
        <f t="shared" si="145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43"/>
        <v>-879482134.71661294</v>
      </c>
      <c r="J2174" s="455">
        <f t="array" ref="J2174">IFERROR(INDEX('Retirement Calculator'!J:J,MATCH('Isaac 401k'!N2174,'Retirement Calculator'!A:A,0),0),0)</f>
        <v>0</v>
      </c>
      <c r="K2174" s="455">
        <f t="shared" ca="1" si="141"/>
        <v>-3664508.8946525534</v>
      </c>
      <c r="L2174" s="455">
        <f t="shared" ca="1" si="142"/>
        <v>-883146643.61126554</v>
      </c>
      <c r="M2174" s="471">
        <f t="shared" si="144"/>
        <v>0.05</v>
      </c>
      <c r="N2174" s="475">
        <f t="shared" si="145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43"/>
        <v>-883146643.61126554</v>
      </c>
      <c r="J2175" s="455">
        <f t="array" ref="J2175">IFERROR(INDEX('Retirement Calculator'!J:J,MATCH('Isaac 401k'!N2175,'Retirement Calculator'!A:A,0),0),0)</f>
        <v>0</v>
      </c>
      <c r="K2175" s="455">
        <f t="shared" ca="1" si="141"/>
        <v>-3679777.6817136067</v>
      </c>
      <c r="L2175" s="455">
        <f t="shared" ca="1" si="142"/>
        <v>-886826421.29297912</v>
      </c>
      <c r="M2175" s="471">
        <f t="shared" si="144"/>
        <v>0.05</v>
      </c>
      <c r="N2175" s="475">
        <f t="shared" si="145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43"/>
        <v>-886826421.29297912</v>
      </c>
      <c r="J2176" s="455">
        <f t="array" ref="J2176">IFERROR(INDEX('Retirement Calculator'!J:J,MATCH('Isaac 401k'!N2176,'Retirement Calculator'!A:A,0),0),0)</f>
        <v>0</v>
      </c>
      <c r="K2176" s="455">
        <f t="shared" ca="1" si="141"/>
        <v>-3695110.0887207463</v>
      </c>
      <c r="L2176" s="455">
        <f t="shared" ca="1" si="142"/>
        <v>-890521531.38169992</v>
      </c>
      <c r="M2176" s="471">
        <f t="shared" si="144"/>
        <v>0.05</v>
      </c>
      <c r="N2176" s="475">
        <f t="shared" si="145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43"/>
        <v>-890521531.38169992</v>
      </c>
      <c r="J2177" s="455">
        <f t="array" ref="J2177">IFERROR(INDEX('Retirement Calculator'!J:J,MATCH('Isaac 401k'!N2177,'Retirement Calculator'!A:A,0),0),0)</f>
        <v>0</v>
      </c>
      <c r="K2177" s="455">
        <f t="shared" ca="1" si="141"/>
        <v>-3710506.3807570823</v>
      </c>
      <c r="L2177" s="455">
        <f t="shared" ca="1" si="142"/>
        <v>-894232037.76245701</v>
      </c>
      <c r="M2177" s="471">
        <f t="shared" si="144"/>
        <v>0.05</v>
      </c>
      <c r="N2177" s="475">
        <f t="shared" si="145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43"/>
        <v>-894232037.76245701</v>
      </c>
      <c r="J2178" s="455">
        <f t="array" ref="J2178">IFERROR(INDEX('Retirement Calculator'!J:J,MATCH('Isaac 401k'!N2178,'Retirement Calculator'!A:A,0),0),0)</f>
        <v>0</v>
      </c>
      <c r="K2178" s="455">
        <f t="shared" ca="1" si="141"/>
        <v>-3725966.8240102376</v>
      </c>
      <c r="L2178" s="455">
        <f t="shared" ca="1" si="142"/>
        <v>-897958004.58646727</v>
      </c>
      <c r="M2178" s="471">
        <f t="shared" si="144"/>
        <v>0.05</v>
      </c>
      <c r="N2178" s="475">
        <f t="shared" si="145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43"/>
        <v>-897958004.58646727</v>
      </c>
      <c r="J2179" s="455">
        <f t="array" ref="J2179">IFERROR(INDEX('Retirement Calculator'!J:J,MATCH('Isaac 401k'!N2179,'Retirement Calculator'!A:A,0),0),0)</f>
        <v>0</v>
      </c>
      <c r="K2179" s="455">
        <f t="shared" ca="1" si="141"/>
        <v>-3741491.6857769471</v>
      </c>
      <c r="L2179" s="455">
        <f t="shared" ca="1" si="142"/>
        <v>-901699496.27224422</v>
      </c>
      <c r="M2179" s="471">
        <f t="shared" si="144"/>
        <v>0.05</v>
      </c>
      <c r="N2179" s="475">
        <f t="shared" si="145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43"/>
        <v>-901699496.27224422</v>
      </c>
      <c r="J2180" s="455">
        <f t="array" ref="J2180">IFERROR(INDEX('Retirement Calculator'!J:J,MATCH('Isaac 401k'!N2180,'Retirement Calculator'!A:A,0),0),0)</f>
        <v>0</v>
      </c>
      <c r="K2180" s="455">
        <f t="shared" ca="1" si="141"/>
        <v>-3757081.2344676843</v>
      </c>
      <c r="L2180" s="455">
        <f t="shared" ca="1" si="142"/>
        <v>-905456577.50671184</v>
      </c>
      <c r="M2180" s="471">
        <f t="shared" si="144"/>
        <v>0.05</v>
      </c>
      <c r="N2180" s="475">
        <f t="shared" si="145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43"/>
        <v>-905456577.50671184</v>
      </c>
      <c r="J2181" s="455">
        <f t="array" ref="J2181">IFERROR(INDEX('Retirement Calculator'!J:J,MATCH('Isaac 401k'!N2181,'Retirement Calculator'!A:A,0),0),0)</f>
        <v>0</v>
      </c>
      <c r="K2181" s="455">
        <f t="shared" ca="1" si="141"/>
        <v>-3772735.7396112992</v>
      </c>
      <c r="L2181" s="455">
        <f t="shared" ca="1" si="142"/>
        <v>-909229313.24632311</v>
      </c>
      <c r="M2181" s="471">
        <f t="shared" si="144"/>
        <v>0.05</v>
      </c>
      <c r="N2181" s="475">
        <f t="shared" si="145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43"/>
        <v>-909229313.24632311</v>
      </c>
      <c r="J2182" s="455">
        <f t="array" ref="J2182">IFERROR(INDEX('Retirement Calculator'!J:J,MATCH('Isaac 401k'!N2182,'Retirement Calculator'!A:A,0),0),0)</f>
        <v>0</v>
      </c>
      <c r="K2182" s="455">
        <f t="shared" ca="1" si="141"/>
        <v>-3788455.47185968</v>
      </c>
      <c r="L2182" s="455">
        <f t="shared" ca="1" si="142"/>
        <v>-913017768.7181828</v>
      </c>
      <c r="M2182" s="471">
        <f t="shared" si="144"/>
        <v>0.05</v>
      </c>
      <c r="N2182" s="475">
        <f t="shared" si="145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43"/>
        <v>-913017768.7181828</v>
      </c>
      <c r="J2183" s="455">
        <f t="array" ref="J2183">IFERROR(INDEX('Retirement Calculator'!J:J,MATCH('Isaac 401k'!N2183,'Retirement Calculator'!A:A,0),0),0)</f>
        <v>0</v>
      </c>
      <c r="K2183" s="455">
        <f t="shared" ca="1" si="141"/>
        <v>-3804240.7029924281</v>
      </c>
      <c r="L2183" s="455">
        <f t="shared" ca="1" si="142"/>
        <v>-916822009.42117524</v>
      </c>
      <c r="M2183" s="471">
        <f t="shared" si="144"/>
        <v>0.05</v>
      </c>
      <c r="N2183" s="475">
        <f t="shared" si="145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43"/>
        <v>-916822009.42117524</v>
      </c>
      <c r="J2184" s="455">
        <f t="array" ref="J2184">IFERROR(INDEX('Retirement Calculator'!J:J,MATCH('Isaac 401k'!N2184,'Retirement Calculator'!A:A,0),0),0)</f>
        <v>0</v>
      </c>
      <c r="K2184" s="455">
        <f t="shared" ca="1" si="141"/>
        <v>-3820091.7059215633</v>
      </c>
      <c r="L2184" s="455">
        <f t="shared" ca="1" si="142"/>
        <v>-920642101.12709677</v>
      </c>
      <c r="M2184" s="471">
        <f t="shared" si="144"/>
        <v>0.05</v>
      </c>
      <c r="N2184" s="475">
        <f t="shared" si="145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43"/>
        <v>-920642101.12709677</v>
      </c>
      <c r="J2185" s="455">
        <f t="array" ref="J2185">IFERROR(INDEX('Retirement Calculator'!J:J,MATCH('Isaac 401k'!N2185,'Retirement Calculator'!A:A,0),0),0)</f>
        <v>0</v>
      </c>
      <c r="K2185" s="455">
        <f t="shared" ca="1" si="141"/>
        <v>-3836008.7546962365</v>
      </c>
      <c r="L2185" s="455">
        <f t="shared" ca="1" si="142"/>
        <v>-924478109.88179302</v>
      </c>
      <c r="M2185" s="471">
        <f t="shared" si="144"/>
        <v>0.05</v>
      </c>
      <c r="N2185" s="475">
        <f t="shared" si="145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43"/>
        <v>-924478109.88179302</v>
      </c>
      <c r="J2186" s="455">
        <f t="array" ref="J2186">IFERROR(INDEX('Retirement Calculator'!J:J,MATCH('Isaac 401k'!N2186,'Retirement Calculator'!A:A,0),0),0)</f>
        <v>0</v>
      </c>
      <c r="K2186" s="455">
        <f t="shared" ca="1" si="141"/>
        <v>-3851992.1245074705</v>
      </c>
      <c r="L2186" s="455">
        <f t="shared" ca="1" si="142"/>
        <v>-928330102.00630045</v>
      </c>
      <c r="M2186" s="471">
        <f t="shared" si="144"/>
        <v>0.05</v>
      </c>
      <c r="N2186" s="475">
        <f t="shared" si="145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43"/>
        <v>-928330102.00630045</v>
      </c>
      <c r="J2187" s="455">
        <f t="array" ref="J2187">IFERROR(INDEX('Retirement Calculator'!J:J,MATCH('Isaac 401k'!N2187,'Retirement Calculator'!A:A,0),0),0)</f>
        <v>0</v>
      </c>
      <c r="K2187" s="455">
        <f t="shared" ca="1" si="141"/>
        <v>-3868042.0916929184</v>
      </c>
      <c r="L2187" s="455">
        <f t="shared" ca="1" si="142"/>
        <v>-932198144.09799337</v>
      </c>
      <c r="M2187" s="471">
        <f t="shared" si="144"/>
        <v>0.05</v>
      </c>
      <c r="N2187" s="475">
        <f t="shared" si="145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43"/>
        <v>-932198144.09799337</v>
      </c>
      <c r="J2188" s="455">
        <f t="array" ref="J2188">IFERROR(INDEX('Retirement Calculator'!J:J,MATCH('Isaac 401k'!N2188,'Retirement Calculator'!A:A,0),0),0)</f>
        <v>0</v>
      </c>
      <c r="K2188" s="455">
        <f t="shared" ca="1" si="141"/>
        <v>-3884158.9337416389</v>
      </c>
      <c r="L2188" s="455">
        <f t="shared" ca="1" si="142"/>
        <v>-936082303.03173506</v>
      </c>
      <c r="M2188" s="471">
        <f t="shared" si="144"/>
        <v>0.05</v>
      </c>
      <c r="N2188" s="475">
        <f t="shared" si="145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43"/>
        <v>-936082303.03173506</v>
      </c>
      <c r="J2189" s="455">
        <f t="array" ref="J2189">IFERROR(INDEX('Retirement Calculator'!J:J,MATCH('Isaac 401k'!N2189,'Retirement Calculator'!A:A,0),0),0)</f>
        <v>0</v>
      </c>
      <c r="K2189" s="455">
        <f t="shared" ca="1" si="141"/>
        <v>-3900342.9292988954</v>
      </c>
      <c r="L2189" s="455">
        <f t="shared" ca="1" si="142"/>
        <v>-939982645.96103394</v>
      </c>
      <c r="M2189" s="471">
        <f t="shared" si="144"/>
        <v>0.05</v>
      </c>
      <c r="N2189" s="475">
        <f t="shared" si="145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43"/>
        <v>-939982645.96103394</v>
      </c>
      <c r="J2190" s="455">
        <f t="array" ref="J2190">IFERROR(INDEX('Retirement Calculator'!J:J,MATCH('Isaac 401k'!N2190,'Retirement Calculator'!A:A,0),0),0)</f>
        <v>0</v>
      </c>
      <c r="K2190" s="455">
        <f t="shared" ca="1" si="141"/>
        <v>-3916594.3581709745</v>
      </c>
      <c r="L2190" s="455">
        <f t="shared" ca="1" si="142"/>
        <v>-943899240.31920493</v>
      </c>
      <c r="M2190" s="471">
        <f t="shared" si="144"/>
        <v>0.05</v>
      </c>
      <c r="N2190" s="475">
        <f t="shared" si="145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43"/>
        <v>-943899240.31920493</v>
      </c>
      <c r="J2191" s="455">
        <f t="array" ref="J2191">IFERROR(INDEX('Retirement Calculator'!J:J,MATCH('Isaac 401k'!N2191,'Retirement Calculator'!A:A,0),0),0)</f>
        <v>0</v>
      </c>
      <c r="K2191" s="455">
        <f t="shared" ca="1" si="141"/>
        <v>-3932913.5013300199</v>
      </c>
      <c r="L2191" s="455">
        <f t="shared" ca="1" si="142"/>
        <v>-947832153.82053494</v>
      </c>
      <c r="M2191" s="471">
        <f t="shared" si="144"/>
        <v>0.05</v>
      </c>
      <c r="N2191" s="475">
        <f t="shared" si="145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43"/>
        <v>-947832153.82053494</v>
      </c>
      <c r="J2192" s="455">
        <f t="array" ref="J2192">IFERROR(INDEX('Retirement Calculator'!J:J,MATCH('Isaac 401k'!N2192,'Retirement Calculator'!A:A,0),0),0)</f>
        <v>0</v>
      </c>
      <c r="K2192" s="455">
        <f t="shared" ca="1" si="141"/>
        <v>-3949300.6409188956</v>
      </c>
      <c r="L2192" s="455">
        <f t="shared" ca="1" si="142"/>
        <v>-951781454.4614538</v>
      </c>
      <c r="M2192" s="471">
        <f t="shared" si="144"/>
        <v>0.05</v>
      </c>
      <c r="N2192" s="475">
        <f t="shared" si="145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43"/>
        <v>-951781454.4614538</v>
      </c>
      <c r="J2193" s="455">
        <f t="array" ref="J2193">IFERROR(INDEX('Retirement Calculator'!J:J,MATCH('Isaac 401k'!N2193,'Retirement Calculator'!A:A,0),0),0)</f>
        <v>0</v>
      </c>
      <c r="K2193" s="455">
        <f t="shared" ca="1" si="141"/>
        <v>-3965756.0602560574</v>
      </c>
      <c r="L2193" s="455">
        <f t="shared" ca="1" si="142"/>
        <v>-955747210.5217098</v>
      </c>
      <c r="M2193" s="471">
        <f t="shared" si="144"/>
        <v>0.05</v>
      </c>
      <c r="N2193" s="475">
        <f t="shared" si="145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43"/>
        <v>-955747210.5217098</v>
      </c>
      <c r="J2194" s="455">
        <f t="array" ref="J2194">IFERROR(INDEX('Retirement Calculator'!J:J,MATCH('Isaac 401k'!N2194,'Retirement Calculator'!A:A,0),0),0)</f>
        <v>0</v>
      </c>
      <c r="K2194" s="455">
        <f t="shared" ca="1" si="141"/>
        <v>-3982280.0438404572</v>
      </c>
      <c r="L2194" s="455">
        <f t="shared" ca="1" si="142"/>
        <v>-959729490.56555021</v>
      </c>
      <c r="M2194" s="471">
        <f t="shared" si="144"/>
        <v>0.05</v>
      </c>
      <c r="N2194" s="475">
        <f t="shared" si="145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43"/>
        <v>-959729490.56555021</v>
      </c>
      <c r="J2195" s="455">
        <f t="array" ref="J2195">IFERROR(INDEX('Retirement Calculator'!J:J,MATCH('Isaac 401k'!N2195,'Retirement Calculator'!A:A,0),0),0)</f>
        <v>0</v>
      </c>
      <c r="K2195" s="455">
        <f t="shared" ca="1" si="141"/>
        <v>-3998872.8773564599</v>
      </c>
      <c r="L2195" s="455">
        <f t="shared" ca="1" si="142"/>
        <v>-963728363.44290662</v>
      </c>
      <c r="M2195" s="471">
        <f t="shared" si="144"/>
        <v>0.05</v>
      </c>
      <c r="N2195" s="475">
        <f t="shared" si="145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43"/>
        <v>-963728363.44290662</v>
      </c>
      <c r="J2196" s="455">
        <f t="array" ref="J2196">IFERROR(INDEX('Retirement Calculator'!J:J,MATCH('Isaac 401k'!N2196,'Retirement Calculator'!A:A,0),0),0)</f>
        <v>0</v>
      </c>
      <c r="K2196" s="455">
        <f t="shared" ca="1" si="141"/>
        <v>-4015534.8476787768</v>
      </c>
      <c r="L2196" s="455">
        <f t="shared" ca="1" si="142"/>
        <v>-967743898.2905854</v>
      </c>
      <c r="M2196" s="471">
        <f t="shared" si="144"/>
        <v>0.05</v>
      </c>
      <c r="N2196" s="475">
        <f t="shared" si="145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43"/>
        <v>-967743898.2905854</v>
      </c>
      <c r="J2197" s="455">
        <f t="array" ref="J2197">IFERROR(INDEX('Retirement Calculator'!J:J,MATCH('Isaac 401k'!N2197,'Retirement Calculator'!A:A,0),0),0)</f>
        <v>0</v>
      </c>
      <c r="K2197" s="455">
        <f t="shared" ca="1" si="141"/>
        <v>-4032266.2428774396</v>
      </c>
      <c r="L2197" s="455">
        <f t="shared" ca="1" si="142"/>
        <v>-971776164.53346288</v>
      </c>
      <c r="M2197" s="471">
        <f t="shared" si="144"/>
        <v>0.05</v>
      </c>
      <c r="N2197" s="475">
        <f t="shared" si="145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43"/>
        <v>-971776164.53346288</v>
      </c>
      <c r="J2198" s="455">
        <f t="array" ref="J2198">IFERROR(INDEX('Retirement Calculator'!J:J,MATCH('Isaac 401k'!N2198,'Retirement Calculator'!A:A,0),0),0)</f>
        <v>0</v>
      </c>
      <c r="K2198" s="455">
        <f t="shared" ca="1" si="141"/>
        <v>-4049067.3522227621</v>
      </c>
      <c r="L2198" s="455">
        <f t="shared" ca="1" si="142"/>
        <v>-975825231.88568568</v>
      </c>
      <c r="M2198" s="471">
        <f t="shared" si="144"/>
        <v>0.05</v>
      </c>
      <c r="N2198" s="475">
        <f t="shared" si="145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43"/>
        <v>-975825231.88568568</v>
      </c>
      <c r="J2199" s="455">
        <f t="array" ref="J2199">IFERROR(INDEX('Retirement Calculator'!J:J,MATCH('Isaac 401k'!N2199,'Retirement Calculator'!A:A,0),0),0)</f>
        <v>0</v>
      </c>
      <c r="K2199" s="455">
        <f t="shared" ca="1" si="141"/>
        <v>-4065938.4661903568</v>
      </c>
      <c r="L2199" s="455">
        <f t="shared" ca="1" si="142"/>
        <v>-979891170.35187602</v>
      </c>
      <c r="M2199" s="471">
        <f t="shared" si="144"/>
        <v>0.05</v>
      </c>
      <c r="N2199" s="475">
        <f t="shared" si="145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43"/>
        <v>-979891170.35187602</v>
      </c>
      <c r="J2200" s="455">
        <f t="array" ref="J2200">IFERROR(INDEX('Retirement Calculator'!J:J,MATCH('Isaac 401k'!N2200,'Retirement Calculator'!A:A,0),0),0)</f>
        <v>0</v>
      </c>
      <c r="K2200" s="455">
        <f t="shared" ca="1" si="141"/>
        <v>-4082879.8764661499</v>
      </c>
      <c r="L2200" s="455">
        <f t="shared" ca="1" si="142"/>
        <v>-983974050.22834218</v>
      </c>
      <c r="M2200" s="471">
        <f t="shared" si="144"/>
        <v>0.05</v>
      </c>
      <c r="N2200" s="475">
        <f t="shared" si="145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43"/>
        <v>-983974050.22834218</v>
      </c>
      <c r="J2201" s="455">
        <f t="array" ref="J2201">IFERROR(INDEX('Retirement Calculator'!J:J,MATCH('Isaac 401k'!N2201,'Retirement Calculator'!A:A,0),0),0)</f>
        <v>0</v>
      </c>
      <c r="K2201" s="455">
        <f t="shared" ca="1" si="141"/>
        <v>-4099891.8759514256</v>
      </c>
      <c r="L2201" s="455">
        <f t="shared" ca="1" si="142"/>
        <v>-988073942.10429358</v>
      </c>
      <c r="M2201" s="471">
        <f t="shared" si="144"/>
        <v>0.05</v>
      </c>
      <c r="N2201" s="475">
        <f t="shared" si="145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43"/>
        <v>-988073942.10429358</v>
      </c>
      <c r="J2202" s="455">
        <f t="array" ref="J2202">IFERROR(INDEX('Retirement Calculator'!J:J,MATCH('Isaac 401k'!N2202,'Retirement Calculator'!A:A,0),0),0)</f>
        <v>0</v>
      </c>
      <c r="K2202" s="455">
        <f t="shared" ca="1" si="141"/>
        <v>-4116974.7587678898</v>
      </c>
      <c r="L2202" s="455">
        <f t="shared" ca="1" si="142"/>
        <v>-992190916.86306143</v>
      </c>
      <c r="M2202" s="471">
        <f t="shared" si="144"/>
        <v>0.05</v>
      </c>
      <c r="N2202" s="475">
        <f t="shared" si="145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43"/>
        <v>-992190916.86306143</v>
      </c>
      <c r="J2203" s="455">
        <f t="array" ref="J2203">IFERROR(INDEX('Retirement Calculator'!J:J,MATCH('Isaac 401k'!N2203,'Retirement Calculator'!A:A,0),0),0)</f>
        <v>0</v>
      </c>
      <c r="K2203" s="455">
        <f t="shared" ca="1" si="141"/>
        <v>-4134128.8202627557</v>
      </c>
      <c r="L2203" s="455">
        <f t="shared" ca="1" si="142"/>
        <v>-996325045.68332422</v>
      </c>
      <c r="M2203" s="471">
        <f t="shared" si="144"/>
        <v>0.05</v>
      </c>
      <c r="N2203" s="475">
        <f t="shared" si="145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43"/>
        <v>-996325045.68332422</v>
      </c>
      <c r="J2204" s="455">
        <f t="array" ref="J2204">IFERROR(INDEX('Retirement Calculator'!J:J,MATCH('Isaac 401k'!N2204,'Retirement Calculator'!A:A,0),0),0)</f>
        <v>0</v>
      </c>
      <c r="K2204" s="455">
        <f t="shared" ca="1" si="141"/>
        <v>-4151354.3570138514</v>
      </c>
      <c r="L2204" s="455">
        <f t="shared" ca="1" si="142"/>
        <v>-1000476400.040338</v>
      </c>
      <c r="M2204" s="471">
        <f t="shared" si="144"/>
        <v>0.05</v>
      </c>
      <c r="N2204" s="475">
        <f t="shared" si="145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43"/>
        <v>-1000476400.040338</v>
      </c>
      <c r="J2205" s="455">
        <f t="array" ref="J2205">IFERROR(INDEX('Retirement Calculator'!J:J,MATCH('Isaac 401k'!N2205,'Retirement Calculator'!A:A,0),0),0)</f>
        <v>0</v>
      </c>
      <c r="K2205" s="455">
        <f t="shared" ca="1" si="141"/>
        <v>-4168651.6668347423</v>
      </c>
      <c r="L2205" s="455">
        <f t="shared" ca="1" si="142"/>
        <v>-1004645051.7071728</v>
      </c>
      <c r="M2205" s="471">
        <f t="shared" si="144"/>
        <v>0.05</v>
      </c>
      <c r="N2205" s="475">
        <f t="shared" si="145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43"/>
        <v>-1004645051.7071728</v>
      </c>
      <c r="J2206" s="455">
        <f t="array" ref="J2206">IFERROR(INDEX('Retirement Calculator'!J:J,MATCH('Isaac 401k'!N2206,'Retirement Calculator'!A:A,0),0),0)</f>
        <v>0</v>
      </c>
      <c r="K2206" s="455">
        <f t="shared" ca="1" si="141"/>
        <v>-4186021.0487798862</v>
      </c>
      <c r="L2206" s="455">
        <f t="shared" ca="1" si="142"/>
        <v>-1008831072.7559526</v>
      </c>
      <c r="M2206" s="471">
        <f t="shared" si="144"/>
        <v>0.05</v>
      </c>
      <c r="N2206" s="475">
        <f t="shared" si="145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43"/>
        <v>-1008831072.7559526</v>
      </c>
      <c r="J2207" s="455">
        <f t="array" ref="J2207">IFERROR(INDEX('Retirement Calculator'!J:J,MATCH('Isaac 401k'!N2207,'Retirement Calculator'!A:A,0),0),0)</f>
        <v>0</v>
      </c>
      <c r="K2207" s="455">
        <f t="shared" ca="1" si="141"/>
        <v>-4203462.8031498026</v>
      </c>
      <c r="L2207" s="455">
        <f t="shared" ca="1" si="142"/>
        <v>-1013034535.5591024</v>
      </c>
      <c r="M2207" s="471">
        <f t="shared" si="144"/>
        <v>0.05</v>
      </c>
      <c r="N2207" s="475">
        <f t="shared" si="145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43"/>
        <v>-1013034535.5591024</v>
      </c>
      <c r="J2208" s="455">
        <f t="array" ref="J2208">IFERROR(INDEX('Retirement Calculator'!J:J,MATCH('Isaac 401k'!N2208,'Retirement Calculator'!A:A,0),0),0)</f>
        <v>0</v>
      </c>
      <c r="K2208" s="455">
        <f t="shared" ca="1" si="141"/>
        <v>-4220977.2314962605</v>
      </c>
      <c r="L2208" s="455">
        <f t="shared" ca="1" si="142"/>
        <v>-1017255512.7905986</v>
      </c>
      <c r="M2208" s="471">
        <f t="shared" si="144"/>
        <v>0.05</v>
      </c>
      <c r="N2208" s="475">
        <f t="shared" si="145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43"/>
        <v>-1017255512.7905986</v>
      </c>
      <c r="J2209" s="455">
        <f t="array" ref="J2209">IFERROR(INDEX('Retirement Calculator'!J:J,MATCH('Isaac 401k'!N2209,'Retirement Calculator'!A:A,0),0),0)</f>
        <v>0</v>
      </c>
      <c r="K2209" s="455">
        <f t="shared" ca="1" si="141"/>
        <v>-4238564.6366274944</v>
      </c>
      <c r="L2209" s="455">
        <f t="shared" ca="1" si="142"/>
        <v>-1021494077.4272261</v>
      </c>
      <c r="M2209" s="471">
        <f t="shared" si="144"/>
        <v>0.05</v>
      </c>
      <c r="N2209" s="475">
        <f t="shared" si="145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43"/>
        <v>-1021494077.4272261</v>
      </c>
      <c r="J2210" s="455">
        <f t="array" ref="J2210">IFERROR(INDEX('Retirement Calculator'!J:J,MATCH('Isaac 401k'!N2210,'Retirement Calculator'!A:A,0),0),0)</f>
        <v>0</v>
      </c>
      <c r="K2210" s="455">
        <f t="shared" ca="1" si="141"/>
        <v>-4256225.3226134423</v>
      </c>
      <c r="L2210" s="455">
        <f t="shared" ca="1" si="142"/>
        <v>-1025750302.7498395</v>
      </c>
      <c r="M2210" s="471">
        <f t="shared" si="144"/>
        <v>0.05</v>
      </c>
      <c r="N2210" s="475">
        <f t="shared" si="145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43"/>
        <v>-1025750302.7498395</v>
      </c>
      <c r="J2211" s="455">
        <f t="array" ref="J2211">IFERROR(INDEX('Retirement Calculator'!J:J,MATCH('Isaac 401k'!N2211,'Retirement Calculator'!A:A,0),0),0)</f>
        <v>0</v>
      </c>
      <c r="K2211" s="455">
        <f t="shared" ca="1" si="141"/>
        <v>-4273959.5947909988</v>
      </c>
      <c r="L2211" s="455">
        <f t="shared" ca="1" si="142"/>
        <v>-1030024262.3446306</v>
      </c>
      <c r="M2211" s="471">
        <f t="shared" si="144"/>
        <v>0.05</v>
      </c>
      <c r="N2211" s="475">
        <f t="shared" si="145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43"/>
        <v>-1030024262.3446306</v>
      </c>
      <c r="J2212" s="455">
        <f t="array" ref="J2212">IFERROR(INDEX('Retirement Calculator'!J:J,MATCH('Isaac 401k'!N2212,'Retirement Calculator'!A:A,0),0),0)</f>
        <v>0</v>
      </c>
      <c r="K2212" s="455">
        <f t="shared" ca="1" si="141"/>
        <v>-4291767.7597692944</v>
      </c>
      <c r="L2212" s="455">
        <f t="shared" ca="1" si="142"/>
        <v>-1034316030.1043999</v>
      </c>
      <c r="M2212" s="471">
        <f t="shared" si="144"/>
        <v>0.05</v>
      </c>
      <c r="N2212" s="475">
        <f t="shared" si="145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43"/>
        <v>-1034316030.1043999</v>
      </c>
      <c r="J2213" s="455">
        <f t="array" ref="J2213">IFERROR(INDEX('Retirement Calculator'!J:J,MATCH('Isaac 401k'!N2213,'Retirement Calculator'!A:A,0),0),0)</f>
        <v>0</v>
      </c>
      <c r="K2213" s="455">
        <f t="shared" ca="1" si="141"/>
        <v>-4309650.1254350003</v>
      </c>
      <c r="L2213" s="455">
        <f t="shared" ca="1" si="142"/>
        <v>-1038625680.2298349</v>
      </c>
      <c r="M2213" s="471">
        <f t="shared" si="144"/>
        <v>0.05</v>
      </c>
      <c r="N2213" s="475">
        <f t="shared" si="145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43"/>
        <v>-1038625680.2298349</v>
      </c>
      <c r="J2214" s="455">
        <f t="array" ref="J2214">IFERROR(INDEX('Retirement Calculator'!J:J,MATCH('Isaac 401k'!N2214,'Retirement Calculator'!A:A,0),0),0)</f>
        <v>0</v>
      </c>
      <c r="K2214" s="455">
        <f t="shared" ca="1" si="141"/>
        <v>-4327607.0009576455</v>
      </c>
      <c r="L2214" s="455">
        <f t="shared" ca="1" si="142"/>
        <v>-1042953287.2307925</v>
      </c>
      <c r="M2214" s="471">
        <f t="shared" si="144"/>
        <v>0.05</v>
      </c>
      <c r="N2214" s="475">
        <f t="shared" si="145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43"/>
        <v>-1042953287.2307925</v>
      </c>
      <c r="J2215" s="455">
        <f t="array" ref="J2215">IFERROR(INDEX('Retirement Calculator'!J:J,MATCH('Isaac 401k'!N2215,'Retirement Calculator'!A:A,0),0),0)</f>
        <v>0</v>
      </c>
      <c r="K2215" s="455">
        <f t="shared" ca="1" si="141"/>
        <v>-4345638.696794969</v>
      </c>
      <c r="L2215" s="455">
        <f t="shared" ca="1" si="142"/>
        <v>-1047298925.9275875</v>
      </c>
      <c r="M2215" s="471">
        <f t="shared" si="144"/>
        <v>0.05</v>
      </c>
      <c r="N2215" s="475">
        <f t="shared" si="145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43"/>
        <v>-1047298925.9275875</v>
      </c>
      <c r="J2216" s="455">
        <f t="array" ref="J2216">IFERROR(INDEX('Retirement Calculator'!J:J,MATCH('Isaac 401k'!N2216,'Retirement Calculator'!A:A,0),0),0)</f>
        <v>0</v>
      </c>
      <c r="K2216" s="455">
        <f t="shared" ca="1" si="141"/>
        <v>-4363745.5246982817</v>
      </c>
      <c r="L2216" s="455">
        <f t="shared" ca="1" si="142"/>
        <v>-1051662671.4522858</v>
      </c>
      <c r="M2216" s="471">
        <f t="shared" si="144"/>
        <v>0.05</v>
      </c>
      <c r="N2216" s="475">
        <f t="shared" si="145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43"/>
        <v>-1051662671.4522858</v>
      </c>
      <c r="J2217" s="455">
        <f t="array" ref="J2217">IFERROR(INDEX('Retirement Calculator'!J:J,MATCH('Isaac 401k'!N2217,'Retirement Calculator'!A:A,0),0),0)</f>
        <v>0</v>
      </c>
      <c r="K2217" s="455">
        <f t="shared" ca="1" si="141"/>
        <v>-4381927.7977178572</v>
      </c>
      <c r="L2217" s="455">
        <f t="shared" ca="1" si="142"/>
        <v>-1056044599.2500036</v>
      </c>
      <c r="M2217" s="471">
        <f t="shared" si="144"/>
        <v>0.05</v>
      </c>
      <c r="N2217" s="475">
        <f t="shared" si="145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43"/>
        <v>-1056044599.2500036</v>
      </c>
      <c r="J2218" s="455">
        <f t="array" ref="J2218">IFERROR(INDEX('Retirement Calculator'!J:J,MATCH('Isaac 401k'!N2218,'Retirement Calculator'!A:A,0),0),0)</f>
        <v>0</v>
      </c>
      <c r="K2218" s="455">
        <f t="shared" ca="1" si="141"/>
        <v>-4400185.8302083481</v>
      </c>
      <c r="L2218" s="455">
        <f t="shared" ca="1" si="142"/>
        <v>-1060444785.0802119</v>
      </c>
      <c r="M2218" s="471">
        <f t="shared" si="144"/>
        <v>0.05</v>
      </c>
      <c r="N2218" s="475">
        <f t="shared" si="145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43"/>
        <v>-1060444785.0802119</v>
      </c>
      <c r="J2219" s="455">
        <f t="array" ref="J2219">IFERROR(INDEX('Retirement Calculator'!J:J,MATCH('Isaac 401k'!N2219,'Retirement Calculator'!A:A,0),0),0)</f>
        <v>0</v>
      </c>
      <c r="K2219" s="455">
        <f t="shared" ca="1" si="141"/>
        <v>-4418519.9378342163</v>
      </c>
      <c r="L2219" s="455">
        <f t="shared" ca="1" si="142"/>
        <v>-1064863305.0180461</v>
      </c>
      <c r="M2219" s="471">
        <f t="shared" si="144"/>
        <v>0.05</v>
      </c>
      <c r="N2219" s="475">
        <f t="shared" si="145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43"/>
        <v>-1064863305.0180461</v>
      </c>
      <c r="J2220" s="455">
        <f t="array" ref="J2220">IFERROR(INDEX('Retirement Calculator'!J:J,MATCH('Isaac 401k'!N2220,'Retirement Calculator'!A:A,0),0),0)</f>
        <v>0</v>
      </c>
      <c r="K2220" s="455">
        <f t="shared" ca="1" si="141"/>
        <v>-4436930.4375751922</v>
      </c>
      <c r="L2220" s="455">
        <f t="shared" ca="1" si="142"/>
        <v>-1069300235.4556214</v>
      </c>
      <c r="M2220" s="471">
        <f t="shared" si="144"/>
        <v>0.05</v>
      </c>
      <c r="N2220" s="475">
        <f t="shared" si="145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43"/>
        <v>-1069300235.4556214</v>
      </c>
      <c r="J2221" s="455">
        <f t="array" ref="J2221">IFERROR(INDEX('Retirement Calculator'!J:J,MATCH('Isaac 401k'!N2221,'Retirement Calculator'!A:A,0),0),0)</f>
        <v>0</v>
      </c>
      <c r="K2221" s="455">
        <f t="shared" ca="1" si="141"/>
        <v>-4455417.6477317559</v>
      </c>
      <c r="L2221" s="455">
        <f t="shared" ca="1" si="142"/>
        <v>-1073755653.103353</v>
      </c>
      <c r="M2221" s="471">
        <f t="shared" si="144"/>
        <v>0.05</v>
      </c>
      <c r="N2221" s="475">
        <f t="shared" si="145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43"/>
        <v>-1073755653.103353</v>
      </c>
      <c r="J2222" s="455">
        <f t="array" ref="J2222">IFERROR(INDEX('Retirement Calculator'!J:J,MATCH('Isaac 401k'!N2222,'Retirement Calculator'!A:A,0),0),0)</f>
        <v>0</v>
      </c>
      <c r="K2222" s="455">
        <f t="shared" ca="1" si="141"/>
        <v>-4473981.8879306372</v>
      </c>
      <c r="L2222" s="455">
        <f t="shared" ca="1" si="142"/>
        <v>-1078229634.9912837</v>
      </c>
      <c r="M2222" s="471">
        <f t="shared" si="144"/>
        <v>0.05</v>
      </c>
      <c r="N2222" s="475">
        <f t="shared" si="145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43"/>
        <v>-1078229634.9912837</v>
      </c>
      <c r="J2223" s="455">
        <f t="array" ref="J2223">IFERROR(INDEX('Retirement Calculator'!J:J,MATCH('Isaac 401k'!N2223,'Retirement Calculator'!A:A,0),0),0)</f>
        <v>0</v>
      </c>
      <c r="K2223" s="455">
        <f t="shared" ca="1" si="141"/>
        <v>-4492623.4791303482</v>
      </c>
      <c r="L2223" s="455">
        <f t="shared" ca="1" si="142"/>
        <v>-1082722258.4704139</v>
      </c>
      <c r="M2223" s="471">
        <f t="shared" si="144"/>
        <v>0.05</v>
      </c>
      <c r="N2223" s="475">
        <f t="shared" si="145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43"/>
        <v>-1082722258.4704139</v>
      </c>
      <c r="J2224" s="455">
        <f t="array" ref="J2224">IFERROR(INDEX('Retirement Calculator'!J:J,MATCH('Isaac 401k'!N2224,'Retirement Calculator'!A:A,0),0),0)</f>
        <v>0</v>
      </c>
      <c r="K2224" s="455">
        <f t="shared" ca="1" si="141"/>
        <v>-4511342.7436267249</v>
      </c>
      <c r="L2224" s="455">
        <f t="shared" ca="1" si="142"/>
        <v>-1087233601.2140408</v>
      </c>
      <c r="M2224" s="471">
        <f t="shared" si="144"/>
        <v>0.05</v>
      </c>
      <c r="N2224" s="475">
        <f t="shared" si="145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43"/>
        <v>-1087233601.2140408</v>
      </c>
      <c r="J2225" s="455">
        <f t="array" ref="J2225">IFERROR(INDEX('Retirement Calculator'!J:J,MATCH('Isaac 401k'!N2225,'Retirement Calculator'!A:A,0),0),0)</f>
        <v>0</v>
      </c>
      <c r="K2225" s="455">
        <f t="shared" ca="1" si="141"/>
        <v>-4530140.0050585028</v>
      </c>
      <c r="L2225" s="455">
        <f t="shared" ca="1" si="142"/>
        <v>-1091763741.2190993</v>
      </c>
      <c r="M2225" s="471">
        <f t="shared" si="144"/>
        <v>0.05</v>
      </c>
      <c r="N2225" s="475">
        <f t="shared" si="145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43"/>
        <v>-1091763741.2190993</v>
      </c>
      <c r="J2226" s="455">
        <f t="array" ref="J2226">IFERROR(INDEX('Retirement Calculator'!J:J,MATCH('Isaac 401k'!N2226,'Retirement Calculator'!A:A,0),0),0)</f>
        <v>0</v>
      </c>
      <c r="K2226" s="455">
        <f t="shared" ca="1" si="141"/>
        <v>-4549015.5884129135</v>
      </c>
      <c r="L2226" s="455">
        <f t="shared" ca="1" si="142"/>
        <v>-1096312756.8075123</v>
      </c>
      <c r="M2226" s="471">
        <f t="shared" si="144"/>
        <v>0.05</v>
      </c>
      <c r="N2226" s="475">
        <f t="shared" si="145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43"/>
        <v>-1096312756.8075123</v>
      </c>
      <c r="J2227" s="455">
        <f t="array" ref="J2227">IFERROR(INDEX('Retirement Calculator'!J:J,MATCH('Isaac 401k'!N2227,'Retirement Calculator'!A:A,0),0),0)</f>
        <v>0</v>
      </c>
      <c r="K2227" s="455">
        <f t="shared" ca="1" si="141"/>
        <v>-4567969.8200313011</v>
      </c>
      <c r="L2227" s="455">
        <f t="shared" ca="1" si="142"/>
        <v>-1100880726.6275437</v>
      </c>
      <c r="M2227" s="471">
        <f t="shared" si="144"/>
        <v>0.05</v>
      </c>
      <c r="N2227" s="475">
        <f t="shared" si="145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43"/>
        <v>-1100880726.6275437</v>
      </c>
      <c r="J2228" s="455">
        <f t="array" ref="J2228">IFERROR(INDEX('Retirement Calculator'!J:J,MATCH('Isaac 401k'!N2228,'Retirement Calculator'!A:A,0),0),0)</f>
        <v>0</v>
      </c>
      <c r="K2228" s="455">
        <f t="shared" ca="1" si="141"/>
        <v>-4587003.0276147649</v>
      </c>
      <c r="L2228" s="455">
        <f t="shared" ca="1" si="142"/>
        <v>-1105467729.6551585</v>
      </c>
      <c r="M2228" s="471">
        <f t="shared" si="144"/>
        <v>0.05</v>
      </c>
      <c r="N2228" s="475">
        <f t="shared" si="145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43"/>
        <v>-1105467729.6551585</v>
      </c>
      <c r="J2229" s="455">
        <f t="array" ref="J2229">IFERROR(INDEX('Retirement Calculator'!J:J,MATCH('Isaac 401k'!N2229,'Retirement Calculator'!A:A,0),0),0)</f>
        <v>0</v>
      </c>
      <c r="K2229" s="455">
        <f t="shared" ca="1" si="141"/>
        <v>-4606115.5402298272</v>
      </c>
      <c r="L2229" s="455">
        <f t="shared" ca="1" si="142"/>
        <v>-1110073845.1953883</v>
      </c>
      <c r="M2229" s="471">
        <f t="shared" si="144"/>
        <v>0.05</v>
      </c>
      <c r="N2229" s="475">
        <f t="shared" si="145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43"/>
        <v>-1110073845.1953883</v>
      </c>
      <c r="J2230" s="455">
        <f t="array" ref="J2230">IFERROR(INDEX('Retirement Calculator'!J:J,MATCH('Isaac 401k'!N2230,'Retirement Calculator'!A:A,0),0),0)</f>
        <v>0</v>
      </c>
      <c r="K2230" s="455">
        <f t="shared" ca="1" si="141"/>
        <v>-4625307.6883141175</v>
      </c>
      <c r="L2230" s="455">
        <f t="shared" ca="1" si="142"/>
        <v>-1114699152.8837025</v>
      </c>
      <c r="M2230" s="471">
        <f t="shared" si="144"/>
        <v>0.05</v>
      </c>
      <c r="N2230" s="475">
        <f t="shared" si="145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43"/>
        <v>-1114699152.8837025</v>
      </c>
      <c r="J2231" s="455">
        <f t="array" ref="J2231">IFERROR(INDEX('Retirement Calculator'!J:J,MATCH('Isaac 401k'!N2231,'Retirement Calculator'!A:A,0),0),0)</f>
        <v>0</v>
      </c>
      <c r="K2231" s="455">
        <f t="shared" ca="1" si="141"/>
        <v>-4644579.8036820935</v>
      </c>
      <c r="L2231" s="455">
        <f t="shared" ca="1" si="142"/>
        <v>-1119343732.6873846</v>
      </c>
      <c r="M2231" s="471">
        <f t="shared" si="144"/>
        <v>0.05</v>
      </c>
      <c r="N2231" s="475">
        <f t="shared" si="145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43"/>
        <v>-1119343732.6873846</v>
      </c>
      <c r="J2232" s="455">
        <f t="array" ref="J2232">IFERROR(INDEX('Retirement Calculator'!J:J,MATCH('Isaac 401k'!N2232,'Retirement Calculator'!A:A,0),0),0)</f>
        <v>0</v>
      </c>
      <c r="K2232" s="455">
        <f t="shared" ca="1" si="141"/>
        <v>-4663932.2195307687</v>
      </c>
      <c r="L2232" s="455">
        <f t="shared" ca="1" si="142"/>
        <v>-1124007664.9069154</v>
      </c>
      <c r="M2232" s="471">
        <f t="shared" si="144"/>
        <v>0.05</v>
      </c>
      <c r="N2232" s="475">
        <f t="shared" si="145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43"/>
        <v>-1124007664.9069154</v>
      </c>
      <c r="J2233" s="455">
        <f t="array" ref="J2233">IFERROR(INDEX('Retirement Calculator'!J:J,MATCH('Isaac 401k'!N2233,'Retirement Calculator'!A:A,0),0),0)</f>
        <v>0</v>
      </c>
      <c r="K2233" s="455">
        <f t="shared" ca="1" si="141"/>
        <v>-4683365.2704454809</v>
      </c>
      <c r="L2233" s="455">
        <f t="shared" ca="1" si="142"/>
        <v>-1128691030.177361</v>
      </c>
      <c r="M2233" s="471">
        <f t="shared" si="144"/>
        <v>0.05</v>
      </c>
      <c r="N2233" s="475">
        <f t="shared" si="145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43"/>
        <v>-1128691030.177361</v>
      </c>
      <c r="J2234" s="455">
        <f t="array" ref="J2234">IFERROR(INDEX('Retirement Calculator'!J:J,MATCH('Isaac 401k'!N2234,'Retirement Calculator'!A:A,0),0),0)</f>
        <v>0</v>
      </c>
      <c r="K2234" s="455">
        <f t="shared" ca="1" si="141"/>
        <v>-4702879.2924056705</v>
      </c>
      <c r="L2234" s="455">
        <f t="shared" ca="1" si="142"/>
        <v>-1133393909.4697666</v>
      </c>
      <c r="M2234" s="471">
        <f t="shared" si="144"/>
        <v>0.05</v>
      </c>
      <c r="N2234" s="475">
        <f t="shared" si="145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43"/>
        <v>-1133393909.4697666</v>
      </c>
      <c r="J2235" s="455">
        <f t="array" ref="J2235">IFERROR(INDEX('Retirement Calculator'!J:J,MATCH('Isaac 401k'!N2235,'Retirement Calculator'!A:A,0),0),0)</f>
        <v>0</v>
      </c>
      <c r="K2235" s="455">
        <f t="shared" ca="1" si="141"/>
        <v>-4722474.6227906942</v>
      </c>
      <c r="L2235" s="455">
        <f t="shared" ca="1" si="142"/>
        <v>-1138116384.0925574</v>
      </c>
      <c r="M2235" s="471">
        <f t="shared" si="144"/>
        <v>0.05</v>
      </c>
      <c r="N2235" s="475">
        <f t="shared" si="145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43"/>
        <v>-1138116384.0925574</v>
      </c>
      <c r="J2236" s="455">
        <f t="array" ref="J2236">IFERROR(INDEX('Retirement Calculator'!J:J,MATCH('Isaac 401k'!N2236,'Retirement Calculator'!A:A,0),0),0)</f>
        <v>0</v>
      </c>
      <c r="K2236" s="455">
        <f t="shared" ca="1" si="141"/>
        <v>-4742151.6003856556</v>
      </c>
      <c r="L2236" s="455">
        <f t="shared" ca="1" si="142"/>
        <v>-1142858535.6929431</v>
      </c>
      <c r="M2236" s="471">
        <f t="shared" si="144"/>
        <v>0.05</v>
      </c>
      <c r="N2236" s="475">
        <f t="shared" si="145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43"/>
        <v>-1142858535.6929431</v>
      </c>
      <c r="J2237" s="455">
        <f t="array" ref="J2237">IFERROR(INDEX('Retirement Calculator'!J:J,MATCH('Isaac 401k'!N2237,'Retirement Calculator'!A:A,0),0),0)</f>
        <v>0</v>
      </c>
      <c r="K2237" s="455">
        <f t="shared" ca="1" si="141"/>
        <v>-4761910.565387263</v>
      </c>
      <c r="L2237" s="455">
        <f t="shared" ca="1" si="142"/>
        <v>-1147620446.2583303</v>
      </c>
      <c r="M2237" s="471">
        <f t="shared" si="144"/>
        <v>0.05</v>
      </c>
      <c r="N2237" s="475">
        <f t="shared" si="145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43"/>
        <v>-1147620446.2583303</v>
      </c>
      <c r="J2238" s="455">
        <f t="array" ref="J2238">IFERROR(INDEX('Retirement Calculator'!J:J,MATCH('Isaac 401k'!N2238,'Retirement Calculator'!A:A,0),0),0)</f>
        <v>0</v>
      </c>
      <c r="K2238" s="455">
        <f t="shared" ca="1" si="141"/>
        <v>-4781751.8594097095</v>
      </c>
      <c r="L2238" s="455">
        <f t="shared" ca="1" si="142"/>
        <v>-1152402198.1177402</v>
      </c>
      <c r="M2238" s="471">
        <f t="shared" si="144"/>
        <v>0.05</v>
      </c>
      <c r="N2238" s="475">
        <f t="shared" si="145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43"/>
        <v>-1152402198.1177402</v>
      </c>
      <c r="J2239" s="455">
        <f t="array" ref="J2239">IFERROR(INDEX('Retirement Calculator'!J:J,MATCH('Isaac 401k'!N2239,'Retirement Calculator'!A:A,0),0),0)</f>
        <v>0</v>
      </c>
      <c r="K2239" s="455">
        <f t="shared" ca="1" si="141"/>
        <v>-4801675.8254905837</v>
      </c>
      <c r="L2239" s="455">
        <f t="shared" ca="1" si="142"/>
        <v>-1157203873.9432306</v>
      </c>
      <c r="M2239" s="471">
        <f t="shared" si="144"/>
        <v>0.05</v>
      </c>
      <c r="N2239" s="475">
        <f t="shared" si="145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43"/>
        <v>-1157203873.9432306</v>
      </c>
      <c r="J2240" s="455">
        <f t="array" ref="J2240">IFERROR(INDEX('Retirement Calculator'!J:J,MATCH('Isaac 401k'!N2240,'Retirement Calculator'!A:A,0),0),0)</f>
        <v>0</v>
      </c>
      <c r="K2240" s="455">
        <f t="shared" ca="1" si="141"/>
        <v>-4821682.8080967944</v>
      </c>
      <c r="L2240" s="455">
        <f t="shared" ca="1" si="142"/>
        <v>-1162025556.7513275</v>
      </c>
      <c r="M2240" s="471">
        <f t="shared" si="144"/>
        <v>0.05</v>
      </c>
      <c r="N2240" s="475">
        <f t="shared" si="145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43"/>
        <v>-1162025556.7513275</v>
      </c>
      <c r="J2241" s="455">
        <f t="array" ref="J2241">IFERROR(INDEX('Retirement Calculator'!J:J,MATCH('Isaac 401k'!N2241,'Retirement Calculator'!A:A,0),0),0)</f>
        <v>0</v>
      </c>
      <c r="K2241" s="455">
        <f t="shared" ca="1" si="141"/>
        <v>-4841773.1531305313</v>
      </c>
      <c r="L2241" s="455">
        <f t="shared" ca="1" si="142"/>
        <v>-1166867329.904458</v>
      </c>
      <c r="M2241" s="471">
        <f t="shared" si="144"/>
        <v>0.05</v>
      </c>
      <c r="N2241" s="475">
        <f t="shared" si="145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43"/>
        <v>-1166867329.904458</v>
      </c>
      <c r="J2242" s="455">
        <f t="array" ref="J2242">IFERROR(INDEX('Retirement Calculator'!J:J,MATCH('Isaac 401k'!N2242,'Retirement Calculator'!A:A,0),0),0)</f>
        <v>0</v>
      </c>
      <c r="K2242" s="455">
        <f t="shared" ca="1" si="141"/>
        <v>-4861947.207935242</v>
      </c>
      <c r="L2242" s="455">
        <f t="shared" ca="1" si="142"/>
        <v>-1171729277.1123934</v>
      </c>
      <c r="M2242" s="471">
        <f t="shared" si="144"/>
        <v>0.05</v>
      </c>
      <c r="N2242" s="475">
        <f t="shared" si="145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43"/>
        <v>-1171729277.1123934</v>
      </c>
      <c r="J2243" s="455">
        <f t="array" ref="J2243">IFERROR(INDEX('Retirement Calculator'!J:J,MATCH('Isaac 401k'!N2243,'Retirement Calculator'!A:A,0),0),0)</f>
        <v>0</v>
      </c>
      <c r="K2243" s="455">
        <f t="shared" ca="1" si="141"/>
        <v>-4882205.3213016391</v>
      </c>
      <c r="L2243" s="455">
        <f t="shared" ca="1" si="142"/>
        <v>-1176611482.4336951</v>
      </c>
      <c r="M2243" s="471">
        <f t="shared" si="144"/>
        <v>0.05</v>
      </c>
      <c r="N2243" s="475">
        <f t="shared" si="145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43"/>
        <v>-1176611482.4336951</v>
      </c>
      <c r="J2244" s="455">
        <f t="array" ref="J2244">IFERROR(INDEX('Retirement Calculator'!J:J,MATCH('Isaac 401k'!N2244,'Retirement Calculator'!A:A,0),0),0)</f>
        <v>0</v>
      </c>
      <c r="K2244" s="455">
        <f t="shared" ca="1" si="141"/>
        <v>-4902547.8434737297</v>
      </c>
      <c r="L2244" s="455">
        <f t="shared" ca="1" si="142"/>
        <v>-1181514030.2771688</v>
      </c>
      <c r="M2244" s="471">
        <f t="shared" si="144"/>
        <v>0.05</v>
      </c>
      <c r="N2244" s="475">
        <f t="shared" si="145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43"/>
        <v>-1181514030.2771688</v>
      </c>
      <c r="J2245" s="455">
        <f t="array" ref="J2245">IFERROR(INDEX('Retirement Calculator'!J:J,MATCH('Isaac 401k'!N2245,'Retirement Calculator'!A:A,0),0),0)</f>
        <v>0</v>
      </c>
      <c r="K2245" s="455">
        <f t="shared" ca="1" si="141"/>
        <v>-4922975.1261548698</v>
      </c>
      <c r="L2245" s="455">
        <f t="shared" ca="1" si="142"/>
        <v>-1186437005.4033237</v>
      </c>
      <c r="M2245" s="471">
        <f t="shared" si="144"/>
        <v>0.05</v>
      </c>
      <c r="N2245" s="475">
        <f t="shared" si="145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43"/>
        <v>-1186437005.4033237</v>
      </c>
      <c r="J2246" s="455">
        <f t="array" ref="J2246">IFERROR(INDEX('Retirement Calculator'!J:J,MATCH('Isaac 401k'!N2246,'Retirement Calculator'!A:A,0),0),0)</f>
        <v>0</v>
      </c>
      <c r="K2246" s="455">
        <f t="shared" ca="1" si="141"/>
        <v>-4943487.5225138487</v>
      </c>
      <c r="L2246" s="455">
        <f t="shared" ca="1" si="142"/>
        <v>-1191380492.9258375</v>
      </c>
      <c r="M2246" s="471">
        <f t="shared" si="144"/>
        <v>0.05</v>
      </c>
      <c r="N2246" s="475">
        <f t="shared" si="145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43"/>
        <v>-1191380492.9258375</v>
      </c>
      <c r="J2247" s="455">
        <f t="array" ref="J2247">IFERROR(INDEX('Retirement Calculator'!J:J,MATCH('Isaac 401k'!N2247,'Retirement Calculator'!A:A,0),0),0)</f>
        <v>0</v>
      </c>
      <c r="K2247" s="455">
        <f t="shared" ca="1" si="141"/>
        <v>-4964085.3871909892</v>
      </c>
      <c r="L2247" s="455">
        <f t="shared" ca="1" si="142"/>
        <v>-1196344578.3130286</v>
      </c>
      <c r="M2247" s="471">
        <f t="shared" si="144"/>
        <v>0.05</v>
      </c>
      <c r="N2247" s="475">
        <f t="shared" si="145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43"/>
        <v>-1196344578.3130286</v>
      </c>
      <c r="J2248" s="455">
        <f t="array" ref="J2248">IFERROR(INDEX('Retirement Calculator'!J:J,MATCH('Isaac 401k'!N2248,'Retirement Calculator'!A:A,0),0),0)</f>
        <v>0</v>
      </c>
      <c r="K2248" s="455">
        <f t="shared" ca="1" si="141"/>
        <v>-4984769.0763042858</v>
      </c>
      <c r="L2248" s="455">
        <f t="shared" ca="1" si="142"/>
        <v>-1201329347.3893328</v>
      </c>
      <c r="M2248" s="471">
        <f t="shared" si="144"/>
        <v>0.05</v>
      </c>
      <c r="N2248" s="475">
        <f t="shared" si="145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43"/>
        <v>-1201329347.3893328</v>
      </c>
      <c r="J2249" s="455">
        <f t="array" ref="J2249">IFERROR(INDEX('Retirement Calculator'!J:J,MATCH('Isaac 401k'!N2249,'Retirement Calculator'!A:A,0),0),0)</f>
        <v>0</v>
      </c>
      <c r="K2249" s="455">
        <f t="shared" ca="1" si="141"/>
        <v>-5005538.9474555533</v>
      </c>
      <c r="L2249" s="455">
        <f t="shared" ca="1" si="142"/>
        <v>-1206334886.3367884</v>
      </c>
      <c r="M2249" s="471">
        <f t="shared" si="144"/>
        <v>0.05</v>
      </c>
      <c r="N2249" s="475">
        <f t="shared" si="145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43"/>
        <v>-1206334886.3367884</v>
      </c>
      <c r="J2250" s="455">
        <f t="array" ref="J2250">IFERROR(INDEX('Retirement Calculator'!J:J,MATCH('Isaac 401k'!N2250,'Retirement Calculator'!A:A,0),0),0)</f>
        <v>0</v>
      </c>
      <c r="K2250" s="455">
        <f t="shared" ca="1" si="141"/>
        <v>-5026395.3597366186</v>
      </c>
      <c r="L2250" s="455">
        <f t="shared" ca="1" si="142"/>
        <v>-1211361281.6965251</v>
      </c>
      <c r="M2250" s="471">
        <f t="shared" si="144"/>
        <v>0.05</v>
      </c>
      <c r="N2250" s="475">
        <f t="shared" si="145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43"/>
        <v>-1211361281.6965251</v>
      </c>
      <c r="J2251" s="455">
        <f t="array" ref="J2251">IFERROR(INDEX('Retirement Calculator'!J:J,MATCH('Isaac 401k'!N2251,'Retirement Calculator'!A:A,0),0),0)</f>
        <v>0</v>
      </c>
      <c r="K2251" s="455">
        <f t="shared" ca="1" si="141"/>
        <v>-5047338.6737355208</v>
      </c>
      <c r="L2251" s="455">
        <f t="shared" ca="1" si="142"/>
        <v>-1216408620.3702607</v>
      </c>
      <c r="M2251" s="471">
        <f t="shared" si="144"/>
        <v>0.05</v>
      </c>
      <c r="N2251" s="475">
        <f t="shared" si="145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43"/>
        <v>-1216408620.3702607</v>
      </c>
      <c r="J2252" s="455">
        <f t="array" ref="J2252">IFERROR(INDEX('Retirement Calculator'!J:J,MATCH('Isaac 401k'!N2252,'Retirement Calculator'!A:A,0),0),0)</f>
        <v>0</v>
      </c>
      <c r="K2252" s="455">
        <f t="shared" ca="1" si="141"/>
        <v>-5068369.2515427526</v>
      </c>
      <c r="L2252" s="455">
        <f t="shared" ca="1" si="142"/>
        <v>-1221476989.6218035</v>
      </c>
      <c r="M2252" s="471">
        <f t="shared" si="144"/>
        <v>0.05</v>
      </c>
      <c r="N2252" s="475">
        <f t="shared" si="145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43"/>
        <v>-1221476989.6218035</v>
      </c>
      <c r="J2253" s="455">
        <f t="array" ref="J2253">IFERROR(INDEX('Retirement Calculator'!J:J,MATCH('Isaac 401k'!N2253,'Retirement Calculator'!A:A,0),0),0)</f>
        <v>0</v>
      </c>
      <c r="K2253" s="455">
        <f t="shared" ca="1" si="141"/>
        <v>-5089487.4567575147</v>
      </c>
      <c r="L2253" s="455">
        <f t="shared" ca="1" si="142"/>
        <v>-1226566477.0785611</v>
      </c>
      <c r="M2253" s="471">
        <f t="shared" si="144"/>
        <v>0.05</v>
      </c>
      <c r="N2253" s="475">
        <f t="shared" si="145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43"/>
        <v>-1226566477.0785611</v>
      </c>
      <c r="J2254" s="455">
        <f t="array" ref="J2254">IFERROR(INDEX('Retirement Calculator'!J:J,MATCH('Isaac 401k'!N2254,'Retirement Calculator'!A:A,0),0),0)</f>
        <v>0</v>
      </c>
      <c r="K2254" s="455">
        <f t="shared" ca="1" si="141"/>
        <v>-5110693.6544940043</v>
      </c>
      <c r="L2254" s="455">
        <f t="shared" ca="1" si="142"/>
        <v>-1231677170.7330551</v>
      </c>
      <c r="M2254" s="471">
        <f t="shared" si="144"/>
        <v>0.05</v>
      </c>
      <c r="N2254" s="475">
        <f t="shared" si="145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43"/>
        <v>-1231677170.7330551</v>
      </c>
      <c r="J2255" s="455">
        <f t="array" ref="J2255">IFERROR(INDEX('Retirement Calculator'!J:J,MATCH('Isaac 401k'!N2255,'Retirement Calculator'!A:A,0),0),0)</f>
        <v>0</v>
      </c>
      <c r="K2255" s="455">
        <f t="shared" ca="1" si="141"/>
        <v>-5131988.2113877293</v>
      </c>
      <c r="L2255" s="455">
        <f t="shared" ca="1" si="142"/>
        <v>-1236809158.9444427</v>
      </c>
      <c r="M2255" s="471">
        <f t="shared" si="144"/>
        <v>0.05</v>
      </c>
      <c r="N2255" s="475">
        <f t="shared" si="145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43"/>
        <v>-1236809158.9444427</v>
      </c>
      <c r="J2256" s="455">
        <f t="array" ref="J2256">IFERROR(INDEX('Retirement Calculator'!J:J,MATCH('Isaac 401k'!N2256,'Retirement Calculator'!A:A,0),0),0)</f>
        <v>0</v>
      </c>
      <c r="K2256" s="455">
        <f t="shared" ca="1" si="141"/>
        <v>-5153371.495601845</v>
      </c>
      <c r="L2256" s="455">
        <f t="shared" ca="1" si="142"/>
        <v>-1241962530.4400446</v>
      </c>
      <c r="M2256" s="471">
        <f t="shared" si="144"/>
        <v>0.05</v>
      </c>
      <c r="N2256" s="475">
        <f t="shared" si="145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43"/>
        <v>-1241962530.4400446</v>
      </c>
      <c r="J2257" s="455">
        <f t="array" ref="J2257">IFERROR(INDEX('Retirement Calculator'!J:J,MATCH('Isaac 401k'!N2257,'Retirement Calculator'!A:A,0),0),0)</f>
        <v>0</v>
      </c>
      <c r="K2257" s="455">
        <f t="shared" ca="1" si="141"/>
        <v>-5174843.876833519</v>
      </c>
      <c r="L2257" s="455">
        <f t="shared" ca="1" si="142"/>
        <v>-1247137374.3168781</v>
      </c>
      <c r="M2257" s="471">
        <f t="shared" si="144"/>
        <v>0.05</v>
      </c>
      <c r="N2257" s="475">
        <f t="shared" si="145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43"/>
        <v>-1247137374.3168781</v>
      </c>
      <c r="J2258" s="455">
        <f t="array" ref="J2258">IFERROR(INDEX('Retirement Calculator'!J:J,MATCH('Isaac 401k'!N2258,'Retirement Calculator'!A:A,0),0),0)</f>
        <v>0</v>
      </c>
      <c r="K2258" s="455">
        <f t="shared" ca="1" si="141"/>
        <v>-5196405.7263203254</v>
      </c>
      <c r="L2258" s="455">
        <f t="shared" ca="1" si="142"/>
        <v>-1252333780.0431983</v>
      </c>
      <c r="M2258" s="471">
        <f t="shared" si="144"/>
        <v>0.05</v>
      </c>
      <c r="N2258" s="475">
        <f t="shared" si="145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43"/>
        <v>-1252333780.0431983</v>
      </c>
      <c r="J2259" s="455">
        <f t="array" ref="J2259">IFERROR(INDEX('Retirement Calculator'!J:J,MATCH('Isaac 401k'!N2259,'Retirement Calculator'!A:A,0),0),0)</f>
        <v>0</v>
      </c>
      <c r="K2259" s="455">
        <f t="shared" ca="1" si="141"/>
        <v>-5218057.41684666</v>
      </c>
      <c r="L2259" s="455">
        <f t="shared" ca="1" si="142"/>
        <v>-1257551837.4600451</v>
      </c>
      <c r="M2259" s="471">
        <f t="shared" si="144"/>
        <v>0.05</v>
      </c>
      <c r="N2259" s="475">
        <f t="shared" si="145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43"/>
        <v>-1257551837.4600451</v>
      </c>
      <c r="J2260" s="455">
        <f t="array" ref="J2260">IFERROR(INDEX('Retirement Calculator'!J:J,MATCH('Isaac 401k'!N2260,'Retirement Calculator'!A:A,0),0),0)</f>
        <v>0</v>
      </c>
      <c r="K2260" s="455">
        <f t="shared" ca="1" si="141"/>
        <v>-5239799.3227501875</v>
      </c>
      <c r="L2260" s="455">
        <f t="shared" ca="1" si="142"/>
        <v>-1262791636.7827952</v>
      </c>
      <c r="M2260" s="471">
        <f t="shared" si="144"/>
        <v>0.05</v>
      </c>
      <c r="N2260" s="475">
        <f t="shared" si="145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43"/>
        <v>-1262791636.7827952</v>
      </c>
      <c r="J2261" s="455">
        <f t="array" ref="J2261">IFERROR(INDEX('Retirement Calculator'!J:J,MATCH('Isaac 401k'!N2261,'Retirement Calculator'!A:A,0),0),0)</f>
        <v>0</v>
      </c>
      <c r="K2261" s="455">
        <f t="shared" ca="1" si="141"/>
        <v>-5261631.8199283136</v>
      </c>
      <c r="L2261" s="455">
        <f t="shared" ca="1" si="142"/>
        <v>-1268053268.6027236</v>
      </c>
      <c r="M2261" s="471">
        <f t="shared" si="144"/>
        <v>0.05</v>
      </c>
      <c r="N2261" s="475">
        <f t="shared" si="145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43"/>
        <v>-1268053268.6027236</v>
      </c>
      <c r="J2262" s="455">
        <f t="array" ref="J2262">IFERROR(INDEX('Retirement Calculator'!J:J,MATCH('Isaac 401k'!N2262,'Retirement Calculator'!A:A,0),0),0)</f>
        <v>0</v>
      </c>
      <c r="K2262" s="455">
        <f t="shared" ca="1" si="141"/>
        <v>-5283555.2858446818</v>
      </c>
      <c r="L2262" s="455">
        <f t="shared" ca="1" si="142"/>
        <v>-1273336823.8885682</v>
      </c>
      <c r="M2262" s="471">
        <f t="shared" si="144"/>
        <v>0.05</v>
      </c>
      <c r="N2262" s="475">
        <f t="shared" si="145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43"/>
        <v>-1273336823.8885682</v>
      </c>
      <c r="J2263" s="455">
        <f t="array" ref="J2263">IFERROR(INDEX('Retirement Calculator'!J:J,MATCH('Isaac 401k'!N2263,'Retirement Calculator'!A:A,0),0),0)</f>
        <v>0</v>
      </c>
      <c r="K2263" s="455">
        <f t="shared" ca="1" si="141"/>
        <v>-5305570.0995357009</v>
      </c>
      <c r="L2263" s="455">
        <f t="shared" ca="1" si="142"/>
        <v>-1278642393.9881039</v>
      </c>
      <c r="M2263" s="471">
        <f t="shared" si="144"/>
        <v>0.05</v>
      </c>
      <c r="N2263" s="475">
        <f t="shared" si="145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43"/>
        <v>-1278642393.9881039</v>
      </c>
      <c r="J2264" s="455">
        <f t="array" ref="J2264">IFERROR(INDEX('Retirement Calculator'!J:J,MATCH('Isaac 401k'!N2264,'Retirement Calculator'!A:A,0),0),0)</f>
        <v>0</v>
      </c>
      <c r="K2264" s="455">
        <f t="shared" ca="1" si="141"/>
        <v>-5327676.6416170998</v>
      </c>
      <c r="L2264" s="455">
        <f t="shared" ca="1" si="142"/>
        <v>-1283970070.6297209</v>
      </c>
      <c r="M2264" s="471">
        <f t="shared" si="144"/>
        <v>0.05</v>
      </c>
      <c r="N2264" s="475">
        <f t="shared" si="145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43"/>
        <v>-1283970070.6297209</v>
      </c>
      <c r="J2265" s="455">
        <f t="array" ref="J2265">IFERROR(INDEX('Retirement Calculator'!J:J,MATCH('Isaac 401k'!N2265,'Retirement Calculator'!A:A,0),0),0)</f>
        <v>0</v>
      </c>
      <c r="K2265" s="455">
        <f t="shared" ca="1" si="141"/>
        <v>-5349875.2942905035</v>
      </c>
      <c r="L2265" s="455">
        <f t="shared" ca="1" si="142"/>
        <v>-1289319945.9240115</v>
      </c>
      <c r="M2265" s="471">
        <f t="shared" si="144"/>
        <v>0.05</v>
      </c>
      <c r="N2265" s="475">
        <f t="shared" si="145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43"/>
        <v>-1289319945.9240115</v>
      </c>
      <c r="J2266" s="455">
        <f t="array" ref="J2266">IFERROR(INDEX('Retirement Calculator'!J:J,MATCH('Isaac 401k'!N2266,'Retirement Calculator'!A:A,0),0),0)</f>
        <v>0</v>
      </c>
      <c r="K2266" s="455">
        <f t="shared" ca="1" si="141"/>
        <v>-5372166.4413500475</v>
      </c>
      <c r="L2266" s="455">
        <f t="shared" ca="1" si="142"/>
        <v>-1294692112.3653615</v>
      </c>
      <c r="M2266" s="471">
        <f t="shared" si="144"/>
        <v>0.05</v>
      </c>
      <c r="N2266" s="475">
        <f t="shared" si="145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43"/>
        <v>-1294692112.3653615</v>
      </c>
      <c r="J2267" s="455">
        <f t="array" ref="J2267">IFERROR(INDEX('Retirement Calculator'!J:J,MATCH('Isaac 401k'!N2267,'Retirement Calculator'!A:A,0),0),0)</f>
        <v>0</v>
      </c>
      <c r="K2267" s="455">
        <f t="shared" ca="1" si="141"/>
        <v>-5394550.4681890057</v>
      </c>
      <c r="L2267" s="455">
        <f t="shared" ca="1" si="142"/>
        <v>-1300086662.8335505</v>
      </c>
      <c r="M2267" s="471">
        <f t="shared" si="144"/>
        <v>0.05</v>
      </c>
      <c r="N2267" s="475">
        <f t="shared" si="145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43"/>
        <v>-1300086662.8335505</v>
      </c>
      <c r="J2268" s="455">
        <f t="array" ref="J2268">IFERROR(INDEX('Retirement Calculator'!J:J,MATCH('Isaac 401k'!N2268,'Retirement Calculator'!A:A,0),0),0)</f>
        <v>0</v>
      </c>
      <c r="K2268" s="455">
        <f t="shared" ca="1" si="141"/>
        <v>-5417027.7618064601</v>
      </c>
      <c r="L2268" s="455">
        <f t="shared" ca="1" si="142"/>
        <v>-1305503690.5953569</v>
      </c>
      <c r="M2268" s="471">
        <f t="shared" si="144"/>
        <v>0.05</v>
      </c>
      <c r="N2268" s="475">
        <f t="shared" si="145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43"/>
        <v>-1305503690.5953569</v>
      </c>
      <c r="J2269" s="455">
        <f t="array" ref="J2269">IFERROR(INDEX('Retirement Calculator'!J:J,MATCH('Isaac 401k'!N2269,'Retirement Calculator'!A:A,0),0),0)</f>
        <v>0</v>
      </c>
      <c r="K2269" s="455">
        <f t="shared" ca="1" si="141"/>
        <v>-5439598.7108139871</v>
      </c>
      <c r="L2269" s="455">
        <f t="shared" ca="1" si="142"/>
        <v>-1310943289.3061709</v>
      </c>
      <c r="M2269" s="471">
        <f t="shared" si="144"/>
        <v>0.05</v>
      </c>
      <c r="N2269" s="475">
        <f t="shared" si="145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43"/>
        <v>-1310943289.3061709</v>
      </c>
      <c r="J2270" s="455">
        <f t="array" ref="J2270">IFERROR(INDEX('Retirement Calculator'!J:J,MATCH('Isaac 401k'!N2270,'Retirement Calculator'!A:A,0),0),0)</f>
        <v>0</v>
      </c>
      <c r="K2270" s="455">
        <f t="shared" ca="1" si="141"/>
        <v>-5462263.7054423792</v>
      </c>
      <c r="L2270" s="455">
        <f t="shared" ca="1" si="142"/>
        <v>-1316405553.0116134</v>
      </c>
      <c r="M2270" s="471">
        <f t="shared" si="144"/>
        <v>0.05</v>
      </c>
      <c r="N2270" s="475">
        <f t="shared" si="145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43"/>
        <v>-1316405553.0116134</v>
      </c>
      <c r="J2271" s="455">
        <f t="array" ref="J2271">IFERROR(INDEX('Retirement Calculator'!J:J,MATCH('Isaac 401k'!N2271,'Retirement Calculator'!A:A,0),0),0)</f>
        <v>0</v>
      </c>
      <c r="K2271" s="455">
        <f t="shared" ca="1" si="141"/>
        <v>-5485023.1375483889</v>
      </c>
      <c r="L2271" s="455">
        <f t="shared" ca="1" si="142"/>
        <v>-1321890576.1491618</v>
      </c>
      <c r="M2271" s="471">
        <f t="shared" si="144"/>
        <v>0.05</v>
      </c>
      <c r="N2271" s="475">
        <f t="shared" si="145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43"/>
        <v>-1321890576.1491618</v>
      </c>
      <c r="J2272" s="455">
        <f t="array" ref="J2272">IFERROR(INDEX('Retirement Calculator'!J:J,MATCH('Isaac 401k'!N2272,'Retirement Calculator'!A:A,0),0),0)</f>
        <v>0</v>
      </c>
      <c r="K2272" s="455">
        <f t="shared" ca="1" si="141"/>
        <v>-5507877.4006215073</v>
      </c>
      <c r="L2272" s="455">
        <f t="shared" ca="1" si="142"/>
        <v>-1327398453.5497832</v>
      </c>
      <c r="M2272" s="471">
        <f t="shared" si="144"/>
        <v>0.05</v>
      </c>
      <c r="N2272" s="475">
        <f t="shared" si="145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43"/>
        <v>-1327398453.5497832</v>
      </c>
      <c r="J2273" s="455">
        <f t="array" ref="J2273">IFERROR(INDEX('Retirement Calculator'!J:J,MATCH('Isaac 401k'!N2273,'Retirement Calculator'!A:A,0),0),0)</f>
        <v>0</v>
      </c>
      <c r="K2273" s="455">
        <f t="shared" ca="1" si="141"/>
        <v>-5530826.8897907631</v>
      </c>
      <c r="L2273" s="455">
        <f t="shared" ca="1" si="142"/>
        <v>-1332929280.439574</v>
      </c>
      <c r="M2273" s="471">
        <f t="shared" si="144"/>
        <v>0.05</v>
      </c>
      <c r="N2273" s="475">
        <f t="shared" si="145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43"/>
        <v>-1332929280.439574</v>
      </c>
      <c r="J2274" s="455">
        <f t="array" ref="J2274">IFERROR(INDEX('Retirement Calculator'!J:J,MATCH('Isaac 401k'!N2274,'Retirement Calculator'!A:A,0),0),0)</f>
        <v>0</v>
      </c>
      <c r="K2274" s="455">
        <f t="shared" ca="1" si="141"/>
        <v>-5553872.0018315585</v>
      </c>
      <c r="L2274" s="455">
        <f t="shared" ca="1" si="142"/>
        <v>-1338483152.4414055</v>
      </c>
      <c r="M2274" s="471">
        <f t="shared" si="144"/>
        <v>0.05</v>
      </c>
      <c r="N2274" s="475">
        <f t="shared" si="145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43"/>
        <v>-1338483152.4414055</v>
      </c>
      <c r="J2275" s="455">
        <f t="array" ref="J2275">IFERROR(INDEX('Retirement Calculator'!J:J,MATCH('Isaac 401k'!N2275,'Retirement Calculator'!A:A,0),0),0)</f>
        <v>0</v>
      </c>
      <c r="K2275" s="455">
        <f t="shared" ca="1" si="141"/>
        <v>-5577013.1351725226</v>
      </c>
      <c r="L2275" s="455">
        <f t="shared" ca="1" si="142"/>
        <v>-1344060165.5765781</v>
      </c>
      <c r="M2275" s="471">
        <f t="shared" si="144"/>
        <v>0.05</v>
      </c>
      <c r="N2275" s="475">
        <f t="shared" si="145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43"/>
        <v>-1344060165.5765781</v>
      </c>
      <c r="J2276" s="455">
        <f t="array" ref="J2276">IFERROR(INDEX('Retirement Calculator'!J:J,MATCH('Isaac 401k'!N2276,'Retirement Calculator'!A:A,0),0),0)</f>
        <v>0</v>
      </c>
      <c r="K2276" s="455">
        <f t="shared" ca="1" si="141"/>
        <v>-5600250.689902409</v>
      </c>
      <c r="L2276" s="455">
        <f t="shared" ca="1" si="142"/>
        <v>-1349660416.2664804</v>
      </c>
      <c r="M2276" s="471">
        <f t="shared" si="144"/>
        <v>0.05</v>
      </c>
      <c r="N2276" s="475">
        <f t="shared" si="145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43"/>
        <v>-1349660416.2664804</v>
      </c>
      <c r="J2277" s="455">
        <f t="array" ref="J2277">IFERROR(INDEX('Retirement Calculator'!J:J,MATCH('Isaac 401k'!N2277,'Retirement Calculator'!A:A,0),0),0)</f>
        <v>0</v>
      </c>
      <c r="K2277" s="455">
        <f t="shared" ca="1" si="141"/>
        <v>-5623585.0677770022</v>
      </c>
      <c r="L2277" s="455">
        <f t="shared" ca="1" si="142"/>
        <v>-1355284001.3342574</v>
      </c>
      <c r="M2277" s="471">
        <f t="shared" si="144"/>
        <v>0.05</v>
      </c>
      <c r="N2277" s="475">
        <f t="shared" si="145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43"/>
        <v>-1355284001.3342574</v>
      </c>
      <c r="J2278" s="455">
        <f t="array" ref="J2278">IFERROR(INDEX('Retirement Calculator'!J:J,MATCH('Isaac 401k'!N2278,'Retirement Calculator'!A:A,0),0),0)</f>
        <v>0</v>
      </c>
      <c r="K2278" s="455">
        <f t="shared" ca="1" si="141"/>
        <v>-5647016.6722260723</v>
      </c>
      <c r="L2278" s="455">
        <f t="shared" ca="1" si="142"/>
        <v>-1360931018.0064836</v>
      </c>
      <c r="M2278" s="471">
        <f t="shared" si="144"/>
        <v>0.05</v>
      </c>
      <c r="N2278" s="475">
        <f t="shared" si="145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43"/>
        <v>-1360931018.0064836</v>
      </c>
      <c r="J2279" s="455">
        <f t="array" ref="J2279">IFERROR(INDEX('Retirement Calculator'!J:J,MATCH('Isaac 401k'!N2279,'Retirement Calculator'!A:A,0),0),0)</f>
        <v>0</v>
      </c>
      <c r="K2279" s="455">
        <f t="shared" ca="1" si="141"/>
        <v>-5670545.9083603481</v>
      </c>
      <c r="L2279" s="455">
        <f t="shared" ca="1" si="142"/>
        <v>-1366601563.9148438</v>
      </c>
      <c r="M2279" s="471">
        <f t="shared" si="144"/>
        <v>0.05</v>
      </c>
      <c r="N2279" s="475">
        <f t="shared" si="145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43"/>
        <v>-1366601563.9148438</v>
      </c>
      <c r="J2280" s="455">
        <f t="array" ref="J2280">IFERROR(INDEX('Retirement Calculator'!J:J,MATCH('Isaac 401k'!N2280,'Retirement Calculator'!A:A,0),0),0)</f>
        <v>0</v>
      </c>
      <c r="K2280" s="455">
        <f t="shared" ca="1" si="141"/>
        <v>-5694173.1829785155</v>
      </c>
      <c r="L2280" s="455">
        <f t="shared" ca="1" si="142"/>
        <v>-1372295737.0978224</v>
      </c>
      <c r="M2280" s="471">
        <f t="shared" si="144"/>
        <v>0.05</v>
      </c>
      <c r="N2280" s="475">
        <f t="shared" si="145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43"/>
        <v>-1372295737.0978224</v>
      </c>
      <c r="J2281" s="455">
        <f t="array" ref="J2281">IFERROR(INDEX('Retirement Calculator'!J:J,MATCH('Isaac 401k'!N2281,'Retirement Calculator'!A:A,0),0),0)</f>
        <v>0</v>
      </c>
      <c r="K2281" s="455">
        <f t="shared" ca="1" si="141"/>
        <v>-5717898.9045742601</v>
      </c>
      <c r="L2281" s="455">
        <f t="shared" ca="1" si="142"/>
        <v>-1378013636.0023966</v>
      </c>
      <c r="M2281" s="471">
        <f t="shared" si="144"/>
        <v>0.05</v>
      </c>
      <c r="N2281" s="475">
        <f t="shared" si="145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43"/>
        <v>-1378013636.0023966</v>
      </c>
      <c r="J2282" s="455">
        <f t="array" ref="J2282">IFERROR(INDEX('Retirement Calculator'!J:J,MATCH('Isaac 401k'!N2282,'Retirement Calculator'!A:A,0),0),0)</f>
        <v>0</v>
      </c>
      <c r="K2282" s="455">
        <f t="shared" ca="1" si="141"/>
        <v>-5741723.483343319</v>
      </c>
      <c r="L2282" s="455">
        <f t="shared" ca="1" si="142"/>
        <v>-1383755359.4857399</v>
      </c>
      <c r="M2282" s="471">
        <f t="shared" si="144"/>
        <v>0.05</v>
      </c>
      <c r="N2282" s="475">
        <f t="shared" si="145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43"/>
        <v>-1383755359.4857399</v>
      </c>
      <c r="J2283" s="455">
        <f t="array" ref="J2283">IFERROR(INDEX('Retirement Calculator'!J:J,MATCH('Isaac 401k'!N2283,'Retirement Calculator'!A:A,0),0),0)</f>
        <v>0</v>
      </c>
      <c r="K2283" s="455">
        <f t="shared" ca="1" si="141"/>
        <v>-5765647.3311905833</v>
      </c>
      <c r="L2283" s="455">
        <f t="shared" ca="1" si="142"/>
        <v>-1389521006.8169305</v>
      </c>
      <c r="M2283" s="471">
        <f t="shared" si="144"/>
        <v>0.05</v>
      </c>
      <c r="N2283" s="475">
        <f t="shared" si="145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43"/>
        <v>-1389521006.8169305</v>
      </c>
      <c r="J2284" s="455">
        <f t="array" ref="J2284">IFERROR(INDEX('Retirement Calculator'!J:J,MATCH('Isaac 401k'!N2284,'Retirement Calculator'!A:A,0),0),0)</f>
        <v>0</v>
      </c>
      <c r="K2284" s="455">
        <f t="shared" ca="1" si="141"/>
        <v>-5789670.8617372103</v>
      </c>
      <c r="L2284" s="455">
        <f t="shared" ca="1" si="142"/>
        <v>-1395310677.6786678</v>
      </c>
      <c r="M2284" s="471">
        <f t="shared" si="144"/>
        <v>0.05</v>
      </c>
      <c r="N2284" s="475">
        <f t="shared" si="145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43"/>
        <v>-1395310677.6786678</v>
      </c>
      <c r="J2285" s="455">
        <f t="array" ref="J2285">IFERROR(INDEX('Retirement Calculator'!J:J,MATCH('Isaac 401k'!N2285,'Retirement Calculator'!A:A,0),0),0)</f>
        <v>0</v>
      </c>
      <c r="K2285" s="455">
        <f t="shared" ca="1" si="141"/>
        <v>-5813794.490327782</v>
      </c>
      <c r="L2285" s="455">
        <f t="shared" ca="1" si="142"/>
        <v>-1401124472.1689956</v>
      </c>
      <c r="M2285" s="471">
        <f t="shared" si="144"/>
        <v>0.05</v>
      </c>
      <c r="N2285" s="475">
        <f t="shared" si="145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43"/>
        <v>-1401124472.1689956</v>
      </c>
      <c r="J2286" s="455">
        <f t="array" ref="J2286">IFERROR(INDEX('Retirement Calculator'!J:J,MATCH('Isaac 401k'!N2286,'Retirement Calculator'!A:A,0),0),0)</f>
        <v>0</v>
      </c>
      <c r="K2286" s="455">
        <f t="shared" ca="1" si="141"/>
        <v>-5838018.6340374816</v>
      </c>
      <c r="L2286" s="455">
        <f t="shared" ca="1" si="142"/>
        <v>-1406962490.8030331</v>
      </c>
      <c r="M2286" s="471">
        <f t="shared" si="144"/>
        <v>0.05</v>
      </c>
      <c r="N2286" s="475">
        <f t="shared" si="145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43"/>
        <v>-1406962490.8030331</v>
      </c>
      <c r="J2287" s="455">
        <f t="array" ref="J2287">IFERROR(INDEX('Retirement Calculator'!J:J,MATCH('Isaac 401k'!N2287,'Retirement Calculator'!A:A,0),0),0)</f>
        <v>0</v>
      </c>
      <c r="K2287" s="455">
        <f t="shared" ca="1" si="141"/>
        <v>-5862343.7116793049</v>
      </c>
      <c r="L2287" s="455">
        <f t="shared" ca="1" si="142"/>
        <v>-1412824834.5147123</v>
      </c>
      <c r="M2287" s="471">
        <f t="shared" si="144"/>
        <v>0.05</v>
      </c>
      <c r="N2287" s="475">
        <f t="shared" si="145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43"/>
        <v>-1412824834.5147123</v>
      </c>
      <c r="J2288" s="455">
        <f t="array" ref="J2288">IFERROR(INDEX('Retirement Calculator'!J:J,MATCH('Isaac 401k'!N2288,'Retirement Calculator'!A:A,0),0),0)</f>
        <v>0</v>
      </c>
      <c r="K2288" s="455">
        <f t="shared" ca="1" si="141"/>
        <v>-5886770.1438113013</v>
      </c>
      <c r="L2288" s="455">
        <f t="shared" ca="1" si="142"/>
        <v>-1418711604.6585236</v>
      </c>
      <c r="M2288" s="471">
        <f t="shared" si="144"/>
        <v>0.05</v>
      </c>
      <c r="N2288" s="475">
        <f t="shared" si="145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43"/>
        <v>-1418711604.6585236</v>
      </c>
      <c r="J2289" s="455">
        <f t="array" ref="J2289">IFERROR(INDEX('Retirement Calculator'!J:J,MATCH('Isaac 401k'!N2289,'Retirement Calculator'!A:A,0),0),0)</f>
        <v>0</v>
      </c>
      <c r="K2289" s="455">
        <f t="shared" ca="1" si="141"/>
        <v>-5911298.3527438482</v>
      </c>
      <c r="L2289" s="455">
        <f t="shared" ca="1" si="142"/>
        <v>-1424622903.0112674</v>
      </c>
      <c r="M2289" s="471">
        <f t="shared" si="144"/>
        <v>0.05</v>
      </c>
      <c r="N2289" s="475">
        <f t="shared" si="145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43"/>
        <v>-1424622903.0112674</v>
      </c>
      <c r="J2290" s="455">
        <f t="array" ref="J2290">IFERROR(INDEX('Retirement Calculator'!J:J,MATCH('Isaac 401k'!N2290,'Retirement Calculator'!A:A,0),0),0)</f>
        <v>0</v>
      </c>
      <c r="K2290" s="455">
        <f t="shared" ca="1" si="141"/>
        <v>-5935928.7625469472</v>
      </c>
      <c r="L2290" s="455">
        <f t="shared" ca="1" si="142"/>
        <v>-1430558831.7738144</v>
      </c>
      <c r="M2290" s="471">
        <f t="shared" si="144"/>
        <v>0.05</v>
      </c>
      <c r="N2290" s="475">
        <f t="shared" si="145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43"/>
        <v>-1430558831.7738144</v>
      </c>
      <c r="J2291" s="455">
        <f t="array" ref="J2291">IFERROR(INDEX('Retirement Calculator'!J:J,MATCH('Isaac 401k'!N2291,'Retirement Calculator'!A:A,0),0),0)</f>
        <v>0</v>
      </c>
      <c r="K2291" s="455">
        <f t="shared" ca="1" si="141"/>
        <v>-5960661.79905756</v>
      </c>
      <c r="L2291" s="455">
        <f t="shared" ca="1" si="142"/>
        <v>-1436519493.5728719</v>
      </c>
      <c r="M2291" s="471">
        <f t="shared" si="144"/>
        <v>0.05</v>
      </c>
      <c r="N2291" s="475">
        <f t="shared" si="145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43"/>
        <v>-1436519493.5728719</v>
      </c>
      <c r="J2292" s="455">
        <f t="array" ref="J2292">IFERROR(INDEX('Retirement Calculator'!J:J,MATCH('Isaac 401k'!N2292,'Retirement Calculator'!A:A,0),0),0)</f>
        <v>0</v>
      </c>
      <c r="K2292" s="455">
        <f t="shared" ca="1" si="141"/>
        <v>-5985497.889886966</v>
      </c>
      <c r="L2292" s="455">
        <f t="shared" ca="1" si="142"/>
        <v>-1442504991.4627588</v>
      </c>
      <c r="M2292" s="471">
        <f t="shared" si="144"/>
        <v>0.05</v>
      </c>
      <c r="N2292" s="475">
        <f t="shared" si="145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43"/>
        <v>-1442504991.4627588</v>
      </c>
      <c r="J2293" s="455">
        <f t="array" ref="J2293">IFERROR(INDEX('Retirement Calculator'!J:J,MATCH('Isaac 401k'!N2293,'Retirement Calculator'!A:A,0),0),0)</f>
        <v>0</v>
      </c>
      <c r="K2293" s="455">
        <f t="shared" ca="1" si="141"/>
        <v>-6010437.4644281613</v>
      </c>
      <c r="L2293" s="455">
        <f t="shared" ca="1" si="142"/>
        <v>-1448515428.927187</v>
      </c>
      <c r="M2293" s="471">
        <f t="shared" si="144"/>
        <v>0.05</v>
      </c>
      <c r="N2293" s="475">
        <f t="shared" si="145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43"/>
        <v>-1448515428.927187</v>
      </c>
      <c r="J2294" s="455">
        <f t="array" ref="J2294">IFERROR(INDEX('Retirement Calculator'!J:J,MATCH('Isaac 401k'!N2294,'Retirement Calculator'!A:A,0),0),0)</f>
        <v>0</v>
      </c>
      <c r="K2294" s="455">
        <f t="shared" ca="1" si="141"/>
        <v>-6035480.953863279</v>
      </c>
      <c r="L2294" s="455">
        <f t="shared" ca="1" si="142"/>
        <v>-1454550909.8810503</v>
      </c>
      <c r="M2294" s="471">
        <f t="shared" si="144"/>
        <v>0.05</v>
      </c>
      <c r="N2294" s="475">
        <f t="shared" si="145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43"/>
        <v>-1454550909.8810503</v>
      </c>
      <c r="J2295" s="455">
        <f t="array" ref="J2295">IFERROR(INDEX('Retirement Calculator'!J:J,MATCH('Isaac 401k'!N2295,'Retirement Calculator'!A:A,0),0),0)</f>
        <v>0</v>
      </c>
      <c r="K2295" s="455">
        <f t="shared" ca="1" si="141"/>
        <v>-6060628.7911710432</v>
      </c>
      <c r="L2295" s="455">
        <f t="shared" ca="1" si="142"/>
        <v>-1460611538.6722214</v>
      </c>
      <c r="M2295" s="471">
        <f t="shared" si="144"/>
        <v>0.05</v>
      </c>
      <c r="N2295" s="475">
        <f t="shared" si="145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43"/>
        <v>-1460611538.6722214</v>
      </c>
      <c r="J2296" s="455">
        <f t="array" ref="J2296">IFERROR(INDEX('Retirement Calculator'!J:J,MATCH('Isaac 401k'!N2296,'Retirement Calculator'!A:A,0),0),0)</f>
        <v>0</v>
      </c>
      <c r="K2296" s="455">
        <f t="shared" ca="1" si="141"/>
        <v>-6085881.411134256</v>
      </c>
      <c r="L2296" s="455">
        <f t="shared" ca="1" si="142"/>
        <v>-1466697420.0833557</v>
      </c>
      <c r="M2296" s="471">
        <f t="shared" si="144"/>
        <v>0.05</v>
      </c>
      <c r="N2296" s="475">
        <f t="shared" si="145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43"/>
        <v>-1466697420.0833557</v>
      </c>
      <c r="J2297" s="455">
        <f t="array" ref="J2297">IFERROR(INDEX('Retirement Calculator'!J:J,MATCH('Isaac 401k'!N2297,'Retirement Calculator'!A:A,0),0),0)</f>
        <v>0</v>
      </c>
      <c r="K2297" s="455">
        <f t="shared" ca="1" si="141"/>
        <v>-6111239.2503473153</v>
      </c>
      <c r="L2297" s="455">
        <f t="shared" ca="1" si="142"/>
        <v>-1472808659.333703</v>
      </c>
      <c r="M2297" s="471">
        <f t="shared" si="144"/>
        <v>0.05</v>
      </c>
      <c r="N2297" s="475">
        <f t="shared" si="145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43"/>
        <v>-1472808659.333703</v>
      </c>
      <c r="J2298" s="455">
        <f t="array" ref="J2298">IFERROR(INDEX('Retirement Calculator'!J:J,MATCH('Isaac 401k'!N2298,'Retirement Calculator'!A:A,0),0),0)</f>
        <v>0</v>
      </c>
      <c r="K2298" s="455">
        <f t="shared" ca="1" si="141"/>
        <v>-6136702.7472237628</v>
      </c>
      <c r="L2298" s="455">
        <f t="shared" ca="1" si="142"/>
        <v>-1478945362.0809269</v>
      </c>
      <c r="M2298" s="471">
        <f t="shared" si="144"/>
        <v>0.05</v>
      </c>
      <c r="N2298" s="475">
        <f t="shared" si="145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43"/>
        <v>-1478945362.0809269</v>
      </c>
      <c r="J2299" s="455">
        <f t="array" ref="J2299">IFERROR(INDEX('Retirement Calculator'!J:J,MATCH('Isaac 401k'!N2299,'Retirement Calculator'!A:A,0),0),0)</f>
        <v>0</v>
      </c>
      <c r="K2299" s="455">
        <f t="shared" ca="1" si="141"/>
        <v>-6162272.3420038624</v>
      </c>
      <c r="L2299" s="455">
        <f t="shared" ca="1" si="142"/>
        <v>-1485107634.4229307</v>
      </c>
      <c r="M2299" s="471">
        <f t="shared" si="144"/>
        <v>0.05</v>
      </c>
      <c r="N2299" s="475">
        <f t="shared" si="145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43"/>
        <v>-1485107634.4229307</v>
      </c>
      <c r="J2300" s="455">
        <f t="array" ref="J2300">IFERROR(INDEX('Retirement Calculator'!J:J,MATCH('Isaac 401k'!N2300,'Retirement Calculator'!A:A,0),0),0)</f>
        <v>0</v>
      </c>
      <c r="K2300" s="455">
        <f t="shared" ca="1" si="141"/>
        <v>-6187948.476762211</v>
      </c>
      <c r="L2300" s="455">
        <f t="shared" ca="1" si="142"/>
        <v>-1491295582.899693</v>
      </c>
      <c r="M2300" s="471">
        <f t="shared" si="144"/>
        <v>0.05</v>
      </c>
      <c r="N2300" s="475">
        <f t="shared" si="145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43"/>
        <v>-1491295582.899693</v>
      </c>
      <c r="J2301" s="455">
        <f t="array" ref="J2301">IFERROR(INDEX('Retirement Calculator'!J:J,MATCH('Isaac 401k'!N2301,'Retirement Calculator'!A:A,0),0),0)</f>
        <v>0</v>
      </c>
      <c r="K2301" s="455">
        <f t="shared" ca="1" si="141"/>
        <v>-6213731.5954153873</v>
      </c>
      <c r="L2301" s="455">
        <f t="shared" ca="1" si="142"/>
        <v>-1497509314.4951084</v>
      </c>
      <c r="M2301" s="471">
        <f t="shared" si="144"/>
        <v>0.05</v>
      </c>
      <c r="N2301" s="475">
        <f t="shared" si="145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43"/>
        <v>-1497509314.4951084</v>
      </c>
      <c r="J2302" s="455">
        <f t="array" ref="J2302">IFERROR(INDEX('Retirement Calculator'!J:J,MATCH('Isaac 401k'!N2302,'Retirement Calculator'!A:A,0),0),0)</f>
        <v>0</v>
      </c>
      <c r="K2302" s="455">
        <f t="shared" ca="1" si="141"/>
        <v>-6239622.1437296178</v>
      </c>
      <c r="L2302" s="455">
        <f t="shared" ca="1" si="142"/>
        <v>-1503748936.6388381</v>
      </c>
      <c r="M2302" s="471">
        <f t="shared" si="144"/>
        <v>0.05</v>
      </c>
      <c r="N2302" s="475">
        <f t="shared" si="145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43"/>
        <v>-1503748936.6388381</v>
      </c>
      <c r="J2303" s="455">
        <f t="array" ref="J2303">IFERROR(INDEX('Retirement Calculator'!J:J,MATCH('Isaac 401k'!N2303,'Retirement Calculator'!A:A,0),0),0)</f>
        <v>0</v>
      </c>
      <c r="K2303" s="455">
        <f t="shared" ref="K2303:K2557" ca="1" si="146">IPMT(M2303/12,1,12,-I2303+J2303,,0)</f>
        <v>-6265620.5693284916</v>
      </c>
      <c r="L2303" s="455">
        <f t="shared" ref="L2303:L2557" ca="1" si="147">I2303-J2303+K2303</f>
        <v>-1510014557.2081666</v>
      </c>
      <c r="M2303" s="471">
        <f t="shared" si="144"/>
        <v>0.05</v>
      </c>
      <c r="N2303" s="475">
        <f t="shared" si="145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48">L2303</f>
        <v>-1510014557.2081666</v>
      </c>
      <c r="J2304" s="455">
        <f t="array" ref="J2304">IFERROR(INDEX('Retirement Calculator'!J:J,MATCH('Isaac 401k'!N2304,'Retirement Calculator'!A:A,0),0),0)</f>
        <v>0</v>
      </c>
      <c r="K2304" s="455">
        <f t="shared" ca="1" si="146"/>
        <v>-6291727.321700694</v>
      </c>
      <c r="L2304" s="455">
        <f t="shared" ca="1" si="147"/>
        <v>-1516306284.5298674</v>
      </c>
      <c r="M2304" s="471">
        <f t="shared" ref="M2304:M2558" si="149">M2303</f>
        <v>0.05</v>
      </c>
      <c r="N2304" s="475">
        <f t="shared" ref="N2304:N2558" si="150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48"/>
        <v>-1516306284.5298674</v>
      </c>
      <c r="J2305" s="455">
        <f t="array" ref="J2305">IFERROR(INDEX('Retirement Calculator'!J:J,MATCH('Isaac 401k'!N2305,'Retirement Calculator'!A:A,0),0),0)</f>
        <v>0</v>
      </c>
      <c r="K2305" s="455">
        <f t="shared" ca="1" si="146"/>
        <v>-6317942.8522077808</v>
      </c>
      <c r="L2305" s="455">
        <f t="shared" ca="1" si="147"/>
        <v>-1522624227.3820753</v>
      </c>
      <c r="M2305" s="471">
        <f t="shared" si="149"/>
        <v>0.05</v>
      </c>
      <c r="N2305" s="475">
        <f t="shared" si="150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48"/>
        <v>-1522624227.3820753</v>
      </c>
      <c r="J2306" s="455">
        <f t="array" ref="J2306">IFERROR(INDEX('Retirement Calculator'!J:J,MATCH('Isaac 401k'!N2306,'Retirement Calculator'!A:A,0),0),0)</f>
        <v>0</v>
      </c>
      <c r="K2306" s="455">
        <f t="shared" ca="1" si="146"/>
        <v>-6344267.6140919803</v>
      </c>
      <c r="L2306" s="455">
        <f t="shared" ca="1" si="147"/>
        <v>-1528968494.9961672</v>
      </c>
      <c r="M2306" s="471">
        <f t="shared" si="149"/>
        <v>0.05</v>
      </c>
      <c r="N2306" s="475">
        <f t="shared" si="150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48"/>
        <v>-1528968494.9961672</v>
      </c>
      <c r="J2307" s="455">
        <f t="array" ref="J2307">IFERROR(INDEX('Retirement Calculator'!J:J,MATCH('Isaac 401k'!N2307,'Retirement Calculator'!A:A,0),0),0)</f>
        <v>0</v>
      </c>
      <c r="K2307" s="455">
        <f t="shared" ca="1" si="146"/>
        <v>-6370702.0624840297</v>
      </c>
      <c r="L2307" s="455">
        <f t="shared" ca="1" si="147"/>
        <v>-1535339197.0586512</v>
      </c>
      <c r="M2307" s="471">
        <f t="shared" si="149"/>
        <v>0.05</v>
      </c>
      <c r="N2307" s="475">
        <f t="shared" si="150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48"/>
        <v>-1535339197.0586512</v>
      </c>
      <c r="J2308" s="455">
        <f t="array" ref="J2308">IFERROR(INDEX('Retirement Calculator'!J:J,MATCH('Isaac 401k'!N2308,'Retirement Calculator'!A:A,0),0),0)</f>
        <v>0</v>
      </c>
      <c r="K2308" s="455">
        <f t="shared" ca="1" si="146"/>
        <v>-6397246.6544110468</v>
      </c>
      <c r="L2308" s="455">
        <f t="shared" ca="1" si="147"/>
        <v>-1541736443.7130623</v>
      </c>
      <c r="M2308" s="471">
        <f t="shared" si="149"/>
        <v>0.05</v>
      </c>
      <c r="N2308" s="475">
        <f t="shared" si="150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48"/>
        <v>-1541736443.7130623</v>
      </c>
      <c r="J2309" s="455">
        <f t="array" ref="J2309">IFERROR(INDEX('Retirement Calculator'!J:J,MATCH('Isaac 401k'!N2309,'Retirement Calculator'!A:A,0),0),0)</f>
        <v>0</v>
      </c>
      <c r="K2309" s="455">
        <f t="shared" ca="1" si="146"/>
        <v>-6423901.8488044264</v>
      </c>
      <c r="L2309" s="455">
        <f t="shared" ca="1" si="147"/>
        <v>-1548160345.5618668</v>
      </c>
      <c r="M2309" s="471">
        <f t="shared" si="149"/>
        <v>0.05</v>
      </c>
      <c r="N2309" s="475">
        <f t="shared" si="150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48"/>
        <v>-1548160345.5618668</v>
      </c>
      <c r="J2310" s="455">
        <f t="array" ref="J2310">IFERROR(INDEX('Retirement Calculator'!J:J,MATCH('Isaac 401k'!N2310,'Retirement Calculator'!A:A,0),0),0)</f>
        <v>0</v>
      </c>
      <c r="K2310" s="455">
        <f t="shared" ca="1" si="146"/>
        <v>-6450668.1065077782</v>
      </c>
      <c r="L2310" s="455">
        <f t="shared" ca="1" si="147"/>
        <v>-1554611013.6683745</v>
      </c>
      <c r="M2310" s="471">
        <f t="shared" si="149"/>
        <v>0.05</v>
      </c>
      <c r="N2310" s="475">
        <f t="shared" si="150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48"/>
        <v>-1554611013.6683745</v>
      </c>
      <c r="J2311" s="455">
        <f t="array" ref="J2311">IFERROR(INDEX('Retirement Calculator'!J:J,MATCH('Isaac 401k'!N2311,'Retirement Calculator'!A:A,0),0),0)</f>
        <v>0</v>
      </c>
      <c r="K2311" s="455">
        <f t="shared" ca="1" si="146"/>
        <v>-6477545.890284894</v>
      </c>
      <c r="L2311" s="455">
        <f t="shared" ca="1" si="147"/>
        <v>-1561088559.5586593</v>
      </c>
      <c r="M2311" s="471">
        <f t="shared" si="149"/>
        <v>0.05</v>
      </c>
      <c r="N2311" s="475">
        <f t="shared" si="150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48"/>
        <v>-1561088559.5586593</v>
      </c>
      <c r="J2312" s="455">
        <f t="array" ref="J2312">IFERROR(INDEX('Retirement Calculator'!J:J,MATCH('Isaac 401k'!N2312,'Retirement Calculator'!A:A,0),0),0)</f>
        <v>0</v>
      </c>
      <c r="K2312" s="455">
        <f t="shared" ca="1" si="146"/>
        <v>-6504535.6648277473</v>
      </c>
      <c r="L2312" s="455">
        <f t="shared" ca="1" si="147"/>
        <v>-1567593095.2234871</v>
      </c>
      <c r="M2312" s="471">
        <f t="shared" si="149"/>
        <v>0.05</v>
      </c>
      <c r="N2312" s="475">
        <f t="shared" si="150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48"/>
        <v>-1567593095.2234871</v>
      </c>
      <c r="J2313" s="455">
        <f t="array" ref="J2313">IFERROR(INDEX('Retirement Calculator'!J:J,MATCH('Isaac 401k'!N2313,'Retirement Calculator'!A:A,0),0),0)</f>
        <v>0</v>
      </c>
      <c r="K2313" s="455">
        <f t="shared" ca="1" si="146"/>
        <v>-6531637.8967645299</v>
      </c>
      <c r="L2313" s="455">
        <f t="shared" ca="1" si="147"/>
        <v>-1574124733.1202517</v>
      </c>
      <c r="M2313" s="471">
        <f t="shared" si="149"/>
        <v>0.05</v>
      </c>
      <c r="N2313" s="475">
        <f t="shared" si="150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48"/>
        <v>-1574124733.1202517</v>
      </c>
      <c r="J2314" s="455">
        <f t="array" ref="J2314">IFERROR(INDEX('Retirement Calculator'!J:J,MATCH('Isaac 401k'!N2314,'Retirement Calculator'!A:A,0),0),0)</f>
        <v>0</v>
      </c>
      <c r="K2314" s="455">
        <f t="shared" ca="1" si="146"/>
        <v>-6558853.054667715</v>
      </c>
      <c r="L2314" s="455">
        <f t="shared" ca="1" si="147"/>
        <v>-1580683586.1749194</v>
      </c>
      <c r="M2314" s="471">
        <f t="shared" si="149"/>
        <v>0.05</v>
      </c>
      <c r="N2314" s="475">
        <f t="shared" si="150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48"/>
        <v>-1580683586.1749194</v>
      </c>
      <c r="J2315" s="455">
        <f t="array" ref="J2315">IFERROR(INDEX('Retirement Calculator'!J:J,MATCH('Isaac 401k'!N2315,'Retirement Calculator'!A:A,0),0),0)</f>
        <v>0</v>
      </c>
      <c r="K2315" s="455">
        <f t="shared" ca="1" si="146"/>
        <v>-6586181.6090621641</v>
      </c>
      <c r="L2315" s="455">
        <f t="shared" ca="1" si="147"/>
        <v>-1587269767.7839816</v>
      </c>
      <c r="M2315" s="471">
        <f t="shared" si="149"/>
        <v>0.05</v>
      </c>
      <c r="N2315" s="475">
        <f t="shared" si="150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48"/>
        <v>-1587269767.7839816</v>
      </c>
      <c r="J2316" s="455">
        <f t="array" ref="J2316">IFERROR(INDEX('Retirement Calculator'!J:J,MATCH('Isaac 401k'!N2316,'Retirement Calculator'!A:A,0),0),0)</f>
        <v>0</v>
      </c>
      <c r="K2316" s="455">
        <f t="shared" ca="1" si="146"/>
        <v>-6613624.0324332565</v>
      </c>
      <c r="L2316" s="455">
        <f t="shared" ca="1" si="147"/>
        <v>-1593883391.8164148</v>
      </c>
      <c r="M2316" s="471">
        <f t="shared" si="149"/>
        <v>0.05</v>
      </c>
      <c r="N2316" s="475">
        <f t="shared" si="150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48"/>
        <v>-1593883391.8164148</v>
      </c>
      <c r="J2317" s="455">
        <f t="array" ref="J2317">IFERROR(INDEX('Retirement Calculator'!J:J,MATCH('Isaac 401k'!N2317,'Retirement Calculator'!A:A,0),0),0)</f>
        <v>0</v>
      </c>
      <c r="K2317" s="455">
        <f t="shared" ca="1" si="146"/>
        <v>-6641180.7992350617</v>
      </c>
      <c r="L2317" s="455">
        <f t="shared" ca="1" si="147"/>
        <v>-1600524572.6156499</v>
      </c>
      <c r="M2317" s="471">
        <f t="shared" si="149"/>
        <v>0.05</v>
      </c>
      <c r="N2317" s="475">
        <f t="shared" si="150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48"/>
        <v>-1600524572.6156499</v>
      </c>
      <c r="J2318" s="455">
        <f t="array" ref="J2318">IFERROR(INDEX('Retirement Calculator'!J:J,MATCH('Isaac 401k'!N2318,'Retirement Calculator'!A:A,0),0),0)</f>
        <v>0</v>
      </c>
      <c r="K2318" s="455">
        <f t="shared" ca="1" si="146"/>
        <v>-6668852.3858985417</v>
      </c>
      <c r="L2318" s="455">
        <f t="shared" ca="1" si="147"/>
        <v>-1607193425.0015485</v>
      </c>
      <c r="M2318" s="471">
        <f t="shared" si="149"/>
        <v>0.05</v>
      </c>
      <c r="N2318" s="475">
        <f t="shared" si="150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48"/>
        <v>-1607193425.0015485</v>
      </c>
      <c r="J2319" s="455">
        <f t="array" ref="J2319">IFERROR(INDEX('Retirement Calculator'!J:J,MATCH('Isaac 401k'!N2319,'Retirement Calculator'!A:A,0),0),0)</f>
        <v>0</v>
      </c>
      <c r="K2319" s="455">
        <f t="shared" ca="1" si="146"/>
        <v>-6696639.2708397852</v>
      </c>
      <c r="L2319" s="455">
        <f t="shared" ca="1" si="147"/>
        <v>-1613890064.2723882</v>
      </c>
      <c r="M2319" s="471">
        <f t="shared" si="149"/>
        <v>0.05</v>
      </c>
      <c r="N2319" s="475">
        <f t="shared" si="150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48"/>
        <v>-1613890064.2723882</v>
      </c>
      <c r="J2320" s="455">
        <f t="array" ref="J2320">IFERROR(INDEX('Retirement Calculator'!J:J,MATCH('Isaac 401k'!N2320,'Retirement Calculator'!A:A,0),0),0)</f>
        <v>0</v>
      </c>
      <c r="K2320" s="455">
        <f t="shared" ca="1" si="146"/>
        <v>-6724541.9344682842</v>
      </c>
      <c r="L2320" s="455">
        <f t="shared" ca="1" si="147"/>
        <v>-1620614606.2068565</v>
      </c>
      <c r="M2320" s="471">
        <f t="shared" si="149"/>
        <v>0.05</v>
      </c>
      <c r="N2320" s="475">
        <f t="shared" si="150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48"/>
        <v>-1620614606.2068565</v>
      </c>
      <c r="J2321" s="455">
        <f t="array" ref="J2321">IFERROR(INDEX('Retirement Calculator'!J:J,MATCH('Isaac 401k'!N2321,'Retirement Calculator'!A:A,0),0),0)</f>
        <v>0</v>
      </c>
      <c r="K2321" s="455">
        <f t="shared" ca="1" si="146"/>
        <v>-6752560.8591952352</v>
      </c>
      <c r="L2321" s="455">
        <f t="shared" ca="1" si="147"/>
        <v>-1627367167.0660517</v>
      </c>
      <c r="M2321" s="471">
        <f t="shared" si="149"/>
        <v>0.05</v>
      </c>
      <c r="N2321" s="475">
        <f t="shared" si="150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48"/>
        <v>-1627367167.0660517</v>
      </c>
      <c r="J2322" s="455">
        <f t="array" ref="J2322">IFERROR(INDEX('Retirement Calculator'!J:J,MATCH('Isaac 401k'!N2322,'Retirement Calculator'!A:A,0),0),0)</f>
        <v>0</v>
      </c>
      <c r="K2322" s="455">
        <f t="shared" ca="1" si="146"/>
        <v>-6780696.5294418819</v>
      </c>
      <c r="L2322" s="455">
        <f t="shared" ca="1" si="147"/>
        <v>-1634147863.5954936</v>
      </c>
      <c r="M2322" s="471">
        <f t="shared" si="149"/>
        <v>0.05</v>
      </c>
      <c r="N2322" s="475">
        <f t="shared" si="150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48"/>
        <v>-1634147863.5954936</v>
      </c>
      <c r="J2323" s="455">
        <f t="array" ref="J2323">IFERROR(INDEX('Retirement Calculator'!J:J,MATCH('Isaac 401k'!N2323,'Retirement Calculator'!A:A,0),0),0)</f>
        <v>0</v>
      </c>
      <c r="K2323" s="455">
        <f t="shared" ca="1" si="146"/>
        <v>-6808949.4316478893</v>
      </c>
      <c r="L2323" s="455">
        <f t="shared" ca="1" si="147"/>
        <v>-1640956813.0271413</v>
      </c>
      <c r="M2323" s="471">
        <f t="shared" si="149"/>
        <v>0.05</v>
      </c>
      <c r="N2323" s="475">
        <f t="shared" si="150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48"/>
        <v>-1640956813.0271413</v>
      </c>
      <c r="J2324" s="455">
        <f t="array" ref="J2324">IFERROR(INDEX('Retirement Calculator'!J:J,MATCH('Isaac 401k'!N2324,'Retirement Calculator'!A:A,0),0),0)</f>
        <v>0</v>
      </c>
      <c r="K2324" s="455">
        <f t="shared" ca="1" si="146"/>
        <v>-6837320.0542797558</v>
      </c>
      <c r="L2324" s="455">
        <f t="shared" ca="1" si="147"/>
        <v>-1647794133.0814211</v>
      </c>
      <c r="M2324" s="471">
        <f t="shared" si="149"/>
        <v>0.05</v>
      </c>
      <c r="N2324" s="475">
        <f t="shared" si="150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48"/>
        <v>-1647794133.0814211</v>
      </c>
      <c r="J2325" s="455">
        <f t="array" ref="J2325">IFERROR(INDEX('Retirement Calculator'!J:J,MATCH('Isaac 401k'!N2325,'Retirement Calculator'!A:A,0),0),0)</f>
        <v>0</v>
      </c>
      <c r="K2325" s="455">
        <f t="shared" ca="1" si="146"/>
        <v>-6865808.8878392549</v>
      </c>
      <c r="L2325" s="455">
        <f t="shared" ca="1" si="147"/>
        <v>-1654659941.9692605</v>
      </c>
      <c r="M2325" s="471">
        <f t="shared" si="149"/>
        <v>0.05</v>
      </c>
      <c r="N2325" s="475">
        <f t="shared" si="150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48"/>
        <v>-1654659941.9692605</v>
      </c>
      <c r="J2326" s="455">
        <f t="array" ref="J2326">IFERROR(INDEX('Retirement Calculator'!J:J,MATCH('Isaac 401k'!N2326,'Retirement Calculator'!A:A,0),0),0)</f>
        <v>0</v>
      </c>
      <c r="K2326" s="455">
        <f t="shared" ca="1" si="146"/>
        <v>-6894416.4248719187</v>
      </c>
      <c r="L2326" s="455">
        <f t="shared" ca="1" si="147"/>
        <v>-1661554358.3941324</v>
      </c>
      <c r="M2326" s="471">
        <f t="shared" si="149"/>
        <v>0.05</v>
      </c>
      <c r="N2326" s="475">
        <f t="shared" si="150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48"/>
        <v>-1661554358.3941324</v>
      </c>
      <c r="J2327" s="455">
        <f t="array" ref="J2327">IFERROR(INDEX('Retirement Calculator'!J:J,MATCH('Isaac 401k'!N2327,'Retirement Calculator'!A:A,0),0),0)</f>
        <v>0</v>
      </c>
      <c r="K2327" s="455">
        <f t="shared" ca="1" si="146"/>
        <v>-6923143.1599755511</v>
      </c>
      <c r="L2327" s="455">
        <f t="shared" ca="1" si="147"/>
        <v>-1668477501.5541079</v>
      </c>
      <c r="M2327" s="471">
        <f t="shared" si="149"/>
        <v>0.05</v>
      </c>
      <c r="N2327" s="475">
        <f t="shared" si="150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48"/>
        <v>-1668477501.5541079</v>
      </c>
      <c r="J2328" s="455">
        <f t="array" ref="J2328">IFERROR(INDEX('Retirement Calculator'!J:J,MATCH('Isaac 401k'!N2328,'Retirement Calculator'!A:A,0),0),0)</f>
        <v>0</v>
      </c>
      <c r="K2328" s="455">
        <f t="shared" ca="1" si="146"/>
        <v>-6951989.5898087826</v>
      </c>
      <c r="L2328" s="455">
        <f t="shared" ca="1" si="147"/>
        <v>-1675429491.1439166</v>
      </c>
      <c r="M2328" s="471">
        <f t="shared" si="149"/>
        <v>0.05</v>
      </c>
      <c r="N2328" s="475">
        <f t="shared" si="150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48"/>
        <v>-1675429491.1439166</v>
      </c>
      <c r="J2329" s="455">
        <f t="array" ref="J2329">IFERROR(INDEX('Retirement Calculator'!J:J,MATCH('Isaac 401k'!N2329,'Retirement Calculator'!A:A,0),0),0)</f>
        <v>0</v>
      </c>
      <c r="K2329" s="455">
        <f t="shared" ca="1" si="146"/>
        <v>-6980956.213099652</v>
      </c>
      <c r="L2329" s="455">
        <f t="shared" ca="1" si="147"/>
        <v>-1682410447.3570163</v>
      </c>
      <c r="M2329" s="471">
        <f t="shared" si="149"/>
        <v>0.05</v>
      </c>
      <c r="N2329" s="475">
        <f t="shared" si="150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48"/>
        <v>-1682410447.3570163</v>
      </c>
      <c r="J2330" s="455">
        <f t="array" ref="J2330">IFERROR(INDEX('Retirement Calculator'!J:J,MATCH('Isaac 401k'!N2330,'Retirement Calculator'!A:A,0),0),0)</f>
        <v>0</v>
      </c>
      <c r="K2330" s="455">
        <f t="shared" ca="1" si="146"/>
        <v>-7010043.5306542348</v>
      </c>
      <c r="L2330" s="455">
        <f t="shared" ca="1" si="147"/>
        <v>-1689420490.8876705</v>
      </c>
      <c r="M2330" s="471">
        <f t="shared" si="149"/>
        <v>0.05</v>
      </c>
      <c r="N2330" s="475">
        <f t="shared" si="150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48"/>
        <v>-1689420490.8876705</v>
      </c>
      <c r="J2331" s="455">
        <f t="array" ref="J2331">IFERROR(INDEX('Retirement Calculator'!J:J,MATCH('Isaac 401k'!N2331,'Retirement Calculator'!A:A,0),0),0)</f>
        <v>0</v>
      </c>
      <c r="K2331" s="455">
        <f t="shared" ca="1" si="146"/>
        <v>-7039252.0453652935</v>
      </c>
      <c r="L2331" s="455">
        <f t="shared" ca="1" si="147"/>
        <v>-1696459742.9330359</v>
      </c>
      <c r="M2331" s="471">
        <f t="shared" si="149"/>
        <v>0.05</v>
      </c>
      <c r="N2331" s="475">
        <f t="shared" si="150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48"/>
        <v>-1696459742.9330359</v>
      </c>
      <c r="J2332" s="455">
        <f t="array" ref="J2332">IFERROR(INDEX('Retirement Calculator'!J:J,MATCH('Isaac 401k'!N2332,'Retirement Calculator'!A:A,0),0),0)</f>
        <v>0</v>
      </c>
      <c r="K2332" s="455">
        <f t="shared" ca="1" si="146"/>
        <v>-7068582.2622209825</v>
      </c>
      <c r="L2332" s="455">
        <f t="shared" ca="1" si="147"/>
        <v>-1703528325.1952569</v>
      </c>
      <c r="M2332" s="471">
        <f t="shared" si="149"/>
        <v>0.05</v>
      </c>
      <c r="N2332" s="475">
        <f t="shared" si="150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48"/>
        <v>-1703528325.1952569</v>
      </c>
      <c r="J2333" s="455">
        <f t="array" ref="J2333">IFERROR(INDEX('Retirement Calculator'!J:J,MATCH('Isaac 401k'!N2333,'Retirement Calculator'!A:A,0),0),0)</f>
        <v>0</v>
      </c>
      <c r="K2333" s="455">
        <f t="shared" ca="1" si="146"/>
        <v>-7098034.6883135708</v>
      </c>
      <c r="L2333" s="455">
        <f t="shared" ca="1" si="147"/>
        <v>-1710626359.8835704</v>
      </c>
      <c r="M2333" s="471">
        <f t="shared" si="149"/>
        <v>0.05</v>
      </c>
      <c r="N2333" s="475">
        <f t="shared" si="150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48"/>
        <v>-1710626359.8835704</v>
      </c>
      <c r="J2334" s="455">
        <f t="array" ref="J2334">IFERROR(INDEX('Retirement Calculator'!J:J,MATCH('Isaac 401k'!N2334,'Retirement Calculator'!A:A,0),0),0)</f>
        <v>0</v>
      </c>
      <c r="K2334" s="455">
        <f t="shared" ca="1" si="146"/>
        <v>-7127609.8328482099</v>
      </c>
      <c r="L2334" s="455">
        <f t="shared" ca="1" si="147"/>
        <v>-1717753969.7164187</v>
      </c>
      <c r="M2334" s="471">
        <f t="shared" si="149"/>
        <v>0.05</v>
      </c>
      <c r="N2334" s="475">
        <f t="shared" si="150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48"/>
        <v>-1717753969.7164187</v>
      </c>
      <c r="J2335" s="455">
        <f t="array" ref="J2335">IFERROR(INDEX('Retirement Calculator'!J:J,MATCH('Isaac 401k'!N2335,'Retirement Calculator'!A:A,0),0),0)</f>
        <v>0</v>
      </c>
      <c r="K2335" s="455">
        <f t="shared" ca="1" si="146"/>
        <v>-7157308.2071517445</v>
      </c>
      <c r="L2335" s="455">
        <f t="shared" ca="1" si="147"/>
        <v>-1724911277.9235704</v>
      </c>
      <c r="M2335" s="471">
        <f t="shared" si="149"/>
        <v>0.05</v>
      </c>
      <c r="N2335" s="475">
        <f t="shared" si="150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48"/>
        <v>-1724911277.9235704</v>
      </c>
      <c r="J2336" s="455">
        <f t="array" ref="J2336">IFERROR(INDEX('Retirement Calculator'!J:J,MATCH('Isaac 401k'!N2336,'Retirement Calculator'!A:A,0),0),0)</f>
        <v>0</v>
      </c>
      <c r="K2336" s="455">
        <f t="shared" ca="1" si="146"/>
        <v>-7187130.3246815428</v>
      </c>
      <c r="L2336" s="455">
        <f t="shared" ca="1" si="147"/>
        <v>-1732098408.2482519</v>
      </c>
      <c r="M2336" s="471">
        <f t="shared" si="149"/>
        <v>0.05</v>
      </c>
      <c r="N2336" s="475">
        <f t="shared" si="150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48"/>
        <v>-1732098408.2482519</v>
      </c>
      <c r="J2337" s="455">
        <f t="array" ref="J2337">IFERROR(INDEX('Retirement Calculator'!J:J,MATCH('Isaac 401k'!N2337,'Retirement Calculator'!A:A,0),0),0)</f>
        <v>0</v>
      </c>
      <c r="K2337" s="455">
        <f t="shared" ca="1" si="146"/>
        <v>-7217076.7010343829</v>
      </c>
      <c r="L2337" s="455">
        <f t="shared" ca="1" si="147"/>
        <v>-1739315484.9492862</v>
      </c>
      <c r="M2337" s="471">
        <f t="shared" si="149"/>
        <v>0.05</v>
      </c>
      <c r="N2337" s="475">
        <f t="shared" si="150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48"/>
        <v>-1739315484.9492862</v>
      </c>
      <c r="J2338" s="455">
        <f t="array" ref="J2338">IFERROR(INDEX('Retirement Calculator'!J:J,MATCH('Isaac 401k'!N2338,'Retirement Calculator'!A:A,0),0),0)</f>
        <v>0</v>
      </c>
      <c r="K2338" s="455">
        <f t="shared" ca="1" si="146"/>
        <v>-7247147.8539553583</v>
      </c>
      <c r="L2338" s="455">
        <f t="shared" ca="1" si="147"/>
        <v>-1746562632.8032415</v>
      </c>
      <c r="M2338" s="471">
        <f t="shared" si="149"/>
        <v>0.05</v>
      </c>
      <c r="N2338" s="475">
        <f t="shared" si="150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48"/>
        <v>-1746562632.8032415</v>
      </c>
      <c r="J2339" s="455">
        <f t="array" ref="J2339">IFERROR(INDEX('Retirement Calculator'!J:J,MATCH('Isaac 401k'!N2339,'Retirement Calculator'!A:A,0),0),0)</f>
        <v>0</v>
      </c>
      <c r="K2339" s="455">
        <f t="shared" ca="1" si="146"/>
        <v>-7277344.3033468397</v>
      </c>
      <c r="L2339" s="455">
        <f t="shared" ca="1" si="147"/>
        <v>-1753839977.1065884</v>
      </c>
      <c r="M2339" s="471">
        <f t="shared" si="149"/>
        <v>0.05</v>
      </c>
      <c r="N2339" s="475">
        <f t="shared" si="150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48"/>
        <v>-1753839977.1065884</v>
      </c>
      <c r="J2340" s="455">
        <f t="array" ref="J2340">IFERROR(INDEX('Retirement Calculator'!J:J,MATCH('Isaac 401k'!N2340,'Retirement Calculator'!A:A,0),0),0)</f>
        <v>0</v>
      </c>
      <c r="K2340" s="455">
        <f t="shared" ca="1" si="146"/>
        <v>-7307666.5712774517</v>
      </c>
      <c r="L2340" s="455">
        <f t="shared" ca="1" si="147"/>
        <v>-1761147643.6778657</v>
      </c>
      <c r="M2340" s="471">
        <f t="shared" si="149"/>
        <v>0.05</v>
      </c>
      <c r="N2340" s="475">
        <f t="shared" si="150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48"/>
        <v>-1761147643.6778657</v>
      </c>
      <c r="J2341" s="455">
        <f t="array" ref="J2341">IFERROR(INDEX('Retirement Calculator'!J:J,MATCH('Isaac 401k'!N2341,'Retirement Calculator'!A:A,0),0),0)</f>
        <v>0</v>
      </c>
      <c r="K2341" s="455">
        <f t="shared" ca="1" si="146"/>
        <v>-7338115.1819911068</v>
      </c>
      <c r="L2341" s="455">
        <f t="shared" ca="1" si="147"/>
        <v>-1768485758.8598568</v>
      </c>
      <c r="M2341" s="471">
        <f t="shared" si="149"/>
        <v>0.05</v>
      </c>
      <c r="N2341" s="475">
        <f t="shared" si="150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48"/>
        <v>-1768485758.8598568</v>
      </c>
      <c r="J2342" s="455">
        <f t="array" ref="J2342">IFERROR(INDEX('Retirement Calculator'!J:J,MATCH('Isaac 401k'!N2342,'Retirement Calculator'!A:A,0),0),0)</f>
        <v>0</v>
      </c>
      <c r="K2342" s="455">
        <f t="shared" ca="1" si="146"/>
        <v>-7368690.6619160697</v>
      </c>
      <c r="L2342" s="455">
        <f t="shared" ca="1" si="147"/>
        <v>-1775854449.5217729</v>
      </c>
      <c r="M2342" s="471">
        <f t="shared" si="149"/>
        <v>0.05</v>
      </c>
      <c r="N2342" s="475">
        <f t="shared" si="150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48"/>
        <v>-1775854449.5217729</v>
      </c>
      <c r="J2343" s="455">
        <f t="array" ref="J2343">IFERROR(INDEX('Retirement Calculator'!J:J,MATCH('Isaac 401k'!N2343,'Retirement Calculator'!A:A,0),0),0)</f>
        <v>0</v>
      </c>
      <c r="K2343" s="455">
        <f t="shared" ca="1" si="146"/>
        <v>-7399393.5396740548</v>
      </c>
      <c r="L2343" s="455">
        <f t="shared" ca="1" si="147"/>
        <v>-1783253843.0614469</v>
      </c>
      <c r="M2343" s="471">
        <f t="shared" si="149"/>
        <v>0.05</v>
      </c>
      <c r="N2343" s="475">
        <f t="shared" si="150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48"/>
        <v>-1783253843.0614469</v>
      </c>
      <c r="J2344" s="455">
        <f t="array" ref="J2344">IFERROR(INDEX('Retirement Calculator'!J:J,MATCH('Isaac 401k'!N2344,'Retirement Calculator'!A:A,0),0),0)</f>
        <v>0</v>
      </c>
      <c r="K2344" s="455">
        <f t="shared" ca="1" si="146"/>
        <v>-7430224.3460893631</v>
      </c>
      <c r="L2344" s="455">
        <f t="shared" ca="1" si="147"/>
        <v>-1790684067.4075363</v>
      </c>
      <c r="M2344" s="471">
        <f t="shared" si="149"/>
        <v>0.05</v>
      </c>
      <c r="N2344" s="475">
        <f t="shared" si="150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48"/>
        <v>-1790684067.4075363</v>
      </c>
      <c r="J2345" s="455">
        <f t="array" ref="J2345">IFERROR(INDEX('Retirement Calculator'!J:J,MATCH('Isaac 401k'!N2345,'Retirement Calculator'!A:A,0),0),0)</f>
        <v>0</v>
      </c>
      <c r="K2345" s="455">
        <f t="shared" ca="1" si="146"/>
        <v>-7461183.6141980691</v>
      </c>
      <c r="L2345" s="455">
        <f t="shared" ca="1" si="147"/>
        <v>-1798145251.0217342</v>
      </c>
      <c r="M2345" s="471">
        <f t="shared" si="149"/>
        <v>0.05</v>
      </c>
      <c r="N2345" s="475">
        <f t="shared" si="150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48"/>
        <v>-1798145251.0217342</v>
      </c>
      <c r="J2346" s="455">
        <f t="array" ref="J2346">IFERROR(INDEX('Retirement Calculator'!J:J,MATCH('Isaac 401k'!N2346,'Retirement Calculator'!A:A,0),0),0)</f>
        <v>0</v>
      </c>
      <c r="K2346" s="455">
        <f t="shared" ca="1" si="146"/>
        <v>-7492271.8792572254</v>
      </c>
      <c r="L2346" s="455">
        <f t="shared" ca="1" si="147"/>
        <v>-1805637522.9009914</v>
      </c>
      <c r="M2346" s="471">
        <f t="shared" si="149"/>
        <v>0.05</v>
      </c>
      <c r="N2346" s="475">
        <f t="shared" si="150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48"/>
        <v>-1805637522.9009914</v>
      </c>
      <c r="J2347" s="455">
        <f t="array" ref="J2347">IFERROR(INDEX('Retirement Calculator'!J:J,MATCH('Isaac 401k'!N2347,'Retirement Calculator'!A:A,0),0),0)</f>
        <v>0</v>
      </c>
      <c r="K2347" s="455">
        <f t="shared" ca="1" si="146"/>
        <v>-7523489.6787541322</v>
      </c>
      <c r="L2347" s="455">
        <f t="shared" ca="1" si="147"/>
        <v>-1813161012.5797455</v>
      </c>
      <c r="M2347" s="471">
        <f t="shared" si="149"/>
        <v>0.05</v>
      </c>
      <c r="N2347" s="475">
        <f t="shared" si="150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48"/>
        <v>-1813161012.5797455</v>
      </c>
      <c r="J2348" s="455">
        <f t="array" ref="J2348">IFERROR(INDEX('Retirement Calculator'!J:J,MATCH('Isaac 401k'!N2348,'Retirement Calculator'!A:A,0),0),0)</f>
        <v>0</v>
      </c>
      <c r="K2348" s="455">
        <f t="shared" ca="1" si="146"/>
        <v>-7554837.5524156066</v>
      </c>
      <c r="L2348" s="455">
        <f t="shared" ca="1" si="147"/>
        <v>-1820715850.1321611</v>
      </c>
      <c r="M2348" s="471">
        <f t="shared" si="149"/>
        <v>0.05</v>
      </c>
      <c r="N2348" s="475">
        <f t="shared" si="150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48"/>
        <v>-1820715850.1321611</v>
      </c>
      <c r="J2349" s="455">
        <f t="array" ref="J2349">IFERROR(INDEX('Retirement Calculator'!J:J,MATCH('Isaac 401k'!N2349,'Retirement Calculator'!A:A,0),0),0)</f>
        <v>0</v>
      </c>
      <c r="K2349" s="455">
        <f t="shared" ca="1" si="146"/>
        <v>-7586316.0422173394</v>
      </c>
      <c r="L2349" s="455">
        <f t="shared" ca="1" si="147"/>
        <v>-1828302166.1743784</v>
      </c>
      <c r="M2349" s="471">
        <f t="shared" si="149"/>
        <v>0.05</v>
      </c>
      <c r="N2349" s="475">
        <f t="shared" si="150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48"/>
        <v>-1828302166.1743784</v>
      </c>
      <c r="J2350" s="455">
        <f t="array" ref="J2350">IFERROR(INDEX('Retirement Calculator'!J:J,MATCH('Isaac 401k'!N2350,'Retirement Calculator'!A:A,0),0),0)</f>
        <v>0</v>
      </c>
      <c r="K2350" s="455">
        <f t="shared" ca="1" si="146"/>
        <v>-7617925.6923932424</v>
      </c>
      <c r="L2350" s="455">
        <f t="shared" ca="1" si="147"/>
        <v>-1835920091.8667717</v>
      </c>
      <c r="M2350" s="471">
        <f t="shared" si="149"/>
        <v>0.05</v>
      </c>
      <c r="N2350" s="475">
        <f t="shared" si="150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48"/>
        <v>-1835920091.8667717</v>
      </c>
      <c r="J2351" s="455">
        <f t="array" ref="J2351">IFERROR(INDEX('Retirement Calculator'!J:J,MATCH('Isaac 401k'!N2351,'Retirement Calculator'!A:A,0),0),0)</f>
        <v>0</v>
      </c>
      <c r="K2351" s="455">
        <f t="shared" ca="1" si="146"/>
        <v>-7649667.0494448822</v>
      </c>
      <c r="L2351" s="455">
        <f t="shared" ca="1" si="147"/>
        <v>-1843569758.9162166</v>
      </c>
      <c r="M2351" s="471">
        <f t="shared" si="149"/>
        <v>0.05</v>
      </c>
      <c r="N2351" s="475">
        <f t="shared" si="150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48"/>
        <v>-1843569758.9162166</v>
      </c>
      <c r="J2352" s="455">
        <f t="array" ref="J2352">IFERROR(INDEX('Retirement Calculator'!J:J,MATCH('Isaac 401k'!N2352,'Retirement Calculator'!A:A,0),0),0)</f>
        <v>0</v>
      </c>
      <c r="K2352" s="455">
        <f t="shared" ca="1" si="146"/>
        <v>-7681540.6621509027</v>
      </c>
      <c r="L2352" s="455">
        <f t="shared" ca="1" si="147"/>
        <v>-1851251299.5783675</v>
      </c>
      <c r="M2352" s="471">
        <f t="shared" si="149"/>
        <v>0.05</v>
      </c>
      <c r="N2352" s="475">
        <f t="shared" si="150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48"/>
        <v>-1851251299.5783675</v>
      </c>
      <c r="J2353" s="455">
        <f t="array" ref="J2353">IFERROR(INDEX('Retirement Calculator'!J:J,MATCH('Isaac 401k'!N2353,'Retirement Calculator'!A:A,0),0),0)</f>
        <v>0</v>
      </c>
      <c r="K2353" s="455">
        <f t="shared" ca="1" si="146"/>
        <v>-7713547.0815765308</v>
      </c>
      <c r="L2353" s="455">
        <f t="shared" ca="1" si="147"/>
        <v>-1858964846.6599441</v>
      </c>
      <c r="M2353" s="471">
        <f t="shared" si="149"/>
        <v>0.05</v>
      </c>
      <c r="N2353" s="475">
        <f t="shared" si="150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48"/>
        <v>-1858964846.6599441</v>
      </c>
      <c r="J2354" s="455">
        <f t="array" ref="J2354">IFERROR(INDEX('Retirement Calculator'!J:J,MATCH('Isaac 401k'!N2354,'Retirement Calculator'!A:A,0),0),0)</f>
        <v>0</v>
      </c>
      <c r="K2354" s="455">
        <f t="shared" ca="1" si="146"/>
        <v>-7745686.8610831015</v>
      </c>
      <c r="L2354" s="455">
        <f t="shared" ca="1" si="147"/>
        <v>-1866710533.5210271</v>
      </c>
      <c r="M2354" s="471">
        <f t="shared" si="149"/>
        <v>0.05</v>
      </c>
      <c r="N2354" s="475">
        <f t="shared" si="150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48"/>
        <v>-1866710533.5210271</v>
      </c>
      <c r="J2355" s="455">
        <f t="array" ref="J2355">IFERROR(INDEX('Retirement Calculator'!J:J,MATCH('Isaac 401k'!N2355,'Retirement Calculator'!A:A,0),0),0)</f>
        <v>0</v>
      </c>
      <c r="K2355" s="455">
        <f t="shared" ca="1" si="146"/>
        <v>-7777960.5563376127</v>
      </c>
      <c r="L2355" s="455">
        <f t="shared" ca="1" si="147"/>
        <v>-1874488494.0773647</v>
      </c>
      <c r="M2355" s="471">
        <f t="shared" si="149"/>
        <v>0.05</v>
      </c>
      <c r="N2355" s="475">
        <f t="shared" si="150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48"/>
        <v>-1874488494.0773647</v>
      </c>
      <c r="J2356" s="455">
        <f t="array" ref="J2356">IFERROR(INDEX('Retirement Calculator'!J:J,MATCH('Isaac 401k'!N2356,'Retirement Calculator'!A:A,0),0),0)</f>
        <v>0</v>
      </c>
      <c r="K2356" s="455">
        <f t="shared" ca="1" si="146"/>
        <v>-7810368.7253223518</v>
      </c>
      <c r="L2356" s="455">
        <f t="shared" ca="1" si="147"/>
        <v>-1882298862.8026869</v>
      </c>
      <c r="M2356" s="471">
        <f t="shared" si="149"/>
        <v>0.05</v>
      </c>
      <c r="N2356" s="475">
        <f t="shared" si="150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48"/>
        <v>-1882298862.8026869</v>
      </c>
      <c r="J2357" s="455">
        <f t="array" ref="J2357">IFERROR(INDEX('Retirement Calculator'!J:J,MATCH('Isaac 401k'!N2357,'Retirement Calculator'!A:A,0),0),0)</f>
        <v>0</v>
      </c>
      <c r="K2357" s="455">
        <f t="shared" ca="1" si="146"/>
        <v>-7842911.9283445301</v>
      </c>
      <c r="L2357" s="455">
        <f t="shared" ca="1" si="147"/>
        <v>-1890141774.7310314</v>
      </c>
      <c r="M2357" s="471">
        <f t="shared" si="149"/>
        <v>0.05</v>
      </c>
      <c r="N2357" s="475">
        <f t="shared" si="150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48"/>
        <v>-1890141774.7310314</v>
      </c>
      <c r="J2358" s="455">
        <f t="array" ref="J2358">IFERROR(INDEX('Retirement Calculator'!J:J,MATCH('Isaac 401k'!N2358,'Retirement Calculator'!A:A,0),0),0)</f>
        <v>0</v>
      </c>
      <c r="K2358" s="455">
        <f t="shared" ca="1" si="146"/>
        <v>-7875590.7280459637</v>
      </c>
      <c r="L2358" s="455">
        <f t="shared" ca="1" si="147"/>
        <v>-1898017365.4590774</v>
      </c>
      <c r="M2358" s="471">
        <f t="shared" si="149"/>
        <v>0.05</v>
      </c>
      <c r="N2358" s="475">
        <f t="shared" si="150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48"/>
        <v>-1898017365.4590774</v>
      </c>
      <c r="J2359" s="455">
        <f t="array" ref="J2359">IFERROR(INDEX('Retirement Calculator'!J:J,MATCH('Isaac 401k'!N2359,'Retirement Calculator'!A:A,0),0),0)</f>
        <v>0</v>
      </c>
      <c r="K2359" s="455">
        <f t="shared" ca="1" si="146"/>
        <v>-7908405.689412822</v>
      </c>
      <c r="L2359" s="455">
        <f t="shared" ca="1" si="147"/>
        <v>-1905925771.1484902</v>
      </c>
      <c r="M2359" s="471">
        <f t="shared" si="149"/>
        <v>0.05</v>
      </c>
      <c r="N2359" s="475">
        <f t="shared" si="150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48"/>
        <v>-1905925771.1484902</v>
      </c>
      <c r="J2360" s="455">
        <f t="array" ref="J2360">IFERROR(INDEX('Retirement Calculator'!J:J,MATCH('Isaac 401k'!N2360,'Retirement Calculator'!A:A,0),0),0)</f>
        <v>0</v>
      </c>
      <c r="K2360" s="455">
        <f t="shared" ca="1" si="146"/>
        <v>-7941357.3797853766</v>
      </c>
      <c r="L2360" s="455">
        <f t="shared" ca="1" si="147"/>
        <v>-1913867128.5282755</v>
      </c>
      <c r="M2360" s="471">
        <f t="shared" si="149"/>
        <v>0.05</v>
      </c>
      <c r="N2360" s="475">
        <f t="shared" si="150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48"/>
        <v>-1913867128.5282755</v>
      </c>
      <c r="J2361" s="455">
        <f t="array" ref="J2361">IFERROR(INDEX('Retirement Calculator'!J:J,MATCH('Isaac 401k'!N2361,'Retirement Calculator'!A:A,0),0),0)</f>
        <v>0</v>
      </c>
      <c r="K2361" s="455">
        <f t="shared" ca="1" si="146"/>
        <v>-7974446.3688678145</v>
      </c>
      <c r="L2361" s="455">
        <f t="shared" ca="1" si="147"/>
        <v>-1921841574.8971434</v>
      </c>
      <c r="M2361" s="471">
        <f t="shared" si="149"/>
        <v>0.05</v>
      </c>
      <c r="N2361" s="475">
        <f t="shared" si="150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48"/>
        <v>-1921841574.8971434</v>
      </c>
      <c r="J2362" s="455">
        <f t="array" ref="J2362">IFERROR(INDEX('Retirement Calculator'!J:J,MATCH('Isaac 401k'!N2362,'Retirement Calculator'!A:A,0),0),0)</f>
        <v>0</v>
      </c>
      <c r="K2362" s="455">
        <f t="shared" ca="1" si="146"/>
        <v>-8007673.2287380965</v>
      </c>
      <c r="L2362" s="455">
        <f t="shared" ca="1" si="147"/>
        <v>-1929849248.1258814</v>
      </c>
      <c r="M2362" s="471">
        <f t="shared" si="149"/>
        <v>0.05</v>
      </c>
      <c r="N2362" s="475">
        <f t="shared" si="150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48"/>
        <v>-1929849248.1258814</v>
      </c>
      <c r="J2363" s="455">
        <f t="array" ref="J2363">IFERROR(INDEX('Retirement Calculator'!J:J,MATCH('Isaac 401k'!N2363,'Retirement Calculator'!A:A,0),0),0)</f>
        <v>0</v>
      </c>
      <c r="K2363" s="455">
        <f t="shared" ca="1" si="146"/>
        <v>-8041038.5338578392</v>
      </c>
      <c r="L2363" s="455">
        <f t="shared" ca="1" si="147"/>
        <v>-1937890286.6597393</v>
      </c>
      <c r="M2363" s="471">
        <f t="shared" si="149"/>
        <v>0.05</v>
      </c>
      <c r="N2363" s="475">
        <f t="shared" si="150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48"/>
        <v>-1937890286.6597393</v>
      </c>
      <c r="J2364" s="455">
        <f t="array" ref="J2364">IFERROR(INDEX('Retirement Calculator'!J:J,MATCH('Isaac 401k'!N2364,'Retirement Calculator'!A:A,0),0),0)</f>
        <v>0</v>
      </c>
      <c r="K2364" s="455">
        <f t="shared" ca="1" si="146"/>
        <v>-8074542.8610822475</v>
      </c>
      <c r="L2364" s="455">
        <f t="shared" ca="1" si="147"/>
        <v>-1945964829.5208216</v>
      </c>
      <c r="M2364" s="471">
        <f t="shared" si="149"/>
        <v>0.05</v>
      </c>
      <c r="N2364" s="475">
        <f t="shared" si="150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48"/>
        <v>-1945964829.5208216</v>
      </c>
      <c r="J2365" s="455">
        <f t="array" ref="J2365">IFERROR(INDEX('Retirement Calculator'!J:J,MATCH('Isaac 401k'!N2365,'Retirement Calculator'!A:A,0),0),0)</f>
        <v>0</v>
      </c>
      <c r="K2365" s="455">
        <f t="shared" ca="1" si="146"/>
        <v>-8108186.7896700902</v>
      </c>
      <c r="L2365" s="455">
        <f t="shared" ca="1" si="147"/>
        <v>-1954073016.3104916</v>
      </c>
      <c r="M2365" s="471">
        <f t="shared" si="149"/>
        <v>0.05</v>
      </c>
      <c r="N2365" s="475">
        <f t="shared" si="150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48"/>
        <v>-1954073016.3104916</v>
      </c>
      <c r="J2366" s="455">
        <f t="array" ref="J2366">IFERROR(INDEX('Retirement Calculator'!J:J,MATCH('Isaac 401k'!N2366,'Retirement Calculator'!A:A,0),0),0)</f>
        <v>0</v>
      </c>
      <c r="K2366" s="455">
        <f t="shared" ca="1" si="146"/>
        <v>-8141970.9012937136</v>
      </c>
      <c r="L2366" s="455">
        <f t="shared" ca="1" si="147"/>
        <v>-1962214987.2117853</v>
      </c>
      <c r="M2366" s="471">
        <f t="shared" si="149"/>
        <v>0.05</v>
      </c>
      <c r="N2366" s="475">
        <f t="shared" si="150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48"/>
        <v>-1962214987.2117853</v>
      </c>
      <c r="J2367" s="455">
        <f t="array" ref="J2367">IFERROR(INDEX('Retirement Calculator'!J:J,MATCH('Isaac 401k'!N2367,'Retirement Calculator'!A:A,0),0),0)</f>
        <v>0</v>
      </c>
      <c r="K2367" s="455">
        <f t="shared" ca="1" si="146"/>
        <v>-8175895.7800491061</v>
      </c>
      <c r="L2367" s="455">
        <f t="shared" ca="1" si="147"/>
        <v>-1970390882.9918344</v>
      </c>
      <c r="M2367" s="471">
        <f t="shared" si="149"/>
        <v>0.05</v>
      </c>
      <c r="N2367" s="475">
        <f t="shared" si="150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48"/>
        <v>-1970390882.9918344</v>
      </c>
      <c r="J2368" s="455">
        <f t="array" ref="J2368">IFERROR(INDEX('Retirement Calculator'!J:J,MATCH('Isaac 401k'!N2368,'Retirement Calculator'!A:A,0),0),0)</f>
        <v>0</v>
      </c>
      <c r="K2368" s="455">
        <f t="shared" ca="1" si="146"/>
        <v>-8209962.0124659752</v>
      </c>
      <c r="L2368" s="455">
        <f t="shared" ca="1" si="147"/>
        <v>-1978600845.0043004</v>
      </c>
      <c r="M2368" s="471">
        <f t="shared" si="149"/>
        <v>0.05</v>
      </c>
      <c r="N2368" s="475">
        <f t="shared" si="150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48"/>
        <v>-1978600845.0043004</v>
      </c>
      <c r="J2369" s="455">
        <f t="array" ref="J2369">IFERROR(INDEX('Retirement Calculator'!J:J,MATCH('Isaac 401k'!N2369,'Retirement Calculator'!A:A,0),0),0)</f>
        <v>0</v>
      </c>
      <c r="K2369" s="455">
        <f t="shared" ca="1" si="146"/>
        <v>-8244170.1875179177</v>
      </c>
      <c r="L2369" s="455">
        <f t="shared" ca="1" si="147"/>
        <v>-1986845015.1918182</v>
      </c>
      <c r="M2369" s="471">
        <f t="shared" si="149"/>
        <v>0.05</v>
      </c>
      <c r="N2369" s="475">
        <f t="shared" si="150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48"/>
        <v>-1986845015.1918182</v>
      </c>
      <c r="J2370" s="455">
        <f t="array" ref="J2370">IFERROR(INDEX('Retirement Calculator'!J:J,MATCH('Isaac 401k'!N2370,'Retirement Calculator'!A:A,0),0),0)</f>
        <v>0</v>
      </c>
      <c r="K2370" s="455">
        <f t="shared" ca="1" si="146"/>
        <v>-8278520.8966325754</v>
      </c>
      <c r="L2370" s="455">
        <f t="shared" ca="1" si="147"/>
        <v>-1995123536.0884509</v>
      </c>
      <c r="M2370" s="471">
        <f t="shared" si="149"/>
        <v>0.05</v>
      </c>
      <c r="N2370" s="475">
        <f t="shared" si="150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48"/>
        <v>-1995123536.0884509</v>
      </c>
      <c r="J2371" s="455">
        <f t="array" ref="J2371">IFERROR(INDEX('Retirement Calculator'!J:J,MATCH('Isaac 401k'!N2371,'Retirement Calculator'!A:A,0),0),0)</f>
        <v>0</v>
      </c>
      <c r="K2371" s="455">
        <f t="shared" ca="1" si="146"/>
        <v>-8313014.7337018801</v>
      </c>
      <c r="L2371" s="455">
        <f t="shared" ca="1" si="147"/>
        <v>-2003436550.8221529</v>
      </c>
      <c r="M2371" s="471">
        <f t="shared" si="149"/>
        <v>0.05</v>
      </c>
      <c r="N2371" s="475">
        <f t="shared" si="150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48"/>
        <v>-2003436550.8221529</v>
      </c>
      <c r="J2372" s="455">
        <f t="array" ref="J2372">IFERROR(INDEX('Retirement Calculator'!J:J,MATCH('Isaac 401k'!N2372,'Retirement Calculator'!A:A,0),0),0)</f>
        <v>0</v>
      </c>
      <c r="K2372" s="455">
        <f t="shared" ca="1" si="146"/>
        <v>-8347652.2950923033</v>
      </c>
      <c r="L2372" s="455">
        <f t="shared" ca="1" si="147"/>
        <v>-2011784203.1172452</v>
      </c>
      <c r="M2372" s="471">
        <f t="shared" si="149"/>
        <v>0.05</v>
      </c>
      <c r="N2372" s="475">
        <f t="shared" si="150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48"/>
        <v>-2011784203.1172452</v>
      </c>
      <c r="J2373" s="455">
        <f t="array" ref="J2373">IFERROR(INDEX('Retirement Calculator'!J:J,MATCH('Isaac 401k'!N2373,'Retirement Calculator'!A:A,0),0),0)</f>
        <v>0</v>
      </c>
      <c r="K2373" s="455">
        <f t="shared" ca="1" si="146"/>
        <v>-8382434.1796551878</v>
      </c>
      <c r="L2373" s="455">
        <f t="shared" ca="1" si="147"/>
        <v>-2020166637.2969003</v>
      </c>
      <c r="M2373" s="471">
        <f t="shared" si="149"/>
        <v>0.05</v>
      </c>
      <c r="N2373" s="475">
        <f t="shared" si="150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48"/>
        <v>-2020166637.2969003</v>
      </c>
      <c r="J2374" s="455">
        <f t="array" ref="J2374">IFERROR(INDEX('Retirement Calculator'!J:J,MATCH('Isaac 401k'!N2374,'Retirement Calculator'!A:A,0),0),0)</f>
        <v>0</v>
      </c>
      <c r="K2374" s="455">
        <f t="shared" ca="1" si="146"/>
        <v>-8417360.988737084</v>
      </c>
      <c r="L2374" s="455">
        <f t="shared" ca="1" si="147"/>
        <v>-2028583998.2856374</v>
      </c>
      <c r="M2374" s="471">
        <f t="shared" si="149"/>
        <v>0.05</v>
      </c>
      <c r="N2374" s="475">
        <f t="shared" si="150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48"/>
        <v>-2028583998.2856374</v>
      </c>
      <c r="J2375" s="455">
        <f t="array" ref="J2375">IFERROR(INDEX('Retirement Calculator'!J:J,MATCH('Isaac 401k'!N2375,'Retirement Calculator'!A:A,0),0),0)</f>
        <v>0</v>
      </c>
      <c r="K2375" s="455">
        <f t="shared" ca="1" si="146"/>
        <v>-8452433.326190155</v>
      </c>
      <c r="L2375" s="455">
        <f t="shared" ca="1" si="147"/>
        <v>-2037036431.6118276</v>
      </c>
      <c r="M2375" s="471">
        <f t="shared" si="149"/>
        <v>0.05</v>
      </c>
      <c r="N2375" s="475">
        <f t="shared" si="150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48"/>
        <v>-2037036431.6118276</v>
      </c>
      <c r="J2376" s="455">
        <f t="array" ref="J2376">IFERROR(INDEX('Retirement Calculator'!J:J,MATCH('Isaac 401k'!N2376,'Retirement Calculator'!A:A,0),0),0)</f>
        <v>0</v>
      </c>
      <c r="K2376" s="455">
        <f t="shared" ca="1" si="146"/>
        <v>-8487651.7983826138</v>
      </c>
      <c r="L2376" s="455">
        <f t="shared" ca="1" si="147"/>
        <v>-2045524083.4102101</v>
      </c>
      <c r="M2376" s="471">
        <f t="shared" si="149"/>
        <v>0.05</v>
      </c>
      <c r="N2376" s="475">
        <f t="shared" si="150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48"/>
        <v>-2045524083.4102101</v>
      </c>
      <c r="J2377" s="455">
        <f t="array" ref="J2377">IFERROR(INDEX('Retirement Calculator'!J:J,MATCH('Isaac 401k'!N2377,'Retirement Calculator'!A:A,0),0),0)</f>
        <v>0</v>
      </c>
      <c r="K2377" s="455">
        <f t="shared" ca="1" si="146"/>
        <v>-8523017.014209209</v>
      </c>
      <c r="L2377" s="455">
        <f t="shared" ca="1" si="147"/>
        <v>-2054047100.4244194</v>
      </c>
      <c r="M2377" s="471">
        <f t="shared" si="149"/>
        <v>0.05</v>
      </c>
      <c r="N2377" s="475">
        <f t="shared" si="150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48"/>
        <v>-2054047100.4244194</v>
      </c>
      <c r="J2378" s="455">
        <f t="array" ref="J2378">IFERROR(INDEX('Retirement Calculator'!J:J,MATCH('Isaac 401k'!N2378,'Retirement Calculator'!A:A,0),0),0)</f>
        <v>0</v>
      </c>
      <c r="K2378" s="455">
        <f t="shared" ca="1" si="146"/>
        <v>-8558529.585101746</v>
      </c>
      <c r="L2378" s="455">
        <f t="shared" ca="1" si="147"/>
        <v>-2062605630.0095212</v>
      </c>
      <c r="M2378" s="471">
        <f t="shared" si="149"/>
        <v>0.05</v>
      </c>
      <c r="N2378" s="475">
        <f t="shared" si="150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48"/>
        <v>-2062605630.0095212</v>
      </c>
      <c r="J2379" s="455">
        <f t="array" ref="J2379">IFERROR(INDEX('Retirement Calculator'!J:J,MATCH('Isaac 401k'!N2379,'Retirement Calculator'!A:A,0),0),0)</f>
        <v>0</v>
      </c>
      <c r="K2379" s="455">
        <f t="shared" ca="1" si="146"/>
        <v>-8594190.1250396725</v>
      </c>
      <c r="L2379" s="455">
        <f t="shared" ca="1" si="147"/>
        <v>-2071199820.1345608</v>
      </c>
      <c r="M2379" s="471">
        <f t="shared" si="149"/>
        <v>0.05</v>
      </c>
      <c r="N2379" s="475">
        <f t="shared" si="150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48"/>
        <v>-2071199820.1345608</v>
      </c>
      <c r="J2380" s="455">
        <f t="array" ref="J2380">IFERROR(INDEX('Retirement Calculator'!J:J,MATCH('Isaac 401k'!N2380,'Retirement Calculator'!A:A,0),0),0)</f>
        <v>0</v>
      </c>
      <c r="K2380" s="455">
        <f t="shared" ca="1" si="146"/>
        <v>-8629999.2505606692</v>
      </c>
      <c r="L2380" s="455">
        <f t="shared" ca="1" si="147"/>
        <v>-2079829819.3851216</v>
      </c>
      <c r="M2380" s="471">
        <f t="shared" si="149"/>
        <v>0.05</v>
      </c>
      <c r="N2380" s="475">
        <f t="shared" si="150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48"/>
        <v>-2079829819.3851216</v>
      </c>
      <c r="J2381" s="455">
        <f t="array" ref="J2381">IFERROR(INDEX('Retirement Calculator'!J:J,MATCH('Isaac 401k'!N2381,'Retirement Calculator'!A:A,0),0),0)</f>
        <v>0</v>
      </c>
      <c r="K2381" s="455">
        <f t="shared" ca="1" si="146"/>
        <v>-8665957.5807713401</v>
      </c>
      <c r="L2381" s="455">
        <f t="shared" ca="1" si="147"/>
        <v>-2088495776.965893</v>
      </c>
      <c r="M2381" s="471">
        <f t="shared" si="149"/>
        <v>0.05</v>
      </c>
      <c r="N2381" s="475">
        <f t="shared" si="150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48"/>
        <v>-2088495776.965893</v>
      </c>
      <c r="J2382" s="455">
        <f t="array" ref="J2382">IFERROR(INDEX('Retirement Calculator'!J:J,MATCH('Isaac 401k'!N2382,'Retirement Calculator'!A:A,0),0),0)</f>
        <v>0</v>
      </c>
      <c r="K2382" s="455">
        <f t="shared" ca="1" si="146"/>
        <v>-8702065.7373578884</v>
      </c>
      <c r="L2382" s="455">
        <f t="shared" ca="1" si="147"/>
        <v>-2097197842.7032509</v>
      </c>
      <c r="M2382" s="471">
        <f t="shared" si="149"/>
        <v>0.05</v>
      </c>
      <c r="N2382" s="475">
        <f t="shared" si="150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48"/>
        <v>-2097197842.7032509</v>
      </c>
      <c r="J2383" s="455">
        <f t="array" ref="J2383">IFERROR(INDEX('Retirement Calculator'!J:J,MATCH('Isaac 401k'!N2383,'Retirement Calculator'!A:A,0),0),0)</f>
        <v>0</v>
      </c>
      <c r="K2383" s="455">
        <f t="shared" ca="1" si="146"/>
        <v>-8738324.3445968796</v>
      </c>
      <c r="L2383" s="455">
        <f t="shared" ca="1" si="147"/>
        <v>-2105936167.0478477</v>
      </c>
      <c r="M2383" s="471">
        <f t="shared" si="149"/>
        <v>0.05</v>
      </c>
      <c r="N2383" s="475">
        <f t="shared" si="150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48"/>
        <v>-2105936167.0478477</v>
      </c>
      <c r="J2384" s="455">
        <f t="array" ref="J2384">IFERROR(INDEX('Retirement Calculator'!J:J,MATCH('Isaac 401k'!N2384,'Retirement Calculator'!A:A,0),0),0)</f>
        <v>0</v>
      </c>
      <c r="K2384" s="455">
        <f t="shared" ca="1" si="146"/>
        <v>-8774734.0293660313</v>
      </c>
      <c r="L2384" s="455">
        <f t="shared" ca="1" si="147"/>
        <v>-2114710901.0772138</v>
      </c>
      <c r="M2384" s="471">
        <f t="shared" si="149"/>
        <v>0.05</v>
      </c>
      <c r="N2384" s="475">
        <f t="shared" si="150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48"/>
        <v>-2114710901.0772138</v>
      </c>
      <c r="J2385" s="455">
        <f t="array" ref="J2385">IFERROR(INDEX('Retirement Calculator'!J:J,MATCH('Isaac 401k'!N2385,'Retirement Calculator'!A:A,0),0),0)</f>
        <v>0</v>
      </c>
      <c r="K2385" s="455">
        <f t="shared" ca="1" si="146"/>
        <v>-8811295.4211550578</v>
      </c>
      <c r="L2385" s="455">
        <f t="shared" ca="1" si="147"/>
        <v>-2123522196.4983687</v>
      </c>
      <c r="M2385" s="471">
        <f t="shared" si="149"/>
        <v>0.05</v>
      </c>
      <c r="N2385" s="475">
        <f t="shared" si="150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48"/>
        <v>-2123522196.4983687</v>
      </c>
      <c r="J2386" s="455">
        <f t="array" ref="J2386">IFERROR(INDEX('Retirement Calculator'!J:J,MATCH('Isaac 401k'!N2386,'Retirement Calculator'!A:A,0),0),0)</f>
        <v>0</v>
      </c>
      <c r="K2386" s="455">
        <f t="shared" ca="1" si="146"/>
        <v>-8848009.1520765368</v>
      </c>
      <c r="L2386" s="455">
        <f t="shared" ca="1" si="147"/>
        <v>-2132370205.6504452</v>
      </c>
      <c r="M2386" s="471">
        <f t="shared" si="149"/>
        <v>0.05</v>
      </c>
      <c r="N2386" s="475">
        <f t="shared" si="150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48"/>
        <v>-2132370205.6504452</v>
      </c>
      <c r="J2387" s="455">
        <f t="array" ref="J2387">IFERROR(INDEX('Retirement Calculator'!J:J,MATCH('Isaac 401k'!N2387,'Retirement Calculator'!A:A,0),0),0)</f>
        <v>0</v>
      </c>
      <c r="K2387" s="455">
        <f t="shared" ca="1" si="146"/>
        <v>-8884875.8568768539</v>
      </c>
      <c r="L2387" s="455">
        <f t="shared" ca="1" si="147"/>
        <v>-2141255081.5073221</v>
      </c>
      <c r="M2387" s="471">
        <f t="shared" si="149"/>
        <v>0.05</v>
      </c>
      <c r="N2387" s="475">
        <f t="shared" si="150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48"/>
        <v>-2141255081.5073221</v>
      </c>
      <c r="J2388" s="455">
        <f t="array" ref="J2388">IFERROR(INDEX('Retirement Calculator'!J:J,MATCH('Isaac 401k'!N2388,'Retirement Calculator'!A:A,0),0),0)</f>
        <v>0</v>
      </c>
      <c r="K2388" s="455">
        <f t="shared" ca="1" si="146"/>
        <v>-8921896.1729471758</v>
      </c>
      <c r="L2388" s="455">
        <f t="shared" ca="1" si="147"/>
        <v>-2150176977.6802692</v>
      </c>
      <c r="M2388" s="471">
        <f t="shared" si="149"/>
        <v>0.05</v>
      </c>
      <c r="N2388" s="475">
        <f t="shared" si="150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48"/>
        <v>-2150176977.6802692</v>
      </c>
      <c r="J2389" s="455">
        <f t="array" ref="J2389">IFERROR(INDEX('Retirement Calculator'!J:J,MATCH('Isaac 401k'!N2389,'Retirement Calculator'!A:A,0),0),0)</f>
        <v>0</v>
      </c>
      <c r="K2389" s="455">
        <f t="shared" ca="1" si="146"/>
        <v>-8959070.7403344549</v>
      </c>
      <c r="L2389" s="455">
        <f t="shared" ca="1" si="147"/>
        <v>-2159136048.4206038</v>
      </c>
      <c r="M2389" s="471">
        <f t="shared" si="149"/>
        <v>0.05</v>
      </c>
      <c r="N2389" s="475">
        <f t="shared" si="150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48"/>
        <v>-2159136048.4206038</v>
      </c>
      <c r="J2390" s="455">
        <f t="array" ref="J2390">IFERROR(INDEX('Retirement Calculator'!J:J,MATCH('Isaac 401k'!N2390,'Retirement Calculator'!A:A,0),0),0)</f>
        <v>0</v>
      </c>
      <c r="K2390" s="455">
        <f t="shared" ca="1" si="146"/>
        <v>-8996400.2017525155</v>
      </c>
      <c r="L2390" s="455">
        <f t="shared" ca="1" si="147"/>
        <v>-2168132448.6223564</v>
      </c>
      <c r="M2390" s="471">
        <f t="shared" si="149"/>
        <v>0.05</v>
      </c>
      <c r="N2390" s="475">
        <f t="shared" si="150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48"/>
        <v>-2168132448.6223564</v>
      </c>
      <c r="J2391" s="455">
        <f t="array" ref="J2391">IFERROR(INDEX('Retirement Calculator'!J:J,MATCH('Isaac 401k'!N2391,'Retirement Calculator'!A:A,0),0),0)</f>
        <v>0</v>
      </c>
      <c r="K2391" s="455">
        <f t="shared" ca="1" si="146"/>
        <v>-9033885.2025931515</v>
      </c>
      <c r="L2391" s="455">
        <f t="shared" ca="1" si="147"/>
        <v>-2177166333.8249497</v>
      </c>
      <c r="M2391" s="471">
        <f t="shared" si="149"/>
        <v>0.05</v>
      </c>
      <c r="N2391" s="475">
        <f t="shared" si="150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48"/>
        <v>-2177166333.8249497</v>
      </c>
      <c r="J2392" s="455">
        <f t="array" ref="J2392">IFERROR(INDEX('Retirement Calculator'!J:J,MATCH('Isaac 401k'!N2392,'Retirement Calculator'!A:A,0),0),0)</f>
        <v>0</v>
      </c>
      <c r="K2392" s="455">
        <f t="shared" ca="1" si="146"/>
        <v>-9071526.3909372911</v>
      </c>
      <c r="L2392" s="455">
        <f t="shared" ca="1" si="147"/>
        <v>-2186237860.2158871</v>
      </c>
      <c r="M2392" s="471">
        <f t="shared" si="149"/>
        <v>0.05</v>
      </c>
      <c r="N2392" s="475">
        <f t="shared" si="150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48"/>
        <v>-2186237860.2158871</v>
      </c>
      <c r="J2393" s="455">
        <f t="array" ref="J2393">IFERROR(INDEX('Retirement Calculator'!J:J,MATCH('Isaac 401k'!N2393,'Retirement Calculator'!A:A,0),0),0)</f>
        <v>0</v>
      </c>
      <c r="K2393" s="455">
        <f t="shared" ca="1" si="146"/>
        <v>-9109324.4175661951</v>
      </c>
      <c r="L2393" s="455">
        <f t="shared" ca="1" si="147"/>
        <v>-2195347184.6334534</v>
      </c>
      <c r="M2393" s="471">
        <f t="shared" si="149"/>
        <v>0.05</v>
      </c>
      <c r="N2393" s="475">
        <f t="shared" si="150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48"/>
        <v>-2195347184.6334534</v>
      </c>
      <c r="J2394" s="455">
        <f t="array" ref="J2394">IFERROR(INDEX('Retirement Calculator'!J:J,MATCH('Isaac 401k'!N2394,'Retirement Calculator'!A:A,0),0),0)</f>
        <v>0</v>
      </c>
      <c r="K2394" s="455">
        <f t="shared" ca="1" si="146"/>
        <v>-9147279.9359727222</v>
      </c>
      <c r="L2394" s="455">
        <f t="shared" ca="1" si="147"/>
        <v>-2204494464.5694261</v>
      </c>
      <c r="M2394" s="471">
        <f t="shared" si="149"/>
        <v>0.05</v>
      </c>
      <c r="N2394" s="475">
        <f t="shared" si="150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48"/>
        <v>-2204494464.5694261</v>
      </c>
      <c r="J2395" s="455">
        <f t="array" ref="J2395">IFERROR(INDEX('Retirement Calculator'!J:J,MATCH('Isaac 401k'!N2395,'Retirement Calculator'!A:A,0),0),0)</f>
        <v>0</v>
      </c>
      <c r="K2395" s="455">
        <f t="shared" ca="1" si="146"/>
        <v>-9185393.6023726091</v>
      </c>
      <c r="L2395" s="455">
        <f t="shared" ca="1" si="147"/>
        <v>-2213679858.1717987</v>
      </c>
      <c r="M2395" s="471">
        <f t="shared" si="149"/>
        <v>0.05</v>
      </c>
      <c r="N2395" s="475">
        <f t="shared" si="150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48"/>
        <v>-2213679858.1717987</v>
      </c>
      <c r="J2396" s="455">
        <f t="array" ref="J2396">IFERROR(INDEX('Retirement Calculator'!J:J,MATCH('Isaac 401k'!N2396,'Retirement Calculator'!A:A,0),0),0)</f>
        <v>0</v>
      </c>
      <c r="K2396" s="455">
        <f t="shared" ca="1" si="146"/>
        <v>-9223666.0757158287</v>
      </c>
      <c r="L2396" s="455">
        <f t="shared" ca="1" si="147"/>
        <v>-2222903524.2475147</v>
      </c>
      <c r="M2396" s="471">
        <f t="shared" si="149"/>
        <v>0.05</v>
      </c>
      <c r="N2396" s="475">
        <f t="shared" si="150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48"/>
        <v>-2222903524.2475147</v>
      </c>
      <c r="J2397" s="455">
        <f t="array" ref="J2397">IFERROR(INDEX('Retirement Calculator'!J:J,MATCH('Isaac 401k'!N2397,'Retirement Calculator'!A:A,0),0),0)</f>
        <v>0</v>
      </c>
      <c r="K2397" s="455">
        <f t="shared" ca="1" si="146"/>
        <v>-9262098.0176979788</v>
      </c>
      <c r="L2397" s="455">
        <f t="shared" ca="1" si="147"/>
        <v>-2232165622.2652125</v>
      </c>
      <c r="M2397" s="471">
        <f t="shared" si="149"/>
        <v>0.05</v>
      </c>
      <c r="N2397" s="475">
        <f t="shared" si="150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48"/>
        <v>-2232165622.2652125</v>
      </c>
      <c r="J2398" s="455">
        <f t="array" ref="J2398">IFERROR(INDEX('Retirement Calculator'!J:J,MATCH('Isaac 401k'!N2398,'Retirement Calculator'!A:A,0),0),0)</f>
        <v>0</v>
      </c>
      <c r="K2398" s="455">
        <f t="shared" ca="1" si="146"/>
        <v>-9300690.0927717183</v>
      </c>
      <c r="L2398" s="455">
        <f t="shared" ca="1" si="147"/>
        <v>-2241466312.3579841</v>
      </c>
      <c r="M2398" s="471">
        <f t="shared" si="149"/>
        <v>0.05</v>
      </c>
      <c r="N2398" s="475">
        <f t="shared" si="150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48"/>
        <v>-2241466312.3579841</v>
      </c>
      <c r="J2399" s="455">
        <f t="array" ref="J2399">IFERROR(INDEX('Retirement Calculator'!J:J,MATCH('Isaac 401k'!N2399,'Retirement Calculator'!A:A,0),0),0)</f>
        <v>0</v>
      </c>
      <c r="K2399" s="455">
        <f t="shared" ca="1" si="146"/>
        <v>-9339442.9681582674</v>
      </c>
      <c r="L2399" s="455">
        <f t="shared" ca="1" si="147"/>
        <v>-2250805755.3261423</v>
      </c>
      <c r="M2399" s="471">
        <f t="shared" si="149"/>
        <v>0.05</v>
      </c>
      <c r="N2399" s="475">
        <f t="shared" si="150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48"/>
        <v>-2250805755.3261423</v>
      </c>
      <c r="J2400" s="455">
        <f t="array" ref="J2400">IFERROR(INDEX('Retirement Calculator'!J:J,MATCH('Isaac 401k'!N2400,'Retirement Calculator'!A:A,0),0),0)</f>
        <v>0</v>
      </c>
      <c r="K2400" s="455">
        <f t="shared" ca="1" si="146"/>
        <v>-9378357.3138589263</v>
      </c>
      <c r="L2400" s="455">
        <f t="shared" ca="1" si="147"/>
        <v>-2260184112.6400013</v>
      </c>
      <c r="M2400" s="471">
        <f t="shared" si="149"/>
        <v>0.05</v>
      </c>
      <c r="N2400" s="475">
        <f t="shared" si="150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48"/>
        <v>-2260184112.6400013</v>
      </c>
      <c r="J2401" s="455">
        <f t="array" ref="J2401">IFERROR(INDEX('Retirement Calculator'!J:J,MATCH('Isaac 401k'!N2401,'Retirement Calculator'!A:A,0),0),0)</f>
        <v>0</v>
      </c>
      <c r="K2401" s="455">
        <f t="shared" ca="1" si="146"/>
        <v>-9417433.8026666716</v>
      </c>
      <c r="L2401" s="455">
        <f t="shared" ca="1" si="147"/>
        <v>-2269601546.442668</v>
      </c>
      <c r="M2401" s="471">
        <f t="shared" si="149"/>
        <v>0.05</v>
      </c>
      <c r="N2401" s="475">
        <f t="shared" si="150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48"/>
        <v>-2269601546.442668</v>
      </c>
      <c r="J2402" s="455">
        <f t="array" ref="J2402">IFERROR(INDEX('Retirement Calculator'!J:J,MATCH('Isaac 401k'!N2402,'Retirement Calculator'!A:A,0),0),0)</f>
        <v>0</v>
      </c>
      <c r="K2402" s="455">
        <f t="shared" ca="1" si="146"/>
        <v>-9456673.1101777833</v>
      </c>
      <c r="L2402" s="455">
        <f t="shared" ca="1" si="147"/>
        <v>-2279058219.552846</v>
      </c>
      <c r="M2402" s="471">
        <f t="shared" si="149"/>
        <v>0.05</v>
      </c>
      <c r="N2402" s="475">
        <f t="shared" si="150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48"/>
        <v>-2279058219.552846</v>
      </c>
      <c r="J2403" s="455">
        <f t="array" ref="J2403">IFERROR(INDEX('Retirement Calculator'!J:J,MATCH('Isaac 401k'!N2403,'Retirement Calculator'!A:A,0),0),0)</f>
        <v>0</v>
      </c>
      <c r="K2403" s="455">
        <f t="shared" ca="1" si="146"/>
        <v>-9496075.9148035254</v>
      </c>
      <c r="L2403" s="455">
        <f t="shared" ca="1" si="147"/>
        <v>-2288554295.4676495</v>
      </c>
      <c r="M2403" s="471">
        <f t="shared" si="149"/>
        <v>0.05</v>
      </c>
      <c r="N2403" s="475">
        <f t="shared" si="150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48"/>
        <v>-2288554295.4676495</v>
      </c>
      <c r="J2404" s="455">
        <f t="array" ref="J2404">IFERROR(INDEX('Retirement Calculator'!J:J,MATCH('Isaac 401k'!N2404,'Retirement Calculator'!A:A,0),0),0)</f>
        <v>0</v>
      </c>
      <c r="K2404" s="455">
        <f t="shared" ca="1" si="146"/>
        <v>-9535642.8977818731</v>
      </c>
      <c r="L2404" s="455">
        <f t="shared" ca="1" si="147"/>
        <v>-2298089938.3654313</v>
      </c>
      <c r="M2404" s="471">
        <f t="shared" si="149"/>
        <v>0.05</v>
      </c>
      <c r="N2404" s="475">
        <f t="shared" si="150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48"/>
        <v>-2298089938.3654313</v>
      </c>
      <c r="J2405" s="455">
        <f t="array" ref="J2405">IFERROR(INDEX('Retirement Calculator'!J:J,MATCH('Isaac 401k'!N2405,'Retirement Calculator'!A:A,0),0),0)</f>
        <v>0</v>
      </c>
      <c r="K2405" s="455">
        <f t="shared" ca="1" si="146"/>
        <v>-9575374.7431892976</v>
      </c>
      <c r="L2405" s="455">
        <f t="shared" ca="1" si="147"/>
        <v>-2307665313.1086206</v>
      </c>
      <c r="M2405" s="471">
        <f t="shared" si="149"/>
        <v>0.05</v>
      </c>
      <c r="N2405" s="475">
        <f t="shared" si="150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48"/>
        <v>-2307665313.1086206</v>
      </c>
      <c r="J2406" s="455">
        <f t="array" ref="J2406">IFERROR(INDEX('Retirement Calculator'!J:J,MATCH('Isaac 401k'!N2406,'Retirement Calculator'!A:A,0),0),0)</f>
        <v>0</v>
      </c>
      <c r="K2406" s="455">
        <f t="shared" ca="1" si="146"/>
        <v>-9615272.1379525866</v>
      </c>
      <c r="L2406" s="455">
        <f t="shared" ca="1" si="147"/>
        <v>-2317280585.2465734</v>
      </c>
      <c r="M2406" s="471">
        <f t="shared" si="149"/>
        <v>0.05</v>
      </c>
      <c r="N2406" s="475">
        <f t="shared" si="150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48"/>
        <v>-2317280585.2465734</v>
      </c>
      <c r="J2407" s="455">
        <f t="array" ref="J2407">IFERROR(INDEX('Retirement Calculator'!J:J,MATCH('Isaac 401k'!N2407,'Retirement Calculator'!A:A,0),0),0)</f>
        <v>0</v>
      </c>
      <c r="K2407" s="455">
        <f t="shared" ca="1" si="146"/>
        <v>-9655335.7718607225</v>
      </c>
      <c r="L2407" s="455">
        <f t="shared" ca="1" si="147"/>
        <v>-2326935921.018434</v>
      </c>
      <c r="M2407" s="471">
        <f t="shared" si="149"/>
        <v>0.05</v>
      </c>
      <c r="N2407" s="475">
        <f t="shared" si="150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48"/>
        <v>-2326935921.018434</v>
      </c>
      <c r="J2408" s="455">
        <f t="array" ref="J2408">IFERROR(INDEX('Retirement Calculator'!J:J,MATCH('Isaac 401k'!N2408,'Retirement Calculator'!A:A,0),0),0)</f>
        <v>0</v>
      </c>
      <c r="K2408" s="455">
        <f t="shared" ca="1" si="146"/>
        <v>-9695566.3375768084</v>
      </c>
      <c r="L2408" s="455">
        <f t="shared" ca="1" si="147"/>
        <v>-2336631487.3560109</v>
      </c>
      <c r="M2408" s="471">
        <f t="shared" si="149"/>
        <v>0.05</v>
      </c>
      <c r="N2408" s="475">
        <f t="shared" si="150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48"/>
        <v>-2336631487.3560109</v>
      </c>
      <c r="J2409" s="455">
        <f t="array" ref="J2409">IFERROR(INDEX('Retirement Calculator'!J:J,MATCH('Isaac 401k'!N2409,'Retirement Calculator'!A:A,0),0),0)</f>
        <v>0</v>
      </c>
      <c r="K2409" s="455">
        <f t="shared" ca="1" si="146"/>
        <v>-9735964.5306500457</v>
      </c>
      <c r="L2409" s="455">
        <f t="shared" ca="1" si="147"/>
        <v>-2346367451.8866611</v>
      </c>
      <c r="M2409" s="471">
        <f t="shared" si="149"/>
        <v>0.05</v>
      </c>
      <c r="N2409" s="475">
        <f t="shared" si="150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48"/>
        <v>-2346367451.8866611</v>
      </c>
      <c r="J2410" s="455">
        <f t="array" ref="J2410">IFERROR(INDEX('Retirement Calculator'!J:J,MATCH('Isaac 401k'!N2410,'Retirement Calculator'!A:A,0),0),0)</f>
        <v>0</v>
      </c>
      <c r="K2410" s="455">
        <f t="shared" ca="1" si="146"/>
        <v>-9776531.049527755</v>
      </c>
      <c r="L2410" s="455">
        <f t="shared" ca="1" si="147"/>
        <v>-2356143982.9361887</v>
      </c>
      <c r="M2410" s="471">
        <f t="shared" si="149"/>
        <v>0.05</v>
      </c>
      <c r="N2410" s="475">
        <f t="shared" si="150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48"/>
        <v>-2356143982.9361887</v>
      </c>
      <c r="J2411" s="455">
        <f t="array" ref="J2411">IFERROR(INDEX('Retirement Calculator'!J:J,MATCH('Isaac 401k'!N2411,'Retirement Calculator'!A:A,0),0),0)</f>
        <v>0</v>
      </c>
      <c r="K2411" s="455">
        <f t="shared" ca="1" si="146"/>
        <v>-9817266.5955674537</v>
      </c>
      <c r="L2411" s="455">
        <f t="shared" ca="1" si="147"/>
        <v>-2365961249.5317559</v>
      </c>
      <c r="M2411" s="471">
        <f t="shared" si="149"/>
        <v>0.05</v>
      </c>
      <c r="N2411" s="475">
        <f t="shared" si="150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48"/>
        <v>-2365961249.5317559</v>
      </c>
      <c r="J2412" s="455">
        <f t="array" ref="J2412">IFERROR(INDEX('Retirement Calculator'!J:J,MATCH('Isaac 401k'!N2412,'Retirement Calculator'!A:A,0),0),0)</f>
        <v>0</v>
      </c>
      <c r="K2412" s="455">
        <f t="shared" ca="1" si="146"/>
        <v>-9858171.8730489835</v>
      </c>
      <c r="L2412" s="455">
        <f t="shared" ca="1" si="147"/>
        <v>-2375819421.4048047</v>
      </c>
      <c r="M2412" s="471">
        <f t="shared" si="149"/>
        <v>0.05</v>
      </c>
      <c r="N2412" s="475">
        <f t="shared" si="150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48"/>
        <v>-2375819421.4048047</v>
      </c>
      <c r="J2413" s="455">
        <f t="array" ref="J2413">IFERROR(INDEX('Retirement Calculator'!J:J,MATCH('Isaac 401k'!N2413,'Retirement Calculator'!A:A,0),0),0)</f>
        <v>0</v>
      </c>
      <c r="K2413" s="455">
        <f t="shared" ca="1" si="146"/>
        <v>-9899247.589186687</v>
      </c>
      <c r="L2413" s="455">
        <f t="shared" ca="1" si="147"/>
        <v>-2385718668.9939914</v>
      </c>
      <c r="M2413" s="471">
        <f t="shared" si="149"/>
        <v>0.05</v>
      </c>
      <c r="N2413" s="475">
        <f t="shared" si="150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48"/>
        <v>-2385718668.9939914</v>
      </c>
      <c r="J2414" s="455">
        <f t="array" ref="J2414">IFERROR(INDEX('Retirement Calculator'!J:J,MATCH('Isaac 401k'!N2414,'Retirement Calculator'!A:A,0),0),0)</f>
        <v>0</v>
      </c>
      <c r="K2414" s="455">
        <f t="shared" ca="1" si="146"/>
        <v>-9940494.4541416299</v>
      </c>
      <c r="L2414" s="455">
        <f t="shared" ca="1" si="147"/>
        <v>-2395659163.448133</v>
      </c>
      <c r="M2414" s="471">
        <f t="shared" si="149"/>
        <v>0.05</v>
      </c>
      <c r="N2414" s="475">
        <f t="shared" si="150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48"/>
        <v>-2395659163.448133</v>
      </c>
      <c r="J2415" s="455">
        <f t="array" ref="J2415">IFERROR(INDEX('Retirement Calculator'!J:J,MATCH('Isaac 401k'!N2415,'Retirement Calculator'!A:A,0),0),0)</f>
        <v>0</v>
      </c>
      <c r="K2415" s="455">
        <f t="shared" ca="1" si="146"/>
        <v>-9981913.181033887</v>
      </c>
      <c r="L2415" s="455">
        <f t="shared" ca="1" si="147"/>
        <v>-2405641076.6291671</v>
      </c>
      <c r="M2415" s="471">
        <f t="shared" si="149"/>
        <v>0.05</v>
      </c>
      <c r="N2415" s="475">
        <f t="shared" si="150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48"/>
        <v>-2405641076.6291671</v>
      </c>
      <c r="J2416" s="455">
        <f t="array" ref="J2416">IFERROR(INDEX('Retirement Calculator'!J:J,MATCH('Isaac 401k'!N2416,'Retirement Calculator'!A:A,0),0),0)</f>
        <v>0</v>
      </c>
      <c r="K2416" s="455">
        <f t="shared" ca="1" si="146"/>
        <v>-10023504.485954862</v>
      </c>
      <c r="L2416" s="455">
        <f t="shared" ca="1" si="147"/>
        <v>-2415664581.1151218</v>
      </c>
      <c r="M2416" s="471">
        <f t="shared" si="149"/>
        <v>0.05</v>
      </c>
      <c r="N2416" s="475">
        <f t="shared" si="150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48"/>
        <v>-2415664581.1151218</v>
      </c>
      <c r="J2417" s="455">
        <f t="array" ref="J2417">IFERROR(INDEX('Retirement Calculator'!J:J,MATCH('Isaac 401k'!N2417,'Retirement Calculator'!A:A,0),0),0)</f>
        <v>0</v>
      </c>
      <c r="K2417" s="455">
        <f t="shared" ca="1" si="146"/>
        <v>-10065269.087979674</v>
      </c>
      <c r="L2417" s="455">
        <f t="shared" ca="1" si="147"/>
        <v>-2425729850.2031016</v>
      </c>
      <c r="M2417" s="471">
        <f t="shared" si="149"/>
        <v>0.05</v>
      </c>
      <c r="N2417" s="475">
        <f t="shared" si="150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48"/>
        <v>-2425729850.2031016</v>
      </c>
      <c r="J2418" s="455">
        <f t="array" ref="J2418">IFERROR(INDEX('Retirement Calculator'!J:J,MATCH('Isaac 401k'!N2418,'Retirement Calculator'!A:A,0),0),0)</f>
        <v>0</v>
      </c>
      <c r="K2418" s="455">
        <f t="shared" ca="1" si="146"/>
        <v>-10107207.70917959</v>
      </c>
      <c r="L2418" s="455">
        <f t="shared" ca="1" si="147"/>
        <v>-2435837057.912281</v>
      </c>
      <c r="M2418" s="471">
        <f t="shared" si="149"/>
        <v>0.05</v>
      </c>
      <c r="N2418" s="475">
        <f t="shared" si="150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48"/>
        <v>-2435837057.912281</v>
      </c>
      <c r="J2419" s="455">
        <f t="array" ref="J2419">IFERROR(INDEX('Retirement Calculator'!J:J,MATCH('Isaac 401k'!N2419,'Retirement Calculator'!A:A,0),0),0)</f>
        <v>0</v>
      </c>
      <c r="K2419" s="455">
        <f t="shared" ca="1" si="146"/>
        <v>-10149321.074634504</v>
      </c>
      <c r="L2419" s="455">
        <f t="shared" ca="1" si="147"/>
        <v>-2445986378.9869156</v>
      </c>
      <c r="M2419" s="471">
        <f t="shared" si="149"/>
        <v>0.05</v>
      </c>
      <c r="N2419" s="475">
        <f t="shared" si="150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48"/>
        <v>-2445986378.9869156</v>
      </c>
      <c r="J2420" s="455">
        <f t="array" ref="J2420">IFERROR(INDEX('Retirement Calculator'!J:J,MATCH('Isaac 401k'!N2420,'Retirement Calculator'!A:A,0),0),0)</f>
        <v>0</v>
      </c>
      <c r="K2420" s="455">
        <f t="shared" ca="1" si="146"/>
        <v>-10191609.912445482</v>
      </c>
      <c r="L2420" s="455">
        <f t="shared" ca="1" si="147"/>
        <v>-2456177988.8993611</v>
      </c>
      <c r="M2420" s="471">
        <f t="shared" si="149"/>
        <v>0.05</v>
      </c>
      <c r="N2420" s="475">
        <f t="shared" si="150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48"/>
        <v>-2456177988.8993611</v>
      </c>
      <c r="J2421" s="455">
        <f t="array" ref="J2421">IFERROR(INDEX('Retirement Calculator'!J:J,MATCH('Isaac 401k'!N2421,'Retirement Calculator'!A:A,0),0),0)</f>
        <v>0</v>
      </c>
      <c r="K2421" s="455">
        <f t="shared" ca="1" si="146"/>
        <v>-10234074.953747338</v>
      </c>
      <c r="L2421" s="455">
        <f t="shared" ca="1" si="147"/>
        <v>-2466412063.8531084</v>
      </c>
      <c r="M2421" s="471">
        <f t="shared" si="149"/>
        <v>0.05</v>
      </c>
      <c r="N2421" s="475">
        <f t="shared" si="150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48"/>
        <v>-2466412063.8531084</v>
      </c>
      <c r="J2422" s="455">
        <f t="array" ref="J2422">IFERROR(INDEX('Retirement Calculator'!J:J,MATCH('Isaac 401k'!N2422,'Retirement Calculator'!A:A,0),0),0)</f>
        <v>0</v>
      </c>
      <c r="K2422" s="455">
        <f t="shared" ca="1" si="146"/>
        <v>-10276716.932721285</v>
      </c>
      <c r="L2422" s="455">
        <f t="shared" ca="1" si="147"/>
        <v>-2476688780.7858295</v>
      </c>
      <c r="M2422" s="471">
        <f t="shared" si="149"/>
        <v>0.05</v>
      </c>
      <c r="N2422" s="475">
        <f t="shared" si="150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48"/>
        <v>-2476688780.7858295</v>
      </c>
      <c r="J2423" s="455">
        <f t="array" ref="J2423">IFERROR(INDEX('Retirement Calculator'!J:J,MATCH('Isaac 401k'!N2423,'Retirement Calculator'!A:A,0),0),0)</f>
        <v>0</v>
      </c>
      <c r="K2423" s="455">
        <f t="shared" ca="1" si="146"/>
        <v>-10319536.586607624</v>
      </c>
      <c r="L2423" s="455">
        <f t="shared" ca="1" si="147"/>
        <v>-2487008317.372437</v>
      </c>
      <c r="M2423" s="471">
        <f t="shared" si="149"/>
        <v>0.05</v>
      </c>
      <c r="N2423" s="475">
        <f t="shared" si="150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48"/>
        <v>-2487008317.372437</v>
      </c>
      <c r="J2424" s="455">
        <f t="array" ref="J2424">IFERROR(INDEX('Retirement Calculator'!J:J,MATCH('Isaac 401k'!N2424,'Retirement Calculator'!A:A,0),0),0)</f>
        <v>0</v>
      </c>
      <c r="K2424" s="455">
        <f t="shared" ca="1" si="146"/>
        <v>-10362534.655718487</v>
      </c>
      <c r="L2424" s="455">
        <f t="shared" ca="1" si="147"/>
        <v>-2497370852.0281553</v>
      </c>
      <c r="M2424" s="471">
        <f t="shared" si="149"/>
        <v>0.05</v>
      </c>
      <c r="N2424" s="475">
        <f t="shared" si="150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48"/>
        <v>-2497370852.0281553</v>
      </c>
      <c r="J2425" s="455">
        <f t="array" ref="J2425">IFERROR(INDEX('Retirement Calculator'!J:J,MATCH('Isaac 401k'!N2425,'Retirement Calculator'!A:A,0),0),0)</f>
        <v>0</v>
      </c>
      <c r="K2425" s="455">
        <f t="shared" ca="1" si="146"/>
        <v>-10405711.883450648</v>
      </c>
      <c r="L2425" s="455">
        <f t="shared" ca="1" si="147"/>
        <v>-2507776563.9116058</v>
      </c>
      <c r="M2425" s="471">
        <f t="shared" si="149"/>
        <v>0.05</v>
      </c>
      <c r="N2425" s="475">
        <f t="shared" si="150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48"/>
        <v>-2507776563.9116058</v>
      </c>
      <c r="J2426" s="455">
        <f t="array" ref="J2426">IFERROR(INDEX('Retirement Calculator'!J:J,MATCH('Isaac 401k'!N2426,'Retirement Calculator'!A:A,0),0),0)</f>
        <v>0</v>
      </c>
      <c r="K2426" s="455">
        <f t="shared" ca="1" si="146"/>
        <v>-10449069.016298357</v>
      </c>
      <c r="L2426" s="455">
        <f t="shared" ca="1" si="147"/>
        <v>-2518225632.9279041</v>
      </c>
      <c r="M2426" s="471">
        <f t="shared" si="149"/>
        <v>0.05</v>
      </c>
      <c r="N2426" s="475">
        <f t="shared" si="150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48"/>
        <v>-2518225632.9279041</v>
      </c>
      <c r="J2427" s="455">
        <f t="array" ref="J2427">IFERROR(INDEX('Retirement Calculator'!J:J,MATCH('Isaac 401k'!N2427,'Retirement Calculator'!A:A,0),0),0)</f>
        <v>0</v>
      </c>
      <c r="K2427" s="455">
        <f t="shared" ca="1" si="146"/>
        <v>-10492606.803866267</v>
      </c>
      <c r="L2427" s="455">
        <f t="shared" ca="1" si="147"/>
        <v>-2528718239.7317705</v>
      </c>
      <c r="M2427" s="471">
        <f t="shared" si="149"/>
        <v>0.05</v>
      </c>
      <c r="N2427" s="475">
        <f t="shared" si="150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48"/>
        <v>-2528718239.7317705</v>
      </c>
      <c r="J2428" s="455">
        <f t="array" ref="J2428">IFERROR(INDEX('Retirement Calculator'!J:J,MATCH('Isaac 401k'!N2428,'Retirement Calculator'!A:A,0),0),0)</f>
        <v>0</v>
      </c>
      <c r="K2428" s="455">
        <f t="shared" ca="1" si="146"/>
        <v>-10536325.998882378</v>
      </c>
      <c r="L2428" s="455">
        <f t="shared" ca="1" si="147"/>
        <v>-2539254565.7306528</v>
      </c>
      <c r="M2428" s="471">
        <f t="shared" si="149"/>
        <v>0.05</v>
      </c>
      <c r="N2428" s="475">
        <f t="shared" si="150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48"/>
        <v>-2539254565.7306528</v>
      </c>
      <c r="J2429" s="455">
        <f t="array" ref="J2429">IFERROR(INDEX('Retirement Calculator'!J:J,MATCH('Isaac 401k'!N2429,'Retirement Calculator'!A:A,0),0),0)</f>
        <v>0</v>
      </c>
      <c r="K2429" s="455">
        <f t="shared" ca="1" si="146"/>
        <v>-10580227.357211053</v>
      </c>
      <c r="L2429" s="455">
        <f t="shared" ca="1" si="147"/>
        <v>-2549834793.0878639</v>
      </c>
      <c r="M2429" s="471">
        <f t="shared" si="149"/>
        <v>0.05</v>
      </c>
      <c r="N2429" s="475">
        <f t="shared" si="150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48"/>
        <v>-2549834793.0878639</v>
      </c>
      <c r="J2430" s="455">
        <f t="array" ref="J2430">IFERROR(INDEX('Retirement Calculator'!J:J,MATCH('Isaac 401k'!N2430,'Retirement Calculator'!A:A,0),0),0)</f>
        <v>0</v>
      </c>
      <c r="K2430" s="455">
        <f t="shared" ca="1" si="146"/>
        <v>-10624311.6378661</v>
      </c>
      <c r="L2430" s="455">
        <f t="shared" ca="1" si="147"/>
        <v>-2560459104.7257299</v>
      </c>
      <c r="M2430" s="471">
        <f t="shared" si="149"/>
        <v>0.05</v>
      </c>
      <c r="N2430" s="475">
        <f t="shared" si="150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48"/>
        <v>-2560459104.7257299</v>
      </c>
      <c r="J2431" s="455">
        <f t="array" ref="J2431">IFERROR(INDEX('Retirement Calculator'!J:J,MATCH('Isaac 401k'!N2431,'Retirement Calculator'!A:A,0),0),0)</f>
        <v>0</v>
      </c>
      <c r="K2431" s="455">
        <f t="shared" ca="1" si="146"/>
        <v>-10668579.603023876</v>
      </c>
      <c r="L2431" s="455">
        <f t="shared" ca="1" si="147"/>
        <v>-2571127684.3287539</v>
      </c>
      <c r="M2431" s="471">
        <f t="shared" si="149"/>
        <v>0.05</v>
      </c>
      <c r="N2431" s="475">
        <f t="shared" si="150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48"/>
        <v>-2571127684.3287539</v>
      </c>
      <c r="J2432" s="455">
        <f t="array" ref="J2432">IFERROR(INDEX('Retirement Calculator'!J:J,MATCH('Isaac 401k'!N2432,'Retirement Calculator'!A:A,0),0),0)</f>
        <v>0</v>
      </c>
      <c r="K2432" s="455">
        <f t="shared" ca="1" si="146"/>
        <v>-10713032.018036475</v>
      </c>
      <c r="L2432" s="455">
        <f t="shared" ca="1" si="147"/>
        <v>-2581840716.3467903</v>
      </c>
      <c r="M2432" s="471">
        <f t="shared" si="149"/>
        <v>0.05</v>
      </c>
      <c r="N2432" s="475">
        <f t="shared" si="150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48"/>
        <v>-2581840716.3467903</v>
      </c>
      <c r="J2433" s="455">
        <f t="array" ref="J2433">IFERROR(INDEX('Retirement Calculator'!J:J,MATCH('Isaac 401k'!N2433,'Retirement Calculator'!A:A,0),0),0)</f>
        <v>0</v>
      </c>
      <c r="K2433" s="455">
        <f t="shared" ca="1" si="146"/>
        <v>-10757669.65144496</v>
      </c>
      <c r="L2433" s="455">
        <f t="shared" ca="1" si="147"/>
        <v>-2592598385.9982352</v>
      </c>
      <c r="M2433" s="471">
        <f t="shared" si="149"/>
        <v>0.05</v>
      </c>
      <c r="N2433" s="475">
        <f t="shared" si="150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48"/>
        <v>-2592598385.9982352</v>
      </c>
      <c r="J2434" s="455">
        <f t="array" ref="J2434">IFERROR(INDEX('Retirement Calculator'!J:J,MATCH('Isaac 401k'!N2434,'Retirement Calculator'!A:A,0),0),0)</f>
        <v>0</v>
      </c>
      <c r="K2434" s="455">
        <f t="shared" ca="1" si="146"/>
        <v>-10802493.274992647</v>
      </c>
      <c r="L2434" s="455">
        <f t="shared" ca="1" si="147"/>
        <v>-2603400879.2732277</v>
      </c>
      <c r="M2434" s="471">
        <f t="shared" si="149"/>
        <v>0.05</v>
      </c>
      <c r="N2434" s="475">
        <f t="shared" si="150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48"/>
        <v>-2603400879.2732277</v>
      </c>
      <c r="J2435" s="455">
        <f t="array" ref="J2435">IFERROR(INDEX('Retirement Calculator'!J:J,MATCH('Isaac 401k'!N2435,'Retirement Calculator'!A:A,0),0),0)</f>
        <v>0</v>
      </c>
      <c r="K2435" s="455">
        <f t="shared" ca="1" si="146"/>
        <v>-10847503.663638448</v>
      </c>
      <c r="L2435" s="455">
        <f t="shared" ca="1" si="147"/>
        <v>-2614248382.9368663</v>
      </c>
      <c r="M2435" s="471">
        <f t="shared" si="149"/>
        <v>0.05</v>
      </c>
      <c r="N2435" s="475">
        <f t="shared" si="150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48"/>
        <v>-2614248382.9368663</v>
      </c>
      <c r="J2436" s="455">
        <f t="array" ref="J2436">IFERROR(INDEX('Retirement Calculator'!J:J,MATCH('Isaac 401k'!N2436,'Retirement Calculator'!A:A,0),0),0)</f>
        <v>0</v>
      </c>
      <c r="K2436" s="455">
        <f t="shared" ca="1" si="146"/>
        <v>-10892701.595570276</v>
      </c>
      <c r="L2436" s="455">
        <f t="shared" ca="1" si="147"/>
        <v>-2625141084.5324364</v>
      </c>
      <c r="M2436" s="471">
        <f t="shared" si="149"/>
        <v>0.05</v>
      </c>
      <c r="N2436" s="475">
        <f t="shared" si="150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48"/>
        <v>-2625141084.5324364</v>
      </c>
      <c r="J2437" s="455">
        <f t="array" ref="J2437">IFERROR(INDEX('Retirement Calculator'!J:J,MATCH('Isaac 401k'!N2437,'Retirement Calculator'!A:A,0),0),0)</f>
        <v>0</v>
      </c>
      <c r="K2437" s="455">
        <f t="shared" ca="1" si="146"/>
        <v>-10938087.852218485</v>
      </c>
      <c r="L2437" s="455">
        <f t="shared" ca="1" si="147"/>
        <v>-2636079172.384655</v>
      </c>
      <c r="M2437" s="471">
        <f t="shared" si="149"/>
        <v>0.05</v>
      </c>
      <c r="N2437" s="475">
        <f t="shared" si="150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48"/>
        <v>-2636079172.384655</v>
      </c>
      <c r="J2438" s="455">
        <f t="array" ref="J2438">IFERROR(INDEX('Retirement Calculator'!J:J,MATCH('Isaac 401k'!N2438,'Retirement Calculator'!A:A,0),0),0)</f>
        <v>0</v>
      </c>
      <c r="K2438" s="455">
        <f t="shared" ca="1" si="146"/>
        <v>-10983663.218269397</v>
      </c>
      <c r="L2438" s="455">
        <f t="shared" ca="1" si="147"/>
        <v>-2647062835.6029243</v>
      </c>
      <c r="M2438" s="471">
        <f t="shared" si="149"/>
        <v>0.05</v>
      </c>
      <c r="N2438" s="475">
        <f t="shared" si="150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48"/>
        <v>-2647062835.6029243</v>
      </c>
      <c r="J2439" s="455">
        <f t="array" ref="J2439">IFERROR(INDEX('Retirement Calculator'!J:J,MATCH('Isaac 401k'!N2439,'Retirement Calculator'!A:A,0),0),0)</f>
        <v>0</v>
      </c>
      <c r="K2439" s="455">
        <f t="shared" ca="1" si="146"/>
        <v>-11029428.481678851</v>
      </c>
      <c r="L2439" s="455">
        <f t="shared" ca="1" si="147"/>
        <v>-2658092264.0846033</v>
      </c>
      <c r="M2439" s="471">
        <f t="shared" si="149"/>
        <v>0.05</v>
      </c>
      <c r="N2439" s="475">
        <f t="shared" si="150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48"/>
        <v>-2658092264.0846033</v>
      </c>
      <c r="J2440" s="455">
        <f t="array" ref="J2440">IFERROR(INDEX('Retirement Calculator'!J:J,MATCH('Isaac 401k'!N2440,'Retirement Calculator'!A:A,0),0),0)</f>
        <v>0</v>
      </c>
      <c r="K2440" s="455">
        <f t="shared" ca="1" si="146"/>
        <v>-11075384.433685847</v>
      </c>
      <c r="L2440" s="455">
        <f t="shared" ca="1" si="147"/>
        <v>-2669167648.5182891</v>
      </c>
      <c r="M2440" s="471">
        <f t="shared" si="149"/>
        <v>0.05</v>
      </c>
      <c r="N2440" s="475">
        <f t="shared" si="150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48"/>
        <v>-2669167648.5182891</v>
      </c>
      <c r="J2441" s="455">
        <f t="array" ref="J2441">IFERROR(INDEX('Retirement Calculator'!J:J,MATCH('Isaac 401k'!N2441,'Retirement Calculator'!A:A,0),0),0)</f>
        <v>0</v>
      </c>
      <c r="K2441" s="455">
        <f t="shared" ca="1" si="146"/>
        <v>-11121531.868826205</v>
      </c>
      <c r="L2441" s="455">
        <f t="shared" ca="1" si="147"/>
        <v>-2680289180.3871155</v>
      </c>
      <c r="M2441" s="471">
        <f t="shared" si="149"/>
        <v>0.05</v>
      </c>
      <c r="N2441" s="475">
        <f t="shared" si="150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48"/>
        <v>-2680289180.3871155</v>
      </c>
      <c r="J2442" s="455">
        <f t="array" ref="J2442">IFERROR(INDEX('Retirement Calculator'!J:J,MATCH('Isaac 401k'!N2442,'Retirement Calculator'!A:A,0),0),0)</f>
        <v>0</v>
      </c>
      <c r="K2442" s="455">
        <f t="shared" ca="1" si="146"/>
        <v>-11167871.584946314</v>
      </c>
      <c r="L2442" s="455">
        <f t="shared" ca="1" si="147"/>
        <v>-2691457051.9720616</v>
      </c>
      <c r="M2442" s="471">
        <f t="shared" si="149"/>
        <v>0.05</v>
      </c>
      <c r="N2442" s="475">
        <f t="shared" si="150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48"/>
        <v>-2691457051.9720616</v>
      </c>
      <c r="J2443" s="455">
        <f t="array" ref="J2443">IFERROR(INDEX('Retirement Calculator'!J:J,MATCH('Isaac 401k'!N2443,'Retirement Calculator'!A:A,0),0),0)</f>
        <v>0</v>
      </c>
      <c r="K2443" s="455">
        <f t="shared" ca="1" si="146"/>
        <v>-11214404.383216923</v>
      </c>
      <c r="L2443" s="455">
        <f t="shared" ca="1" si="147"/>
        <v>-2702671456.3552785</v>
      </c>
      <c r="M2443" s="471">
        <f t="shared" si="149"/>
        <v>0.05</v>
      </c>
      <c r="N2443" s="475">
        <f t="shared" si="150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48"/>
        <v>-2702671456.3552785</v>
      </c>
      <c r="J2444" s="455">
        <f t="array" ref="J2444">IFERROR(INDEX('Retirement Calculator'!J:J,MATCH('Isaac 401k'!N2444,'Retirement Calculator'!A:A,0),0),0)</f>
        <v>0</v>
      </c>
      <c r="K2444" s="455">
        <f t="shared" ca="1" si="146"/>
        <v>-11261131.068146994</v>
      </c>
      <c r="L2444" s="455">
        <f t="shared" ca="1" si="147"/>
        <v>-2713932587.4234257</v>
      </c>
      <c r="M2444" s="471">
        <f t="shared" si="149"/>
        <v>0.05</v>
      </c>
      <c r="N2444" s="475">
        <f t="shared" si="150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48"/>
        <v>-2713932587.4234257</v>
      </c>
      <c r="J2445" s="455">
        <f t="array" ref="J2445">IFERROR(INDEX('Retirement Calculator'!J:J,MATCH('Isaac 401k'!N2445,'Retirement Calculator'!A:A,0),0),0)</f>
        <v>0</v>
      </c>
      <c r="K2445" s="455">
        <f t="shared" ca="1" si="146"/>
        <v>-11308052.447597606</v>
      </c>
      <c r="L2445" s="455">
        <f t="shared" ca="1" si="147"/>
        <v>-2725240639.8710232</v>
      </c>
      <c r="M2445" s="471">
        <f t="shared" si="149"/>
        <v>0.05</v>
      </c>
      <c r="N2445" s="475">
        <f t="shared" si="150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48"/>
        <v>-2725240639.8710232</v>
      </c>
      <c r="J2446" s="455">
        <f t="array" ref="J2446">IFERROR(INDEX('Retirement Calculator'!J:J,MATCH('Isaac 401k'!N2446,'Retirement Calculator'!A:A,0),0),0)</f>
        <v>0</v>
      </c>
      <c r="K2446" s="455">
        <f t="shared" ca="1" si="146"/>
        <v>-11355169.332795929</v>
      </c>
      <c r="L2446" s="455">
        <f t="shared" ca="1" si="147"/>
        <v>-2736595809.2038193</v>
      </c>
      <c r="M2446" s="471">
        <f t="shared" si="149"/>
        <v>0.05</v>
      </c>
      <c r="N2446" s="475">
        <f t="shared" si="150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48"/>
        <v>-2736595809.2038193</v>
      </c>
      <c r="J2447" s="455">
        <f t="array" ref="J2447">IFERROR(INDEX('Retirement Calculator'!J:J,MATCH('Isaac 401k'!N2447,'Retirement Calculator'!A:A,0),0),0)</f>
        <v>0</v>
      </c>
      <c r="K2447" s="455">
        <f t="shared" ca="1" si="146"/>
        <v>-11402482.538349247</v>
      </c>
      <c r="L2447" s="455">
        <f t="shared" ca="1" si="147"/>
        <v>-2747998291.7421684</v>
      </c>
      <c r="M2447" s="471">
        <f t="shared" si="149"/>
        <v>0.05</v>
      </c>
      <c r="N2447" s="475">
        <f t="shared" si="150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48"/>
        <v>-2747998291.7421684</v>
      </c>
      <c r="J2448" s="455">
        <f t="array" ref="J2448">IFERROR(INDEX('Retirement Calculator'!J:J,MATCH('Isaac 401k'!N2448,'Retirement Calculator'!A:A,0),0),0)</f>
        <v>0</v>
      </c>
      <c r="K2448" s="455">
        <f t="shared" ca="1" si="146"/>
        <v>-11449992.882259035</v>
      </c>
      <c r="L2448" s="455">
        <f t="shared" ca="1" si="147"/>
        <v>-2759448284.6244273</v>
      </c>
      <c r="M2448" s="471">
        <f t="shared" si="149"/>
        <v>0.05</v>
      </c>
      <c r="N2448" s="475">
        <f t="shared" si="150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48"/>
        <v>-2759448284.6244273</v>
      </c>
      <c r="J2449" s="455">
        <f t="array" ref="J2449">IFERROR(INDEX('Retirement Calculator'!J:J,MATCH('Isaac 401k'!N2449,'Retirement Calculator'!A:A,0),0),0)</f>
        <v>0</v>
      </c>
      <c r="K2449" s="455">
        <f t="shared" ca="1" si="146"/>
        <v>-11497701.185935114</v>
      </c>
      <c r="L2449" s="455">
        <f t="shared" ca="1" si="147"/>
        <v>-2770945985.8103623</v>
      </c>
      <c r="M2449" s="471">
        <f t="shared" si="149"/>
        <v>0.05</v>
      </c>
      <c r="N2449" s="475">
        <f t="shared" si="150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48"/>
        <v>-2770945985.8103623</v>
      </c>
      <c r="J2450" s="455">
        <f t="array" ref="J2450">IFERROR(INDEX('Retirement Calculator'!J:J,MATCH('Isaac 401k'!N2450,'Retirement Calculator'!A:A,0),0),0)</f>
        <v>0</v>
      </c>
      <c r="K2450" s="455">
        <f t="shared" ca="1" si="146"/>
        <v>-11545608.274209842</v>
      </c>
      <c r="L2450" s="455">
        <f t="shared" ca="1" si="147"/>
        <v>-2782491594.0845723</v>
      </c>
      <c r="M2450" s="471">
        <f t="shared" si="149"/>
        <v>0.05</v>
      </c>
      <c r="N2450" s="475">
        <f t="shared" si="150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48"/>
        <v>-2782491594.0845723</v>
      </c>
      <c r="J2451" s="455">
        <f t="array" ref="J2451">IFERROR(INDEX('Retirement Calculator'!J:J,MATCH('Isaac 401k'!N2451,'Retirement Calculator'!A:A,0),0),0)</f>
        <v>0</v>
      </c>
      <c r="K2451" s="455">
        <f t="shared" ca="1" si="146"/>
        <v>-11593714.975352384</v>
      </c>
      <c r="L2451" s="455">
        <f t="shared" ca="1" si="147"/>
        <v>-2794085309.0599246</v>
      </c>
      <c r="M2451" s="471">
        <f t="shared" si="149"/>
        <v>0.05</v>
      </c>
      <c r="N2451" s="475">
        <f t="shared" si="150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48"/>
        <v>-2794085309.0599246</v>
      </c>
      <c r="J2452" s="455">
        <f t="array" ref="J2452">IFERROR(INDEX('Retirement Calculator'!J:J,MATCH('Isaac 401k'!N2452,'Retirement Calculator'!A:A,0),0),0)</f>
        <v>0</v>
      </c>
      <c r="K2452" s="455">
        <f t="shared" ca="1" si="146"/>
        <v>-11642022.121083019</v>
      </c>
      <c r="L2452" s="455">
        <f t="shared" ca="1" si="147"/>
        <v>-2805727331.1810074</v>
      </c>
      <c r="M2452" s="471">
        <f t="shared" si="149"/>
        <v>0.05</v>
      </c>
      <c r="N2452" s="475">
        <f t="shared" si="150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48"/>
        <v>-2805727331.1810074</v>
      </c>
      <c r="J2453" s="455">
        <f t="array" ref="J2453">IFERROR(INDEX('Retirement Calculator'!J:J,MATCH('Isaac 401k'!N2453,'Retirement Calculator'!A:A,0),0),0)</f>
        <v>0</v>
      </c>
      <c r="K2453" s="455">
        <f t="shared" ca="1" si="146"/>
        <v>-11690530.546587531</v>
      </c>
      <c r="L2453" s="455">
        <f t="shared" ca="1" si="147"/>
        <v>-2817417861.7275949</v>
      </c>
      <c r="M2453" s="471">
        <f t="shared" si="149"/>
        <v>0.05</v>
      </c>
      <c r="N2453" s="475">
        <f t="shared" si="150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48"/>
        <v>-2817417861.7275949</v>
      </c>
      <c r="J2454" s="455">
        <f t="array" ref="J2454">IFERROR(INDEX('Retirement Calculator'!J:J,MATCH('Isaac 401k'!N2454,'Retirement Calculator'!A:A,0),0),0)</f>
        <v>0</v>
      </c>
      <c r="K2454" s="455">
        <f t="shared" ca="1" si="146"/>
        <v>-11739241.090531645</v>
      </c>
      <c r="L2454" s="455">
        <f t="shared" ca="1" si="147"/>
        <v>-2829157102.8181267</v>
      </c>
      <c r="M2454" s="471">
        <f t="shared" si="149"/>
        <v>0.05</v>
      </c>
      <c r="N2454" s="475">
        <f t="shared" si="150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48"/>
        <v>-2829157102.8181267</v>
      </c>
      <c r="J2455" s="455">
        <f t="array" ref="J2455">IFERROR(INDEX('Retirement Calculator'!J:J,MATCH('Isaac 401k'!N2455,'Retirement Calculator'!A:A,0),0),0)</f>
        <v>0</v>
      </c>
      <c r="K2455" s="455">
        <f t="shared" ca="1" si="146"/>
        <v>-11788154.595075527</v>
      </c>
      <c r="L2455" s="455">
        <f t="shared" ca="1" si="147"/>
        <v>-2840945257.4132023</v>
      </c>
      <c r="M2455" s="471">
        <f t="shared" si="149"/>
        <v>0.05</v>
      </c>
      <c r="N2455" s="475">
        <f t="shared" si="150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48"/>
        <v>-2840945257.4132023</v>
      </c>
      <c r="J2456" s="455">
        <f t="array" ref="J2456">IFERROR(INDEX('Retirement Calculator'!J:J,MATCH('Isaac 401k'!N2456,'Retirement Calculator'!A:A,0),0),0)</f>
        <v>0</v>
      </c>
      <c r="K2456" s="455">
        <f t="shared" ca="1" si="146"/>
        <v>-11837271.905888343</v>
      </c>
      <c r="L2456" s="455">
        <f t="shared" ca="1" si="147"/>
        <v>-2852782529.3190908</v>
      </c>
      <c r="M2456" s="471">
        <f t="shared" si="149"/>
        <v>0.05</v>
      </c>
      <c r="N2456" s="475">
        <f t="shared" si="150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48"/>
        <v>-2852782529.3190908</v>
      </c>
      <c r="J2457" s="455">
        <f t="array" ref="J2457">IFERROR(INDEX('Retirement Calculator'!J:J,MATCH('Isaac 401k'!N2457,'Retirement Calculator'!A:A,0),0),0)</f>
        <v>0</v>
      </c>
      <c r="K2457" s="455">
        <f t="shared" ca="1" si="146"/>
        <v>-11886593.872162879</v>
      </c>
      <c r="L2457" s="455">
        <f t="shared" ca="1" si="147"/>
        <v>-2864669123.1912537</v>
      </c>
      <c r="M2457" s="471">
        <f t="shared" si="149"/>
        <v>0.05</v>
      </c>
      <c r="N2457" s="475">
        <f t="shared" si="150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48"/>
        <v>-2864669123.1912537</v>
      </c>
      <c r="J2458" s="455">
        <f t="array" ref="J2458">IFERROR(INDEX('Retirement Calculator'!J:J,MATCH('Isaac 401k'!N2458,'Retirement Calculator'!A:A,0),0),0)</f>
        <v>0</v>
      </c>
      <c r="K2458" s="455">
        <f t="shared" ca="1" si="146"/>
        <v>-11936121.346630223</v>
      </c>
      <c r="L2458" s="455">
        <f t="shared" ca="1" si="147"/>
        <v>-2876605244.5378838</v>
      </c>
      <c r="M2458" s="471">
        <f t="shared" si="149"/>
        <v>0.05</v>
      </c>
      <c r="N2458" s="475">
        <f t="shared" si="150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48"/>
        <v>-2876605244.5378838</v>
      </c>
      <c r="J2459" s="455">
        <f t="array" ref="J2459">IFERROR(INDEX('Retirement Calculator'!J:J,MATCH('Isaac 401k'!N2459,'Retirement Calculator'!A:A,0),0),0)</f>
        <v>0</v>
      </c>
      <c r="K2459" s="455">
        <f t="shared" ca="1" si="146"/>
        <v>-11985855.185574515</v>
      </c>
      <c r="L2459" s="455">
        <f t="shared" ca="1" si="147"/>
        <v>-2888591099.7234583</v>
      </c>
      <c r="M2459" s="471">
        <f t="shared" si="149"/>
        <v>0.05</v>
      </c>
      <c r="N2459" s="475">
        <f t="shared" si="150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48"/>
        <v>-2888591099.7234583</v>
      </c>
      <c r="J2460" s="455">
        <f t="array" ref="J2460">IFERROR(INDEX('Retirement Calculator'!J:J,MATCH('Isaac 401k'!N2460,'Retirement Calculator'!A:A,0),0),0)</f>
        <v>0</v>
      </c>
      <c r="K2460" s="455">
        <f t="shared" ca="1" si="146"/>
        <v>-12035796.248847743</v>
      </c>
      <c r="L2460" s="455">
        <f t="shared" ca="1" si="147"/>
        <v>-2900626895.9723063</v>
      </c>
      <c r="M2460" s="471">
        <f t="shared" si="149"/>
        <v>0.05</v>
      </c>
      <c r="N2460" s="475">
        <f t="shared" si="150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48"/>
        <v>-2900626895.9723063</v>
      </c>
      <c r="J2461" s="455">
        <f t="array" ref="J2461">IFERROR(INDEX('Retirement Calculator'!J:J,MATCH('Isaac 401k'!N2461,'Retirement Calculator'!A:A,0),0),0)</f>
        <v>0</v>
      </c>
      <c r="K2461" s="455">
        <f t="shared" ca="1" si="146"/>
        <v>-12085945.39988461</v>
      </c>
      <c r="L2461" s="455">
        <f t="shared" ca="1" si="147"/>
        <v>-2912712841.372191</v>
      </c>
      <c r="M2461" s="471">
        <f t="shared" si="149"/>
        <v>0.05</v>
      </c>
      <c r="N2461" s="475">
        <f t="shared" si="150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48"/>
        <v>-2912712841.372191</v>
      </c>
      <c r="J2462" s="455">
        <f t="array" ref="J2462">IFERROR(INDEX('Retirement Calculator'!J:J,MATCH('Isaac 401k'!N2462,'Retirement Calculator'!A:A,0),0),0)</f>
        <v>0</v>
      </c>
      <c r="K2462" s="455">
        <f t="shared" ca="1" si="146"/>
        <v>-12136303.505717462</v>
      </c>
      <c r="L2462" s="455">
        <f t="shared" ca="1" si="147"/>
        <v>-2924849144.8779082</v>
      </c>
      <c r="M2462" s="471">
        <f t="shared" si="149"/>
        <v>0.05</v>
      </c>
      <c r="N2462" s="475">
        <f t="shared" si="150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48"/>
        <v>-2924849144.8779082</v>
      </c>
      <c r="J2463" s="455">
        <f t="array" ref="J2463">IFERROR(INDEX('Retirement Calculator'!J:J,MATCH('Isaac 401k'!N2463,'Retirement Calculator'!A:A,0),0),0)</f>
        <v>0</v>
      </c>
      <c r="K2463" s="455">
        <f t="shared" ca="1" si="146"/>
        <v>-12186871.436991284</v>
      </c>
      <c r="L2463" s="455">
        <f t="shared" ca="1" si="147"/>
        <v>-2937036016.3148994</v>
      </c>
      <c r="M2463" s="471">
        <f t="shared" si="149"/>
        <v>0.05</v>
      </c>
      <c r="N2463" s="475">
        <f t="shared" si="150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48"/>
        <v>-2937036016.3148994</v>
      </c>
      <c r="J2464" s="455">
        <f t="array" ref="J2464">IFERROR(INDEX('Retirement Calculator'!J:J,MATCH('Isaac 401k'!N2464,'Retirement Calculator'!A:A,0),0),0)</f>
        <v>0</v>
      </c>
      <c r="K2464" s="455">
        <f t="shared" ca="1" si="146"/>
        <v>-12237650.067978747</v>
      </c>
      <c r="L2464" s="455">
        <f t="shared" ca="1" si="147"/>
        <v>-2949273666.3828783</v>
      </c>
      <c r="M2464" s="471">
        <f t="shared" si="149"/>
        <v>0.05</v>
      </c>
      <c r="N2464" s="475">
        <f t="shared" si="150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48"/>
        <v>-2949273666.3828783</v>
      </c>
      <c r="J2465" s="455">
        <f t="array" ref="J2465">IFERROR(INDEX('Retirement Calculator'!J:J,MATCH('Isaac 401k'!N2465,'Retirement Calculator'!A:A,0),0),0)</f>
        <v>0</v>
      </c>
      <c r="K2465" s="455">
        <f t="shared" ca="1" si="146"/>
        <v>-12288640.276595326</v>
      </c>
      <c r="L2465" s="455">
        <f t="shared" ca="1" si="147"/>
        <v>-2961562306.6594734</v>
      </c>
      <c r="M2465" s="471">
        <f t="shared" si="149"/>
        <v>0.05</v>
      </c>
      <c r="N2465" s="475">
        <f t="shared" si="150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48"/>
        <v>-2961562306.6594734</v>
      </c>
      <c r="J2466" s="455">
        <f t="array" ref="J2466">IFERROR(INDEX('Retirement Calculator'!J:J,MATCH('Isaac 401k'!N2466,'Retirement Calculator'!A:A,0),0),0)</f>
        <v>0</v>
      </c>
      <c r="K2466" s="455">
        <f t="shared" ca="1" si="146"/>
        <v>-12339842.944414472</v>
      </c>
      <c r="L2466" s="455">
        <f t="shared" ca="1" si="147"/>
        <v>-2973902149.603888</v>
      </c>
      <c r="M2466" s="471">
        <f t="shared" si="149"/>
        <v>0.05</v>
      </c>
      <c r="N2466" s="475">
        <f t="shared" si="150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48"/>
        <v>-2973902149.603888</v>
      </c>
      <c r="J2467" s="455">
        <f t="array" ref="J2467">IFERROR(INDEX('Retirement Calculator'!J:J,MATCH('Isaac 401k'!N2467,'Retirement Calculator'!A:A,0),0),0)</f>
        <v>0</v>
      </c>
      <c r="K2467" s="455">
        <f t="shared" ca="1" si="146"/>
        <v>-12391258.956682866</v>
      </c>
      <c r="L2467" s="455">
        <f t="shared" ca="1" si="147"/>
        <v>-2986293408.5605707</v>
      </c>
      <c r="M2467" s="471">
        <f t="shared" si="149"/>
        <v>0.05</v>
      </c>
      <c r="N2467" s="475">
        <f t="shared" si="150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48"/>
        <v>-2986293408.5605707</v>
      </c>
      <c r="J2468" s="455">
        <f t="array" ref="J2468">IFERROR(INDEX('Retirement Calculator'!J:J,MATCH('Isaac 401k'!N2468,'Retirement Calculator'!A:A,0),0),0)</f>
        <v>0</v>
      </c>
      <c r="K2468" s="455">
        <f t="shared" ca="1" si="146"/>
        <v>-12442889.202335712</v>
      </c>
      <c r="L2468" s="455">
        <f t="shared" ca="1" si="147"/>
        <v>-2998736297.7629066</v>
      </c>
      <c r="M2468" s="471">
        <f t="shared" si="149"/>
        <v>0.05</v>
      </c>
      <c r="N2468" s="475">
        <f t="shared" si="150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48"/>
        <v>-2998736297.7629066</v>
      </c>
      <c r="J2469" s="455">
        <f t="array" ref="J2469">IFERROR(INDEX('Retirement Calculator'!J:J,MATCH('Isaac 401k'!N2469,'Retirement Calculator'!A:A,0),0),0)</f>
        <v>0</v>
      </c>
      <c r="K2469" s="455">
        <f t="shared" ca="1" si="146"/>
        <v>-12494734.57401211</v>
      </c>
      <c r="L2469" s="455">
        <f t="shared" ca="1" si="147"/>
        <v>-3011231032.3369188</v>
      </c>
      <c r="M2469" s="471">
        <f t="shared" si="149"/>
        <v>0.05</v>
      </c>
      <c r="N2469" s="475">
        <f t="shared" si="150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48"/>
        <v>-3011231032.3369188</v>
      </c>
      <c r="J2470" s="455">
        <f t="array" ref="J2470">IFERROR(INDEX('Retirement Calculator'!J:J,MATCH('Isaac 401k'!N2470,'Retirement Calculator'!A:A,0),0),0)</f>
        <v>0</v>
      </c>
      <c r="K2470" s="455">
        <f t="shared" ca="1" si="146"/>
        <v>-12546795.968070496</v>
      </c>
      <c r="L2470" s="455">
        <f t="shared" ca="1" si="147"/>
        <v>-3023777828.3049893</v>
      </c>
      <c r="M2470" s="471">
        <f t="shared" si="149"/>
        <v>0.05</v>
      </c>
      <c r="N2470" s="475">
        <f t="shared" si="150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48"/>
        <v>-3023777828.3049893</v>
      </c>
      <c r="J2471" s="455">
        <f t="array" ref="J2471">IFERROR(INDEX('Retirement Calculator'!J:J,MATCH('Isaac 401k'!N2471,'Retirement Calculator'!A:A,0),0),0)</f>
        <v>0</v>
      </c>
      <c r="K2471" s="455">
        <f t="shared" ca="1" si="146"/>
        <v>-12599074.284604123</v>
      </c>
      <c r="L2471" s="455">
        <f t="shared" ca="1" si="147"/>
        <v>-3036376902.5895934</v>
      </c>
      <c r="M2471" s="471">
        <f t="shared" si="149"/>
        <v>0.05</v>
      </c>
      <c r="N2471" s="475">
        <f t="shared" si="150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48"/>
        <v>-3036376902.5895934</v>
      </c>
      <c r="J2472" s="455">
        <f t="array" ref="J2472">IFERROR(INDEX('Retirement Calculator'!J:J,MATCH('Isaac 401k'!N2472,'Retirement Calculator'!A:A,0),0),0)</f>
        <v>0</v>
      </c>
      <c r="K2472" s="455">
        <f t="shared" ca="1" si="146"/>
        <v>-12651570.42745664</v>
      </c>
      <c r="L2472" s="455">
        <f t="shared" ca="1" si="147"/>
        <v>-3049028473.0170503</v>
      </c>
      <c r="M2472" s="471">
        <f t="shared" si="149"/>
        <v>0.05</v>
      </c>
      <c r="N2472" s="475">
        <f t="shared" si="150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48"/>
        <v>-3049028473.0170503</v>
      </c>
      <c r="J2473" s="455">
        <f t="array" ref="J2473">IFERROR(INDEX('Retirement Calculator'!J:J,MATCH('Isaac 401k'!N2473,'Retirement Calculator'!A:A,0),0),0)</f>
        <v>0</v>
      </c>
      <c r="K2473" s="455">
        <f t="shared" ca="1" si="146"/>
        <v>-12704285.304237708</v>
      </c>
      <c r="L2473" s="455">
        <f t="shared" ca="1" si="147"/>
        <v>-3061732758.3212881</v>
      </c>
      <c r="M2473" s="471">
        <f t="shared" si="149"/>
        <v>0.05</v>
      </c>
      <c r="N2473" s="475">
        <f t="shared" si="150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48"/>
        <v>-3061732758.3212881</v>
      </c>
      <c r="J2474" s="455">
        <f t="array" ref="J2474">IFERROR(INDEX('Retirement Calculator'!J:J,MATCH('Isaac 401k'!N2474,'Retirement Calculator'!A:A,0),0),0)</f>
        <v>0</v>
      </c>
      <c r="K2474" s="455">
        <f t="shared" ca="1" si="146"/>
        <v>-12757219.826338701</v>
      </c>
      <c r="L2474" s="455">
        <f t="shared" ca="1" si="147"/>
        <v>-3074489978.1476269</v>
      </c>
      <c r="M2474" s="471">
        <f t="shared" si="149"/>
        <v>0.05</v>
      </c>
      <c r="N2474" s="475">
        <f t="shared" si="150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48"/>
        <v>-3074489978.1476269</v>
      </c>
      <c r="J2475" s="455">
        <f t="array" ref="J2475">IFERROR(INDEX('Retirement Calculator'!J:J,MATCH('Isaac 401k'!N2475,'Retirement Calculator'!A:A,0),0),0)</f>
        <v>0</v>
      </c>
      <c r="K2475" s="455">
        <f t="shared" ca="1" si="146"/>
        <v>-12810374.908948446</v>
      </c>
      <c r="L2475" s="455">
        <f t="shared" ca="1" si="147"/>
        <v>-3087300353.0565753</v>
      </c>
      <c r="M2475" s="471">
        <f t="shared" si="149"/>
        <v>0.05</v>
      </c>
      <c r="N2475" s="475">
        <f t="shared" si="150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48"/>
        <v>-3087300353.0565753</v>
      </c>
      <c r="J2476" s="455">
        <f t="array" ref="J2476">IFERROR(INDEX('Retirement Calculator'!J:J,MATCH('Isaac 401k'!N2476,'Retirement Calculator'!A:A,0),0),0)</f>
        <v>0</v>
      </c>
      <c r="K2476" s="455">
        <f t="shared" ca="1" si="146"/>
        <v>-12863751.471069064</v>
      </c>
      <c r="L2476" s="455">
        <f t="shared" ca="1" si="147"/>
        <v>-3100164104.5276442</v>
      </c>
      <c r="M2476" s="471">
        <f t="shared" si="149"/>
        <v>0.05</v>
      </c>
      <c r="N2476" s="475">
        <f t="shared" si="150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48"/>
        <v>-3100164104.5276442</v>
      </c>
      <c r="J2477" s="455">
        <f t="array" ref="J2477">IFERROR(INDEX('Retirement Calculator'!J:J,MATCH('Isaac 401k'!N2477,'Retirement Calculator'!A:A,0),0),0)</f>
        <v>0</v>
      </c>
      <c r="K2477" s="455">
        <f t="shared" ca="1" si="146"/>
        <v>-12917350.435531851</v>
      </c>
      <c r="L2477" s="455">
        <f t="shared" ca="1" si="147"/>
        <v>-3113081454.9631758</v>
      </c>
      <c r="M2477" s="471">
        <f t="shared" si="149"/>
        <v>0.05</v>
      </c>
      <c r="N2477" s="475">
        <f t="shared" si="150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48"/>
        <v>-3113081454.9631758</v>
      </c>
      <c r="J2478" s="455">
        <f t="array" ref="J2478">IFERROR(INDEX('Retirement Calculator'!J:J,MATCH('Isaac 401k'!N2478,'Retirement Calculator'!A:A,0),0),0)</f>
        <v>0</v>
      </c>
      <c r="K2478" s="455">
        <f t="shared" ca="1" si="146"/>
        <v>-12971172.729013233</v>
      </c>
      <c r="L2478" s="455">
        <f t="shared" ca="1" si="147"/>
        <v>-3126052627.6921892</v>
      </c>
      <c r="M2478" s="471">
        <f t="shared" si="149"/>
        <v>0.05</v>
      </c>
      <c r="N2478" s="475">
        <f t="shared" si="150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48"/>
        <v>-3126052627.6921892</v>
      </c>
      <c r="J2479" s="455">
        <f t="array" ref="J2479">IFERROR(INDEX('Retirement Calculator'!J:J,MATCH('Isaac 401k'!N2479,'Retirement Calculator'!A:A,0),0),0)</f>
        <v>0</v>
      </c>
      <c r="K2479" s="455">
        <f t="shared" ca="1" si="146"/>
        <v>-13025219.282050788</v>
      </c>
      <c r="L2479" s="455">
        <f t="shared" ca="1" si="147"/>
        <v>-3139077846.9742398</v>
      </c>
      <c r="M2479" s="471">
        <f t="shared" si="149"/>
        <v>0.05</v>
      </c>
      <c r="N2479" s="475">
        <f t="shared" si="150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48"/>
        <v>-3139077846.9742398</v>
      </c>
      <c r="J2480" s="455">
        <f t="array" ref="J2480">IFERROR(INDEX('Retirement Calculator'!J:J,MATCH('Isaac 401k'!N2480,'Retirement Calculator'!A:A,0),0),0)</f>
        <v>0</v>
      </c>
      <c r="K2480" s="455">
        <f t="shared" ca="1" si="146"/>
        <v>-13079491.029059332</v>
      </c>
      <c r="L2480" s="455">
        <f t="shared" ca="1" si="147"/>
        <v>-3152157338.0032992</v>
      </c>
      <c r="M2480" s="471">
        <f t="shared" si="149"/>
        <v>0.05</v>
      </c>
      <c r="N2480" s="475">
        <f t="shared" si="150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48"/>
        <v>-3152157338.0032992</v>
      </c>
      <c r="J2481" s="455">
        <f t="array" ref="J2481">IFERROR(INDEX('Retirement Calculator'!J:J,MATCH('Isaac 401k'!N2481,'Retirement Calculator'!A:A,0),0),0)</f>
        <v>0</v>
      </c>
      <c r="K2481" s="455">
        <f t="shared" ca="1" si="146"/>
        <v>-13133988.90834708</v>
      </c>
      <c r="L2481" s="455">
        <f t="shared" ca="1" si="147"/>
        <v>-3165291326.9116464</v>
      </c>
      <c r="M2481" s="471">
        <f t="shared" si="149"/>
        <v>0.05</v>
      </c>
      <c r="N2481" s="475">
        <f t="shared" si="150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48"/>
        <v>-3165291326.9116464</v>
      </c>
      <c r="J2482" s="455">
        <f t="array" ref="J2482">IFERROR(INDEX('Retirement Calculator'!J:J,MATCH('Isaac 401k'!N2482,'Retirement Calculator'!A:A,0),0),0)</f>
        <v>0</v>
      </c>
      <c r="K2482" s="455">
        <f t="shared" ca="1" si="146"/>
        <v>-13188713.86213186</v>
      </c>
      <c r="L2482" s="455">
        <f t="shared" ca="1" si="147"/>
        <v>-3178480040.7737784</v>
      </c>
      <c r="M2482" s="471">
        <f t="shared" si="149"/>
        <v>0.05</v>
      </c>
      <c r="N2482" s="475">
        <f t="shared" si="150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48"/>
        <v>-3178480040.7737784</v>
      </c>
      <c r="J2483" s="455">
        <f t="array" ref="J2483">IFERROR(INDEX('Retirement Calculator'!J:J,MATCH('Isaac 401k'!N2483,'Retirement Calculator'!A:A,0),0),0)</f>
        <v>0</v>
      </c>
      <c r="K2483" s="455">
        <f t="shared" ca="1" si="146"/>
        <v>-13243666.836557411</v>
      </c>
      <c r="L2483" s="455">
        <f t="shared" ca="1" si="147"/>
        <v>-3191723707.6103358</v>
      </c>
      <c r="M2483" s="471">
        <f t="shared" si="149"/>
        <v>0.05</v>
      </c>
      <c r="N2483" s="475">
        <f t="shared" si="150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48"/>
        <v>-3191723707.6103358</v>
      </c>
      <c r="J2484" s="455">
        <f t="array" ref="J2484">IFERROR(INDEX('Retirement Calculator'!J:J,MATCH('Isaac 401k'!N2484,'Retirement Calculator'!A:A,0),0),0)</f>
        <v>0</v>
      </c>
      <c r="K2484" s="455">
        <f t="shared" ca="1" si="146"/>
        <v>-13298848.781709732</v>
      </c>
      <c r="L2484" s="455">
        <f t="shared" ca="1" si="147"/>
        <v>-3205022556.3920455</v>
      </c>
      <c r="M2484" s="471">
        <f t="shared" si="149"/>
        <v>0.05</v>
      </c>
      <c r="N2484" s="475">
        <f t="shared" si="150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48"/>
        <v>-3205022556.3920455</v>
      </c>
      <c r="J2485" s="455">
        <f t="array" ref="J2485">IFERROR(INDEX('Retirement Calculator'!J:J,MATCH('Isaac 401k'!N2485,'Retirement Calculator'!A:A,0),0),0)</f>
        <v>0</v>
      </c>
      <c r="K2485" s="455">
        <f t="shared" ca="1" si="146"/>
        <v>-13354260.651633523</v>
      </c>
      <c r="L2485" s="455">
        <f t="shared" ca="1" si="147"/>
        <v>-3218376817.0436792</v>
      </c>
      <c r="M2485" s="471">
        <f t="shared" si="149"/>
        <v>0.05</v>
      </c>
      <c r="N2485" s="475">
        <f t="shared" si="150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48"/>
        <v>-3218376817.0436792</v>
      </c>
      <c r="J2486" s="455">
        <f t="array" ref="J2486">IFERROR(INDEX('Retirement Calculator'!J:J,MATCH('Isaac 401k'!N2486,'Retirement Calculator'!A:A,0),0),0)</f>
        <v>0</v>
      </c>
      <c r="K2486" s="455">
        <f t="shared" ca="1" si="146"/>
        <v>-13409903.404348664</v>
      </c>
      <c r="L2486" s="455">
        <f t="shared" ca="1" si="147"/>
        <v>-3231786720.4480281</v>
      </c>
      <c r="M2486" s="471">
        <f t="shared" si="149"/>
        <v>0.05</v>
      </c>
      <c r="N2486" s="475">
        <f t="shared" si="150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48"/>
        <v>-3231786720.4480281</v>
      </c>
      <c r="J2487" s="455">
        <f t="array" ref="J2487">IFERROR(INDEX('Retirement Calculator'!J:J,MATCH('Isaac 401k'!N2487,'Retirement Calculator'!A:A,0),0),0)</f>
        <v>0</v>
      </c>
      <c r="K2487" s="455">
        <f t="shared" ca="1" si="146"/>
        <v>-13465778.001866784</v>
      </c>
      <c r="L2487" s="455">
        <f t="shared" ca="1" si="147"/>
        <v>-3245252498.4498949</v>
      </c>
      <c r="M2487" s="471">
        <f t="shared" si="149"/>
        <v>0.05</v>
      </c>
      <c r="N2487" s="475">
        <f t="shared" si="150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48"/>
        <v>-3245252498.4498949</v>
      </c>
      <c r="J2488" s="455">
        <f t="array" ref="J2488">IFERROR(INDEX('Retirement Calculator'!J:J,MATCH('Isaac 401k'!N2488,'Retirement Calculator'!A:A,0),0),0)</f>
        <v>0</v>
      </c>
      <c r="K2488" s="455">
        <f t="shared" ca="1" si="146"/>
        <v>-13521885.410207896</v>
      </c>
      <c r="L2488" s="455">
        <f t="shared" ca="1" si="147"/>
        <v>-3258774383.8601027</v>
      </c>
      <c r="M2488" s="471">
        <f t="shared" si="149"/>
        <v>0.05</v>
      </c>
      <c r="N2488" s="475">
        <f t="shared" si="150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48"/>
        <v>-3258774383.8601027</v>
      </c>
      <c r="J2489" s="455">
        <f t="array" ref="J2489">IFERROR(INDEX('Retirement Calculator'!J:J,MATCH('Isaac 401k'!N2489,'Retirement Calculator'!A:A,0),0),0)</f>
        <v>0</v>
      </c>
      <c r="K2489" s="455">
        <f t="shared" ca="1" si="146"/>
        <v>-13578226.599417094</v>
      </c>
      <c r="L2489" s="455">
        <f t="shared" ca="1" si="147"/>
        <v>-3272352610.4595199</v>
      </c>
      <c r="M2489" s="471">
        <f t="shared" si="149"/>
        <v>0.05</v>
      </c>
      <c r="N2489" s="475">
        <f t="shared" si="150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48"/>
        <v>-3272352610.4595199</v>
      </c>
      <c r="J2490" s="455">
        <f t="array" ref="J2490">IFERROR(INDEX('Retirement Calculator'!J:J,MATCH('Isaac 401k'!N2490,'Retirement Calculator'!A:A,0),0),0)</f>
        <v>0</v>
      </c>
      <c r="K2490" s="455">
        <f t="shared" ca="1" si="146"/>
        <v>-13634802.543581333</v>
      </c>
      <c r="L2490" s="455">
        <f t="shared" ca="1" si="147"/>
        <v>-3285987413.0031013</v>
      </c>
      <c r="M2490" s="471">
        <f t="shared" si="149"/>
        <v>0.05</v>
      </c>
      <c r="N2490" s="475">
        <f t="shared" si="150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48"/>
        <v>-3285987413.0031013</v>
      </c>
      <c r="J2491" s="455">
        <f t="array" ref="J2491">IFERROR(INDEX('Retirement Calculator'!J:J,MATCH('Isaac 401k'!N2491,'Retirement Calculator'!A:A,0),0),0)</f>
        <v>0</v>
      </c>
      <c r="K2491" s="455">
        <f t="shared" ca="1" si="146"/>
        <v>-13691614.220846256</v>
      </c>
      <c r="L2491" s="455">
        <f t="shared" ca="1" si="147"/>
        <v>-3299679027.2239475</v>
      </c>
      <c r="M2491" s="471">
        <f t="shared" si="149"/>
        <v>0.05</v>
      </c>
      <c r="N2491" s="475">
        <f t="shared" si="150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48"/>
        <v>-3299679027.2239475</v>
      </c>
      <c r="J2492" s="455">
        <f t="array" ref="J2492">IFERROR(INDEX('Retirement Calculator'!J:J,MATCH('Isaac 401k'!N2492,'Retirement Calculator'!A:A,0),0),0)</f>
        <v>0</v>
      </c>
      <c r="K2492" s="455">
        <f t="shared" ca="1" si="146"/>
        <v>-13748662.613433115</v>
      </c>
      <c r="L2492" s="455">
        <f t="shared" ca="1" si="147"/>
        <v>-3313427689.8373804</v>
      </c>
      <c r="M2492" s="471">
        <f t="shared" si="149"/>
        <v>0.05</v>
      </c>
      <c r="N2492" s="475">
        <f t="shared" si="150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48"/>
        <v>-3313427689.8373804</v>
      </c>
      <c r="J2493" s="455">
        <f t="array" ref="J2493">IFERROR(INDEX('Retirement Calculator'!J:J,MATCH('Isaac 401k'!N2493,'Retirement Calculator'!A:A,0),0),0)</f>
        <v>0</v>
      </c>
      <c r="K2493" s="455">
        <f t="shared" ca="1" si="146"/>
        <v>-13805948.707655752</v>
      </c>
      <c r="L2493" s="455">
        <f t="shared" ca="1" si="147"/>
        <v>-3327233638.5450363</v>
      </c>
      <c r="M2493" s="471">
        <f t="shared" si="149"/>
        <v>0.05</v>
      </c>
      <c r="N2493" s="475">
        <f t="shared" si="150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48"/>
        <v>-3327233638.5450363</v>
      </c>
      <c r="J2494" s="455">
        <f t="array" ref="J2494">IFERROR(INDEX('Retirement Calculator'!J:J,MATCH('Isaac 401k'!N2494,'Retirement Calculator'!A:A,0),0),0)</f>
        <v>0</v>
      </c>
      <c r="K2494" s="455">
        <f t="shared" ca="1" si="146"/>
        <v>-13863473.493937651</v>
      </c>
      <c r="L2494" s="455">
        <f t="shared" ca="1" si="147"/>
        <v>-3341097112.0389738</v>
      </c>
      <c r="M2494" s="471">
        <f t="shared" si="149"/>
        <v>0.05</v>
      </c>
      <c r="N2494" s="475">
        <f t="shared" si="150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48"/>
        <v>-3341097112.0389738</v>
      </c>
      <c r="J2495" s="455">
        <f t="array" ref="J2495">IFERROR(INDEX('Retirement Calculator'!J:J,MATCH('Isaac 401k'!N2495,'Retirement Calculator'!A:A,0),0),0)</f>
        <v>0</v>
      </c>
      <c r="K2495" s="455">
        <f t="shared" ca="1" si="146"/>
        <v>-13921237.966829058</v>
      </c>
      <c r="L2495" s="455">
        <f t="shared" ca="1" si="147"/>
        <v>-3355018350.0058026</v>
      </c>
      <c r="M2495" s="471">
        <f t="shared" si="149"/>
        <v>0.05</v>
      </c>
      <c r="N2495" s="475">
        <f t="shared" si="150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48"/>
        <v>-3355018350.0058026</v>
      </c>
      <c r="J2496" s="455">
        <f t="array" ref="J2496">IFERROR(INDEX('Retirement Calculator'!J:J,MATCH('Isaac 401k'!N2496,'Retirement Calculator'!A:A,0),0),0)</f>
        <v>0</v>
      </c>
      <c r="K2496" s="455">
        <f t="shared" ca="1" si="146"/>
        <v>-13979243.125024179</v>
      </c>
      <c r="L2496" s="455">
        <f t="shared" ca="1" si="147"/>
        <v>-3368997593.130827</v>
      </c>
      <c r="M2496" s="471">
        <f t="shared" si="149"/>
        <v>0.05</v>
      </c>
      <c r="N2496" s="475">
        <f t="shared" si="150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48"/>
        <v>-3368997593.130827</v>
      </c>
      <c r="J2497" s="455">
        <f t="array" ref="J2497">IFERROR(INDEX('Retirement Calculator'!J:J,MATCH('Isaac 401k'!N2497,'Retirement Calculator'!A:A,0),0),0)</f>
        <v>0</v>
      </c>
      <c r="K2497" s="455">
        <f t="shared" ca="1" si="146"/>
        <v>-14037489.971378446</v>
      </c>
      <c r="L2497" s="455">
        <f t="shared" ca="1" si="147"/>
        <v>-3383035083.1022053</v>
      </c>
      <c r="M2497" s="471">
        <f t="shared" si="149"/>
        <v>0.05</v>
      </c>
      <c r="N2497" s="475">
        <f t="shared" si="150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48"/>
        <v>-3383035083.1022053</v>
      </c>
      <c r="J2498" s="455">
        <f t="array" ref="J2498">IFERROR(INDEX('Retirement Calculator'!J:J,MATCH('Isaac 401k'!N2498,'Retirement Calculator'!A:A,0),0),0)</f>
        <v>0</v>
      </c>
      <c r="K2498" s="455">
        <f t="shared" ca="1" si="146"/>
        <v>-14095979.512925856</v>
      </c>
      <c r="L2498" s="455">
        <f t="shared" ca="1" si="147"/>
        <v>-3397131062.6151309</v>
      </c>
      <c r="M2498" s="471">
        <f t="shared" si="149"/>
        <v>0.05</v>
      </c>
      <c r="N2498" s="475">
        <f t="shared" si="150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48"/>
        <v>-3397131062.6151309</v>
      </c>
      <c r="J2499" s="455">
        <f t="array" ref="J2499">IFERROR(INDEX('Retirement Calculator'!J:J,MATCH('Isaac 401k'!N2499,'Retirement Calculator'!A:A,0),0),0)</f>
        <v>0</v>
      </c>
      <c r="K2499" s="455">
        <f t="shared" ca="1" si="146"/>
        <v>-14154712.760896379</v>
      </c>
      <c r="L2499" s="455">
        <f t="shared" ca="1" si="147"/>
        <v>-3411285775.3760271</v>
      </c>
      <c r="M2499" s="471">
        <f t="shared" si="149"/>
        <v>0.05</v>
      </c>
      <c r="N2499" s="475">
        <f t="shared" si="150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48"/>
        <v>-3411285775.3760271</v>
      </c>
      <c r="J2500" s="455">
        <f t="array" ref="J2500">IFERROR(INDEX('Retirement Calculator'!J:J,MATCH('Isaac 401k'!N2500,'Retirement Calculator'!A:A,0),0),0)</f>
        <v>0</v>
      </c>
      <c r="K2500" s="455">
        <f t="shared" ca="1" si="146"/>
        <v>-14213690.730733447</v>
      </c>
      <c r="L2500" s="455">
        <f t="shared" ca="1" si="147"/>
        <v>-3425499466.1067605</v>
      </c>
      <c r="M2500" s="471">
        <f t="shared" si="149"/>
        <v>0.05</v>
      </c>
      <c r="N2500" s="475">
        <f t="shared" si="150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48"/>
        <v>-3425499466.1067605</v>
      </c>
      <c r="J2501" s="455">
        <f t="array" ref="J2501">IFERROR(INDEX('Retirement Calculator'!J:J,MATCH('Isaac 401k'!N2501,'Retirement Calculator'!A:A,0),0),0)</f>
        <v>0</v>
      </c>
      <c r="K2501" s="455">
        <f t="shared" ca="1" si="146"/>
        <v>-14272914.4421115</v>
      </c>
      <c r="L2501" s="455">
        <f t="shared" ca="1" si="147"/>
        <v>-3439772380.548872</v>
      </c>
      <c r="M2501" s="471">
        <f t="shared" si="149"/>
        <v>0.05</v>
      </c>
      <c r="N2501" s="475">
        <f t="shared" si="150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48"/>
        <v>-3439772380.548872</v>
      </c>
      <c r="J2502" s="455">
        <f t="array" ref="J2502">IFERROR(INDEX('Retirement Calculator'!J:J,MATCH('Isaac 401k'!N2502,'Retirement Calculator'!A:A,0),0),0)</f>
        <v>0</v>
      </c>
      <c r="K2502" s="455">
        <f t="shared" ca="1" si="146"/>
        <v>-14332384.918953633</v>
      </c>
      <c r="L2502" s="455">
        <f t="shared" ca="1" si="147"/>
        <v>-3454104765.4678254</v>
      </c>
      <c r="M2502" s="471">
        <f t="shared" si="149"/>
        <v>0.05</v>
      </c>
      <c r="N2502" s="475">
        <f t="shared" si="150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48"/>
        <v>-3454104765.4678254</v>
      </c>
      <c r="J2503" s="455">
        <f t="array" ref="J2503">IFERROR(INDEX('Retirement Calculator'!J:J,MATCH('Isaac 401k'!N2503,'Retirement Calculator'!A:A,0),0),0)</f>
        <v>0</v>
      </c>
      <c r="K2503" s="455">
        <f t="shared" ca="1" si="146"/>
        <v>-14392103.189449273</v>
      </c>
      <c r="L2503" s="455">
        <f t="shared" ca="1" si="147"/>
        <v>-3468496868.6572747</v>
      </c>
      <c r="M2503" s="471">
        <f t="shared" si="149"/>
        <v>0.05</v>
      </c>
      <c r="N2503" s="475">
        <f t="shared" si="150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48"/>
        <v>-3468496868.6572747</v>
      </c>
      <c r="J2504" s="455">
        <f t="array" ref="J2504">IFERROR(INDEX('Retirement Calculator'!J:J,MATCH('Isaac 401k'!N2504,'Retirement Calculator'!A:A,0),0),0)</f>
        <v>0</v>
      </c>
      <c r="K2504" s="455">
        <f t="shared" ca="1" si="146"/>
        <v>-14452070.28607198</v>
      </c>
      <c r="L2504" s="455">
        <f t="shared" ca="1" si="147"/>
        <v>-3482948938.9433465</v>
      </c>
      <c r="M2504" s="471">
        <f t="shared" si="149"/>
        <v>0.05</v>
      </c>
      <c r="N2504" s="475">
        <f t="shared" si="150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48"/>
        <v>-3482948938.9433465</v>
      </c>
      <c r="J2505" s="455">
        <f t="array" ref="J2505">IFERROR(INDEX('Retirement Calculator'!J:J,MATCH('Isaac 401k'!N2505,'Retirement Calculator'!A:A,0),0),0)</f>
        <v>0</v>
      </c>
      <c r="K2505" s="455">
        <f t="shared" ca="1" si="146"/>
        <v>-14512287.245597277</v>
      </c>
      <c r="L2505" s="455">
        <f t="shared" ca="1" si="147"/>
        <v>-3497461226.1889439</v>
      </c>
      <c r="M2505" s="471">
        <f t="shared" si="149"/>
        <v>0.05</v>
      </c>
      <c r="N2505" s="475">
        <f t="shared" si="150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48"/>
        <v>-3497461226.1889439</v>
      </c>
      <c r="J2506" s="455">
        <f t="array" ref="J2506">IFERROR(INDEX('Retirement Calculator'!J:J,MATCH('Isaac 401k'!N2506,'Retirement Calculator'!A:A,0),0),0)</f>
        <v>0</v>
      </c>
      <c r="K2506" s="455">
        <f t="shared" ca="1" si="146"/>
        <v>-14572755.109120602</v>
      </c>
      <c r="L2506" s="455">
        <f t="shared" ca="1" si="147"/>
        <v>-3512033981.2980642</v>
      </c>
      <c r="M2506" s="471">
        <f t="shared" si="149"/>
        <v>0.05</v>
      </c>
      <c r="N2506" s="475">
        <f t="shared" si="150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48"/>
        <v>-3512033981.2980642</v>
      </c>
      <c r="J2507" s="455">
        <f t="array" ref="J2507">IFERROR(INDEX('Retirement Calculator'!J:J,MATCH('Isaac 401k'!N2507,'Retirement Calculator'!A:A,0),0),0)</f>
        <v>0</v>
      </c>
      <c r="K2507" s="455">
        <f t="shared" ca="1" si="146"/>
        <v>-14633474.922075266</v>
      </c>
      <c r="L2507" s="455">
        <f t="shared" ca="1" si="147"/>
        <v>-3526667456.2201395</v>
      </c>
      <c r="M2507" s="471">
        <f t="shared" si="149"/>
        <v>0.05</v>
      </c>
      <c r="N2507" s="475">
        <f t="shared" si="150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48"/>
        <v>-3526667456.2201395</v>
      </c>
      <c r="J2508" s="455">
        <f t="array" ref="J2508">IFERROR(INDEX('Retirement Calculator'!J:J,MATCH('Isaac 401k'!N2508,'Retirement Calculator'!A:A,0),0),0)</f>
        <v>0</v>
      </c>
      <c r="K2508" s="455">
        <f t="shared" ca="1" si="146"/>
        <v>-14694447.734250579</v>
      </c>
      <c r="L2508" s="455">
        <f t="shared" ca="1" si="147"/>
        <v>-3541361903.95439</v>
      </c>
      <c r="M2508" s="471">
        <f t="shared" si="149"/>
        <v>0.05</v>
      </c>
      <c r="N2508" s="475">
        <f t="shared" si="150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48"/>
        <v>-3541361903.95439</v>
      </c>
      <c r="J2509" s="455">
        <f t="array" ref="J2509">IFERROR(INDEX('Retirement Calculator'!J:J,MATCH('Isaac 401k'!N2509,'Retirement Calculator'!A:A,0),0),0)</f>
        <v>0</v>
      </c>
      <c r="K2509" s="455">
        <f t="shared" ca="1" si="146"/>
        <v>-14755674.599809958</v>
      </c>
      <c r="L2509" s="455">
        <f t="shared" ca="1" si="147"/>
        <v>-3556117578.5542002</v>
      </c>
      <c r="M2509" s="471">
        <f t="shared" si="149"/>
        <v>0.05</v>
      </c>
      <c r="N2509" s="475">
        <f t="shared" si="150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48"/>
        <v>-3556117578.5542002</v>
      </c>
      <c r="J2510" s="455">
        <f t="array" ref="J2510">IFERROR(INDEX('Retirement Calculator'!J:J,MATCH('Isaac 401k'!N2510,'Retirement Calculator'!A:A,0),0),0)</f>
        <v>0</v>
      </c>
      <c r="K2510" s="455">
        <f t="shared" ca="1" si="146"/>
        <v>-14817156.577309169</v>
      </c>
      <c r="L2510" s="455">
        <f t="shared" ca="1" si="147"/>
        <v>-3570934735.1315093</v>
      </c>
      <c r="M2510" s="471">
        <f t="shared" si="149"/>
        <v>0.05</v>
      </c>
      <c r="N2510" s="475">
        <f t="shared" si="150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48"/>
        <v>-3570934735.1315093</v>
      </c>
      <c r="J2511" s="455">
        <f t="array" ref="J2511">IFERROR(INDEX('Retirement Calculator'!J:J,MATCH('Isaac 401k'!N2511,'Retirement Calculator'!A:A,0),0),0)</f>
        <v>0</v>
      </c>
      <c r="K2511" s="455">
        <f t="shared" ca="1" si="146"/>
        <v>-14878894.729714623</v>
      </c>
      <c r="L2511" s="455">
        <f t="shared" ca="1" si="147"/>
        <v>-3585813629.8612237</v>
      </c>
      <c r="M2511" s="471">
        <f t="shared" si="149"/>
        <v>0.05</v>
      </c>
      <c r="N2511" s="475">
        <f t="shared" si="150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48"/>
        <v>-3585813629.8612237</v>
      </c>
      <c r="J2512" s="455">
        <f t="array" ref="J2512">IFERROR(INDEX('Retirement Calculator'!J:J,MATCH('Isaac 401k'!N2512,'Retirement Calculator'!A:A,0),0),0)</f>
        <v>0</v>
      </c>
      <c r="K2512" s="455">
        <f t="shared" ca="1" si="146"/>
        <v>-14940890.124421766</v>
      </c>
      <c r="L2512" s="455">
        <f t="shared" ca="1" si="147"/>
        <v>-3600754519.9856453</v>
      </c>
      <c r="M2512" s="471">
        <f t="shared" si="149"/>
        <v>0.05</v>
      </c>
      <c r="N2512" s="475">
        <f t="shared" si="150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48"/>
        <v>-3600754519.9856453</v>
      </c>
      <c r="J2513" s="455">
        <f t="array" ref="J2513">IFERROR(INDEX('Retirement Calculator'!J:J,MATCH('Isaac 401k'!N2513,'Retirement Calculator'!A:A,0),0),0)</f>
        <v>0</v>
      </c>
      <c r="K2513" s="455">
        <f t="shared" ca="1" si="146"/>
        <v>-15003143.833273523</v>
      </c>
      <c r="L2513" s="455">
        <f t="shared" ca="1" si="147"/>
        <v>-3615757663.8189187</v>
      </c>
      <c r="M2513" s="471">
        <f t="shared" si="149"/>
        <v>0.05</v>
      </c>
      <c r="N2513" s="475">
        <f t="shared" si="150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48"/>
        <v>-3615757663.8189187</v>
      </c>
      <c r="J2514" s="455">
        <f t="array" ref="J2514">IFERROR(INDEX('Retirement Calculator'!J:J,MATCH('Isaac 401k'!N2514,'Retirement Calculator'!A:A,0),0),0)</f>
        <v>0</v>
      </c>
      <c r="K2514" s="455">
        <f t="shared" ca="1" si="146"/>
        <v>-15065656.932578828</v>
      </c>
      <c r="L2514" s="455">
        <f t="shared" ca="1" si="147"/>
        <v>-3630823320.7514977</v>
      </c>
      <c r="M2514" s="471">
        <f t="shared" si="149"/>
        <v>0.05</v>
      </c>
      <c r="N2514" s="475">
        <f t="shared" si="150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48"/>
        <v>-3630823320.7514977</v>
      </c>
      <c r="J2515" s="455">
        <f t="array" ref="J2515">IFERROR(INDEX('Retirement Calculator'!J:J,MATCH('Isaac 401k'!N2515,'Retirement Calculator'!A:A,0),0),0)</f>
        <v>0</v>
      </c>
      <c r="K2515" s="455">
        <f t="shared" ca="1" si="146"/>
        <v>-15128430.503131242</v>
      </c>
      <c r="L2515" s="455">
        <f t="shared" ca="1" si="147"/>
        <v>-3645951751.2546291</v>
      </c>
      <c r="M2515" s="471">
        <f t="shared" si="149"/>
        <v>0.05</v>
      </c>
      <c r="N2515" s="475">
        <f t="shared" si="150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48"/>
        <v>-3645951751.2546291</v>
      </c>
      <c r="J2516" s="455">
        <f t="array" ref="J2516">IFERROR(INDEX('Retirement Calculator'!J:J,MATCH('Isaac 401k'!N2516,'Retirement Calculator'!A:A,0),0),0)</f>
        <v>0</v>
      </c>
      <c r="K2516" s="455">
        <f t="shared" ca="1" si="146"/>
        <v>-15191465.630227624</v>
      </c>
      <c r="L2516" s="455">
        <f t="shared" ca="1" si="147"/>
        <v>-3661143216.8848567</v>
      </c>
      <c r="M2516" s="471">
        <f t="shared" si="149"/>
        <v>0.05</v>
      </c>
      <c r="N2516" s="475">
        <f t="shared" si="150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48"/>
        <v>-3661143216.8848567</v>
      </c>
      <c r="J2517" s="455">
        <f t="array" ref="J2517">IFERROR(INDEX('Retirement Calculator'!J:J,MATCH('Isaac 401k'!N2517,'Retirement Calculator'!A:A,0),0),0)</f>
        <v>0</v>
      </c>
      <c r="K2517" s="455">
        <f t="shared" ca="1" si="146"/>
        <v>-15254763.403686903</v>
      </c>
      <c r="L2517" s="455">
        <f t="shared" ca="1" si="147"/>
        <v>-3676397980.2885437</v>
      </c>
      <c r="M2517" s="471">
        <f t="shared" si="149"/>
        <v>0.05</v>
      </c>
      <c r="N2517" s="475">
        <f t="shared" si="150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48"/>
        <v>-3676397980.2885437</v>
      </c>
      <c r="J2518" s="455">
        <f t="array" ref="J2518">IFERROR(INDEX('Retirement Calculator'!J:J,MATCH('Isaac 401k'!N2518,'Retirement Calculator'!A:A,0),0),0)</f>
        <v>0</v>
      </c>
      <c r="K2518" s="455">
        <f t="shared" ca="1" si="146"/>
        <v>-15318324.917868933</v>
      </c>
      <c r="L2518" s="455">
        <f t="shared" ca="1" si="147"/>
        <v>-3691716305.2064128</v>
      </c>
      <c r="M2518" s="471">
        <f t="shared" si="149"/>
        <v>0.05</v>
      </c>
      <c r="N2518" s="475">
        <f t="shared" si="150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48"/>
        <v>-3691716305.2064128</v>
      </c>
      <c r="J2519" s="455">
        <f t="array" ref="J2519">IFERROR(INDEX('Retirement Calculator'!J:J,MATCH('Isaac 401k'!N2519,'Retirement Calculator'!A:A,0),0),0)</f>
        <v>0</v>
      </c>
      <c r="K2519" s="455">
        <f t="shared" ca="1" si="146"/>
        <v>-15382151.271693386</v>
      </c>
      <c r="L2519" s="455">
        <f t="shared" ca="1" si="147"/>
        <v>-3707098456.478106</v>
      </c>
      <c r="M2519" s="471">
        <f t="shared" si="149"/>
        <v>0.05</v>
      </c>
      <c r="N2519" s="475">
        <f t="shared" si="150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48"/>
        <v>-3707098456.478106</v>
      </c>
      <c r="J2520" s="455">
        <f t="array" ref="J2520">IFERROR(INDEX('Retirement Calculator'!J:J,MATCH('Isaac 401k'!N2520,'Retirement Calculator'!A:A,0),0),0)</f>
        <v>0</v>
      </c>
      <c r="K2520" s="455">
        <f t="shared" ca="1" si="146"/>
        <v>-15446243.568658777</v>
      </c>
      <c r="L2520" s="455">
        <f t="shared" ca="1" si="147"/>
        <v>-3722544700.0467649</v>
      </c>
      <c r="M2520" s="471">
        <f t="shared" si="149"/>
        <v>0.05</v>
      </c>
      <c r="N2520" s="475">
        <f t="shared" si="150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48"/>
        <v>-3722544700.0467649</v>
      </c>
      <c r="J2521" s="455">
        <f t="array" ref="J2521">IFERROR(INDEX('Retirement Calculator'!J:J,MATCH('Isaac 401k'!N2521,'Retirement Calculator'!A:A,0),0),0)</f>
        <v>0</v>
      </c>
      <c r="K2521" s="455">
        <f t="shared" ca="1" si="146"/>
        <v>-15510602.916861519</v>
      </c>
      <c r="L2521" s="455">
        <f t="shared" ca="1" si="147"/>
        <v>-3738055302.9636264</v>
      </c>
      <c r="M2521" s="471">
        <f t="shared" si="149"/>
        <v>0.05</v>
      </c>
      <c r="N2521" s="475">
        <f t="shared" si="150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48"/>
        <v>-3738055302.9636264</v>
      </c>
      <c r="J2522" s="455">
        <f t="array" ref="J2522">IFERROR(INDEX('Retirement Calculator'!J:J,MATCH('Isaac 401k'!N2522,'Retirement Calculator'!A:A,0),0),0)</f>
        <v>0</v>
      </c>
      <c r="K2522" s="455">
        <f t="shared" ca="1" si="146"/>
        <v>-15575230.429015109</v>
      </c>
      <c r="L2522" s="455">
        <f t="shared" ca="1" si="147"/>
        <v>-3753630533.3926415</v>
      </c>
      <c r="M2522" s="471">
        <f t="shared" si="149"/>
        <v>0.05</v>
      </c>
      <c r="N2522" s="475">
        <f t="shared" si="150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48"/>
        <v>-3753630533.3926415</v>
      </c>
      <c r="J2523" s="455">
        <f t="array" ref="J2523">IFERROR(INDEX('Retirement Calculator'!J:J,MATCH('Isaac 401k'!N2523,'Retirement Calculator'!A:A,0),0),0)</f>
        <v>0</v>
      </c>
      <c r="K2523" s="455">
        <f t="shared" ca="1" si="146"/>
        <v>-15640127.222469339</v>
      </c>
      <c r="L2523" s="455">
        <f t="shared" ca="1" si="147"/>
        <v>-3769270660.6151109</v>
      </c>
      <c r="M2523" s="471">
        <f t="shared" si="149"/>
        <v>0.05</v>
      </c>
      <c r="N2523" s="475">
        <f t="shared" si="150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48"/>
        <v>-3769270660.6151109</v>
      </c>
      <c r="J2524" s="455">
        <f t="array" ref="J2524">IFERROR(INDEX('Retirement Calculator'!J:J,MATCH('Isaac 401k'!N2524,'Retirement Calculator'!A:A,0),0),0)</f>
        <v>0</v>
      </c>
      <c r="K2524" s="455">
        <f t="shared" ca="1" si="146"/>
        <v>-15705294.419229629</v>
      </c>
      <c r="L2524" s="455">
        <f t="shared" ca="1" si="147"/>
        <v>-3784975955.0343404</v>
      </c>
      <c r="M2524" s="471">
        <f t="shared" si="149"/>
        <v>0.05</v>
      </c>
      <c r="N2524" s="475">
        <f t="shared" si="150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48"/>
        <v>-3784975955.0343404</v>
      </c>
      <c r="J2525" s="455">
        <f t="array" ref="J2525">IFERROR(INDEX('Retirement Calculator'!J:J,MATCH('Isaac 401k'!N2525,'Retirement Calculator'!A:A,0),0),0)</f>
        <v>0</v>
      </c>
      <c r="K2525" s="455">
        <f t="shared" ca="1" si="146"/>
        <v>-15770733.14597642</v>
      </c>
      <c r="L2525" s="455">
        <f t="shared" ca="1" si="147"/>
        <v>-3800746688.1803169</v>
      </c>
      <c r="M2525" s="471">
        <f t="shared" si="149"/>
        <v>0.05</v>
      </c>
      <c r="N2525" s="475">
        <f t="shared" si="150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48"/>
        <v>-3800746688.1803169</v>
      </c>
      <c r="J2526" s="455">
        <f t="array" ref="J2526">IFERROR(INDEX('Retirement Calculator'!J:J,MATCH('Isaac 401k'!N2526,'Retirement Calculator'!A:A,0),0),0)</f>
        <v>0</v>
      </c>
      <c r="K2526" s="455">
        <f t="shared" ca="1" si="146"/>
        <v>-15836444.534084653</v>
      </c>
      <c r="L2526" s="455">
        <f t="shared" ca="1" si="147"/>
        <v>-3816583132.7144017</v>
      </c>
      <c r="M2526" s="471">
        <f t="shared" si="149"/>
        <v>0.05</v>
      </c>
      <c r="N2526" s="475">
        <f t="shared" si="150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48"/>
        <v>-3816583132.7144017</v>
      </c>
      <c r="J2527" s="455">
        <f t="array" ref="J2527">IFERROR(INDEX('Retirement Calculator'!J:J,MATCH('Isaac 401k'!N2527,'Retirement Calculator'!A:A,0),0),0)</f>
        <v>0</v>
      </c>
      <c r="K2527" s="455">
        <f t="shared" ca="1" si="146"/>
        <v>-15902429.71964334</v>
      </c>
      <c r="L2527" s="455">
        <f t="shared" ca="1" si="147"/>
        <v>-3832485562.4340448</v>
      </c>
      <c r="M2527" s="471">
        <f t="shared" si="149"/>
        <v>0.05</v>
      </c>
      <c r="N2527" s="475">
        <f t="shared" si="150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48"/>
        <v>-3832485562.4340448</v>
      </c>
      <c r="J2528" s="455">
        <f t="array" ref="J2528">IFERROR(INDEX('Retirement Calculator'!J:J,MATCH('Isaac 401k'!N2528,'Retirement Calculator'!A:A,0),0),0)</f>
        <v>0</v>
      </c>
      <c r="K2528" s="455">
        <f t="shared" ca="1" si="146"/>
        <v>-15968689.843475187</v>
      </c>
      <c r="L2528" s="455">
        <f t="shared" ca="1" si="147"/>
        <v>-3848454252.2775202</v>
      </c>
      <c r="M2528" s="471">
        <f t="shared" si="149"/>
        <v>0.05</v>
      </c>
      <c r="N2528" s="475">
        <f t="shared" si="150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48"/>
        <v>-3848454252.2775202</v>
      </c>
      <c r="J2529" s="455">
        <f t="array" ref="J2529">IFERROR(INDEX('Retirement Calculator'!J:J,MATCH('Isaac 401k'!N2529,'Retirement Calculator'!A:A,0),0),0)</f>
        <v>0</v>
      </c>
      <c r="K2529" s="455">
        <f t="shared" ca="1" si="146"/>
        <v>-16035226.051156335</v>
      </c>
      <c r="L2529" s="455">
        <f t="shared" ca="1" si="147"/>
        <v>-3864489478.3286767</v>
      </c>
      <c r="M2529" s="471">
        <f t="shared" si="149"/>
        <v>0.05</v>
      </c>
      <c r="N2529" s="475">
        <f t="shared" si="150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48"/>
        <v>-3864489478.3286767</v>
      </c>
      <c r="J2530" s="455">
        <f t="array" ref="J2530">IFERROR(INDEX('Retirement Calculator'!J:J,MATCH('Isaac 401k'!N2530,'Retirement Calculator'!A:A,0),0),0)</f>
        <v>0</v>
      </c>
      <c r="K2530" s="455">
        <f t="shared" ca="1" si="146"/>
        <v>-16102039.493036153</v>
      </c>
      <c r="L2530" s="455">
        <f t="shared" ca="1" si="147"/>
        <v>-3880591517.821713</v>
      </c>
      <c r="M2530" s="471">
        <f t="shared" si="149"/>
        <v>0.05</v>
      </c>
      <c r="N2530" s="475">
        <f t="shared" si="150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48"/>
        <v>-3880591517.821713</v>
      </c>
      <c r="J2531" s="455">
        <f t="array" ref="J2531">IFERROR(INDEX('Retirement Calculator'!J:J,MATCH('Isaac 401k'!N2531,'Retirement Calculator'!A:A,0),0),0)</f>
        <v>0</v>
      </c>
      <c r="K2531" s="455">
        <f t="shared" ca="1" si="146"/>
        <v>-16169131.324257135</v>
      </c>
      <c r="L2531" s="455">
        <f t="shared" ca="1" si="147"/>
        <v>-3896760649.1459703</v>
      </c>
      <c r="M2531" s="471">
        <f t="shared" si="149"/>
        <v>0.05</v>
      </c>
      <c r="N2531" s="475">
        <f t="shared" si="150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48"/>
        <v>-3896760649.1459703</v>
      </c>
      <c r="J2532" s="455">
        <f t="array" ref="J2532">IFERROR(INDEX('Retirement Calculator'!J:J,MATCH('Isaac 401k'!N2532,'Retirement Calculator'!A:A,0),0),0)</f>
        <v>0</v>
      </c>
      <c r="K2532" s="455">
        <f t="shared" ca="1" si="146"/>
        <v>-16236502.704774877</v>
      </c>
      <c r="L2532" s="455">
        <f t="shared" ca="1" si="147"/>
        <v>-3912997151.8507452</v>
      </c>
      <c r="M2532" s="471">
        <f t="shared" si="149"/>
        <v>0.05</v>
      </c>
      <c r="N2532" s="475">
        <f t="shared" si="150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48"/>
        <v>-3912997151.8507452</v>
      </c>
      <c r="J2533" s="455">
        <f t="array" ref="J2533">IFERROR(INDEX('Retirement Calculator'!J:J,MATCH('Isaac 401k'!N2533,'Retirement Calculator'!A:A,0),0),0)</f>
        <v>0</v>
      </c>
      <c r="K2533" s="455">
        <f t="shared" ca="1" si="146"/>
        <v>-16304154.799378103</v>
      </c>
      <c r="L2533" s="455">
        <f t="shared" ca="1" si="147"/>
        <v>-3929301306.6501231</v>
      </c>
      <c r="M2533" s="471">
        <f t="shared" si="149"/>
        <v>0.05</v>
      </c>
      <c r="N2533" s="475">
        <f t="shared" si="150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48"/>
        <v>-3929301306.6501231</v>
      </c>
      <c r="J2534" s="455">
        <f t="array" ref="J2534">IFERROR(INDEX('Retirement Calculator'!J:J,MATCH('Isaac 401k'!N2534,'Retirement Calculator'!A:A,0),0),0)</f>
        <v>0</v>
      </c>
      <c r="K2534" s="455">
        <f t="shared" ca="1" si="146"/>
        <v>-16372088.777708845</v>
      </c>
      <c r="L2534" s="455">
        <f t="shared" ca="1" si="147"/>
        <v>-3945673395.4278321</v>
      </c>
      <c r="M2534" s="471">
        <f t="shared" si="149"/>
        <v>0.05</v>
      </c>
      <c r="N2534" s="475">
        <f t="shared" si="150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48"/>
        <v>-3945673395.4278321</v>
      </c>
      <c r="J2535" s="455">
        <f t="array" ref="J2535">IFERROR(INDEX('Retirement Calculator'!J:J,MATCH('Isaac 401k'!N2535,'Retirement Calculator'!A:A,0),0),0)</f>
        <v>0</v>
      </c>
      <c r="K2535" s="455">
        <f t="shared" ca="1" si="146"/>
        <v>-16440305.814282632</v>
      </c>
      <c r="L2535" s="455">
        <f t="shared" ca="1" si="147"/>
        <v>-3962113701.2421145</v>
      </c>
      <c r="M2535" s="471">
        <f t="shared" si="149"/>
        <v>0.05</v>
      </c>
      <c r="N2535" s="475">
        <f t="shared" si="150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48"/>
        <v>-3962113701.2421145</v>
      </c>
      <c r="J2536" s="455">
        <f t="array" ref="J2536">IFERROR(INDEX('Retirement Calculator'!J:J,MATCH('Isaac 401k'!N2536,'Retirement Calculator'!A:A,0),0),0)</f>
        <v>0</v>
      </c>
      <c r="K2536" s="455">
        <f t="shared" ca="1" si="146"/>
        <v>-16508807.088508811</v>
      </c>
      <c r="L2536" s="455">
        <f t="shared" ca="1" si="147"/>
        <v>-3978622508.3306231</v>
      </c>
      <c r="M2536" s="471">
        <f t="shared" si="149"/>
        <v>0.05</v>
      </c>
      <c r="N2536" s="475">
        <f t="shared" si="150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48"/>
        <v>-3978622508.3306231</v>
      </c>
      <c r="J2537" s="455">
        <f t="array" ref="J2537">IFERROR(INDEX('Retirement Calculator'!J:J,MATCH('Isaac 401k'!N2537,'Retirement Calculator'!A:A,0),0),0)</f>
        <v>0</v>
      </c>
      <c r="K2537" s="455">
        <f t="shared" ca="1" si="146"/>
        <v>-16577593.784710929</v>
      </c>
      <c r="L2537" s="455">
        <f t="shared" ca="1" si="147"/>
        <v>-3995200102.115334</v>
      </c>
      <c r="M2537" s="471">
        <f t="shared" si="149"/>
        <v>0.05</v>
      </c>
      <c r="N2537" s="475">
        <f t="shared" si="150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48"/>
        <v>-3995200102.115334</v>
      </c>
      <c r="J2538" s="455">
        <f t="array" ref="J2538">IFERROR(INDEX('Retirement Calculator'!J:J,MATCH('Isaac 401k'!N2538,'Retirement Calculator'!A:A,0),0),0)</f>
        <v>0</v>
      </c>
      <c r="K2538" s="455">
        <f t="shared" ca="1" si="146"/>
        <v>-16646667.092147226</v>
      </c>
      <c r="L2538" s="455">
        <f t="shared" ca="1" si="147"/>
        <v>-4011846769.2074814</v>
      </c>
      <c r="M2538" s="471">
        <f t="shared" si="149"/>
        <v>0.05</v>
      </c>
      <c r="N2538" s="475">
        <f t="shared" si="150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48"/>
        <v>-4011846769.2074814</v>
      </c>
      <c r="J2539" s="455">
        <f t="array" ref="J2539">IFERROR(INDEX('Retirement Calculator'!J:J,MATCH('Isaac 401k'!N2539,'Retirement Calculator'!A:A,0),0),0)</f>
        <v>0</v>
      </c>
      <c r="K2539" s="455">
        <f t="shared" ca="1" si="146"/>
        <v>-16716028.205031171</v>
      </c>
      <c r="L2539" s="455">
        <f t="shared" ca="1" si="147"/>
        <v>-4028562797.4125128</v>
      </c>
      <c r="M2539" s="471">
        <f t="shared" si="149"/>
        <v>0.05</v>
      </c>
      <c r="N2539" s="475">
        <f t="shared" si="150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48"/>
        <v>-4028562797.4125128</v>
      </c>
      <c r="J2540" s="455">
        <f t="array" ref="J2540">IFERROR(INDEX('Retirement Calculator'!J:J,MATCH('Isaac 401k'!N2540,'Retirement Calculator'!A:A,0),0),0)</f>
        <v>0</v>
      </c>
      <c r="K2540" s="455">
        <f t="shared" ca="1" si="146"/>
        <v>-16785678.322552133</v>
      </c>
      <c r="L2540" s="455">
        <f t="shared" ca="1" si="147"/>
        <v>-4045348475.735065</v>
      </c>
      <c r="M2540" s="471">
        <f t="shared" si="149"/>
        <v>0.05</v>
      </c>
      <c r="N2540" s="475">
        <f t="shared" si="150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48"/>
        <v>-4045348475.735065</v>
      </c>
      <c r="J2541" s="455">
        <f t="array" ref="J2541">IFERROR(INDEX('Retirement Calculator'!J:J,MATCH('Isaac 401k'!N2541,'Retirement Calculator'!A:A,0),0),0)</f>
        <v>0</v>
      </c>
      <c r="K2541" s="455">
        <f t="shared" ca="1" si="146"/>
        <v>-16855618.648896106</v>
      </c>
      <c r="L2541" s="455">
        <f t="shared" ca="1" si="147"/>
        <v>-4062204094.3839612</v>
      </c>
      <c r="M2541" s="471">
        <f t="shared" si="149"/>
        <v>0.05</v>
      </c>
      <c r="N2541" s="475">
        <f t="shared" si="150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48"/>
        <v>-4062204094.3839612</v>
      </c>
      <c r="J2542" s="455">
        <f t="array" ref="J2542">IFERROR(INDEX('Retirement Calculator'!J:J,MATCH('Isaac 401k'!N2542,'Retirement Calculator'!A:A,0),0),0)</f>
        <v>0</v>
      </c>
      <c r="K2542" s="455">
        <f t="shared" ca="1" si="146"/>
        <v>-16925850.393266506</v>
      </c>
      <c r="L2542" s="455">
        <f t="shared" ca="1" si="147"/>
        <v>-4079129944.7772279</v>
      </c>
      <c r="M2542" s="471">
        <f t="shared" si="149"/>
        <v>0.05</v>
      </c>
      <c r="N2542" s="475">
        <f t="shared" si="150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48"/>
        <v>-4079129944.7772279</v>
      </c>
      <c r="J2543" s="455">
        <f t="array" ref="J2543">IFERROR(INDEX('Retirement Calculator'!J:J,MATCH('Isaac 401k'!N2543,'Retirement Calculator'!A:A,0),0),0)</f>
        <v>0</v>
      </c>
      <c r="K2543" s="455">
        <f t="shared" ca="1" si="146"/>
        <v>-16996374.769905113</v>
      </c>
      <c r="L2543" s="455">
        <f t="shared" ca="1" si="147"/>
        <v>-4096126319.547133</v>
      </c>
      <c r="M2543" s="471">
        <f t="shared" si="149"/>
        <v>0.05</v>
      </c>
      <c r="N2543" s="475">
        <f t="shared" si="150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48"/>
        <v>-4096126319.547133</v>
      </c>
      <c r="J2544" s="455">
        <f t="array" ref="J2544">IFERROR(INDEX('Retirement Calculator'!J:J,MATCH('Isaac 401k'!N2544,'Retirement Calculator'!A:A,0),0),0)</f>
        <v>0</v>
      </c>
      <c r="K2544" s="455">
        <f t="shared" ca="1" si="146"/>
        <v>-17067192.998113055</v>
      </c>
      <c r="L2544" s="455">
        <f t="shared" ca="1" si="147"/>
        <v>-4113193512.5452461</v>
      </c>
      <c r="M2544" s="471">
        <f t="shared" si="149"/>
        <v>0.05</v>
      </c>
      <c r="N2544" s="475">
        <f t="shared" si="150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48"/>
        <v>-4113193512.5452461</v>
      </c>
      <c r="J2545" s="455">
        <f t="array" ref="J2545">IFERROR(INDEX('Retirement Calculator'!J:J,MATCH('Isaac 401k'!N2545,'Retirement Calculator'!A:A,0),0),0)</f>
        <v>0</v>
      </c>
      <c r="K2545" s="455">
        <f t="shared" ca="1" si="146"/>
        <v>-17138306.302271858</v>
      </c>
      <c r="L2545" s="455">
        <f t="shared" ca="1" si="147"/>
        <v>-4130331818.847518</v>
      </c>
      <c r="M2545" s="471">
        <f t="shared" si="149"/>
        <v>0.05</v>
      </c>
      <c r="N2545" s="475">
        <f t="shared" si="150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48"/>
        <v>-4130331818.847518</v>
      </c>
      <c r="J2546" s="455">
        <f t="array" ref="J2546">IFERROR(INDEX('Retirement Calculator'!J:J,MATCH('Isaac 401k'!N2546,'Retirement Calculator'!A:A,0),0),0)</f>
        <v>0</v>
      </c>
      <c r="K2546" s="455">
        <f t="shared" ca="1" si="146"/>
        <v>-17209715.911864657</v>
      </c>
      <c r="L2546" s="455">
        <f t="shared" ca="1" si="147"/>
        <v>-4147541534.7593827</v>
      </c>
      <c r="M2546" s="471">
        <f t="shared" si="149"/>
        <v>0.05</v>
      </c>
      <c r="N2546" s="475">
        <f t="shared" si="150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48"/>
        <v>-4147541534.7593827</v>
      </c>
      <c r="J2547" s="455">
        <f t="array" ref="J2547">IFERROR(INDEX('Retirement Calculator'!J:J,MATCH('Isaac 401k'!N2547,'Retirement Calculator'!A:A,0),0),0)</f>
        <v>0</v>
      </c>
      <c r="K2547" s="455">
        <f t="shared" ca="1" si="146"/>
        <v>-17281423.061497428</v>
      </c>
      <c r="L2547" s="455">
        <f t="shared" ca="1" si="147"/>
        <v>-4164822957.8208799</v>
      </c>
      <c r="M2547" s="471">
        <f t="shared" si="149"/>
        <v>0.05</v>
      </c>
      <c r="N2547" s="475">
        <f t="shared" si="150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48"/>
        <v>-4164822957.8208799</v>
      </c>
      <c r="J2548" s="455">
        <f t="array" ref="J2548">IFERROR(INDEX('Retirement Calculator'!J:J,MATCH('Isaac 401k'!N2548,'Retirement Calculator'!A:A,0),0),0)</f>
        <v>0</v>
      </c>
      <c r="K2548" s="455">
        <f t="shared" ca="1" si="146"/>
        <v>-17353428.990920331</v>
      </c>
      <c r="L2548" s="455">
        <f t="shared" ca="1" si="147"/>
        <v>-4182176386.8118005</v>
      </c>
      <c r="M2548" s="471">
        <f t="shared" si="149"/>
        <v>0.05</v>
      </c>
      <c r="N2548" s="475">
        <f t="shared" si="150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48"/>
        <v>-4182176386.8118005</v>
      </c>
      <c r="J2549" s="455">
        <f t="array" ref="J2549">IFERROR(INDEX('Retirement Calculator'!J:J,MATCH('Isaac 401k'!N2549,'Retirement Calculator'!A:A,0),0),0)</f>
        <v>0</v>
      </c>
      <c r="K2549" s="455">
        <f t="shared" ca="1" si="146"/>
        <v>-17425734.945049167</v>
      </c>
      <c r="L2549" s="455">
        <f t="shared" ca="1" si="147"/>
        <v>-4199602121.7568498</v>
      </c>
      <c r="M2549" s="471">
        <f t="shared" si="149"/>
        <v>0.05</v>
      </c>
      <c r="N2549" s="475">
        <f t="shared" si="150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48"/>
        <v>-4199602121.7568498</v>
      </c>
      <c r="J2550" s="455">
        <f t="array" ref="J2550">IFERROR(INDEX('Retirement Calculator'!J:J,MATCH('Isaac 401k'!N2550,'Retirement Calculator'!A:A,0),0),0)</f>
        <v>0</v>
      </c>
      <c r="K2550" s="455">
        <f t="shared" ca="1" si="146"/>
        <v>-17498342.173986875</v>
      </c>
      <c r="L2550" s="455">
        <f t="shared" ca="1" si="147"/>
        <v>-4217100463.9308367</v>
      </c>
      <c r="M2550" s="471">
        <f t="shared" si="149"/>
        <v>0.05</v>
      </c>
      <c r="N2550" s="475">
        <f t="shared" si="150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48"/>
        <v>-4217100463.9308367</v>
      </c>
      <c r="J2551" s="455">
        <f t="array" ref="J2551">IFERROR(INDEX('Retirement Calculator'!J:J,MATCH('Isaac 401k'!N2551,'Retirement Calculator'!A:A,0),0),0)</f>
        <v>0</v>
      </c>
      <c r="K2551" s="455">
        <f t="shared" ca="1" si="146"/>
        <v>-17571251.933045149</v>
      </c>
      <c r="L2551" s="455">
        <f t="shared" ca="1" si="147"/>
        <v>-4234671715.8638821</v>
      </c>
      <c r="M2551" s="471">
        <f t="shared" si="149"/>
        <v>0.05</v>
      </c>
      <c r="N2551" s="475">
        <f t="shared" si="150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48"/>
        <v>-4234671715.8638821</v>
      </c>
      <c r="J2552" s="455">
        <f t="array" ref="J2552">IFERROR(INDEX('Retirement Calculator'!J:J,MATCH('Isaac 401k'!N2552,'Retirement Calculator'!A:A,0),0),0)</f>
        <v>0</v>
      </c>
      <c r="K2552" s="455">
        <f t="shared" ca="1" si="146"/>
        <v>-17644465.482766174</v>
      </c>
      <c r="L2552" s="455">
        <f t="shared" ca="1" si="147"/>
        <v>-4252316181.3466482</v>
      </c>
      <c r="M2552" s="471">
        <f t="shared" si="149"/>
        <v>0.05</v>
      </c>
      <c r="N2552" s="475">
        <f t="shared" si="150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48"/>
        <v>-4252316181.3466482</v>
      </c>
      <c r="J2553" s="455">
        <f t="array" ref="J2553">IFERROR(INDEX('Retirement Calculator'!J:J,MATCH('Isaac 401k'!N2553,'Retirement Calculator'!A:A,0),0),0)</f>
        <v>0</v>
      </c>
      <c r="K2553" s="455">
        <f t="shared" ca="1" si="146"/>
        <v>-17717984.088944368</v>
      </c>
      <c r="L2553" s="455">
        <f t="shared" ca="1" si="147"/>
        <v>-4270034165.4355927</v>
      </c>
      <c r="M2553" s="471">
        <f t="shared" si="149"/>
        <v>0.05</v>
      </c>
      <c r="N2553" s="475">
        <f t="shared" si="150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48"/>
        <v>-4270034165.4355927</v>
      </c>
      <c r="J2554" s="455">
        <f t="array" ref="J2554">IFERROR(INDEX('Retirement Calculator'!J:J,MATCH('Isaac 401k'!N2554,'Retirement Calculator'!A:A,0),0),0)</f>
        <v>0</v>
      </c>
      <c r="K2554" s="455">
        <f t="shared" ca="1" si="146"/>
        <v>-17791809.022648301</v>
      </c>
      <c r="L2554" s="455">
        <f t="shared" ca="1" si="147"/>
        <v>-4287825974.458241</v>
      </c>
      <c r="M2554" s="471">
        <f t="shared" si="149"/>
        <v>0.05</v>
      </c>
      <c r="N2554" s="475">
        <f t="shared" si="150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48"/>
        <v>-4287825974.458241</v>
      </c>
      <c r="J2555" s="455">
        <f t="array" ref="J2555">IFERROR(INDEX('Retirement Calculator'!J:J,MATCH('Isaac 401k'!N2555,'Retirement Calculator'!A:A,0),0),0)</f>
        <v>0</v>
      </c>
      <c r="K2555" s="455">
        <f t="shared" ca="1" si="146"/>
        <v>-17865941.560242672</v>
      </c>
      <c r="L2555" s="455">
        <f t="shared" ca="1" si="147"/>
        <v>-4305691916.0184841</v>
      </c>
      <c r="M2555" s="471">
        <f t="shared" si="149"/>
        <v>0.05</v>
      </c>
      <c r="N2555" s="475">
        <f t="shared" si="150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48"/>
        <v>-4305691916.0184841</v>
      </c>
      <c r="J2556" s="455">
        <f t="array" ref="J2556">IFERROR(INDEX('Retirement Calculator'!J:J,MATCH('Isaac 401k'!N2556,'Retirement Calculator'!A:A,0),0),0)</f>
        <v>0</v>
      </c>
      <c r="K2556" s="455">
        <f t="shared" ca="1" si="146"/>
        <v>-17940382.983410351</v>
      </c>
      <c r="L2556" s="455">
        <f t="shared" ca="1" si="147"/>
        <v>-4323632299.001894</v>
      </c>
      <c r="M2556" s="471">
        <f t="shared" si="149"/>
        <v>0.05</v>
      </c>
      <c r="N2556" s="475">
        <f t="shared" si="150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48"/>
        <v>-4323632299.001894</v>
      </c>
      <c r="J2557" s="455">
        <f t="array" ref="J2557">IFERROR(INDEX('Retirement Calculator'!J:J,MATCH('Isaac 401k'!N2557,'Retirement Calculator'!A:A,0),0),0)</f>
        <v>0</v>
      </c>
      <c r="K2557" s="455">
        <f t="shared" ca="1" si="146"/>
        <v>-18015134.57917456</v>
      </c>
      <c r="L2557" s="455">
        <f t="shared" ca="1" si="147"/>
        <v>-4341647433.581069</v>
      </c>
      <c r="M2557" s="471">
        <f t="shared" si="149"/>
        <v>0.05</v>
      </c>
      <c r="N2557" s="475">
        <f t="shared" si="150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48"/>
        <v>-4341647433.581069</v>
      </c>
      <c r="J2558" s="455">
        <f t="array" ref="J2558">IFERROR(INDEX('Retirement Calculator'!J:J,MATCH('Isaac 401k'!N2558,'Retirement Calculator'!A:A,0),0),0)</f>
        <v>0</v>
      </c>
      <c r="K2558" s="455">
        <f t="shared" ref="K2558:K2812" ca="1" si="151">IPMT(M2558/12,1,12,-I2558+J2558,,0)</f>
        <v>-18090197.639921121</v>
      </c>
      <c r="L2558" s="455">
        <f t="shared" ref="L2558:L2812" ca="1" si="152">I2558-J2558+K2558</f>
        <v>-4359737631.2209902</v>
      </c>
      <c r="M2558" s="471">
        <f t="shared" si="149"/>
        <v>0.05</v>
      </c>
      <c r="N2558" s="475">
        <f t="shared" si="150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53">L2558</f>
        <v>-4359737631.2209902</v>
      </c>
      <c r="J2559" s="455">
        <f t="array" ref="J2559">IFERROR(INDEX('Retirement Calculator'!J:J,MATCH('Isaac 401k'!N2559,'Retirement Calculator'!A:A,0),0),0)</f>
        <v>0</v>
      </c>
      <c r="K2559" s="455">
        <f t="shared" ca="1" si="151"/>
        <v>-18165573.463420793</v>
      </c>
      <c r="L2559" s="455">
        <f t="shared" ca="1" si="152"/>
        <v>-4377903204.684411</v>
      </c>
      <c r="M2559" s="471">
        <f t="shared" ref="M2559:M2813" si="154">M2558</f>
        <v>0.05</v>
      </c>
      <c r="N2559" s="475">
        <f t="shared" ref="N2559:N2813" si="155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53"/>
        <v>-4377903204.684411</v>
      </c>
      <c r="J2560" s="455">
        <f t="array" ref="J2560">IFERROR(INDEX('Retirement Calculator'!J:J,MATCH('Isaac 401k'!N2560,'Retirement Calculator'!A:A,0),0),0)</f>
        <v>0</v>
      </c>
      <c r="K2560" s="455">
        <f t="shared" ca="1" si="151"/>
        <v>-18241263.352851711</v>
      </c>
      <c r="L2560" s="455">
        <f t="shared" ca="1" si="152"/>
        <v>-4396144468.0372629</v>
      </c>
      <c r="M2560" s="471">
        <f t="shared" si="154"/>
        <v>0.05</v>
      </c>
      <c r="N2560" s="475">
        <f t="shared" si="155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53"/>
        <v>-4396144468.0372629</v>
      </c>
      <c r="J2561" s="455">
        <f t="array" ref="J2561">IFERROR(INDEX('Retirement Calculator'!J:J,MATCH('Isaac 401k'!N2561,'Retirement Calculator'!A:A,0),0),0)</f>
        <v>0</v>
      </c>
      <c r="K2561" s="455">
        <f t="shared" ca="1" si="151"/>
        <v>-18317268.61682193</v>
      </c>
      <c r="L2561" s="455">
        <f t="shared" ca="1" si="152"/>
        <v>-4414461736.6540852</v>
      </c>
      <c r="M2561" s="471">
        <f t="shared" si="154"/>
        <v>0.05</v>
      </c>
      <c r="N2561" s="475">
        <f t="shared" si="155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53"/>
        <v>-4414461736.6540852</v>
      </c>
      <c r="J2562" s="455">
        <f t="array" ref="J2562">IFERROR(INDEX('Retirement Calculator'!J:J,MATCH('Isaac 401k'!N2562,'Retirement Calculator'!A:A,0),0),0)</f>
        <v>0</v>
      </c>
      <c r="K2562" s="455">
        <f t="shared" ca="1" si="151"/>
        <v>-18393590.569392022</v>
      </c>
      <c r="L2562" s="455">
        <f t="shared" ca="1" si="152"/>
        <v>-4432855327.2234774</v>
      </c>
      <c r="M2562" s="471">
        <f t="shared" si="154"/>
        <v>0.05</v>
      </c>
      <c r="N2562" s="475">
        <f t="shared" si="155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53"/>
        <v>-4432855327.2234774</v>
      </c>
      <c r="J2563" s="455">
        <f t="array" ref="J2563">IFERROR(INDEX('Retirement Calculator'!J:J,MATCH('Isaac 401k'!N2563,'Retirement Calculator'!A:A,0),0),0)</f>
        <v>0</v>
      </c>
      <c r="K2563" s="455">
        <f t="shared" ca="1" si="151"/>
        <v>-18470230.530097824</v>
      </c>
      <c r="L2563" s="455">
        <f t="shared" ca="1" si="152"/>
        <v>-4451325557.7535753</v>
      </c>
      <c r="M2563" s="471">
        <f t="shared" si="154"/>
        <v>0.05</v>
      </c>
      <c r="N2563" s="475">
        <f t="shared" si="155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53"/>
        <v>-4451325557.7535753</v>
      </c>
      <c r="J2564" s="455">
        <f t="array" ref="J2564">IFERROR(INDEX('Retirement Calculator'!J:J,MATCH('Isaac 401k'!N2564,'Retirement Calculator'!A:A,0),0),0)</f>
        <v>0</v>
      </c>
      <c r="K2564" s="455">
        <f t="shared" ca="1" si="151"/>
        <v>-18547189.823973231</v>
      </c>
      <c r="L2564" s="455">
        <f t="shared" ca="1" si="152"/>
        <v>-4469872747.577549</v>
      </c>
      <c r="M2564" s="471">
        <f t="shared" si="154"/>
        <v>0.05</v>
      </c>
      <c r="N2564" s="475">
        <f t="shared" si="155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53"/>
        <v>-4469872747.577549</v>
      </c>
      <c r="J2565" s="455">
        <f t="array" ref="J2565">IFERROR(INDEX('Retirement Calculator'!J:J,MATCH('Isaac 401k'!N2565,'Retirement Calculator'!A:A,0),0),0)</f>
        <v>0</v>
      </c>
      <c r="K2565" s="455">
        <f t="shared" ca="1" si="151"/>
        <v>-18624469.781573121</v>
      </c>
      <c r="L2565" s="455">
        <f t="shared" ca="1" si="152"/>
        <v>-4488497217.3591223</v>
      </c>
      <c r="M2565" s="471">
        <f t="shared" si="154"/>
        <v>0.05</v>
      </c>
      <c r="N2565" s="475">
        <f t="shared" si="155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53"/>
        <v>-4488497217.3591223</v>
      </c>
      <c r="J2566" s="455">
        <f t="array" ref="J2566">IFERROR(INDEX('Retirement Calculator'!J:J,MATCH('Isaac 401k'!N2566,'Retirement Calculator'!A:A,0),0),0)</f>
        <v>0</v>
      </c>
      <c r="K2566" s="455">
        <f t="shared" ca="1" si="151"/>
        <v>-18702071.738996342</v>
      </c>
      <c r="L2566" s="455">
        <f t="shared" ca="1" si="152"/>
        <v>-4507199289.0981188</v>
      </c>
      <c r="M2566" s="471">
        <f t="shared" si="154"/>
        <v>0.05</v>
      </c>
      <c r="N2566" s="475">
        <f t="shared" si="155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53"/>
        <v>-4507199289.0981188</v>
      </c>
      <c r="J2567" s="455">
        <f t="array" ref="J2567">IFERROR(INDEX('Retirement Calculator'!J:J,MATCH('Isaac 401k'!N2567,'Retirement Calculator'!A:A,0),0),0)</f>
        <v>0</v>
      </c>
      <c r="K2567" s="455">
        <f t="shared" ca="1" si="151"/>
        <v>-18779997.03790883</v>
      </c>
      <c r="L2567" s="455">
        <f t="shared" ca="1" si="152"/>
        <v>-4525979286.1360273</v>
      </c>
      <c r="M2567" s="471">
        <f t="shared" si="154"/>
        <v>0.05</v>
      </c>
      <c r="N2567" s="475">
        <f t="shared" si="155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53"/>
        <v>-4525979286.1360273</v>
      </c>
      <c r="J2568" s="455">
        <f t="array" ref="J2568">IFERROR(INDEX('Retirement Calculator'!J:J,MATCH('Isaac 401k'!N2568,'Retirement Calculator'!A:A,0),0),0)</f>
        <v>0</v>
      </c>
      <c r="K2568" s="455">
        <f t="shared" ca="1" si="151"/>
        <v>-18858247.025566779</v>
      </c>
      <c r="L2568" s="455">
        <f t="shared" ca="1" si="152"/>
        <v>-4544837533.1615944</v>
      </c>
      <c r="M2568" s="471">
        <f t="shared" si="154"/>
        <v>0.05</v>
      </c>
      <c r="N2568" s="475">
        <f t="shared" si="155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53"/>
        <v>-4544837533.1615944</v>
      </c>
      <c r="J2569" s="455">
        <f t="array" ref="J2569">IFERROR(INDEX('Retirement Calculator'!J:J,MATCH('Isaac 401k'!N2569,'Retirement Calculator'!A:A,0),0),0)</f>
        <v>0</v>
      </c>
      <c r="K2569" s="455">
        <f t="shared" ca="1" si="151"/>
        <v>-18936823.054839976</v>
      </c>
      <c r="L2569" s="455">
        <f t="shared" ca="1" si="152"/>
        <v>-4563774356.2164345</v>
      </c>
      <c r="M2569" s="471">
        <f t="shared" si="154"/>
        <v>0.05</v>
      </c>
      <c r="N2569" s="475">
        <f t="shared" si="155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53"/>
        <v>-4563774356.2164345</v>
      </c>
      <c r="J2570" s="455">
        <f t="array" ref="J2570">IFERROR(INDEX('Retirement Calculator'!J:J,MATCH('Isaac 401k'!N2570,'Retirement Calculator'!A:A,0),0),0)</f>
        <v>0</v>
      </c>
      <c r="K2570" s="455">
        <f t="shared" ca="1" si="151"/>
        <v>-19015726.484235145</v>
      </c>
      <c r="L2570" s="455">
        <f t="shared" ca="1" si="152"/>
        <v>-4582790082.7006693</v>
      </c>
      <c r="M2570" s="471">
        <f t="shared" si="154"/>
        <v>0.05</v>
      </c>
      <c r="N2570" s="475">
        <f t="shared" si="155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53"/>
        <v>-4582790082.7006693</v>
      </c>
      <c r="J2571" s="455">
        <f t="array" ref="J2571">IFERROR(INDEX('Retirement Calculator'!J:J,MATCH('Isaac 401k'!N2571,'Retirement Calculator'!A:A,0),0),0)</f>
        <v>0</v>
      </c>
      <c r="K2571" s="455">
        <f t="shared" ca="1" si="151"/>
        <v>-19094958.677919455</v>
      </c>
      <c r="L2571" s="455">
        <f t="shared" ca="1" si="152"/>
        <v>-4601885041.3785887</v>
      </c>
      <c r="M2571" s="471">
        <f t="shared" si="154"/>
        <v>0.05</v>
      </c>
      <c r="N2571" s="475">
        <f t="shared" si="155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53"/>
        <v>-4601885041.3785887</v>
      </c>
      <c r="J2572" s="455">
        <f t="array" ref="J2572">IFERROR(INDEX('Retirement Calculator'!J:J,MATCH('Isaac 401k'!N2572,'Retirement Calculator'!A:A,0),0),0)</f>
        <v>0</v>
      </c>
      <c r="K2572" s="455">
        <f t="shared" ca="1" si="151"/>
        <v>-19174521.005744118</v>
      </c>
      <c r="L2572" s="455">
        <f t="shared" ca="1" si="152"/>
        <v>-4621059562.3843327</v>
      </c>
      <c r="M2572" s="471">
        <f t="shared" si="154"/>
        <v>0.05</v>
      </c>
      <c r="N2572" s="475">
        <f t="shared" si="155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53"/>
        <v>-4621059562.3843327</v>
      </c>
      <c r="J2573" s="455">
        <f t="array" ref="J2573">IFERROR(INDEX('Retirement Calculator'!J:J,MATCH('Isaac 401k'!N2573,'Retirement Calculator'!A:A,0),0),0)</f>
        <v>0</v>
      </c>
      <c r="K2573" s="455">
        <f t="shared" ca="1" si="151"/>
        <v>-19254414.843268052</v>
      </c>
      <c r="L2573" s="455">
        <f t="shared" ca="1" si="152"/>
        <v>-4640313977.2276011</v>
      </c>
      <c r="M2573" s="471">
        <f t="shared" si="154"/>
        <v>0.05</v>
      </c>
      <c r="N2573" s="475">
        <f t="shared" si="155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53"/>
        <v>-4640313977.2276011</v>
      </c>
      <c r="J2574" s="455">
        <f t="array" ref="J2574">IFERROR(INDEX('Retirement Calculator'!J:J,MATCH('Isaac 401k'!N2574,'Retirement Calculator'!A:A,0),0),0)</f>
        <v>0</v>
      </c>
      <c r="K2574" s="455">
        <f t="shared" ca="1" si="151"/>
        <v>-19334641.571781673</v>
      </c>
      <c r="L2574" s="455">
        <f t="shared" ca="1" si="152"/>
        <v>-4659648618.7993832</v>
      </c>
      <c r="M2574" s="471">
        <f t="shared" si="154"/>
        <v>0.05</v>
      </c>
      <c r="N2574" s="475">
        <f t="shared" si="155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53"/>
        <v>-4659648618.7993832</v>
      </c>
      <c r="J2575" s="455">
        <f t="array" ref="J2575">IFERROR(INDEX('Retirement Calculator'!J:J,MATCH('Isaac 401k'!N2575,'Retirement Calculator'!A:A,0),0),0)</f>
        <v>0</v>
      </c>
      <c r="K2575" s="455">
        <f t="shared" ca="1" si="151"/>
        <v>-19415202.578330763</v>
      </c>
      <c r="L2575" s="455">
        <f t="shared" ca="1" si="152"/>
        <v>-4679063821.3777142</v>
      </c>
      <c r="M2575" s="471">
        <f t="shared" si="154"/>
        <v>0.05</v>
      </c>
      <c r="N2575" s="475">
        <f t="shared" si="155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53"/>
        <v>-4679063821.3777142</v>
      </c>
      <c r="J2576" s="455">
        <f t="array" ref="J2576">IFERROR(INDEX('Retirement Calculator'!J:J,MATCH('Isaac 401k'!N2576,'Retirement Calculator'!A:A,0),0),0)</f>
        <v>0</v>
      </c>
      <c r="K2576" s="455">
        <f t="shared" ca="1" si="151"/>
        <v>-19496099.255740475</v>
      </c>
      <c r="L2576" s="455">
        <f t="shared" ca="1" si="152"/>
        <v>-4698559920.6334543</v>
      </c>
      <c r="M2576" s="471">
        <f t="shared" si="154"/>
        <v>0.05</v>
      </c>
      <c r="N2576" s="475">
        <f t="shared" si="155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53"/>
        <v>-4698559920.6334543</v>
      </c>
      <c r="J2577" s="455">
        <f t="array" ref="J2577">IFERROR(INDEX('Retirement Calculator'!J:J,MATCH('Isaac 401k'!N2577,'Retirement Calculator'!A:A,0),0),0)</f>
        <v>0</v>
      </c>
      <c r="K2577" s="455">
        <f t="shared" ca="1" si="151"/>
        <v>-19577333.002639394</v>
      </c>
      <c r="L2577" s="455">
        <f t="shared" ca="1" si="152"/>
        <v>-4718137253.6360941</v>
      </c>
      <c r="M2577" s="471">
        <f t="shared" si="154"/>
        <v>0.05</v>
      </c>
      <c r="N2577" s="475">
        <f t="shared" si="155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53"/>
        <v>-4718137253.6360941</v>
      </c>
      <c r="J2578" s="455">
        <f t="array" ref="J2578">IFERROR(INDEX('Retirement Calculator'!J:J,MATCH('Isaac 401k'!N2578,'Retirement Calculator'!A:A,0),0),0)</f>
        <v>0</v>
      </c>
      <c r="K2578" s="455">
        <f t="shared" ca="1" si="151"/>
        <v>-19658905.223483726</v>
      </c>
      <c r="L2578" s="455">
        <f t="shared" ca="1" si="152"/>
        <v>-4737796158.8595781</v>
      </c>
      <c r="M2578" s="471">
        <f t="shared" si="154"/>
        <v>0.05</v>
      </c>
      <c r="N2578" s="475">
        <f t="shared" si="155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53"/>
        <v>-4737796158.8595781</v>
      </c>
      <c r="J2579" s="455">
        <f t="array" ref="J2579">IFERROR(INDEX('Retirement Calculator'!J:J,MATCH('Isaac 401k'!N2579,'Retirement Calculator'!A:A,0),0),0)</f>
        <v>0</v>
      </c>
      <c r="K2579" s="455">
        <f t="shared" ca="1" si="151"/>
        <v>-19740817.328581575</v>
      </c>
      <c r="L2579" s="455">
        <f t="shared" ca="1" si="152"/>
        <v>-4757536976.1881599</v>
      </c>
      <c r="M2579" s="471">
        <f t="shared" si="154"/>
        <v>0.05</v>
      </c>
      <c r="N2579" s="475">
        <f t="shared" si="155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53"/>
        <v>-4757536976.1881599</v>
      </c>
      <c r="J2580" s="455">
        <f t="array" ref="J2580">IFERROR(INDEX('Retirement Calculator'!J:J,MATCH('Isaac 401k'!N2580,'Retirement Calculator'!A:A,0),0),0)</f>
        <v>0</v>
      </c>
      <c r="K2580" s="455">
        <f t="shared" ca="1" si="151"/>
        <v>-19823070.734117333</v>
      </c>
      <c r="L2580" s="455">
        <f t="shared" ca="1" si="152"/>
        <v>-4777360046.9222775</v>
      </c>
      <c r="M2580" s="471">
        <f t="shared" si="154"/>
        <v>0.05</v>
      </c>
      <c r="N2580" s="475">
        <f t="shared" si="155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53"/>
        <v>-4777360046.9222775</v>
      </c>
      <c r="J2581" s="455">
        <f t="array" ref="J2581">IFERROR(INDEX('Retirement Calculator'!J:J,MATCH('Isaac 401k'!N2581,'Retirement Calculator'!A:A,0),0),0)</f>
        <v>0</v>
      </c>
      <c r="K2581" s="455">
        <f t="shared" ca="1" si="151"/>
        <v>-19905666.862176158</v>
      </c>
      <c r="L2581" s="455">
        <f t="shared" ca="1" si="152"/>
        <v>-4797265713.7844534</v>
      </c>
      <c r="M2581" s="471">
        <f t="shared" si="154"/>
        <v>0.05</v>
      </c>
      <c r="N2581" s="475">
        <f t="shared" si="155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53"/>
        <v>-4797265713.7844534</v>
      </c>
      <c r="J2582" s="455">
        <f t="array" ref="J2582">IFERROR(INDEX('Retirement Calculator'!J:J,MATCH('Isaac 401k'!N2582,'Retirement Calculator'!A:A,0),0),0)</f>
        <v>0</v>
      </c>
      <c r="K2582" s="455">
        <f t="shared" ca="1" si="151"/>
        <v>-19988607.140768554</v>
      </c>
      <c r="L2582" s="455">
        <f t="shared" ca="1" si="152"/>
        <v>-4817254320.9252224</v>
      </c>
      <c r="M2582" s="471">
        <f t="shared" si="154"/>
        <v>0.05</v>
      </c>
      <c r="N2582" s="475">
        <f t="shared" si="155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53"/>
        <v>-4817254320.9252224</v>
      </c>
      <c r="J2583" s="455">
        <f t="array" ref="J2583">IFERROR(INDEX('Retirement Calculator'!J:J,MATCH('Isaac 401k'!N2583,'Retirement Calculator'!A:A,0),0),0)</f>
        <v>0</v>
      </c>
      <c r="K2583" s="455">
        <f t="shared" ca="1" si="151"/>
        <v>-20071893.003855094</v>
      </c>
      <c r="L2583" s="455">
        <f t="shared" ca="1" si="152"/>
        <v>-4837326213.9290771</v>
      </c>
      <c r="M2583" s="471">
        <f t="shared" si="154"/>
        <v>0.05</v>
      </c>
      <c r="N2583" s="475">
        <f t="shared" si="155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53"/>
        <v>-4837326213.9290771</v>
      </c>
      <c r="J2584" s="455">
        <f t="array" ref="J2584">IFERROR(INDEX('Retirement Calculator'!J:J,MATCH('Isaac 401k'!N2584,'Retirement Calculator'!A:A,0),0),0)</f>
        <v>0</v>
      </c>
      <c r="K2584" s="455">
        <f t="shared" ca="1" si="151"/>
        <v>-20155525.891371153</v>
      </c>
      <c r="L2584" s="455">
        <f t="shared" ca="1" si="152"/>
        <v>-4857481739.8204479</v>
      </c>
      <c r="M2584" s="471">
        <f t="shared" si="154"/>
        <v>0.05</v>
      </c>
      <c r="N2584" s="475">
        <f t="shared" si="155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53"/>
        <v>-4857481739.8204479</v>
      </c>
      <c r="J2585" s="455">
        <f t="array" ref="J2585">IFERROR(INDEX('Retirement Calculator'!J:J,MATCH('Isaac 401k'!N2585,'Retirement Calculator'!A:A,0),0),0)</f>
        <v>0</v>
      </c>
      <c r="K2585" s="455">
        <f t="shared" ca="1" si="151"/>
        <v>-20239507.249251865</v>
      </c>
      <c r="L2585" s="455">
        <f t="shared" ca="1" si="152"/>
        <v>-4877721247.0697002</v>
      </c>
      <c r="M2585" s="471">
        <f t="shared" si="154"/>
        <v>0.05</v>
      </c>
      <c r="N2585" s="475">
        <f t="shared" si="155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53"/>
        <v>-4877721247.0697002</v>
      </c>
      <c r="J2586" s="455">
        <f t="array" ref="J2586">IFERROR(INDEX('Retirement Calculator'!J:J,MATCH('Isaac 401k'!N2586,'Retirement Calculator'!A:A,0),0),0)</f>
        <v>0</v>
      </c>
      <c r="K2586" s="455">
        <f t="shared" ca="1" si="151"/>
        <v>-20323838.529457085</v>
      </c>
      <c r="L2586" s="455">
        <f t="shared" ca="1" si="152"/>
        <v>-4898045085.5991573</v>
      </c>
      <c r="M2586" s="471">
        <f t="shared" si="154"/>
        <v>0.05</v>
      </c>
      <c r="N2586" s="475">
        <f t="shared" si="155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53"/>
        <v>-4898045085.5991573</v>
      </c>
      <c r="J2587" s="455">
        <f t="array" ref="J2587">IFERROR(INDEX('Retirement Calculator'!J:J,MATCH('Isaac 401k'!N2587,'Retirement Calculator'!A:A,0),0),0)</f>
        <v>0</v>
      </c>
      <c r="K2587" s="455">
        <f t="shared" ca="1" si="151"/>
        <v>-20408521.189996488</v>
      </c>
      <c r="L2587" s="455">
        <f t="shared" ca="1" si="152"/>
        <v>-4918453606.7891541</v>
      </c>
      <c r="M2587" s="471">
        <f t="shared" si="154"/>
        <v>0.05</v>
      </c>
      <c r="N2587" s="475">
        <f t="shared" si="155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53"/>
        <v>-4918453606.7891541</v>
      </c>
      <c r="J2588" s="455">
        <f t="array" ref="J2588">IFERROR(INDEX('Retirement Calculator'!J:J,MATCH('Isaac 401k'!N2588,'Retirement Calculator'!A:A,0),0),0)</f>
        <v>0</v>
      </c>
      <c r="K2588" s="455">
        <f t="shared" ca="1" si="151"/>
        <v>-20493556.694954809</v>
      </c>
      <c r="L2588" s="455">
        <f t="shared" ca="1" si="152"/>
        <v>-4938947163.4841089</v>
      </c>
      <c r="M2588" s="471">
        <f t="shared" si="154"/>
        <v>0.05</v>
      </c>
      <c r="N2588" s="475">
        <f t="shared" si="155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53"/>
        <v>-4938947163.4841089</v>
      </c>
      <c r="J2589" s="455">
        <f t="array" ref="J2589">IFERROR(INDEX('Retirement Calculator'!J:J,MATCH('Isaac 401k'!N2589,'Retirement Calculator'!A:A,0),0),0)</f>
        <v>0</v>
      </c>
      <c r="K2589" s="455">
        <f t="shared" ca="1" si="151"/>
        <v>-20578946.514517121</v>
      </c>
      <c r="L2589" s="455">
        <f t="shared" ca="1" si="152"/>
        <v>-4959526109.9986258</v>
      </c>
      <c r="M2589" s="471">
        <f t="shared" si="154"/>
        <v>0.05</v>
      </c>
      <c r="N2589" s="475">
        <f t="shared" si="155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53"/>
        <v>-4959526109.9986258</v>
      </c>
      <c r="J2590" s="455">
        <f t="array" ref="J2590">IFERROR(INDEX('Retirement Calculator'!J:J,MATCH('Isaac 401k'!N2590,'Retirement Calculator'!A:A,0),0),0)</f>
        <v>0</v>
      </c>
      <c r="K2590" s="455">
        <f t="shared" ca="1" si="151"/>
        <v>-20664692.124994274</v>
      </c>
      <c r="L2590" s="455">
        <f t="shared" ca="1" si="152"/>
        <v>-4980190802.12362</v>
      </c>
      <c r="M2590" s="471">
        <f t="shared" si="154"/>
        <v>0.05</v>
      </c>
      <c r="N2590" s="475">
        <f t="shared" si="155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53"/>
        <v>-4980190802.12362</v>
      </c>
      <c r="J2591" s="455">
        <f t="array" ref="J2591">IFERROR(INDEX('Retirement Calculator'!J:J,MATCH('Isaac 401k'!N2591,'Retirement Calculator'!A:A,0),0),0)</f>
        <v>0</v>
      </c>
      <c r="K2591" s="455">
        <f t="shared" ca="1" si="151"/>
        <v>-20750795.008848418</v>
      </c>
      <c r="L2591" s="455">
        <f t="shared" ca="1" si="152"/>
        <v>-5000941597.1324682</v>
      </c>
      <c r="M2591" s="471">
        <f t="shared" si="154"/>
        <v>0.05</v>
      </c>
      <c r="N2591" s="475">
        <f t="shared" si="155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53"/>
        <v>-5000941597.1324682</v>
      </c>
      <c r="J2592" s="455">
        <f t="array" ref="J2592">IFERROR(INDEX('Retirement Calculator'!J:J,MATCH('Isaac 401k'!N2592,'Retirement Calculator'!A:A,0),0),0)</f>
        <v>0</v>
      </c>
      <c r="K2592" s="455">
        <f t="shared" ca="1" si="151"/>
        <v>-20837256.654718619</v>
      </c>
      <c r="L2592" s="455">
        <f t="shared" ca="1" si="152"/>
        <v>-5021778853.7871866</v>
      </c>
      <c r="M2592" s="471">
        <f t="shared" si="154"/>
        <v>0.05</v>
      </c>
      <c r="N2592" s="475">
        <f t="shared" si="155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53"/>
        <v>-5021778853.7871866</v>
      </c>
      <c r="J2593" s="455">
        <f t="array" ref="J2593">IFERROR(INDEX('Retirement Calculator'!J:J,MATCH('Isaac 401k'!N2593,'Retirement Calculator'!A:A,0),0),0)</f>
        <v>0</v>
      </c>
      <c r="K2593" s="455">
        <f t="shared" ca="1" si="151"/>
        <v>-20924078.55744661</v>
      </c>
      <c r="L2593" s="455">
        <f t="shared" ca="1" si="152"/>
        <v>-5042702932.3446331</v>
      </c>
      <c r="M2593" s="471">
        <f t="shared" si="154"/>
        <v>0.05</v>
      </c>
      <c r="N2593" s="475">
        <f t="shared" si="155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53"/>
        <v>-5042702932.3446331</v>
      </c>
      <c r="J2594" s="455">
        <f t="array" ref="J2594">IFERROR(INDEX('Retirement Calculator'!J:J,MATCH('Isaac 401k'!N2594,'Retirement Calculator'!A:A,0),0),0)</f>
        <v>0</v>
      </c>
      <c r="K2594" s="455">
        <f t="shared" ca="1" si="151"/>
        <v>-21011262.218102638</v>
      </c>
      <c r="L2594" s="455">
        <f t="shared" ca="1" si="152"/>
        <v>-5063714194.5627356</v>
      </c>
      <c r="M2594" s="471">
        <f t="shared" si="154"/>
        <v>0.05</v>
      </c>
      <c r="N2594" s="475">
        <f t="shared" si="155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53"/>
        <v>-5063714194.5627356</v>
      </c>
      <c r="J2595" s="455">
        <f t="array" ref="J2595">IFERROR(INDEX('Retirement Calculator'!J:J,MATCH('Isaac 401k'!N2595,'Retirement Calculator'!A:A,0),0),0)</f>
        <v>0</v>
      </c>
      <c r="K2595" s="455">
        <f t="shared" ca="1" si="151"/>
        <v>-21098809.144011397</v>
      </c>
      <c r="L2595" s="455">
        <f t="shared" ca="1" si="152"/>
        <v>-5084813003.7067471</v>
      </c>
      <c r="M2595" s="471">
        <f t="shared" si="154"/>
        <v>0.05</v>
      </c>
      <c r="N2595" s="475">
        <f t="shared" si="155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53"/>
        <v>-5084813003.7067471</v>
      </c>
      <c r="J2596" s="455">
        <f t="array" ref="J2596">IFERROR(INDEX('Retirement Calculator'!J:J,MATCH('Isaac 401k'!N2596,'Retirement Calculator'!A:A,0),0),0)</f>
        <v>0</v>
      </c>
      <c r="K2596" s="455">
        <f t="shared" ca="1" si="151"/>
        <v>-21186720.848778114</v>
      </c>
      <c r="L2596" s="455">
        <f t="shared" ca="1" si="152"/>
        <v>-5105999724.5555248</v>
      </c>
      <c r="M2596" s="471">
        <f t="shared" si="154"/>
        <v>0.05</v>
      </c>
      <c r="N2596" s="475">
        <f t="shared" si="155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53"/>
        <v>-5105999724.5555248</v>
      </c>
      <c r="J2597" s="455">
        <f t="array" ref="J2597">IFERROR(INDEX('Retirement Calculator'!J:J,MATCH('Isaac 401k'!N2597,'Retirement Calculator'!A:A,0),0),0)</f>
        <v>0</v>
      </c>
      <c r="K2597" s="455">
        <f t="shared" ca="1" si="151"/>
        <v>-21274998.852314688</v>
      </c>
      <c r="L2597" s="455">
        <f t="shared" ca="1" si="152"/>
        <v>-5127274723.4078398</v>
      </c>
      <c r="M2597" s="471">
        <f t="shared" si="154"/>
        <v>0.05</v>
      </c>
      <c r="N2597" s="475">
        <f t="shared" si="155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53"/>
        <v>-5127274723.4078398</v>
      </c>
      <c r="J2598" s="455">
        <f t="array" ref="J2598">IFERROR(INDEX('Retirement Calculator'!J:J,MATCH('Isaac 401k'!N2598,'Retirement Calculator'!A:A,0),0),0)</f>
        <v>0</v>
      </c>
      <c r="K2598" s="455">
        <f t="shared" ca="1" si="151"/>
        <v>-21363644.680865999</v>
      </c>
      <c r="L2598" s="455">
        <f t="shared" ca="1" si="152"/>
        <v>-5148638368.088706</v>
      </c>
      <c r="M2598" s="471">
        <f t="shared" si="154"/>
        <v>0.05</v>
      </c>
      <c r="N2598" s="475">
        <f t="shared" si="155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53"/>
        <v>-5148638368.088706</v>
      </c>
      <c r="J2599" s="455">
        <f t="array" ref="J2599">IFERROR(INDEX('Retirement Calculator'!J:J,MATCH('Isaac 401k'!N2599,'Retirement Calculator'!A:A,0),0),0)</f>
        <v>0</v>
      </c>
      <c r="K2599" s="455">
        <f t="shared" ca="1" si="151"/>
        <v>-21452659.867036276</v>
      </c>
      <c r="L2599" s="455">
        <f t="shared" ca="1" si="152"/>
        <v>-5170091027.9557419</v>
      </c>
      <c r="M2599" s="471">
        <f t="shared" si="154"/>
        <v>0.05</v>
      </c>
      <c r="N2599" s="475">
        <f t="shared" si="155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53"/>
        <v>-5170091027.9557419</v>
      </c>
      <c r="J2600" s="455">
        <f t="array" ref="J2600">IFERROR(INDEX('Retirement Calculator'!J:J,MATCH('Isaac 401k'!N2600,'Retirement Calculator'!A:A,0),0),0)</f>
        <v>0</v>
      </c>
      <c r="K2600" s="455">
        <f t="shared" ca="1" si="151"/>
        <v>-21542045.94981559</v>
      </c>
      <c r="L2600" s="455">
        <f t="shared" ca="1" si="152"/>
        <v>-5191633073.9055576</v>
      </c>
      <c r="M2600" s="471">
        <f t="shared" si="154"/>
        <v>0.05</v>
      </c>
      <c r="N2600" s="475">
        <f t="shared" si="155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53"/>
        <v>-5191633073.9055576</v>
      </c>
      <c r="J2601" s="455">
        <f t="array" ref="J2601">IFERROR(INDEX('Retirement Calculator'!J:J,MATCH('Isaac 401k'!N2601,'Retirement Calculator'!A:A,0),0),0)</f>
        <v>0</v>
      </c>
      <c r="K2601" s="455">
        <f t="shared" ca="1" si="151"/>
        <v>-21631804.474606492</v>
      </c>
      <c r="L2601" s="455">
        <f t="shared" ca="1" si="152"/>
        <v>-5213264878.3801641</v>
      </c>
      <c r="M2601" s="471">
        <f t="shared" si="154"/>
        <v>0.05</v>
      </c>
      <c r="N2601" s="475">
        <f t="shared" si="155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53"/>
        <v>-5213264878.3801641</v>
      </c>
      <c r="J2602" s="455">
        <f t="array" ref="J2602">IFERROR(INDEX('Retirement Calculator'!J:J,MATCH('Isaac 401k'!N2602,'Retirement Calculator'!A:A,0),0),0)</f>
        <v>0</v>
      </c>
      <c r="K2602" s="455">
        <f t="shared" ca="1" si="151"/>
        <v>-21721936.993250683</v>
      </c>
      <c r="L2602" s="455">
        <f t="shared" ca="1" si="152"/>
        <v>-5234986815.373415</v>
      </c>
      <c r="M2602" s="471">
        <f t="shared" si="154"/>
        <v>0.05</v>
      </c>
      <c r="N2602" s="475">
        <f t="shared" si="155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53"/>
        <v>-5234986815.373415</v>
      </c>
      <c r="J2603" s="455">
        <f t="array" ref="J2603">IFERROR(INDEX('Retirement Calculator'!J:J,MATCH('Isaac 401k'!N2603,'Retirement Calculator'!A:A,0),0),0)</f>
        <v>0</v>
      </c>
      <c r="K2603" s="455">
        <f t="shared" ca="1" si="151"/>
        <v>-21812445.064055897</v>
      </c>
      <c r="L2603" s="455">
        <f t="shared" ca="1" si="152"/>
        <v>-5256799260.4374704</v>
      </c>
      <c r="M2603" s="471">
        <f t="shared" si="154"/>
        <v>0.05</v>
      </c>
      <c r="N2603" s="475">
        <f t="shared" si="155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53"/>
        <v>-5256799260.4374704</v>
      </c>
      <c r="J2604" s="455">
        <f t="array" ref="J2604">IFERROR(INDEX('Retirement Calculator'!J:J,MATCH('Isaac 401k'!N2604,'Retirement Calculator'!A:A,0),0),0)</f>
        <v>0</v>
      </c>
      <c r="K2604" s="455">
        <f t="shared" ca="1" si="151"/>
        <v>-21903330.251822792</v>
      </c>
      <c r="L2604" s="455">
        <f t="shared" ca="1" si="152"/>
        <v>-5278702590.6892929</v>
      </c>
      <c r="M2604" s="471">
        <f t="shared" si="154"/>
        <v>0.05</v>
      </c>
      <c r="N2604" s="475">
        <f t="shared" si="155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53"/>
        <v>-5278702590.6892929</v>
      </c>
      <c r="J2605" s="455">
        <f t="array" ref="J2605">IFERROR(INDEX('Retirement Calculator'!J:J,MATCH('Isaac 401k'!N2605,'Retirement Calculator'!A:A,0),0),0)</f>
        <v>0</v>
      </c>
      <c r="K2605" s="455">
        <f t="shared" ca="1" si="151"/>
        <v>-21994594.127872054</v>
      </c>
      <c r="L2605" s="455">
        <f t="shared" ca="1" si="152"/>
        <v>-5300697184.8171654</v>
      </c>
      <c r="M2605" s="471">
        <f t="shared" si="154"/>
        <v>0.05</v>
      </c>
      <c r="N2605" s="475">
        <f t="shared" si="155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53"/>
        <v>-5300697184.8171654</v>
      </c>
      <c r="J2606" s="455">
        <f t="array" ref="J2606">IFERROR(INDEX('Retirement Calculator'!J:J,MATCH('Isaac 401k'!N2606,'Retirement Calculator'!A:A,0),0),0)</f>
        <v>0</v>
      </c>
      <c r="K2606" s="455">
        <f t="shared" ca="1" si="151"/>
        <v>-22086238.270071521</v>
      </c>
      <c r="L2606" s="455">
        <f t="shared" ca="1" si="152"/>
        <v>-5322783423.0872374</v>
      </c>
      <c r="M2606" s="471">
        <f t="shared" si="154"/>
        <v>0.05</v>
      </c>
      <c r="N2606" s="475">
        <f t="shared" si="155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53"/>
        <v>-5322783423.0872374</v>
      </c>
      <c r="J2607" s="455">
        <f t="array" ref="J2607">IFERROR(INDEX('Retirement Calculator'!J:J,MATCH('Isaac 401k'!N2607,'Retirement Calculator'!A:A,0),0),0)</f>
        <v>0</v>
      </c>
      <c r="K2607" s="455">
        <f t="shared" ca="1" si="151"/>
        <v>-22178264.262863487</v>
      </c>
      <c r="L2607" s="455">
        <f t="shared" ca="1" si="152"/>
        <v>-5344961687.3501005</v>
      </c>
      <c r="M2607" s="471">
        <f t="shared" si="154"/>
        <v>0.05</v>
      </c>
      <c r="N2607" s="475">
        <f t="shared" si="155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53"/>
        <v>-5344961687.3501005</v>
      </c>
      <c r="J2608" s="455">
        <f t="array" ref="J2608">IFERROR(INDEX('Retirement Calculator'!J:J,MATCH('Isaac 401k'!N2608,'Retirement Calculator'!A:A,0),0),0)</f>
        <v>0</v>
      </c>
      <c r="K2608" s="455">
        <f t="shared" ca="1" si="151"/>
        <v>-22270673.697292086</v>
      </c>
      <c r="L2608" s="455">
        <f t="shared" ca="1" si="152"/>
        <v>-5367232361.0473928</v>
      </c>
      <c r="M2608" s="471">
        <f t="shared" si="154"/>
        <v>0.05</v>
      </c>
      <c r="N2608" s="475">
        <f t="shared" si="155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53"/>
        <v>-5367232361.0473928</v>
      </c>
      <c r="J2609" s="455">
        <f t="array" ref="J2609">IFERROR(INDEX('Retirement Calculator'!J:J,MATCH('Isaac 401k'!N2609,'Retirement Calculator'!A:A,0),0),0)</f>
        <v>0</v>
      </c>
      <c r="K2609" s="455">
        <f t="shared" ca="1" si="151"/>
        <v>-22363468.171030805</v>
      </c>
      <c r="L2609" s="455">
        <f t="shared" ca="1" si="152"/>
        <v>-5389595829.2184238</v>
      </c>
      <c r="M2609" s="471">
        <f t="shared" si="154"/>
        <v>0.05</v>
      </c>
      <c r="N2609" s="475">
        <f t="shared" si="155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53"/>
        <v>-5389595829.2184238</v>
      </c>
      <c r="J2610" s="455">
        <f t="array" ref="J2610">IFERROR(INDEX('Retirement Calculator'!J:J,MATCH('Isaac 401k'!N2610,'Retirement Calculator'!A:A,0),0),0)</f>
        <v>0</v>
      </c>
      <c r="K2610" s="455">
        <f t="shared" ca="1" si="151"/>
        <v>-22456649.288410097</v>
      </c>
      <c r="L2610" s="455">
        <f t="shared" ca="1" si="152"/>
        <v>-5412052478.506834</v>
      </c>
      <c r="M2610" s="471">
        <f t="shared" si="154"/>
        <v>0.05</v>
      </c>
      <c r="N2610" s="475">
        <f t="shared" si="155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53"/>
        <v>-5412052478.506834</v>
      </c>
      <c r="J2611" s="455">
        <f t="array" ref="J2611">IFERROR(INDEX('Retirement Calculator'!J:J,MATCH('Isaac 401k'!N2611,'Retirement Calculator'!A:A,0),0),0)</f>
        <v>0</v>
      </c>
      <c r="K2611" s="455">
        <f t="shared" ca="1" si="151"/>
        <v>-22550218.660445143</v>
      </c>
      <c r="L2611" s="455">
        <f t="shared" ca="1" si="152"/>
        <v>-5434602697.1672792</v>
      </c>
      <c r="M2611" s="471">
        <f t="shared" si="154"/>
        <v>0.05</v>
      </c>
      <c r="N2611" s="475">
        <f t="shared" si="155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53"/>
        <v>-5434602697.1672792</v>
      </c>
      <c r="J2612" s="455">
        <f t="array" ref="J2612">IFERROR(INDEX('Retirement Calculator'!J:J,MATCH('Isaac 401k'!N2612,'Retirement Calculator'!A:A,0),0),0)</f>
        <v>0</v>
      </c>
      <c r="K2612" s="455">
        <f t="shared" ca="1" si="151"/>
        <v>-22644177.904863663</v>
      </c>
      <c r="L2612" s="455">
        <f t="shared" ca="1" si="152"/>
        <v>-5457246875.0721426</v>
      </c>
      <c r="M2612" s="471">
        <f t="shared" si="154"/>
        <v>0.05</v>
      </c>
      <c r="N2612" s="475">
        <f t="shared" si="155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53"/>
        <v>-5457246875.0721426</v>
      </c>
      <c r="J2613" s="455">
        <f t="array" ref="J2613">IFERROR(INDEX('Retirement Calculator'!J:J,MATCH('Isaac 401k'!N2613,'Retirement Calculator'!A:A,0),0),0)</f>
        <v>0</v>
      </c>
      <c r="K2613" s="455">
        <f t="shared" ca="1" si="151"/>
        <v>-22738528.646133926</v>
      </c>
      <c r="L2613" s="455">
        <f t="shared" ca="1" si="152"/>
        <v>-5479985403.718277</v>
      </c>
      <c r="M2613" s="471">
        <f t="shared" si="154"/>
        <v>0.05</v>
      </c>
      <c r="N2613" s="475">
        <f t="shared" si="155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53"/>
        <v>-5479985403.718277</v>
      </c>
      <c r="J2614" s="455">
        <f t="array" ref="J2614">IFERROR(INDEX('Retirement Calculator'!J:J,MATCH('Isaac 401k'!N2614,'Retirement Calculator'!A:A,0),0),0)</f>
        <v>0</v>
      </c>
      <c r="K2614" s="455">
        <f t="shared" ca="1" si="151"/>
        <v>-22833272.515492819</v>
      </c>
      <c r="L2614" s="455">
        <f t="shared" ca="1" si="152"/>
        <v>-5502818676.2337694</v>
      </c>
      <c r="M2614" s="471">
        <f t="shared" si="154"/>
        <v>0.05</v>
      </c>
      <c r="N2614" s="475">
        <f t="shared" si="155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53"/>
        <v>-5502818676.2337694</v>
      </c>
      <c r="J2615" s="455">
        <f t="array" ref="J2615">IFERROR(INDEX('Retirement Calculator'!J:J,MATCH('Isaac 401k'!N2615,'Retirement Calculator'!A:A,0),0),0)</f>
        <v>0</v>
      </c>
      <c r="K2615" s="455">
        <f t="shared" ca="1" si="151"/>
        <v>-22928411.150974039</v>
      </c>
      <c r="L2615" s="455">
        <f t="shared" ca="1" si="152"/>
        <v>-5525747087.3847437</v>
      </c>
      <c r="M2615" s="471">
        <f t="shared" si="154"/>
        <v>0.05</v>
      </c>
      <c r="N2615" s="475">
        <f t="shared" si="155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53"/>
        <v>-5525747087.3847437</v>
      </c>
      <c r="J2616" s="455">
        <f t="array" ref="J2616">IFERROR(INDEX('Retirement Calculator'!J:J,MATCH('Isaac 401k'!N2616,'Retirement Calculator'!A:A,0),0),0)</f>
        <v>0</v>
      </c>
      <c r="K2616" s="455">
        <f t="shared" ca="1" si="151"/>
        <v>-23023946.197436433</v>
      </c>
      <c r="L2616" s="455">
        <f t="shared" ca="1" si="152"/>
        <v>-5548771033.58218</v>
      </c>
      <c r="M2616" s="471">
        <f t="shared" si="154"/>
        <v>0.05</v>
      </c>
      <c r="N2616" s="475">
        <f t="shared" si="155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53"/>
        <v>-5548771033.58218</v>
      </c>
      <c r="J2617" s="455">
        <f t="array" ref="J2617">IFERROR(INDEX('Retirement Calculator'!J:J,MATCH('Isaac 401k'!N2617,'Retirement Calculator'!A:A,0),0),0)</f>
        <v>0</v>
      </c>
      <c r="K2617" s="455">
        <f t="shared" ca="1" si="151"/>
        <v>-23119879.306592416</v>
      </c>
      <c r="L2617" s="455">
        <f t="shared" ca="1" si="152"/>
        <v>-5571890912.888772</v>
      </c>
      <c r="M2617" s="471">
        <f t="shared" si="154"/>
        <v>0.05</v>
      </c>
      <c r="N2617" s="475">
        <f t="shared" si="155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53"/>
        <v>-5571890912.888772</v>
      </c>
      <c r="J2618" s="455">
        <f t="array" ref="J2618">IFERROR(INDEX('Retirement Calculator'!J:J,MATCH('Isaac 401k'!N2618,'Retirement Calculator'!A:A,0),0),0)</f>
        <v>0</v>
      </c>
      <c r="K2618" s="455">
        <f t="shared" ca="1" si="151"/>
        <v>-23216212.137036551</v>
      </c>
      <c r="L2618" s="455">
        <f t="shared" ca="1" si="152"/>
        <v>-5595107125.0258083</v>
      </c>
      <c r="M2618" s="471">
        <f t="shared" si="154"/>
        <v>0.05</v>
      </c>
      <c r="N2618" s="475">
        <f t="shared" si="155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53"/>
        <v>-5595107125.0258083</v>
      </c>
      <c r="J2619" s="455">
        <f t="array" ref="J2619">IFERROR(INDEX('Retirement Calculator'!J:J,MATCH('Isaac 401k'!N2619,'Retirement Calculator'!A:A,0),0),0)</f>
        <v>0</v>
      </c>
      <c r="K2619" s="455">
        <f t="shared" ca="1" si="151"/>
        <v>-23312946.354274202</v>
      </c>
      <c r="L2619" s="455">
        <f t="shared" ca="1" si="152"/>
        <v>-5618420071.3800821</v>
      </c>
      <c r="M2619" s="471">
        <f t="shared" si="154"/>
        <v>0.05</v>
      </c>
      <c r="N2619" s="475">
        <f t="shared" si="155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53"/>
        <v>-5618420071.3800821</v>
      </c>
      <c r="J2620" s="455">
        <f t="array" ref="J2620">IFERROR(INDEX('Retirement Calculator'!J:J,MATCH('Isaac 401k'!N2620,'Retirement Calculator'!A:A,0),0),0)</f>
        <v>0</v>
      </c>
      <c r="K2620" s="455">
        <f t="shared" ca="1" si="151"/>
        <v>-23410083.630750343</v>
      </c>
      <c r="L2620" s="455">
        <f t="shared" ca="1" si="152"/>
        <v>-5641830155.0108328</v>
      </c>
      <c r="M2620" s="471">
        <f t="shared" si="154"/>
        <v>0.05</v>
      </c>
      <c r="N2620" s="475">
        <f t="shared" si="155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53"/>
        <v>-5641830155.0108328</v>
      </c>
      <c r="J2621" s="455">
        <f t="array" ref="J2621">IFERROR(INDEX('Retirement Calculator'!J:J,MATCH('Isaac 401k'!N2621,'Retirement Calculator'!A:A,0),0),0)</f>
        <v>0</v>
      </c>
      <c r="K2621" s="455">
        <f t="shared" ca="1" si="151"/>
        <v>-23507625.645878471</v>
      </c>
      <c r="L2621" s="455">
        <f t="shared" ca="1" si="152"/>
        <v>-5665337780.6567116</v>
      </c>
      <c r="M2621" s="471">
        <f t="shared" si="154"/>
        <v>0.05</v>
      </c>
      <c r="N2621" s="475">
        <f t="shared" si="155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53"/>
        <v>-5665337780.6567116</v>
      </c>
      <c r="J2622" s="455">
        <f t="array" ref="J2622">IFERROR(INDEX('Retirement Calculator'!J:J,MATCH('Isaac 401k'!N2622,'Retirement Calculator'!A:A,0),0),0)</f>
        <v>0</v>
      </c>
      <c r="K2622" s="455">
        <f t="shared" ca="1" si="151"/>
        <v>-23605574.086069632</v>
      </c>
      <c r="L2622" s="455">
        <f t="shared" ca="1" si="152"/>
        <v>-5688943354.7427816</v>
      </c>
      <c r="M2622" s="471">
        <f t="shared" si="154"/>
        <v>0.05</v>
      </c>
      <c r="N2622" s="475">
        <f t="shared" si="155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53"/>
        <v>-5688943354.7427816</v>
      </c>
      <c r="J2623" s="455">
        <f t="array" ref="J2623">IFERROR(INDEX('Retirement Calculator'!J:J,MATCH('Isaac 401k'!N2623,'Retirement Calculator'!A:A,0),0),0)</f>
        <v>0</v>
      </c>
      <c r="K2623" s="455">
        <f t="shared" ca="1" si="151"/>
        <v>-23703930.644761588</v>
      </c>
      <c r="L2623" s="455">
        <f t="shared" ca="1" si="152"/>
        <v>-5712647285.3875437</v>
      </c>
      <c r="M2623" s="471">
        <f t="shared" si="154"/>
        <v>0.05</v>
      </c>
      <c r="N2623" s="475">
        <f t="shared" si="155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53"/>
        <v>-5712647285.3875437</v>
      </c>
      <c r="J2624" s="455">
        <f t="array" ref="J2624">IFERROR(INDEX('Retirement Calculator'!J:J,MATCH('Isaac 401k'!N2624,'Retirement Calculator'!A:A,0),0),0)</f>
        <v>0</v>
      </c>
      <c r="K2624" s="455">
        <f t="shared" ca="1" si="151"/>
        <v>-23802697.0224481</v>
      </c>
      <c r="L2624" s="455">
        <f t="shared" ca="1" si="152"/>
        <v>-5736449982.4099922</v>
      </c>
      <c r="M2624" s="471">
        <f t="shared" si="154"/>
        <v>0.05</v>
      </c>
      <c r="N2624" s="475">
        <f t="shared" si="155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53"/>
        <v>-5736449982.4099922</v>
      </c>
      <c r="J2625" s="455">
        <f t="array" ref="J2625">IFERROR(INDEX('Retirement Calculator'!J:J,MATCH('Isaac 401k'!N2625,'Retirement Calculator'!A:A,0),0),0)</f>
        <v>0</v>
      </c>
      <c r="K2625" s="455">
        <f t="shared" ca="1" si="151"/>
        <v>-23901874.9267083</v>
      </c>
      <c r="L2625" s="455">
        <f t="shared" ca="1" si="152"/>
        <v>-5760351857.3367004</v>
      </c>
      <c r="M2625" s="471">
        <f t="shared" si="154"/>
        <v>0.05</v>
      </c>
      <c r="N2625" s="475">
        <f t="shared" si="155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53"/>
        <v>-5760351857.3367004</v>
      </c>
      <c r="J2626" s="455">
        <f t="array" ref="J2626">IFERROR(INDEX('Retirement Calculator'!J:J,MATCH('Isaac 401k'!N2626,'Retirement Calculator'!A:A,0),0),0)</f>
        <v>0</v>
      </c>
      <c r="K2626" s="455">
        <f t="shared" ca="1" si="151"/>
        <v>-24001466.072236251</v>
      </c>
      <c r="L2626" s="455">
        <f t="shared" ca="1" si="152"/>
        <v>-5784353323.4089365</v>
      </c>
      <c r="M2626" s="471">
        <f t="shared" si="154"/>
        <v>0.05</v>
      </c>
      <c r="N2626" s="475">
        <f t="shared" si="155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53"/>
        <v>-5784353323.4089365</v>
      </c>
      <c r="J2627" s="455">
        <f t="array" ref="J2627">IFERROR(INDEX('Retirement Calculator'!J:J,MATCH('Isaac 401k'!N2627,'Retirement Calculator'!A:A,0),0),0)</f>
        <v>0</v>
      </c>
      <c r="K2627" s="455">
        <f t="shared" ca="1" si="151"/>
        <v>-24101472.18087057</v>
      </c>
      <c r="L2627" s="455">
        <f t="shared" ca="1" si="152"/>
        <v>-5808454795.5898075</v>
      </c>
      <c r="M2627" s="471">
        <f t="shared" si="154"/>
        <v>0.05</v>
      </c>
      <c r="N2627" s="475">
        <f t="shared" si="155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53"/>
        <v>-5808454795.5898075</v>
      </c>
      <c r="J2628" s="455">
        <f t="array" ref="J2628">IFERROR(INDEX('Retirement Calculator'!J:J,MATCH('Isaac 401k'!N2628,'Retirement Calculator'!A:A,0),0),0)</f>
        <v>0</v>
      </c>
      <c r="K2628" s="455">
        <f t="shared" ca="1" si="151"/>
        <v>-24201894.981624197</v>
      </c>
      <c r="L2628" s="455">
        <f t="shared" ca="1" si="152"/>
        <v>-5832656690.5714321</v>
      </c>
      <c r="M2628" s="471">
        <f t="shared" si="154"/>
        <v>0.05</v>
      </c>
      <c r="N2628" s="475">
        <f t="shared" si="155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53"/>
        <v>-5832656690.5714321</v>
      </c>
      <c r="J2629" s="455">
        <f t="array" ref="J2629">IFERROR(INDEX('Retirement Calculator'!J:J,MATCH('Isaac 401k'!N2629,'Retirement Calculator'!A:A,0),0),0)</f>
        <v>0</v>
      </c>
      <c r="K2629" s="455">
        <f t="shared" ca="1" si="151"/>
        <v>-24302736.210714299</v>
      </c>
      <c r="L2629" s="455">
        <f t="shared" ca="1" si="152"/>
        <v>-5856959426.7821465</v>
      </c>
      <c r="M2629" s="471">
        <f t="shared" si="154"/>
        <v>0.05</v>
      </c>
      <c r="N2629" s="475">
        <f t="shared" si="155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53"/>
        <v>-5856959426.7821465</v>
      </c>
      <c r="J2630" s="455">
        <f t="array" ref="J2630">IFERROR(INDEX('Retirement Calculator'!J:J,MATCH('Isaac 401k'!N2630,'Retirement Calculator'!A:A,0),0),0)</f>
        <v>0</v>
      </c>
      <c r="K2630" s="455">
        <f t="shared" ca="1" si="151"/>
        <v>-24403997.611592278</v>
      </c>
      <c r="L2630" s="455">
        <f t="shared" ca="1" si="152"/>
        <v>-5881363424.3937387</v>
      </c>
      <c r="M2630" s="471">
        <f t="shared" si="154"/>
        <v>0.05</v>
      </c>
      <c r="N2630" s="475">
        <f t="shared" si="155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53"/>
        <v>-5881363424.3937387</v>
      </c>
      <c r="J2631" s="455">
        <f t="array" ref="J2631">IFERROR(INDEX('Retirement Calculator'!J:J,MATCH('Isaac 401k'!N2631,'Retirement Calculator'!A:A,0),0),0)</f>
        <v>0</v>
      </c>
      <c r="K2631" s="455">
        <f t="shared" ca="1" si="151"/>
        <v>-24505680.93497391</v>
      </c>
      <c r="L2631" s="455">
        <f t="shared" ca="1" si="152"/>
        <v>-5905869105.3287125</v>
      </c>
      <c r="M2631" s="471">
        <f t="shared" si="154"/>
        <v>0.05</v>
      </c>
      <c r="N2631" s="475">
        <f t="shared" si="155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53"/>
        <v>-5905869105.3287125</v>
      </c>
      <c r="J2632" s="455">
        <f t="array" ref="J2632">IFERROR(INDEX('Retirement Calculator'!J:J,MATCH('Isaac 401k'!N2632,'Retirement Calculator'!A:A,0),0),0)</f>
        <v>0</v>
      </c>
      <c r="K2632" s="455">
        <f t="shared" ca="1" si="151"/>
        <v>-24607787.938869637</v>
      </c>
      <c r="L2632" s="455">
        <f t="shared" ca="1" si="152"/>
        <v>-5930476893.2675819</v>
      </c>
      <c r="M2632" s="471">
        <f t="shared" si="154"/>
        <v>0.05</v>
      </c>
      <c r="N2632" s="475">
        <f t="shared" si="155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53"/>
        <v>-5930476893.2675819</v>
      </c>
      <c r="J2633" s="455">
        <f t="array" ref="J2633">IFERROR(INDEX('Retirement Calculator'!J:J,MATCH('Isaac 401k'!N2633,'Retirement Calculator'!A:A,0),0),0)</f>
        <v>0</v>
      </c>
      <c r="K2633" s="455">
        <f t="shared" ca="1" si="151"/>
        <v>-24710320.388614923</v>
      </c>
      <c r="L2633" s="455">
        <f t="shared" ca="1" si="152"/>
        <v>-5955187213.6561966</v>
      </c>
      <c r="M2633" s="471">
        <f t="shared" si="154"/>
        <v>0.05</v>
      </c>
      <c r="N2633" s="475">
        <f t="shared" si="155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53"/>
        <v>-5955187213.6561966</v>
      </c>
      <c r="J2634" s="455">
        <f t="array" ref="J2634">IFERROR(INDEX('Retirement Calculator'!J:J,MATCH('Isaac 401k'!N2634,'Retirement Calculator'!A:A,0),0),0)</f>
        <v>0</v>
      </c>
      <c r="K2634" s="455">
        <f t="shared" ca="1" si="151"/>
        <v>-24813280.056900818</v>
      </c>
      <c r="L2634" s="455">
        <f t="shared" ca="1" si="152"/>
        <v>-5980000493.7130976</v>
      </c>
      <c r="M2634" s="471">
        <f t="shared" si="154"/>
        <v>0.05</v>
      </c>
      <c r="N2634" s="475">
        <f t="shared" si="155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53"/>
        <v>-5980000493.7130976</v>
      </c>
      <c r="J2635" s="455">
        <f t="array" ref="J2635">IFERROR(INDEX('Retirement Calculator'!J:J,MATCH('Isaac 401k'!N2635,'Retirement Calculator'!A:A,0),0),0)</f>
        <v>0</v>
      </c>
      <c r="K2635" s="455">
        <f t="shared" ca="1" si="151"/>
        <v>-24916668.723804574</v>
      </c>
      <c r="L2635" s="455">
        <f t="shared" ca="1" si="152"/>
        <v>-6004917162.436902</v>
      </c>
      <c r="M2635" s="471">
        <f t="shared" si="154"/>
        <v>0.05</v>
      </c>
      <c r="N2635" s="475">
        <f t="shared" si="155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53"/>
        <v>-6004917162.436902</v>
      </c>
      <c r="J2636" s="455">
        <f t="array" ref="J2636">IFERROR(INDEX('Retirement Calculator'!J:J,MATCH('Isaac 401k'!N2636,'Retirement Calculator'!A:A,0),0),0)</f>
        <v>0</v>
      </c>
      <c r="K2636" s="455">
        <f t="shared" ca="1" si="151"/>
        <v>-25020488.176820423</v>
      </c>
      <c r="L2636" s="455">
        <f t="shared" ca="1" si="152"/>
        <v>-6029937650.6137228</v>
      </c>
      <c r="M2636" s="471">
        <f t="shared" si="154"/>
        <v>0.05</v>
      </c>
      <c r="N2636" s="475">
        <f t="shared" si="155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53"/>
        <v>-6029937650.6137228</v>
      </c>
      <c r="J2637" s="455">
        <f t="array" ref="J2637">IFERROR(INDEX('Retirement Calculator'!J:J,MATCH('Isaac 401k'!N2637,'Retirement Calculator'!A:A,0),0),0)</f>
        <v>0</v>
      </c>
      <c r="K2637" s="455">
        <f t="shared" ca="1" si="151"/>
        <v>-25124740.210890513</v>
      </c>
      <c r="L2637" s="455">
        <f t="shared" ca="1" si="152"/>
        <v>-6055062390.8246136</v>
      </c>
      <c r="M2637" s="471">
        <f t="shared" si="154"/>
        <v>0.05</v>
      </c>
      <c r="N2637" s="475">
        <f t="shared" si="155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53"/>
        <v>-6055062390.8246136</v>
      </c>
      <c r="J2638" s="455">
        <f t="array" ref="J2638">IFERROR(INDEX('Retirement Calculator'!J:J,MATCH('Isaac 401k'!N2638,'Retirement Calculator'!A:A,0),0),0)</f>
        <v>0</v>
      </c>
      <c r="K2638" s="455">
        <f t="shared" ca="1" si="151"/>
        <v>-25229426.628435891</v>
      </c>
      <c r="L2638" s="455">
        <f t="shared" ca="1" si="152"/>
        <v>-6080291817.4530497</v>
      </c>
      <c r="M2638" s="471">
        <f t="shared" si="154"/>
        <v>0.05</v>
      </c>
      <c r="N2638" s="475">
        <f t="shared" si="155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53"/>
        <v>-6080291817.4530497</v>
      </c>
      <c r="J2639" s="455">
        <f t="array" ref="J2639">IFERROR(INDEX('Retirement Calculator'!J:J,MATCH('Isaac 401k'!N2639,'Retirement Calculator'!A:A,0),0),0)</f>
        <v>0</v>
      </c>
      <c r="K2639" s="455">
        <f t="shared" ca="1" si="151"/>
        <v>-25334549.239387706</v>
      </c>
      <c r="L2639" s="455">
        <f t="shared" ca="1" si="152"/>
        <v>-6105626366.6924372</v>
      </c>
      <c r="M2639" s="471">
        <f t="shared" si="154"/>
        <v>0.05</v>
      </c>
      <c r="N2639" s="475">
        <f t="shared" si="155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53"/>
        <v>-6105626366.6924372</v>
      </c>
      <c r="J2640" s="455">
        <f t="array" ref="J2640">IFERROR(INDEX('Retirement Calculator'!J:J,MATCH('Isaac 401k'!N2640,'Retirement Calculator'!A:A,0),0),0)</f>
        <v>0</v>
      </c>
      <c r="K2640" s="455">
        <f t="shared" ca="1" si="151"/>
        <v>-25440109.86121849</v>
      </c>
      <c r="L2640" s="455">
        <f t="shared" ca="1" si="152"/>
        <v>-6131066476.5536556</v>
      </c>
      <c r="M2640" s="471">
        <f t="shared" si="154"/>
        <v>0.05</v>
      </c>
      <c r="N2640" s="475">
        <f t="shared" si="155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53"/>
        <v>-6131066476.5536556</v>
      </c>
      <c r="J2641" s="455">
        <f t="array" ref="J2641">IFERROR(INDEX('Retirement Calculator'!J:J,MATCH('Isaac 401k'!N2641,'Retirement Calculator'!A:A,0),0),0)</f>
        <v>0</v>
      </c>
      <c r="K2641" s="455">
        <f t="shared" ca="1" si="151"/>
        <v>-25546110.318973564</v>
      </c>
      <c r="L2641" s="455">
        <f t="shared" ca="1" si="152"/>
        <v>-6156612586.8726292</v>
      </c>
      <c r="M2641" s="471">
        <f t="shared" si="154"/>
        <v>0.05</v>
      </c>
      <c r="N2641" s="475">
        <f t="shared" si="155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53"/>
        <v>-6156612586.8726292</v>
      </c>
      <c r="J2642" s="455">
        <f t="array" ref="J2642">IFERROR(INDEX('Retirement Calculator'!J:J,MATCH('Isaac 401k'!N2642,'Retirement Calculator'!A:A,0),0),0)</f>
        <v>0</v>
      </c>
      <c r="K2642" s="455">
        <f t="shared" ca="1" si="151"/>
        <v>-25652552.445302621</v>
      </c>
      <c r="L2642" s="455">
        <f t="shared" ca="1" si="152"/>
        <v>-6182265139.3179321</v>
      </c>
      <c r="M2642" s="471">
        <f t="shared" si="154"/>
        <v>0.05</v>
      </c>
      <c r="N2642" s="475">
        <f t="shared" si="155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53"/>
        <v>-6182265139.3179321</v>
      </c>
      <c r="J2643" s="455">
        <f t="array" ref="J2643">IFERROR(INDEX('Retirement Calculator'!J:J,MATCH('Isaac 401k'!N2643,'Retirement Calculator'!A:A,0),0),0)</f>
        <v>0</v>
      </c>
      <c r="K2643" s="455">
        <f t="shared" ca="1" si="151"/>
        <v>-25759438.080491383</v>
      </c>
      <c r="L2643" s="455">
        <f t="shared" ca="1" si="152"/>
        <v>-6208024577.3984232</v>
      </c>
      <c r="M2643" s="471">
        <f t="shared" si="154"/>
        <v>0.05</v>
      </c>
      <c r="N2643" s="475">
        <f t="shared" si="155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53"/>
        <v>-6208024577.3984232</v>
      </c>
      <c r="J2644" s="455">
        <f t="array" ref="J2644">IFERROR(INDEX('Retirement Calculator'!J:J,MATCH('Isaac 401k'!N2644,'Retirement Calculator'!A:A,0),0),0)</f>
        <v>0</v>
      </c>
      <c r="K2644" s="455">
        <f t="shared" ca="1" si="151"/>
        <v>-25866769.07249343</v>
      </c>
      <c r="L2644" s="455">
        <f t="shared" ca="1" si="152"/>
        <v>-6233891346.4709167</v>
      </c>
      <c r="M2644" s="471">
        <f t="shared" si="154"/>
        <v>0.05</v>
      </c>
      <c r="N2644" s="475">
        <f t="shared" si="155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53"/>
        <v>-6233891346.4709167</v>
      </c>
      <c r="J2645" s="455">
        <f t="array" ref="J2645">IFERROR(INDEX('Retirement Calculator'!J:J,MATCH('Isaac 401k'!N2645,'Retirement Calculator'!A:A,0),0),0)</f>
        <v>0</v>
      </c>
      <c r="K2645" s="455">
        <f t="shared" ca="1" si="151"/>
        <v>-25974547.276962154</v>
      </c>
      <c r="L2645" s="455">
        <f t="shared" ca="1" si="152"/>
        <v>-6259865893.747879</v>
      </c>
      <c r="M2645" s="471">
        <f t="shared" si="154"/>
        <v>0.05</v>
      </c>
      <c r="N2645" s="475">
        <f t="shared" si="155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53"/>
        <v>-6259865893.747879</v>
      </c>
      <c r="J2646" s="455">
        <f t="array" ref="J2646">IFERROR(INDEX('Retirement Calculator'!J:J,MATCH('Isaac 401k'!N2646,'Retirement Calculator'!A:A,0),0),0)</f>
        <v>0</v>
      </c>
      <c r="K2646" s="455">
        <f t="shared" ca="1" si="151"/>
        <v>-26082774.557282828</v>
      </c>
      <c r="L2646" s="455">
        <f t="shared" ca="1" si="152"/>
        <v>-6285948668.3051615</v>
      </c>
      <c r="M2646" s="471">
        <f t="shared" si="154"/>
        <v>0.05</v>
      </c>
      <c r="N2646" s="475">
        <f t="shared" si="155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53"/>
        <v>-6285948668.3051615</v>
      </c>
      <c r="J2647" s="455">
        <f t="array" ref="J2647">IFERROR(INDEX('Retirement Calculator'!J:J,MATCH('Isaac 401k'!N2647,'Retirement Calculator'!A:A,0),0),0)</f>
        <v>0</v>
      </c>
      <c r="K2647" s="455">
        <f t="shared" ca="1" si="151"/>
        <v>-26191452.78460484</v>
      </c>
      <c r="L2647" s="455">
        <f t="shared" ca="1" si="152"/>
        <v>-6312140121.0897665</v>
      </c>
      <c r="M2647" s="471">
        <f t="shared" si="154"/>
        <v>0.05</v>
      </c>
      <c r="N2647" s="475">
        <f t="shared" si="155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53"/>
        <v>-6312140121.0897665</v>
      </c>
      <c r="J2648" s="455">
        <f t="array" ref="J2648">IFERROR(INDEX('Retirement Calculator'!J:J,MATCH('Isaac 401k'!N2648,'Retirement Calculator'!A:A,0),0),0)</f>
        <v>0</v>
      </c>
      <c r="K2648" s="455">
        <f t="shared" ca="1" si="151"/>
        <v>-26300583.837874025</v>
      </c>
      <c r="L2648" s="455">
        <f t="shared" ca="1" si="152"/>
        <v>-6338440704.9276409</v>
      </c>
      <c r="M2648" s="471">
        <f t="shared" si="154"/>
        <v>0.05</v>
      </c>
      <c r="N2648" s="475">
        <f t="shared" si="155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53"/>
        <v>-6338440704.9276409</v>
      </c>
      <c r="J2649" s="455">
        <f t="array" ref="J2649">IFERROR(INDEX('Retirement Calculator'!J:J,MATCH('Isaac 401k'!N2649,'Retirement Calculator'!A:A,0),0),0)</f>
        <v>0</v>
      </c>
      <c r="K2649" s="455">
        <f t="shared" ca="1" si="151"/>
        <v>-26410169.603865169</v>
      </c>
      <c r="L2649" s="455">
        <f t="shared" ca="1" si="152"/>
        <v>-6364850874.5315065</v>
      </c>
      <c r="M2649" s="471">
        <f t="shared" si="154"/>
        <v>0.05</v>
      </c>
      <c r="N2649" s="475">
        <f t="shared" si="155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53"/>
        <v>-6364850874.5315065</v>
      </c>
      <c r="J2650" s="455">
        <f t="array" ref="J2650">IFERROR(INDEX('Retirement Calculator'!J:J,MATCH('Isaac 401k'!N2650,'Retirement Calculator'!A:A,0),0),0)</f>
        <v>0</v>
      </c>
      <c r="K2650" s="455">
        <f t="shared" ca="1" si="151"/>
        <v>-26520211.977214612</v>
      </c>
      <c r="L2650" s="455">
        <f t="shared" ca="1" si="152"/>
        <v>-6391371086.5087214</v>
      </c>
      <c r="M2650" s="471">
        <f t="shared" si="154"/>
        <v>0.05</v>
      </c>
      <c r="N2650" s="475">
        <f t="shared" si="155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53"/>
        <v>-6391371086.5087214</v>
      </c>
      <c r="J2651" s="455">
        <f t="array" ref="J2651">IFERROR(INDEX('Retirement Calculator'!J:J,MATCH('Isaac 401k'!N2651,'Retirement Calculator'!A:A,0),0),0)</f>
        <v>0</v>
      </c>
      <c r="K2651" s="455">
        <f t="shared" ca="1" si="151"/>
        <v>-26630712.860453006</v>
      </c>
      <c r="L2651" s="455">
        <f t="shared" ca="1" si="152"/>
        <v>-6418001799.369174</v>
      </c>
      <c r="M2651" s="471">
        <f t="shared" si="154"/>
        <v>0.05</v>
      </c>
      <c r="N2651" s="475">
        <f t="shared" si="155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53"/>
        <v>-6418001799.369174</v>
      </c>
      <c r="J2652" s="455">
        <f t="array" ref="J2652">IFERROR(INDEX('Retirement Calculator'!J:J,MATCH('Isaac 401k'!N2652,'Retirement Calculator'!A:A,0),0),0)</f>
        <v>0</v>
      </c>
      <c r="K2652" s="455">
        <f t="shared" ca="1" si="151"/>
        <v>-26741674.164038226</v>
      </c>
      <c r="L2652" s="455">
        <f t="shared" ca="1" si="152"/>
        <v>-6444743473.5332127</v>
      </c>
      <c r="M2652" s="471">
        <f t="shared" si="154"/>
        <v>0.05</v>
      </c>
      <c r="N2652" s="475">
        <f t="shared" si="155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53"/>
        <v>-6444743473.5332127</v>
      </c>
      <c r="J2653" s="455">
        <f t="array" ref="J2653">IFERROR(INDEX('Retirement Calculator'!J:J,MATCH('Isaac 401k'!N2653,'Retirement Calculator'!A:A,0),0),0)</f>
        <v>0</v>
      </c>
      <c r="K2653" s="455">
        <f t="shared" ca="1" si="151"/>
        <v>-26853097.806388386</v>
      </c>
      <c r="L2653" s="455">
        <f t="shared" ca="1" si="152"/>
        <v>-6471596571.3396015</v>
      </c>
      <c r="M2653" s="471">
        <f t="shared" si="154"/>
        <v>0.05</v>
      </c>
      <c r="N2653" s="475">
        <f t="shared" si="155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53"/>
        <v>-6471596571.3396015</v>
      </c>
      <c r="J2654" s="455">
        <f t="array" ref="J2654">IFERROR(INDEX('Retirement Calculator'!J:J,MATCH('Isaac 401k'!N2654,'Retirement Calculator'!A:A,0),0),0)</f>
        <v>0</v>
      </c>
      <c r="K2654" s="455">
        <f t="shared" ca="1" si="151"/>
        <v>-26964985.713915005</v>
      </c>
      <c r="L2654" s="455">
        <f t="shared" ca="1" si="152"/>
        <v>-6498561557.0535164</v>
      </c>
      <c r="M2654" s="471">
        <f t="shared" si="154"/>
        <v>0.05</v>
      </c>
      <c r="N2654" s="475">
        <f t="shared" si="155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53"/>
        <v>-6498561557.0535164</v>
      </c>
      <c r="J2655" s="455">
        <f t="array" ref="J2655">IFERROR(INDEX('Retirement Calculator'!J:J,MATCH('Isaac 401k'!N2655,'Retirement Calculator'!A:A,0),0),0)</f>
        <v>0</v>
      </c>
      <c r="K2655" s="455">
        <f t="shared" ca="1" si="151"/>
        <v>-27077339.821056318</v>
      </c>
      <c r="L2655" s="455">
        <f t="shared" ca="1" si="152"/>
        <v>-6525638896.8745728</v>
      </c>
      <c r="M2655" s="471">
        <f t="shared" si="154"/>
        <v>0.05</v>
      </c>
      <c r="N2655" s="475">
        <f t="shared" si="155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53"/>
        <v>-6525638896.8745728</v>
      </c>
      <c r="J2656" s="455">
        <f t="array" ref="J2656">IFERROR(INDEX('Retirement Calculator'!J:J,MATCH('Isaac 401k'!N2656,'Retirement Calculator'!A:A,0),0),0)</f>
        <v>0</v>
      </c>
      <c r="K2656" s="455">
        <f t="shared" ca="1" si="151"/>
        <v>-27190162.070310719</v>
      </c>
      <c r="L2656" s="455">
        <f t="shared" ca="1" si="152"/>
        <v>-6552829058.9448833</v>
      </c>
      <c r="M2656" s="471">
        <f t="shared" si="154"/>
        <v>0.05</v>
      </c>
      <c r="N2656" s="475">
        <f t="shared" si="155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53"/>
        <v>-6552829058.9448833</v>
      </c>
      <c r="J2657" s="455">
        <f t="array" ref="J2657">IFERROR(INDEX('Retirement Calculator'!J:J,MATCH('Isaac 401k'!N2657,'Retirement Calculator'!A:A,0),0),0)</f>
        <v>0</v>
      </c>
      <c r="K2657" s="455">
        <f t="shared" ca="1" si="151"/>
        <v>-27303454.412270349</v>
      </c>
      <c r="L2657" s="455">
        <f t="shared" ca="1" si="152"/>
        <v>-6580132513.3571539</v>
      </c>
      <c r="M2657" s="471">
        <f t="shared" si="154"/>
        <v>0.05</v>
      </c>
      <c r="N2657" s="475">
        <f t="shared" si="155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53"/>
        <v>-6580132513.3571539</v>
      </c>
      <c r="J2658" s="455">
        <f t="array" ref="J2658">IFERROR(INDEX('Retirement Calculator'!J:J,MATCH('Isaac 401k'!N2658,'Retirement Calculator'!A:A,0),0),0)</f>
        <v>0</v>
      </c>
      <c r="K2658" s="455">
        <f t="shared" ca="1" si="151"/>
        <v>-27417218.805654809</v>
      </c>
      <c r="L2658" s="455">
        <f t="shared" ca="1" si="152"/>
        <v>-6607549732.1628084</v>
      </c>
      <c r="M2658" s="471">
        <f t="shared" si="154"/>
        <v>0.05</v>
      </c>
      <c r="N2658" s="475">
        <f t="shared" si="155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53"/>
        <v>-6607549732.1628084</v>
      </c>
      <c r="J2659" s="455">
        <f t="array" ref="J2659">IFERROR(INDEX('Retirement Calculator'!J:J,MATCH('Isaac 401k'!N2659,'Retirement Calculator'!A:A,0),0),0)</f>
        <v>0</v>
      </c>
      <c r="K2659" s="455">
        <f t="shared" ca="1" si="151"/>
        <v>-27531457.217345033</v>
      </c>
      <c r="L2659" s="455">
        <f t="shared" ca="1" si="152"/>
        <v>-6635081189.3801537</v>
      </c>
      <c r="M2659" s="471">
        <f t="shared" si="154"/>
        <v>0.05</v>
      </c>
      <c r="N2659" s="475">
        <f t="shared" si="155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53"/>
        <v>-6635081189.3801537</v>
      </c>
      <c r="J2660" s="455">
        <f t="array" ref="J2660">IFERROR(INDEX('Retirement Calculator'!J:J,MATCH('Isaac 401k'!N2660,'Retirement Calculator'!A:A,0),0),0)</f>
        <v>0</v>
      </c>
      <c r="K2660" s="455">
        <f t="shared" ca="1" si="151"/>
        <v>-27646171.622417305</v>
      </c>
      <c r="L2660" s="455">
        <f t="shared" ca="1" si="152"/>
        <v>-6662727361.0025711</v>
      </c>
      <c r="M2660" s="471">
        <f t="shared" si="154"/>
        <v>0.05</v>
      </c>
      <c r="N2660" s="475">
        <f t="shared" si="155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53"/>
        <v>-6662727361.0025711</v>
      </c>
      <c r="J2661" s="455">
        <f t="array" ref="J2661">IFERROR(INDEX('Retirement Calculator'!J:J,MATCH('Isaac 401k'!N2661,'Retirement Calculator'!A:A,0),0),0)</f>
        <v>0</v>
      </c>
      <c r="K2661" s="455">
        <f t="shared" ca="1" si="151"/>
        <v>-27761364.00417738</v>
      </c>
      <c r="L2661" s="455">
        <f t="shared" ca="1" si="152"/>
        <v>-6690488725.0067482</v>
      </c>
      <c r="M2661" s="471">
        <f t="shared" si="154"/>
        <v>0.05</v>
      </c>
      <c r="N2661" s="475">
        <f t="shared" si="155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53"/>
        <v>-6690488725.0067482</v>
      </c>
      <c r="J2662" s="455">
        <f t="array" ref="J2662">IFERROR(INDEX('Retirement Calculator'!J:J,MATCH('Isaac 401k'!N2662,'Retirement Calculator'!A:A,0),0),0)</f>
        <v>0</v>
      </c>
      <c r="K2662" s="455">
        <f t="shared" ca="1" si="151"/>
        <v>-27877036.354194786</v>
      </c>
      <c r="L2662" s="455">
        <f t="shared" ca="1" si="152"/>
        <v>-6718365761.3609428</v>
      </c>
      <c r="M2662" s="471">
        <f t="shared" si="154"/>
        <v>0.05</v>
      </c>
      <c r="N2662" s="475">
        <f t="shared" si="155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53"/>
        <v>-6718365761.3609428</v>
      </c>
      <c r="J2663" s="455">
        <f t="array" ref="J2663">IFERROR(INDEX('Retirement Calculator'!J:J,MATCH('Isaac 401k'!N2663,'Retirement Calculator'!A:A,0),0),0)</f>
        <v>0</v>
      </c>
      <c r="K2663" s="455">
        <f t="shared" ca="1" si="151"/>
        <v>-27993190.67233726</v>
      </c>
      <c r="L2663" s="455">
        <f t="shared" ca="1" si="152"/>
        <v>-6746358952.0332804</v>
      </c>
      <c r="M2663" s="471">
        <f t="shared" si="154"/>
        <v>0.05</v>
      </c>
      <c r="N2663" s="475">
        <f t="shared" si="155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53"/>
        <v>-6746358952.0332804</v>
      </c>
      <c r="J2664" s="455">
        <f t="array" ref="J2664">IFERROR(INDEX('Retirement Calculator'!J:J,MATCH('Isaac 401k'!N2664,'Retirement Calculator'!A:A,0),0),0)</f>
        <v>0</v>
      </c>
      <c r="K2664" s="455">
        <f t="shared" ca="1" si="151"/>
        <v>-28109828.966805335</v>
      </c>
      <c r="L2664" s="455">
        <f t="shared" ca="1" si="152"/>
        <v>-6774468781.0000858</v>
      </c>
      <c r="M2664" s="471">
        <f t="shared" si="154"/>
        <v>0.05</v>
      </c>
      <c r="N2664" s="475">
        <f t="shared" si="155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53"/>
        <v>-6774468781.0000858</v>
      </c>
      <c r="J2665" s="455">
        <f t="array" ref="J2665">IFERROR(INDEX('Retirement Calculator'!J:J,MATCH('Isaac 401k'!N2665,'Retirement Calculator'!A:A,0),0),0)</f>
        <v>0</v>
      </c>
      <c r="K2665" s="455">
        <f t="shared" ca="1" si="151"/>
        <v>-28226953.254167024</v>
      </c>
      <c r="L2665" s="455">
        <f t="shared" ca="1" si="152"/>
        <v>-6802695734.2542524</v>
      </c>
      <c r="M2665" s="471">
        <f t="shared" si="154"/>
        <v>0.05</v>
      </c>
      <c r="N2665" s="475">
        <f t="shared" si="155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53"/>
        <v>-6802695734.2542524</v>
      </c>
      <c r="J2666" s="455">
        <f t="array" ref="J2666">IFERROR(INDEX('Retirement Calculator'!J:J,MATCH('Isaac 401k'!N2666,'Retirement Calculator'!A:A,0),0),0)</f>
        <v>0</v>
      </c>
      <c r="K2666" s="455">
        <f t="shared" ca="1" si="151"/>
        <v>-28344565.559392717</v>
      </c>
      <c r="L2666" s="455">
        <f t="shared" ca="1" si="152"/>
        <v>-6831040299.8136454</v>
      </c>
      <c r="M2666" s="471">
        <f t="shared" si="154"/>
        <v>0.05</v>
      </c>
      <c r="N2666" s="475">
        <f t="shared" si="155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53"/>
        <v>-6831040299.8136454</v>
      </c>
      <c r="J2667" s="455">
        <f t="array" ref="J2667">IFERROR(INDEX('Retirement Calculator'!J:J,MATCH('Isaac 401k'!N2667,'Retirement Calculator'!A:A,0),0),0)</f>
        <v>0</v>
      </c>
      <c r="K2667" s="455">
        <f t="shared" ca="1" si="151"/>
        <v>-28462667.915890183</v>
      </c>
      <c r="L2667" s="455">
        <f t="shared" ca="1" si="152"/>
        <v>-6859502967.7295351</v>
      </c>
      <c r="M2667" s="471">
        <f t="shared" si="154"/>
        <v>0.05</v>
      </c>
      <c r="N2667" s="475">
        <f t="shared" si="155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53"/>
        <v>-6859502967.7295351</v>
      </c>
      <c r="J2668" s="455">
        <f t="array" ref="J2668">IFERROR(INDEX('Retirement Calculator'!J:J,MATCH('Isaac 401k'!N2668,'Retirement Calculator'!A:A,0),0),0)</f>
        <v>0</v>
      </c>
      <c r="K2668" s="455">
        <f t="shared" ca="1" si="151"/>
        <v>-28581262.36553973</v>
      </c>
      <c r="L2668" s="455">
        <f t="shared" ca="1" si="152"/>
        <v>-6888084230.0950747</v>
      </c>
      <c r="M2668" s="471">
        <f t="shared" si="154"/>
        <v>0.05</v>
      </c>
      <c r="N2668" s="475">
        <f t="shared" si="155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53"/>
        <v>-6888084230.0950747</v>
      </c>
      <c r="J2669" s="455">
        <f t="array" ref="J2669">IFERROR(INDEX('Retirement Calculator'!J:J,MATCH('Isaac 401k'!N2669,'Retirement Calculator'!A:A,0),0),0)</f>
        <v>0</v>
      </c>
      <c r="K2669" s="455">
        <f t="shared" ca="1" si="151"/>
        <v>-28700350.958729472</v>
      </c>
      <c r="L2669" s="455">
        <f t="shared" ca="1" si="152"/>
        <v>-6916784581.0538044</v>
      </c>
      <c r="M2669" s="471">
        <f t="shared" si="154"/>
        <v>0.05</v>
      </c>
      <c r="N2669" s="475">
        <f t="shared" si="155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53"/>
        <v>-6916784581.0538044</v>
      </c>
      <c r="J2670" s="455">
        <f t="array" ref="J2670">IFERROR(INDEX('Retirement Calculator'!J:J,MATCH('Isaac 401k'!N2670,'Retirement Calculator'!A:A,0),0),0)</f>
        <v>0</v>
      </c>
      <c r="K2670" s="455">
        <f t="shared" ca="1" si="151"/>
        <v>-28819935.754390851</v>
      </c>
      <c r="L2670" s="455">
        <f t="shared" ca="1" si="152"/>
        <v>-6945604516.8081951</v>
      </c>
      <c r="M2670" s="471">
        <f t="shared" si="154"/>
        <v>0.05</v>
      </c>
      <c r="N2670" s="475">
        <f t="shared" si="155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53"/>
        <v>-6945604516.8081951</v>
      </c>
      <c r="J2671" s="455">
        <f t="array" ref="J2671">IFERROR(INDEX('Retirement Calculator'!J:J,MATCH('Isaac 401k'!N2671,'Retirement Calculator'!A:A,0),0),0)</f>
        <v>0</v>
      </c>
      <c r="K2671" s="455">
        <f t="shared" ca="1" si="151"/>
        <v>-28940018.820034146</v>
      </c>
      <c r="L2671" s="455">
        <f t="shared" ca="1" si="152"/>
        <v>-6974544535.6282291</v>
      </c>
      <c r="M2671" s="471">
        <f t="shared" si="154"/>
        <v>0.05</v>
      </c>
      <c r="N2671" s="475">
        <f t="shared" si="155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53"/>
        <v>-6974544535.6282291</v>
      </c>
      <c r="J2672" s="455">
        <f t="array" ref="J2672">IFERROR(INDEX('Retirement Calculator'!J:J,MATCH('Isaac 401k'!N2672,'Retirement Calculator'!A:A,0),0),0)</f>
        <v>0</v>
      </c>
      <c r="K2672" s="455">
        <f t="shared" ca="1" si="151"/>
        <v>-29060602.231784288</v>
      </c>
      <c r="L2672" s="455">
        <f t="shared" ca="1" si="152"/>
        <v>-7003605137.860013</v>
      </c>
      <c r="M2672" s="471">
        <f t="shared" si="154"/>
        <v>0.05</v>
      </c>
      <c r="N2672" s="475">
        <f t="shared" si="155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53"/>
        <v>-7003605137.860013</v>
      </c>
      <c r="J2673" s="455">
        <f t="array" ref="J2673">IFERROR(INDEX('Retirement Calculator'!J:J,MATCH('Isaac 401k'!N2673,'Retirement Calculator'!A:A,0),0),0)</f>
        <v>0</v>
      </c>
      <c r="K2673" s="455">
        <f t="shared" ca="1" si="151"/>
        <v>-29181688.074416716</v>
      </c>
      <c r="L2673" s="455">
        <f t="shared" ca="1" si="152"/>
        <v>-7032786825.9344301</v>
      </c>
      <c r="M2673" s="471">
        <f t="shared" si="154"/>
        <v>0.05</v>
      </c>
      <c r="N2673" s="475">
        <f t="shared" si="155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53"/>
        <v>-7032786825.9344301</v>
      </c>
      <c r="J2674" s="455">
        <f t="array" ref="J2674">IFERROR(INDEX('Retirement Calculator'!J:J,MATCH('Isaac 401k'!N2674,'Retirement Calculator'!A:A,0),0),0)</f>
        <v>0</v>
      </c>
      <c r="K2674" s="455">
        <f t="shared" ca="1" si="151"/>
        <v>-29303278.441393461</v>
      </c>
      <c r="L2674" s="455">
        <f t="shared" ca="1" si="152"/>
        <v>-7062090104.375824</v>
      </c>
      <c r="M2674" s="471">
        <f t="shared" si="154"/>
        <v>0.05</v>
      </c>
      <c r="N2674" s="475">
        <f t="shared" si="155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53"/>
        <v>-7062090104.375824</v>
      </c>
      <c r="J2675" s="455">
        <f t="array" ref="J2675">IFERROR(INDEX('Retirement Calculator'!J:J,MATCH('Isaac 401k'!N2675,'Retirement Calculator'!A:A,0),0),0)</f>
        <v>0</v>
      </c>
      <c r="K2675" s="455">
        <f t="shared" ca="1" si="151"/>
        <v>-29425375.434899267</v>
      </c>
      <c r="L2675" s="455">
        <f t="shared" ca="1" si="152"/>
        <v>-7091515479.8107233</v>
      </c>
      <c r="M2675" s="471">
        <f t="shared" si="154"/>
        <v>0.05</v>
      </c>
      <c r="N2675" s="475">
        <f t="shared" si="155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53"/>
        <v>-7091515479.8107233</v>
      </c>
      <c r="J2676" s="455">
        <f t="array" ref="J2676">IFERROR(INDEX('Retirement Calculator'!J:J,MATCH('Isaac 401k'!N2676,'Retirement Calculator'!A:A,0),0),0)</f>
        <v>0</v>
      </c>
      <c r="K2676" s="455">
        <f t="shared" ca="1" si="151"/>
        <v>-29547981.165878013</v>
      </c>
      <c r="L2676" s="455">
        <f t="shared" ca="1" si="152"/>
        <v>-7121063460.9766016</v>
      </c>
      <c r="M2676" s="471">
        <f t="shared" si="154"/>
        <v>0.05</v>
      </c>
      <c r="N2676" s="475">
        <f t="shared" si="155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53"/>
        <v>-7121063460.9766016</v>
      </c>
      <c r="J2677" s="455">
        <f t="array" ref="J2677">IFERROR(INDEX('Retirement Calculator'!J:J,MATCH('Isaac 401k'!N2677,'Retirement Calculator'!A:A,0),0),0)</f>
        <v>0</v>
      </c>
      <c r="K2677" s="455">
        <f t="shared" ca="1" si="151"/>
        <v>-29671097.754069172</v>
      </c>
      <c r="L2677" s="455">
        <f t="shared" ca="1" si="152"/>
        <v>-7150734558.7306709</v>
      </c>
      <c r="M2677" s="471">
        <f t="shared" si="154"/>
        <v>0.05</v>
      </c>
      <c r="N2677" s="475">
        <f t="shared" si="155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53"/>
        <v>-7150734558.7306709</v>
      </c>
      <c r="J2678" s="455">
        <f t="array" ref="J2678">IFERROR(INDEX('Retirement Calculator'!J:J,MATCH('Isaac 401k'!N2678,'Retirement Calculator'!A:A,0),0),0)</f>
        <v>0</v>
      </c>
      <c r="K2678" s="455">
        <f t="shared" ca="1" si="151"/>
        <v>-29794727.328044463</v>
      </c>
      <c r="L2678" s="455">
        <f t="shared" ca="1" si="152"/>
        <v>-7180529286.0587158</v>
      </c>
      <c r="M2678" s="471">
        <f t="shared" si="154"/>
        <v>0.05</v>
      </c>
      <c r="N2678" s="475">
        <f t="shared" si="155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53"/>
        <v>-7180529286.0587158</v>
      </c>
      <c r="J2679" s="455">
        <f t="array" ref="J2679">IFERROR(INDEX('Retirement Calculator'!J:J,MATCH('Isaac 401k'!N2679,'Retirement Calculator'!A:A,0),0),0)</f>
        <v>0</v>
      </c>
      <c r="K2679" s="455">
        <f t="shared" ca="1" si="151"/>
        <v>-29918872.025244649</v>
      </c>
      <c r="L2679" s="455">
        <f t="shared" ca="1" si="152"/>
        <v>-7210448158.0839605</v>
      </c>
      <c r="M2679" s="471">
        <f t="shared" si="154"/>
        <v>0.05</v>
      </c>
      <c r="N2679" s="475">
        <f t="shared" si="155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53"/>
        <v>-7210448158.0839605</v>
      </c>
      <c r="J2680" s="455">
        <f t="array" ref="J2680">IFERROR(INDEX('Retirement Calculator'!J:J,MATCH('Isaac 401k'!N2680,'Retirement Calculator'!A:A,0),0),0)</f>
        <v>0</v>
      </c>
      <c r="K2680" s="455">
        <f t="shared" ca="1" si="151"/>
        <v>-30043533.992016502</v>
      </c>
      <c r="L2680" s="455">
        <f t="shared" ca="1" si="152"/>
        <v>-7240491692.0759773</v>
      </c>
      <c r="M2680" s="471">
        <f t="shared" si="154"/>
        <v>0.05</v>
      </c>
      <c r="N2680" s="475">
        <f t="shared" si="155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53"/>
        <v>-7240491692.0759773</v>
      </c>
      <c r="J2681" s="455">
        <f t="array" ref="J2681">IFERROR(INDEX('Retirement Calculator'!J:J,MATCH('Isaac 401k'!N2681,'Retirement Calculator'!A:A,0),0),0)</f>
        <v>0</v>
      </c>
      <c r="K2681" s="455">
        <f t="shared" ca="1" si="151"/>
        <v>-30168715.383649904</v>
      </c>
      <c r="L2681" s="455">
        <f t="shared" ca="1" si="152"/>
        <v>-7270660407.4596272</v>
      </c>
      <c r="M2681" s="471">
        <f t="shared" si="154"/>
        <v>0.05</v>
      </c>
      <c r="N2681" s="475">
        <f t="shared" si="155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53"/>
        <v>-7270660407.4596272</v>
      </c>
      <c r="J2682" s="455">
        <f t="array" ref="J2682">IFERROR(INDEX('Retirement Calculator'!J:J,MATCH('Isaac 401k'!N2682,'Retirement Calculator'!A:A,0),0),0)</f>
        <v>0</v>
      </c>
      <c r="K2682" s="455">
        <f t="shared" ca="1" si="151"/>
        <v>-30294418.364415113</v>
      </c>
      <c r="L2682" s="455">
        <f t="shared" ca="1" si="152"/>
        <v>-7300954825.8240423</v>
      </c>
      <c r="M2682" s="471">
        <f t="shared" si="154"/>
        <v>0.05</v>
      </c>
      <c r="N2682" s="475">
        <f t="shared" si="155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53"/>
        <v>-7300954825.8240423</v>
      </c>
      <c r="J2683" s="455">
        <f t="array" ref="J2683">IFERROR(INDEX('Retirement Calculator'!J:J,MATCH('Isaac 401k'!N2683,'Retirement Calculator'!A:A,0),0),0)</f>
        <v>0</v>
      </c>
      <c r="K2683" s="455">
        <f t="shared" ca="1" si="151"/>
        <v>-30420645.107600175</v>
      </c>
      <c r="L2683" s="455">
        <f t="shared" ca="1" si="152"/>
        <v>-7331375470.9316425</v>
      </c>
      <c r="M2683" s="471">
        <f t="shared" si="154"/>
        <v>0.05</v>
      </c>
      <c r="N2683" s="475">
        <f t="shared" si="155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53"/>
        <v>-7331375470.9316425</v>
      </c>
      <c r="J2684" s="455">
        <f t="array" ref="J2684">IFERROR(INDEX('Retirement Calculator'!J:J,MATCH('Isaac 401k'!N2684,'Retirement Calculator'!A:A,0),0),0)</f>
        <v>0</v>
      </c>
      <c r="K2684" s="455">
        <f t="shared" ca="1" si="151"/>
        <v>-30547397.79554851</v>
      </c>
      <c r="L2684" s="455">
        <f t="shared" ca="1" si="152"/>
        <v>-7361922868.727191</v>
      </c>
      <c r="M2684" s="471">
        <f t="shared" si="154"/>
        <v>0.05</v>
      </c>
      <c r="N2684" s="475">
        <f t="shared" si="155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53"/>
        <v>-7361922868.727191</v>
      </c>
      <c r="J2685" s="455">
        <f t="array" ref="J2685">IFERROR(INDEX('Retirement Calculator'!J:J,MATCH('Isaac 401k'!N2685,'Retirement Calculator'!A:A,0),0),0)</f>
        <v>0</v>
      </c>
      <c r="K2685" s="455">
        <f t="shared" ca="1" si="151"/>
        <v>-30674678.619696625</v>
      </c>
      <c r="L2685" s="455">
        <f t="shared" ca="1" si="152"/>
        <v>-7392597547.3468876</v>
      </c>
      <c r="M2685" s="471">
        <f t="shared" si="154"/>
        <v>0.05</v>
      </c>
      <c r="N2685" s="475">
        <f t="shared" si="155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53"/>
        <v>-7392597547.3468876</v>
      </c>
      <c r="J2686" s="455">
        <f t="array" ref="J2686">IFERROR(INDEX('Retirement Calculator'!J:J,MATCH('Isaac 401k'!N2686,'Retirement Calculator'!A:A,0),0),0)</f>
        <v>0</v>
      </c>
      <c r="K2686" s="455">
        <f t="shared" ca="1" si="151"/>
        <v>-30802489.780612037</v>
      </c>
      <c r="L2686" s="455">
        <f t="shared" ca="1" si="152"/>
        <v>-7423400037.1274996</v>
      </c>
      <c r="M2686" s="471">
        <f t="shared" si="154"/>
        <v>0.05</v>
      </c>
      <c r="N2686" s="475">
        <f t="shared" si="155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53"/>
        <v>-7423400037.1274996</v>
      </c>
      <c r="J2687" s="455">
        <f t="array" ref="J2687">IFERROR(INDEX('Retirement Calculator'!J:J,MATCH('Isaac 401k'!N2687,'Retirement Calculator'!A:A,0),0),0)</f>
        <v>0</v>
      </c>
      <c r="K2687" s="455">
        <f t="shared" ca="1" si="151"/>
        <v>-30930833.488031253</v>
      </c>
      <c r="L2687" s="455">
        <f t="shared" ca="1" si="152"/>
        <v>-7454330870.615531</v>
      </c>
      <c r="M2687" s="471">
        <f t="shared" si="154"/>
        <v>0.05</v>
      </c>
      <c r="N2687" s="475">
        <f t="shared" si="155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53"/>
        <v>-7454330870.615531</v>
      </c>
      <c r="J2688" s="455">
        <f t="array" ref="J2688">IFERROR(INDEX('Retirement Calculator'!J:J,MATCH('Isaac 401k'!N2688,'Retirement Calculator'!A:A,0),0),0)</f>
        <v>0</v>
      </c>
      <c r="K2688" s="455">
        <f t="shared" ca="1" si="151"/>
        <v>-31059711.960898042</v>
      </c>
      <c r="L2688" s="455">
        <f t="shared" ca="1" si="152"/>
        <v>-7485390582.5764294</v>
      </c>
      <c r="M2688" s="471">
        <f t="shared" si="154"/>
        <v>0.05</v>
      </c>
      <c r="N2688" s="475">
        <f t="shared" si="155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53"/>
        <v>-7485390582.5764294</v>
      </c>
      <c r="J2689" s="455">
        <f t="array" ref="J2689">IFERROR(INDEX('Retirement Calculator'!J:J,MATCH('Isaac 401k'!N2689,'Retirement Calculator'!A:A,0),0),0)</f>
        <v>0</v>
      </c>
      <c r="K2689" s="455">
        <f t="shared" ca="1" si="151"/>
        <v>-31189127.427401785</v>
      </c>
      <c r="L2689" s="455">
        <f t="shared" ca="1" si="152"/>
        <v>-7516579710.0038309</v>
      </c>
      <c r="M2689" s="471">
        <f t="shared" si="154"/>
        <v>0.05</v>
      </c>
      <c r="N2689" s="475">
        <f t="shared" si="155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53"/>
        <v>-7516579710.0038309</v>
      </c>
      <c r="J2690" s="455">
        <f t="array" ref="J2690">IFERROR(INDEX('Retirement Calculator'!J:J,MATCH('Isaac 401k'!N2690,'Retirement Calculator'!A:A,0),0),0)</f>
        <v>0</v>
      </c>
      <c r="K2690" s="455">
        <f t="shared" ca="1" si="151"/>
        <v>-31319082.125015963</v>
      </c>
      <c r="L2690" s="455">
        <f t="shared" ca="1" si="152"/>
        <v>-7547898792.1288471</v>
      </c>
      <c r="M2690" s="471">
        <f t="shared" si="154"/>
        <v>0.05</v>
      </c>
      <c r="N2690" s="475">
        <f t="shared" si="155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53"/>
        <v>-7547898792.1288471</v>
      </c>
      <c r="J2691" s="455">
        <f t="array" ref="J2691">IFERROR(INDEX('Retirement Calculator'!J:J,MATCH('Isaac 401k'!N2691,'Retirement Calculator'!A:A,0),0),0)</f>
        <v>0</v>
      </c>
      <c r="K2691" s="455">
        <f t="shared" ca="1" si="151"/>
        <v>-31449578.30053686</v>
      </c>
      <c r="L2691" s="455">
        <f t="shared" ca="1" si="152"/>
        <v>-7579348370.4293842</v>
      </c>
      <c r="M2691" s="471">
        <f t="shared" si="154"/>
        <v>0.05</v>
      </c>
      <c r="N2691" s="475">
        <f t="shared" si="155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53"/>
        <v>-7579348370.4293842</v>
      </c>
      <c r="J2692" s="455">
        <f t="array" ref="J2692">IFERROR(INDEX('Retirement Calculator'!J:J,MATCH('Isaac 401k'!N2692,'Retirement Calculator'!A:A,0),0),0)</f>
        <v>0</v>
      </c>
      <c r="K2692" s="455">
        <f t="shared" ca="1" si="151"/>
        <v>-31580618.210122436</v>
      </c>
      <c r="L2692" s="455">
        <f t="shared" ca="1" si="152"/>
        <v>-7610928988.6395063</v>
      </c>
      <c r="M2692" s="471">
        <f t="shared" si="154"/>
        <v>0.05</v>
      </c>
      <c r="N2692" s="475">
        <f t="shared" si="155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53"/>
        <v>-7610928988.6395063</v>
      </c>
      <c r="J2693" s="455">
        <f t="array" ref="J2693">IFERROR(INDEX('Retirement Calculator'!J:J,MATCH('Isaac 401k'!N2693,'Retirement Calculator'!A:A,0),0),0)</f>
        <v>0</v>
      </c>
      <c r="K2693" s="455">
        <f t="shared" ca="1" si="151"/>
        <v>-31712204.119331274</v>
      </c>
      <c r="L2693" s="455">
        <f t="shared" ca="1" si="152"/>
        <v>-7642641192.7588377</v>
      </c>
      <c r="M2693" s="471">
        <f t="shared" si="154"/>
        <v>0.05</v>
      </c>
      <c r="N2693" s="475">
        <f t="shared" si="155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53"/>
        <v>-7642641192.7588377</v>
      </c>
      <c r="J2694" s="455">
        <f t="array" ref="J2694">IFERROR(INDEX('Retirement Calculator'!J:J,MATCH('Isaac 401k'!N2694,'Retirement Calculator'!A:A,0),0),0)</f>
        <v>0</v>
      </c>
      <c r="K2694" s="455">
        <f t="shared" ca="1" si="151"/>
        <v>-31844338.303161822</v>
      </c>
      <c r="L2694" s="455">
        <f t="shared" ca="1" si="152"/>
        <v>-7674485531.0619993</v>
      </c>
      <c r="M2694" s="471">
        <f t="shared" si="154"/>
        <v>0.05</v>
      </c>
      <c r="N2694" s="475">
        <f t="shared" si="155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53"/>
        <v>-7674485531.0619993</v>
      </c>
      <c r="J2695" s="455">
        <f t="array" ref="J2695">IFERROR(INDEX('Retirement Calculator'!J:J,MATCH('Isaac 401k'!N2695,'Retirement Calculator'!A:A,0),0),0)</f>
        <v>0</v>
      </c>
      <c r="K2695" s="455">
        <f t="shared" ca="1" si="151"/>
        <v>-31977023.046091665</v>
      </c>
      <c r="L2695" s="455">
        <f t="shared" ca="1" si="152"/>
        <v>-7706462554.1080914</v>
      </c>
      <c r="M2695" s="471">
        <f t="shared" si="154"/>
        <v>0.05</v>
      </c>
      <c r="N2695" s="475">
        <f t="shared" si="155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53"/>
        <v>-7706462554.1080914</v>
      </c>
      <c r="J2696" s="455">
        <f t="array" ref="J2696">IFERROR(INDEX('Retirement Calculator'!J:J,MATCH('Isaac 401k'!N2696,'Retirement Calculator'!A:A,0),0),0)</f>
        <v>0</v>
      </c>
      <c r="K2696" s="455">
        <f t="shared" ca="1" si="151"/>
        <v>-32110260.642117042</v>
      </c>
      <c r="L2696" s="455">
        <f t="shared" ca="1" si="152"/>
        <v>-7738572814.7502089</v>
      </c>
      <c r="M2696" s="471">
        <f t="shared" si="154"/>
        <v>0.05</v>
      </c>
      <c r="N2696" s="475">
        <f t="shared" si="155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53"/>
        <v>-7738572814.7502089</v>
      </c>
      <c r="J2697" s="455">
        <f t="array" ref="J2697">IFERROR(INDEX('Retirement Calculator'!J:J,MATCH('Isaac 401k'!N2697,'Retirement Calculator'!A:A,0),0),0)</f>
        <v>0</v>
      </c>
      <c r="K2697" s="455">
        <f t="shared" ca="1" si="151"/>
        <v>-32244053.394792538</v>
      </c>
      <c r="L2697" s="455">
        <f t="shared" ca="1" si="152"/>
        <v>-7770816868.1450014</v>
      </c>
      <c r="M2697" s="471">
        <f t="shared" si="154"/>
        <v>0.05</v>
      </c>
      <c r="N2697" s="475">
        <f t="shared" si="155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53"/>
        <v>-7770816868.1450014</v>
      </c>
      <c r="J2698" s="455">
        <f t="array" ref="J2698">IFERROR(INDEX('Retirement Calculator'!J:J,MATCH('Isaac 401k'!N2698,'Retirement Calculator'!A:A,0),0),0)</f>
        <v>0</v>
      </c>
      <c r="K2698" s="455">
        <f t="shared" ca="1" si="151"/>
        <v>-32378403.617270838</v>
      </c>
      <c r="L2698" s="455">
        <f t="shared" ca="1" si="152"/>
        <v>-7803195271.7622719</v>
      </c>
      <c r="M2698" s="471">
        <f t="shared" si="154"/>
        <v>0.05</v>
      </c>
      <c r="N2698" s="475">
        <f t="shared" si="155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53"/>
        <v>-7803195271.7622719</v>
      </c>
      <c r="J2699" s="455">
        <f t="array" ref="J2699">IFERROR(INDEX('Retirement Calculator'!J:J,MATCH('Isaac 401k'!N2699,'Retirement Calculator'!A:A,0),0),0)</f>
        <v>0</v>
      </c>
      <c r="K2699" s="455">
        <f t="shared" ca="1" si="151"/>
        <v>-32513313.632342797</v>
      </c>
      <c r="L2699" s="455">
        <f t="shared" ca="1" si="152"/>
        <v>-7835708585.3946142</v>
      </c>
      <c r="M2699" s="471">
        <f t="shared" si="154"/>
        <v>0.05</v>
      </c>
      <c r="N2699" s="475">
        <f t="shared" si="155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53"/>
        <v>-7835708585.3946142</v>
      </c>
      <c r="J2700" s="455">
        <f t="array" ref="J2700">IFERROR(INDEX('Retirement Calculator'!J:J,MATCH('Isaac 401k'!N2700,'Retirement Calculator'!A:A,0),0),0)</f>
        <v>0</v>
      </c>
      <c r="K2700" s="455">
        <f t="shared" ca="1" si="151"/>
        <v>-32648785.772477556</v>
      </c>
      <c r="L2700" s="455">
        <f t="shared" ca="1" si="152"/>
        <v>-7868357371.1670914</v>
      </c>
      <c r="M2700" s="471">
        <f t="shared" si="154"/>
        <v>0.05</v>
      </c>
      <c r="N2700" s="475">
        <f t="shared" si="155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53"/>
        <v>-7868357371.1670914</v>
      </c>
      <c r="J2701" s="455">
        <f t="array" ref="J2701">IFERROR(INDEX('Retirement Calculator'!J:J,MATCH('Isaac 401k'!N2701,'Retirement Calculator'!A:A,0),0),0)</f>
        <v>0</v>
      </c>
      <c r="K2701" s="455">
        <f t="shared" ca="1" si="151"/>
        <v>-32784822.379862875</v>
      </c>
      <c r="L2701" s="455">
        <f t="shared" ca="1" si="152"/>
        <v>-7901142193.5469542</v>
      </c>
      <c r="M2701" s="471">
        <f t="shared" si="154"/>
        <v>0.05</v>
      </c>
      <c r="N2701" s="475">
        <f t="shared" si="155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53"/>
        <v>-7901142193.5469542</v>
      </c>
      <c r="J2702" s="455">
        <f t="array" ref="J2702">IFERROR(INDEX('Retirement Calculator'!J:J,MATCH('Isaac 401k'!N2702,'Retirement Calculator'!A:A,0),0),0)</f>
        <v>0</v>
      </c>
      <c r="K2702" s="455">
        <f t="shared" ca="1" si="151"/>
        <v>-32921425.806445647</v>
      </c>
      <c r="L2702" s="455">
        <f t="shared" ca="1" si="152"/>
        <v>-7934063619.3534002</v>
      </c>
      <c r="M2702" s="471">
        <f t="shared" si="154"/>
        <v>0.05</v>
      </c>
      <c r="N2702" s="475">
        <f t="shared" si="155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53"/>
        <v>-7934063619.3534002</v>
      </c>
      <c r="J2703" s="455">
        <f t="array" ref="J2703">IFERROR(INDEX('Retirement Calculator'!J:J,MATCH('Isaac 401k'!N2703,'Retirement Calculator'!A:A,0),0),0)</f>
        <v>0</v>
      </c>
      <c r="K2703" s="455">
        <f t="shared" ca="1" si="151"/>
        <v>-33058598.413972504</v>
      </c>
      <c r="L2703" s="455">
        <f t="shared" ca="1" si="152"/>
        <v>-7967122217.7673731</v>
      </c>
      <c r="M2703" s="471">
        <f t="shared" si="154"/>
        <v>0.05</v>
      </c>
      <c r="N2703" s="475">
        <f t="shared" si="155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53"/>
        <v>-7967122217.7673731</v>
      </c>
      <c r="J2704" s="455">
        <f t="array" ref="J2704">IFERROR(INDEX('Retirement Calculator'!J:J,MATCH('Isaac 401k'!N2704,'Retirement Calculator'!A:A,0),0),0)</f>
        <v>0</v>
      </c>
      <c r="K2704" s="455">
        <f t="shared" ca="1" si="151"/>
        <v>-33196342.57403072</v>
      </c>
      <c r="L2704" s="455">
        <f t="shared" ca="1" si="152"/>
        <v>-8000318560.341404</v>
      </c>
      <c r="M2704" s="471">
        <f t="shared" si="154"/>
        <v>0.05</v>
      </c>
      <c r="N2704" s="475">
        <f t="shared" si="155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53"/>
        <v>-8000318560.341404</v>
      </c>
      <c r="J2705" s="455">
        <f t="array" ref="J2705">IFERROR(INDEX('Retirement Calculator'!J:J,MATCH('Isaac 401k'!N2705,'Retirement Calculator'!A:A,0),0),0)</f>
        <v>0</v>
      </c>
      <c r="K2705" s="455">
        <f t="shared" ca="1" si="151"/>
        <v>-33334660.668089181</v>
      </c>
      <c r="L2705" s="455">
        <f t="shared" ca="1" si="152"/>
        <v>-8033653221.0094929</v>
      </c>
      <c r="M2705" s="471">
        <f t="shared" si="154"/>
        <v>0.05</v>
      </c>
      <c r="N2705" s="475">
        <f t="shared" si="155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53"/>
        <v>-8033653221.0094929</v>
      </c>
      <c r="J2706" s="455">
        <f t="array" ref="J2706">IFERROR(INDEX('Retirement Calculator'!J:J,MATCH('Isaac 401k'!N2706,'Retirement Calculator'!A:A,0),0),0)</f>
        <v>0</v>
      </c>
      <c r="K2706" s="455">
        <f t="shared" ca="1" si="151"/>
        <v>-33473555.087539554</v>
      </c>
      <c r="L2706" s="455">
        <f t="shared" ca="1" si="152"/>
        <v>-8067126776.0970325</v>
      </c>
      <c r="M2706" s="471">
        <f t="shared" si="154"/>
        <v>0.05</v>
      </c>
      <c r="N2706" s="475">
        <f t="shared" si="155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53"/>
        <v>-8067126776.0970325</v>
      </c>
      <c r="J2707" s="455">
        <f t="array" ref="J2707">IFERROR(INDEX('Retirement Calculator'!J:J,MATCH('Isaac 401k'!N2707,'Retirement Calculator'!A:A,0),0),0)</f>
        <v>0</v>
      </c>
      <c r="K2707" s="455">
        <f t="shared" ca="1" si="151"/>
        <v>-33613028.233737633</v>
      </c>
      <c r="L2707" s="455">
        <f t="shared" ca="1" si="152"/>
        <v>-8100739804.3307705</v>
      </c>
      <c r="M2707" s="471">
        <f t="shared" si="154"/>
        <v>0.05</v>
      </c>
      <c r="N2707" s="475">
        <f t="shared" si="155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53"/>
        <v>-8100739804.3307705</v>
      </c>
      <c r="J2708" s="455">
        <f t="array" ref="J2708">IFERROR(INDEX('Retirement Calculator'!J:J,MATCH('Isaac 401k'!N2708,'Retirement Calculator'!A:A,0),0),0)</f>
        <v>0</v>
      </c>
      <c r="K2708" s="455">
        <f t="shared" ca="1" si="151"/>
        <v>-33753082.518044874</v>
      </c>
      <c r="L2708" s="455">
        <f t="shared" ca="1" si="152"/>
        <v>-8134492886.848815</v>
      </c>
      <c r="M2708" s="471">
        <f t="shared" si="154"/>
        <v>0.05</v>
      </c>
      <c r="N2708" s="475">
        <f t="shared" si="155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53"/>
        <v>-8134492886.848815</v>
      </c>
      <c r="J2709" s="455">
        <f t="array" ref="J2709">IFERROR(INDEX('Retirement Calculator'!J:J,MATCH('Isaac 401k'!N2709,'Retirement Calculator'!A:A,0),0),0)</f>
        <v>0</v>
      </c>
      <c r="K2709" s="455">
        <f t="shared" ca="1" si="151"/>
        <v>-33893720.361870065</v>
      </c>
      <c r="L2709" s="455">
        <f t="shared" ca="1" si="152"/>
        <v>-8168386607.2106848</v>
      </c>
      <c r="M2709" s="471">
        <f t="shared" si="154"/>
        <v>0.05</v>
      </c>
      <c r="N2709" s="475">
        <f t="shared" si="155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53"/>
        <v>-8168386607.2106848</v>
      </c>
      <c r="J2710" s="455">
        <f t="array" ref="J2710">IFERROR(INDEX('Retirement Calculator'!J:J,MATCH('Isaac 401k'!N2710,'Retirement Calculator'!A:A,0),0),0)</f>
        <v>0</v>
      </c>
      <c r="K2710" s="455">
        <f t="shared" ca="1" si="151"/>
        <v>-34034944.196711183</v>
      </c>
      <c r="L2710" s="455">
        <f t="shared" ca="1" si="152"/>
        <v>-8202421551.4073963</v>
      </c>
      <c r="M2710" s="471">
        <f t="shared" si="154"/>
        <v>0.05</v>
      </c>
      <c r="N2710" s="475">
        <f t="shared" si="155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53"/>
        <v>-8202421551.4073963</v>
      </c>
      <c r="J2711" s="455">
        <f t="array" ref="J2711">IFERROR(INDEX('Retirement Calculator'!J:J,MATCH('Isaac 401k'!N2711,'Retirement Calculator'!A:A,0),0),0)</f>
        <v>0</v>
      </c>
      <c r="K2711" s="455">
        <f t="shared" ca="1" si="151"/>
        <v>-34176756.464197487</v>
      </c>
      <c r="L2711" s="455">
        <f t="shared" ca="1" si="152"/>
        <v>-8236598307.8715935</v>
      </c>
      <c r="M2711" s="471">
        <f t="shared" si="154"/>
        <v>0.05</v>
      </c>
      <c r="N2711" s="475">
        <f t="shared" si="155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53"/>
        <v>-8236598307.8715935</v>
      </c>
      <c r="J2712" s="455">
        <f t="array" ref="J2712">IFERROR(INDEX('Retirement Calculator'!J:J,MATCH('Isaac 401k'!N2712,'Retirement Calculator'!A:A,0),0),0)</f>
        <v>0</v>
      </c>
      <c r="K2712" s="455">
        <f t="shared" ca="1" si="151"/>
        <v>-34319159.616131641</v>
      </c>
      <c r="L2712" s="455">
        <f t="shared" ca="1" si="152"/>
        <v>-8270917467.4877253</v>
      </c>
      <c r="M2712" s="471">
        <f t="shared" si="154"/>
        <v>0.05</v>
      </c>
      <c r="N2712" s="475">
        <f t="shared" si="155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53"/>
        <v>-8270917467.4877253</v>
      </c>
      <c r="J2713" s="455">
        <f t="array" ref="J2713">IFERROR(INDEX('Retirement Calculator'!J:J,MATCH('Isaac 401k'!N2713,'Retirement Calculator'!A:A,0),0),0)</f>
        <v>0</v>
      </c>
      <c r="K2713" s="455">
        <f t="shared" ca="1" si="151"/>
        <v>-34462156.114532195</v>
      </c>
      <c r="L2713" s="455">
        <f t="shared" ca="1" si="152"/>
        <v>-8305379623.6022577</v>
      </c>
      <c r="M2713" s="471">
        <f t="shared" si="154"/>
        <v>0.05</v>
      </c>
      <c r="N2713" s="475">
        <f t="shared" si="155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53"/>
        <v>-8305379623.6022577</v>
      </c>
      <c r="J2714" s="455">
        <f t="array" ref="J2714">IFERROR(INDEX('Retirement Calculator'!J:J,MATCH('Isaac 401k'!N2714,'Retirement Calculator'!A:A,0),0),0)</f>
        <v>0</v>
      </c>
      <c r="K2714" s="455">
        <f t="shared" ca="1" si="151"/>
        <v>-34605748.431676075</v>
      </c>
      <c r="L2714" s="455">
        <f t="shared" ca="1" si="152"/>
        <v>-8339985372.0339336</v>
      </c>
      <c r="M2714" s="471">
        <f t="shared" si="154"/>
        <v>0.05</v>
      </c>
      <c r="N2714" s="475">
        <f t="shared" si="155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53"/>
        <v>-8339985372.0339336</v>
      </c>
      <c r="J2715" s="455">
        <f t="array" ref="J2715">IFERROR(INDEX('Retirement Calculator'!J:J,MATCH('Isaac 401k'!N2715,'Retirement Calculator'!A:A,0),0),0)</f>
        <v>0</v>
      </c>
      <c r="K2715" s="455">
        <f t="shared" ca="1" si="151"/>
        <v>-34749939.050141387</v>
      </c>
      <c r="L2715" s="455">
        <f t="shared" ca="1" si="152"/>
        <v>-8374735311.084075</v>
      </c>
      <c r="M2715" s="471">
        <f t="shared" si="154"/>
        <v>0.05</v>
      </c>
      <c r="N2715" s="475">
        <f t="shared" si="155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53"/>
        <v>-8374735311.084075</v>
      </c>
      <c r="J2716" s="455">
        <f t="array" ref="J2716">IFERROR(INDEX('Retirement Calculator'!J:J,MATCH('Isaac 401k'!N2716,'Retirement Calculator'!A:A,0),0),0)</f>
        <v>0</v>
      </c>
      <c r="K2716" s="455">
        <f t="shared" ca="1" si="151"/>
        <v>-34894730.462850317</v>
      </c>
      <c r="L2716" s="455">
        <f t="shared" ca="1" si="152"/>
        <v>-8409630041.5469255</v>
      </c>
      <c r="M2716" s="471">
        <f t="shared" si="154"/>
        <v>0.05</v>
      </c>
      <c r="N2716" s="475">
        <f t="shared" si="155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53"/>
        <v>-8409630041.5469255</v>
      </c>
      <c r="J2717" s="455">
        <f t="array" ref="J2717">IFERROR(INDEX('Retirement Calculator'!J:J,MATCH('Isaac 401k'!N2717,'Retirement Calculator'!A:A,0),0),0)</f>
        <v>0</v>
      </c>
      <c r="K2717" s="455">
        <f t="shared" ca="1" si="151"/>
        <v>-35040125.173112191</v>
      </c>
      <c r="L2717" s="455">
        <f t="shared" ca="1" si="152"/>
        <v>-8444670166.7200375</v>
      </c>
      <c r="M2717" s="471">
        <f t="shared" si="154"/>
        <v>0.05</v>
      </c>
      <c r="N2717" s="475">
        <f t="shared" si="155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53"/>
        <v>-8444670166.7200375</v>
      </c>
      <c r="J2718" s="455">
        <f t="array" ref="J2718">IFERROR(INDEX('Retirement Calculator'!J:J,MATCH('Isaac 401k'!N2718,'Retirement Calculator'!A:A,0),0),0)</f>
        <v>0</v>
      </c>
      <c r="K2718" s="455">
        <f t="shared" ca="1" si="151"/>
        <v>-35186125.694666825</v>
      </c>
      <c r="L2718" s="455">
        <f t="shared" ca="1" si="152"/>
        <v>-8479856292.4147043</v>
      </c>
      <c r="M2718" s="471">
        <f t="shared" si="154"/>
        <v>0.05</v>
      </c>
      <c r="N2718" s="475">
        <f t="shared" si="155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53"/>
        <v>-8479856292.4147043</v>
      </c>
      <c r="J2719" s="455">
        <f t="array" ref="J2719">IFERROR(INDEX('Retirement Calculator'!J:J,MATCH('Isaac 401k'!N2719,'Retirement Calculator'!A:A,0),0),0)</f>
        <v>0</v>
      </c>
      <c r="K2719" s="455">
        <f t="shared" ca="1" si="151"/>
        <v>-35332734.551727936</v>
      </c>
      <c r="L2719" s="455">
        <f t="shared" ca="1" si="152"/>
        <v>-8515189026.9664326</v>
      </c>
      <c r="M2719" s="471">
        <f t="shared" si="154"/>
        <v>0.05</v>
      </c>
      <c r="N2719" s="475">
        <f t="shared" si="155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53"/>
        <v>-8515189026.9664326</v>
      </c>
      <c r="J2720" s="455">
        <f t="array" ref="J2720">IFERROR(INDEX('Retirement Calculator'!J:J,MATCH('Isaac 401k'!N2720,'Retirement Calculator'!A:A,0),0),0)</f>
        <v>0</v>
      </c>
      <c r="K2720" s="455">
        <f t="shared" ca="1" si="151"/>
        <v>-35479954.279026799</v>
      </c>
      <c r="L2720" s="455">
        <f t="shared" ca="1" si="152"/>
        <v>-8550668981.2454596</v>
      </c>
      <c r="M2720" s="471">
        <f t="shared" si="154"/>
        <v>0.05</v>
      </c>
      <c r="N2720" s="475">
        <f t="shared" si="155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53"/>
        <v>-8550668981.2454596</v>
      </c>
      <c r="J2721" s="455">
        <f t="array" ref="J2721">IFERROR(INDEX('Retirement Calculator'!J:J,MATCH('Isaac 401k'!N2721,'Retirement Calculator'!A:A,0),0),0)</f>
        <v>0</v>
      </c>
      <c r="K2721" s="455">
        <f t="shared" ca="1" si="151"/>
        <v>-35627787.421856083</v>
      </c>
      <c r="L2721" s="455">
        <f t="shared" ca="1" si="152"/>
        <v>-8586296768.6673155</v>
      </c>
      <c r="M2721" s="471">
        <f t="shared" si="154"/>
        <v>0.05</v>
      </c>
      <c r="N2721" s="475">
        <f t="shared" si="155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53"/>
        <v>-8586296768.6673155</v>
      </c>
      <c r="J2722" s="455">
        <f t="array" ref="J2722">IFERROR(INDEX('Retirement Calculator'!J:J,MATCH('Isaac 401k'!N2722,'Retirement Calculator'!A:A,0),0),0)</f>
        <v>0</v>
      </c>
      <c r="K2722" s="455">
        <f t="shared" ca="1" si="151"/>
        <v>-35776236.536113814</v>
      </c>
      <c r="L2722" s="455">
        <f t="shared" ca="1" si="152"/>
        <v>-8622073005.2034302</v>
      </c>
      <c r="M2722" s="471">
        <f t="shared" si="154"/>
        <v>0.05</v>
      </c>
      <c r="N2722" s="475">
        <f t="shared" si="155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53"/>
        <v>-8622073005.2034302</v>
      </c>
      <c r="J2723" s="455">
        <f t="array" ref="J2723">IFERROR(INDEX('Retirement Calculator'!J:J,MATCH('Isaac 401k'!N2723,'Retirement Calculator'!A:A,0),0),0)</f>
        <v>0</v>
      </c>
      <c r="K2723" s="455">
        <f t="shared" ca="1" si="151"/>
        <v>-35925304.188347623</v>
      </c>
      <c r="L2723" s="455">
        <f t="shared" ca="1" si="152"/>
        <v>-8657998309.391777</v>
      </c>
      <c r="M2723" s="471">
        <f t="shared" si="154"/>
        <v>0.05</v>
      </c>
      <c r="N2723" s="475">
        <f t="shared" si="155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53"/>
        <v>-8657998309.391777</v>
      </c>
      <c r="J2724" s="455">
        <f t="array" ref="J2724">IFERROR(INDEX('Retirement Calculator'!J:J,MATCH('Isaac 401k'!N2724,'Retirement Calculator'!A:A,0),0),0)</f>
        <v>0</v>
      </c>
      <c r="K2724" s="455">
        <f t="shared" ca="1" si="151"/>
        <v>-36074992.955799073</v>
      </c>
      <c r="L2724" s="455">
        <f t="shared" ca="1" si="152"/>
        <v>-8694073302.3475761</v>
      </c>
      <c r="M2724" s="471">
        <f t="shared" si="154"/>
        <v>0.05</v>
      </c>
      <c r="N2724" s="475">
        <f t="shared" si="155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53"/>
        <v>-8694073302.3475761</v>
      </c>
      <c r="J2725" s="455">
        <f t="array" ref="J2725">IFERROR(INDEX('Retirement Calculator'!J:J,MATCH('Isaac 401k'!N2725,'Retirement Calculator'!A:A,0),0),0)</f>
        <v>0</v>
      </c>
      <c r="K2725" s="455">
        <f t="shared" ca="1" si="151"/>
        <v>-36225305.426448233</v>
      </c>
      <c r="L2725" s="455">
        <f t="shared" ca="1" si="152"/>
        <v>-8730298607.774025</v>
      </c>
      <c r="M2725" s="471">
        <f t="shared" si="154"/>
        <v>0.05</v>
      </c>
      <c r="N2725" s="475">
        <f t="shared" si="155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53"/>
        <v>-8730298607.774025</v>
      </c>
      <c r="J2726" s="455">
        <f t="array" ref="J2726">IFERROR(INDEX('Retirement Calculator'!J:J,MATCH('Isaac 401k'!N2726,'Retirement Calculator'!A:A,0),0),0)</f>
        <v>0</v>
      </c>
      <c r="K2726" s="455">
        <f t="shared" ca="1" si="151"/>
        <v>-36376244.199058436</v>
      </c>
      <c r="L2726" s="455">
        <f t="shared" ca="1" si="152"/>
        <v>-8766674851.9730835</v>
      </c>
      <c r="M2726" s="471">
        <f t="shared" si="154"/>
        <v>0.05</v>
      </c>
      <c r="N2726" s="475">
        <f t="shared" si="155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53"/>
        <v>-8766674851.9730835</v>
      </c>
      <c r="J2727" s="455">
        <f t="array" ref="J2727">IFERROR(INDEX('Retirement Calculator'!J:J,MATCH('Isaac 401k'!N2727,'Retirement Calculator'!A:A,0),0),0)</f>
        <v>0</v>
      </c>
      <c r="K2727" s="455">
        <f t="shared" ca="1" si="151"/>
        <v>-36527811.883221179</v>
      </c>
      <c r="L2727" s="455">
        <f t="shared" ca="1" si="152"/>
        <v>-8803202663.8563042</v>
      </c>
      <c r="M2727" s="471">
        <f t="shared" si="154"/>
        <v>0.05</v>
      </c>
      <c r="N2727" s="475">
        <f t="shared" si="155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53"/>
        <v>-8803202663.8563042</v>
      </c>
      <c r="J2728" s="455">
        <f t="array" ref="J2728">IFERROR(INDEX('Retirement Calculator'!J:J,MATCH('Isaac 401k'!N2728,'Retirement Calculator'!A:A,0),0),0)</f>
        <v>0</v>
      </c>
      <c r="K2728" s="455">
        <f t="shared" ca="1" si="151"/>
        <v>-36680011.099401265</v>
      </c>
      <c r="L2728" s="455">
        <f t="shared" ca="1" si="152"/>
        <v>-8839882674.9557056</v>
      </c>
      <c r="M2728" s="471">
        <f t="shared" si="154"/>
        <v>0.05</v>
      </c>
      <c r="N2728" s="475">
        <f t="shared" si="155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53"/>
        <v>-8839882674.9557056</v>
      </c>
      <c r="J2729" s="455">
        <f t="array" ref="J2729">IFERROR(INDEX('Retirement Calculator'!J:J,MATCH('Isaac 401k'!N2729,'Retirement Calculator'!A:A,0),0),0)</f>
        <v>0</v>
      </c>
      <c r="K2729" s="455">
        <f t="shared" ca="1" si="151"/>
        <v>-36832844.478982106</v>
      </c>
      <c r="L2729" s="455">
        <f t="shared" ca="1" si="152"/>
        <v>-8876715519.4346886</v>
      </c>
      <c r="M2729" s="471">
        <f t="shared" si="154"/>
        <v>0.05</v>
      </c>
      <c r="N2729" s="475">
        <f t="shared" si="155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53"/>
        <v>-8876715519.4346886</v>
      </c>
      <c r="J2730" s="455">
        <f t="array" ref="J2730">IFERROR(INDEX('Retirement Calculator'!J:J,MATCH('Isaac 401k'!N2730,'Retirement Calculator'!A:A,0),0),0)</f>
        <v>0</v>
      </c>
      <c r="K2730" s="455">
        <f t="shared" ca="1" si="151"/>
        <v>-36986314.6643112</v>
      </c>
      <c r="L2730" s="455">
        <f t="shared" ca="1" si="152"/>
        <v>-8913701834.098999</v>
      </c>
      <c r="M2730" s="471">
        <f t="shared" si="154"/>
        <v>0.05</v>
      </c>
      <c r="N2730" s="475">
        <f t="shared" si="155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53"/>
        <v>-8913701834.098999</v>
      </c>
      <c r="J2731" s="455">
        <f t="array" ref="J2731">IFERROR(INDEX('Retirement Calculator'!J:J,MATCH('Isaac 401k'!N2731,'Retirement Calculator'!A:A,0),0),0)</f>
        <v>0</v>
      </c>
      <c r="K2731" s="455">
        <f t="shared" ca="1" si="151"/>
        <v>-37140424.308745831</v>
      </c>
      <c r="L2731" s="455">
        <f t="shared" ca="1" si="152"/>
        <v>-8950842258.4077454</v>
      </c>
      <c r="M2731" s="471">
        <f t="shared" si="154"/>
        <v>0.05</v>
      </c>
      <c r="N2731" s="475">
        <f t="shared" si="155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53"/>
        <v>-8950842258.4077454</v>
      </c>
      <c r="J2732" s="455">
        <f t="array" ref="J2732">IFERROR(INDEX('Retirement Calculator'!J:J,MATCH('Isaac 401k'!N2732,'Retirement Calculator'!A:A,0),0),0)</f>
        <v>0</v>
      </c>
      <c r="K2732" s="455">
        <f t="shared" ca="1" si="151"/>
        <v>-37295176.076698937</v>
      </c>
      <c r="L2732" s="455">
        <f t="shared" ca="1" si="152"/>
        <v>-8988137434.4844437</v>
      </c>
      <c r="M2732" s="471">
        <f t="shared" si="154"/>
        <v>0.05</v>
      </c>
      <c r="N2732" s="475">
        <f t="shared" si="155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53"/>
        <v>-8988137434.4844437</v>
      </c>
      <c r="J2733" s="455">
        <f t="array" ref="J2733">IFERROR(INDEX('Retirement Calculator'!J:J,MATCH('Isaac 401k'!N2733,'Retirement Calculator'!A:A,0),0),0)</f>
        <v>0</v>
      </c>
      <c r="K2733" s="455">
        <f t="shared" ca="1" si="151"/>
        <v>-37450572.643685184</v>
      </c>
      <c r="L2733" s="455">
        <f t="shared" ca="1" si="152"/>
        <v>-9025588007.1281281</v>
      </c>
      <c r="M2733" s="471">
        <f t="shared" si="154"/>
        <v>0.05</v>
      </c>
      <c r="N2733" s="475">
        <f t="shared" si="155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53"/>
        <v>-9025588007.1281281</v>
      </c>
      <c r="J2734" s="455">
        <f t="array" ref="J2734">IFERROR(INDEX('Retirement Calculator'!J:J,MATCH('Isaac 401k'!N2734,'Retirement Calculator'!A:A,0),0),0)</f>
        <v>0</v>
      </c>
      <c r="K2734" s="455">
        <f t="shared" ca="1" si="151"/>
        <v>-37606616.696367197</v>
      </c>
      <c r="L2734" s="455">
        <f t="shared" ca="1" si="152"/>
        <v>-9063194623.8244953</v>
      </c>
      <c r="M2734" s="471">
        <f t="shared" si="154"/>
        <v>0.05</v>
      </c>
      <c r="N2734" s="475">
        <f t="shared" si="155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53"/>
        <v>-9063194623.8244953</v>
      </c>
      <c r="J2735" s="455">
        <f t="array" ref="J2735">IFERROR(INDEX('Retirement Calculator'!J:J,MATCH('Isaac 401k'!N2735,'Retirement Calculator'!A:A,0),0),0)</f>
        <v>0</v>
      </c>
      <c r="K2735" s="455">
        <f t="shared" ca="1" si="151"/>
        <v>-37763310.932602063</v>
      </c>
      <c r="L2735" s="455">
        <f t="shared" ca="1" si="152"/>
        <v>-9100957934.7570972</v>
      </c>
      <c r="M2735" s="471">
        <f t="shared" si="154"/>
        <v>0.05</v>
      </c>
      <c r="N2735" s="475">
        <f t="shared" si="155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53"/>
        <v>-9100957934.7570972</v>
      </c>
      <c r="J2736" s="455">
        <f t="array" ref="J2736">IFERROR(INDEX('Retirement Calculator'!J:J,MATCH('Isaac 401k'!N2736,'Retirement Calculator'!A:A,0),0),0)</f>
        <v>0</v>
      </c>
      <c r="K2736" s="455">
        <f t="shared" ca="1" si="151"/>
        <v>-37920658.061487906</v>
      </c>
      <c r="L2736" s="455">
        <f t="shared" ca="1" si="152"/>
        <v>-9138878592.8185844</v>
      </c>
      <c r="M2736" s="471">
        <f t="shared" si="154"/>
        <v>0.05</v>
      </c>
      <c r="N2736" s="475">
        <f t="shared" si="155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53"/>
        <v>-9138878592.8185844</v>
      </c>
      <c r="J2737" s="455">
        <f t="array" ref="J2737">IFERROR(INDEX('Retirement Calculator'!J:J,MATCH('Isaac 401k'!N2737,'Retirement Calculator'!A:A,0),0),0)</f>
        <v>0</v>
      </c>
      <c r="K2737" s="455">
        <f t="shared" ca="1" si="151"/>
        <v>-38078660.803410769</v>
      </c>
      <c r="L2737" s="455">
        <f t="shared" ca="1" si="152"/>
        <v>-9176957253.6219959</v>
      </c>
      <c r="M2737" s="471">
        <f t="shared" si="154"/>
        <v>0.05</v>
      </c>
      <c r="N2737" s="475">
        <f t="shared" si="155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53"/>
        <v>-9176957253.6219959</v>
      </c>
      <c r="J2738" s="455">
        <f t="array" ref="J2738">IFERROR(INDEX('Retirement Calculator'!J:J,MATCH('Isaac 401k'!N2738,'Retirement Calculator'!A:A,0),0),0)</f>
        <v>0</v>
      </c>
      <c r="K2738" s="455">
        <f t="shared" ca="1" si="151"/>
        <v>-38237321.89009165</v>
      </c>
      <c r="L2738" s="455">
        <f t="shared" ca="1" si="152"/>
        <v>-9215194575.5120869</v>
      </c>
      <c r="M2738" s="471">
        <f t="shared" si="154"/>
        <v>0.05</v>
      </c>
      <c r="N2738" s="475">
        <f t="shared" si="155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53"/>
        <v>-9215194575.5120869</v>
      </c>
      <c r="J2739" s="455">
        <f t="array" ref="J2739">IFERROR(INDEX('Retirement Calculator'!J:J,MATCH('Isaac 401k'!N2739,'Retirement Calculator'!A:A,0),0),0)</f>
        <v>0</v>
      </c>
      <c r="K2739" s="455">
        <f t="shared" ca="1" si="151"/>
        <v>-38396644.064633697</v>
      </c>
      <c r="L2739" s="455">
        <f t="shared" ca="1" si="152"/>
        <v>-9253591219.5767212</v>
      </c>
      <c r="M2739" s="471">
        <f t="shared" si="154"/>
        <v>0.05</v>
      </c>
      <c r="N2739" s="475">
        <f t="shared" si="155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53"/>
        <v>-9253591219.5767212</v>
      </c>
      <c r="J2740" s="455">
        <f t="array" ref="J2740">IFERROR(INDEX('Retirement Calculator'!J:J,MATCH('Isaac 401k'!N2740,'Retirement Calculator'!A:A,0),0),0)</f>
        <v>0</v>
      </c>
      <c r="K2740" s="455">
        <f t="shared" ca="1" si="151"/>
        <v>-38556630.081569672</v>
      </c>
      <c r="L2740" s="455">
        <f t="shared" ca="1" si="152"/>
        <v>-9292147849.6582909</v>
      </c>
      <c r="M2740" s="471">
        <f t="shared" si="154"/>
        <v>0.05</v>
      </c>
      <c r="N2740" s="475">
        <f t="shared" si="155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53"/>
        <v>-9292147849.6582909</v>
      </c>
      <c r="J2741" s="455">
        <f t="array" ref="J2741">IFERROR(INDEX('Retirement Calculator'!J:J,MATCH('Isaac 401k'!N2741,'Retirement Calculator'!A:A,0),0),0)</f>
        <v>0</v>
      </c>
      <c r="K2741" s="455">
        <f t="shared" ca="1" si="151"/>
        <v>-38717282.706909545</v>
      </c>
      <c r="L2741" s="455">
        <f t="shared" ca="1" si="152"/>
        <v>-9330865132.3652</v>
      </c>
      <c r="M2741" s="471">
        <f t="shared" si="154"/>
        <v>0.05</v>
      </c>
      <c r="N2741" s="475">
        <f t="shared" si="155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53"/>
        <v>-9330865132.3652</v>
      </c>
      <c r="J2742" s="455">
        <f t="array" ref="J2742">IFERROR(INDEX('Retirement Calculator'!J:J,MATCH('Isaac 401k'!N2742,'Retirement Calculator'!A:A,0),0),0)</f>
        <v>0</v>
      </c>
      <c r="K2742" s="455">
        <f t="shared" ca="1" si="151"/>
        <v>-38878604.718188331</v>
      </c>
      <c r="L2742" s="455">
        <f t="shared" ca="1" si="152"/>
        <v>-9369743737.0833893</v>
      </c>
      <c r="M2742" s="471">
        <f t="shared" si="154"/>
        <v>0.05</v>
      </c>
      <c r="N2742" s="475">
        <f t="shared" si="155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53"/>
        <v>-9369743737.0833893</v>
      </c>
      <c r="J2743" s="455">
        <f t="array" ref="J2743">IFERROR(INDEX('Retirement Calculator'!J:J,MATCH('Isaac 401k'!N2743,'Retirement Calculator'!A:A,0),0),0)</f>
        <v>0</v>
      </c>
      <c r="K2743" s="455">
        <f t="shared" ca="1" si="151"/>
        <v>-39040598.904514119</v>
      </c>
      <c r="L2743" s="455">
        <f t="shared" ca="1" si="152"/>
        <v>-9408784335.9879036</v>
      </c>
      <c r="M2743" s="471">
        <f t="shared" si="154"/>
        <v>0.05</v>
      </c>
      <c r="N2743" s="475">
        <f t="shared" si="155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53"/>
        <v>-9408784335.9879036</v>
      </c>
      <c r="J2744" s="455">
        <f t="array" ref="J2744">IFERROR(INDEX('Retirement Calculator'!J:J,MATCH('Isaac 401k'!N2744,'Retirement Calculator'!A:A,0),0),0)</f>
        <v>0</v>
      </c>
      <c r="K2744" s="455">
        <f t="shared" ca="1" si="151"/>
        <v>-39203268.066616267</v>
      </c>
      <c r="L2744" s="455">
        <f t="shared" ca="1" si="152"/>
        <v>-9447987604.0545197</v>
      </c>
      <c r="M2744" s="471">
        <f t="shared" si="154"/>
        <v>0.05</v>
      </c>
      <c r="N2744" s="475">
        <f t="shared" si="155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53"/>
        <v>-9447987604.0545197</v>
      </c>
      <c r="J2745" s="455">
        <f t="array" ref="J2745">IFERROR(INDEX('Retirement Calculator'!J:J,MATCH('Isaac 401k'!N2745,'Retirement Calculator'!A:A,0),0),0)</f>
        <v>0</v>
      </c>
      <c r="K2745" s="455">
        <f t="shared" ca="1" si="151"/>
        <v>-39366615.016893834</v>
      </c>
      <c r="L2745" s="455">
        <f t="shared" ca="1" si="152"/>
        <v>-9487354219.071413</v>
      </c>
      <c r="M2745" s="471">
        <f t="shared" si="154"/>
        <v>0.05</v>
      </c>
      <c r="N2745" s="475">
        <f t="shared" si="155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53"/>
        <v>-9487354219.071413</v>
      </c>
      <c r="J2746" s="455">
        <f t="array" ref="J2746">IFERROR(INDEX('Retirement Calculator'!J:J,MATCH('Isaac 401k'!N2746,'Retirement Calculator'!A:A,0),0),0)</f>
        <v>0</v>
      </c>
      <c r="K2746" s="455">
        <f t="shared" ca="1" si="151"/>
        <v>-39530642.57946422</v>
      </c>
      <c r="L2746" s="455">
        <f t="shared" ca="1" si="152"/>
        <v>-9526884861.650877</v>
      </c>
      <c r="M2746" s="471">
        <f t="shared" si="154"/>
        <v>0.05</v>
      </c>
      <c r="N2746" s="475">
        <f t="shared" si="155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53"/>
        <v>-9526884861.650877</v>
      </c>
      <c r="J2747" s="455">
        <f t="array" ref="J2747">IFERROR(INDEX('Retirement Calculator'!J:J,MATCH('Isaac 401k'!N2747,'Retirement Calculator'!A:A,0),0),0)</f>
        <v>0</v>
      </c>
      <c r="K2747" s="455">
        <f t="shared" ca="1" si="151"/>
        <v>-39695353.590211987</v>
      </c>
      <c r="L2747" s="455">
        <f t="shared" ca="1" si="152"/>
        <v>-9566580215.2410889</v>
      </c>
      <c r="M2747" s="471">
        <f t="shared" si="154"/>
        <v>0.05</v>
      </c>
      <c r="N2747" s="475">
        <f t="shared" si="155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53"/>
        <v>-9566580215.2410889</v>
      </c>
      <c r="J2748" s="455">
        <f t="array" ref="J2748">IFERROR(INDEX('Retirement Calculator'!J:J,MATCH('Isaac 401k'!N2748,'Retirement Calculator'!A:A,0),0),0)</f>
        <v>0</v>
      </c>
      <c r="K2748" s="455">
        <f t="shared" ca="1" si="151"/>
        <v>-39860750.896837868</v>
      </c>
      <c r="L2748" s="455">
        <f t="shared" ca="1" si="152"/>
        <v>-9606440966.1379261</v>
      </c>
      <c r="M2748" s="471">
        <f t="shared" si="154"/>
        <v>0.05</v>
      </c>
      <c r="N2748" s="475">
        <f t="shared" si="155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53"/>
        <v>-9606440966.1379261</v>
      </c>
      <c r="J2749" s="455">
        <f t="array" ref="J2749">IFERROR(INDEX('Retirement Calculator'!J:J,MATCH('Isaac 401k'!N2749,'Retirement Calculator'!A:A,0),0),0)</f>
        <v>0</v>
      </c>
      <c r="K2749" s="455">
        <f t="shared" ca="1" si="151"/>
        <v>-40026837.358908027</v>
      </c>
      <c r="L2749" s="455">
        <f t="shared" ca="1" si="152"/>
        <v>-9646467803.4968338</v>
      </c>
      <c r="M2749" s="471">
        <f t="shared" si="154"/>
        <v>0.05</v>
      </c>
      <c r="N2749" s="475">
        <f t="shared" si="155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53"/>
        <v>-9646467803.4968338</v>
      </c>
      <c r="J2750" s="455">
        <f t="array" ref="J2750">IFERROR(INDEX('Retirement Calculator'!J:J,MATCH('Isaac 401k'!N2750,'Retirement Calculator'!A:A,0),0),0)</f>
        <v>0</v>
      </c>
      <c r="K2750" s="455">
        <f t="shared" ca="1" si="151"/>
        <v>-40193615.847903475</v>
      </c>
      <c r="L2750" s="455">
        <f t="shared" ca="1" si="152"/>
        <v>-9686661419.344738</v>
      </c>
      <c r="M2750" s="471">
        <f t="shared" si="154"/>
        <v>0.05</v>
      </c>
      <c r="N2750" s="475">
        <f t="shared" si="155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53"/>
        <v>-9686661419.344738</v>
      </c>
      <c r="J2751" s="455">
        <f t="array" ref="J2751">IFERROR(INDEX('Retirement Calculator'!J:J,MATCH('Isaac 401k'!N2751,'Retirement Calculator'!A:A,0),0),0)</f>
        <v>0</v>
      </c>
      <c r="K2751" s="455">
        <f t="shared" ca="1" si="151"/>
        <v>-40361089.247269742</v>
      </c>
      <c r="L2751" s="455">
        <f t="shared" ca="1" si="152"/>
        <v>-9727022508.5920086</v>
      </c>
      <c r="M2751" s="471">
        <f t="shared" si="154"/>
        <v>0.05</v>
      </c>
      <c r="N2751" s="475">
        <f t="shared" si="155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53"/>
        <v>-9727022508.5920086</v>
      </c>
      <c r="J2752" s="455">
        <f t="array" ref="J2752">IFERROR(INDEX('Retirement Calculator'!J:J,MATCH('Isaac 401k'!N2752,'Retirement Calculator'!A:A,0),0),0)</f>
        <v>0</v>
      </c>
      <c r="K2752" s="455">
        <f t="shared" ca="1" si="151"/>
        <v>-40529260.452466704</v>
      </c>
      <c r="L2752" s="455">
        <f t="shared" ca="1" si="152"/>
        <v>-9767551769.0444756</v>
      </c>
      <c r="M2752" s="471">
        <f t="shared" si="154"/>
        <v>0.05</v>
      </c>
      <c r="N2752" s="475">
        <f t="shared" si="155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53"/>
        <v>-9767551769.0444756</v>
      </c>
      <c r="J2753" s="455">
        <f t="array" ref="J2753">IFERROR(INDEX('Retirement Calculator'!J:J,MATCH('Isaac 401k'!N2753,'Retirement Calculator'!A:A,0),0),0)</f>
        <v>0</v>
      </c>
      <c r="K2753" s="455">
        <f t="shared" ca="1" si="151"/>
        <v>-40698132.371018648</v>
      </c>
      <c r="L2753" s="455">
        <f t="shared" ca="1" si="152"/>
        <v>-9808249901.4154949</v>
      </c>
      <c r="M2753" s="471">
        <f t="shared" si="154"/>
        <v>0.05</v>
      </c>
      <c r="N2753" s="475">
        <f t="shared" si="155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53"/>
        <v>-9808249901.4154949</v>
      </c>
      <c r="J2754" s="455">
        <f t="array" ref="J2754">IFERROR(INDEX('Retirement Calculator'!J:J,MATCH('Isaac 401k'!N2754,'Retirement Calculator'!A:A,0),0),0)</f>
        <v>0</v>
      </c>
      <c r="K2754" s="455">
        <f t="shared" ca="1" si="151"/>
        <v>-40867707.922564559</v>
      </c>
      <c r="L2754" s="455">
        <f t="shared" ca="1" si="152"/>
        <v>-9849117609.3380604</v>
      </c>
      <c r="M2754" s="471">
        <f t="shared" si="154"/>
        <v>0.05</v>
      </c>
      <c r="N2754" s="475">
        <f t="shared" si="155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53"/>
        <v>-9849117609.3380604</v>
      </c>
      <c r="J2755" s="455">
        <f t="array" ref="J2755">IFERROR(INDEX('Retirement Calculator'!J:J,MATCH('Isaac 401k'!N2755,'Retirement Calculator'!A:A,0),0),0)</f>
        <v>0</v>
      </c>
      <c r="K2755" s="455">
        <f t="shared" ca="1" si="151"/>
        <v>-41037990.038908586</v>
      </c>
      <c r="L2755" s="455">
        <f t="shared" ca="1" si="152"/>
        <v>-9890155599.3769684</v>
      </c>
      <c r="M2755" s="471">
        <f t="shared" si="154"/>
        <v>0.05</v>
      </c>
      <c r="N2755" s="475">
        <f t="shared" si="155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53"/>
        <v>-9890155599.3769684</v>
      </c>
      <c r="J2756" s="455">
        <f t="array" ref="J2756">IFERROR(INDEX('Retirement Calculator'!J:J,MATCH('Isaac 401k'!N2756,'Retirement Calculator'!A:A,0),0),0)</f>
        <v>0</v>
      </c>
      <c r="K2756" s="455">
        <f t="shared" ca="1" si="151"/>
        <v>-41208981.664070703</v>
      </c>
      <c r="L2756" s="455">
        <f t="shared" ca="1" si="152"/>
        <v>-9931364581.0410385</v>
      </c>
      <c r="M2756" s="471">
        <f t="shared" si="154"/>
        <v>0.05</v>
      </c>
      <c r="N2756" s="475">
        <f t="shared" si="155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53"/>
        <v>-9931364581.0410385</v>
      </c>
      <c r="J2757" s="455">
        <f t="array" ref="J2757">IFERROR(INDEX('Retirement Calculator'!J:J,MATCH('Isaac 401k'!N2757,'Retirement Calculator'!A:A,0),0),0)</f>
        <v>0</v>
      </c>
      <c r="K2757" s="455">
        <f t="shared" ca="1" si="151"/>
        <v>-41380685.754337661</v>
      </c>
      <c r="L2757" s="455">
        <f t="shared" ca="1" si="152"/>
        <v>-9972745266.7953758</v>
      </c>
      <c r="M2757" s="471">
        <f t="shared" si="154"/>
        <v>0.05</v>
      </c>
      <c r="N2757" s="475">
        <f t="shared" si="155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53"/>
        <v>-9972745266.7953758</v>
      </c>
      <c r="J2758" s="455">
        <f t="array" ref="J2758">IFERROR(INDEX('Retirement Calculator'!J:J,MATCH('Isaac 401k'!N2758,'Retirement Calculator'!A:A,0),0),0)</f>
        <v>0</v>
      </c>
      <c r="K2758" s="455">
        <f t="shared" ca="1" si="151"/>
        <v>-41553105.278314069</v>
      </c>
      <c r="L2758" s="455">
        <f t="shared" ca="1" si="152"/>
        <v>-10014298372.07369</v>
      </c>
      <c r="M2758" s="471">
        <f t="shared" si="154"/>
        <v>0.05</v>
      </c>
      <c r="N2758" s="475">
        <f t="shared" si="155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53"/>
        <v>-10014298372.07369</v>
      </c>
      <c r="J2759" s="455">
        <f t="array" ref="J2759">IFERROR(INDEX('Retirement Calculator'!J:J,MATCH('Isaac 401k'!N2759,'Retirement Calculator'!A:A,0),0),0)</f>
        <v>0</v>
      </c>
      <c r="K2759" s="455">
        <f t="shared" ca="1" si="151"/>
        <v>-41726243.216973707</v>
      </c>
      <c r="L2759" s="455">
        <f t="shared" ca="1" si="152"/>
        <v>-10056024615.290665</v>
      </c>
      <c r="M2759" s="471">
        <f t="shared" si="154"/>
        <v>0.05</v>
      </c>
      <c r="N2759" s="475">
        <f t="shared" si="155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53"/>
        <v>-10056024615.290665</v>
      </c>
      <c r="J2760" s="455">
        <f t="array" ref="J2760">IFERROR(INDEX('Retirement Calculator'!J:J,MATCH('Isaac 401k'!N2760,'Retirement Calculator'!A:A,0),0),0)</f>
        <v>0</v>
      </c>
      <c r="K2760" s="455">
        <f t="shared" ca="1" si="151"/>
        <v>-41900102.563711099</v>
      </c>
      <c r="L2760" s="455">
        <f t="shared" ca="1" si="152"/>
        <v>-10097924717.854376</v>
      </c>
      <c r="M2760" s="471">
        <f t="shared" si="154"/>
        <v>0.05</v>
      </c>
      <c r="N2760" s="475">
        <f t="shared" si="155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53"/>
        <v>-10097924717.854376</v>
      </c>
      <c r="J2761" s="455">
        <f t="array" ref="J2761">IFERROR(INDEX('Retirement Calculator'!J:J,MATCH('Isaac 401k'!N2761,'Retirement Calculator'!A:A,0),0),0)</f>
        <v>0</v>
      </c>
      <c r="K2761" s="455">
        <f t="shared" ca="1" si="151"/>
        <v>-42074686.324393235</v>
      </c>
      <c r="L2761" s="455">
        <f t="shared" ca="1" si="152"/>
        <v>-10139999404.178768</v>
      </c>
      <c r="M2761" s="471">
        <f t="shared" si="154"/>
        <v>0.05</v>
      </c>
      <c r="N2761" s="475">
        <f t="shared" si="155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53"/>
        <v>-10139999404.178768</v>
      </c>
      <c r="J2762" s="455">
        <f t="array" ref="J2762">IFERROR(INDEX('Retirement Calculator'!J:J,MATCH('Isaac 401k'!N2762,'Retirement Calculator'!A:A,0),0),0)</f>
        <v>0</v>
      </c>
      <c r="K2762" s="455">
        <f t="shared" ca="1" si="151"/>
        <v>-42249997.51741153</v>
      </c>
      <c r="L2762" s="455">
        <f t="shared" ca="1" si="152"/>
        <v>-10182249401.69618</v>
      </c>
      <c r="M2762" s="471">
        <f t="shared" si="154"/>
        <v>0.05</v>
      </c>
      <c r="N2762" s="475">
        <f t="shared" si="155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53"/>
        <v>-10182249401.69618</v>
      </c>
      <c r="J2763" s="455">
        <f t="array" ref="J2763">IFERROR(INDEX('Retirement Calculator'!J:J,MATCH('Isaac 401k'!N2763,'Retirement Calculator'!A:A,0),0),0)</f>
        <v>0</v>
      </c>
      <c r="K2763" s="455">
        <f t="shared" ca="1" si="151"/>
        <v>-42426039.173734084</v>
      </c>
      <c r="L2763" s="455">
        <f t="shared" ca="1" si="152"/>
        <v>-10224675440.869915</v>
      </c>
      <c r="M2763" s="471">
        <f t="shared" si="154"/>
        <v>0.05</v>
      </c>
      <c r="N2763" s="475">
        <f t="shared" si="155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53"/>
        <v>-10224675440.869915</v>
      </c>
      <c r="J2764" s="455">
        <f t="array" ref="J2764">IFERROR(INDEX('Retirement Calculator'!J:J,MATCH('Isaac 401k'!N2764,'Retirement Calculator'!A:A,0),0),0)</f>
        <v>0</v>
      </c>
      <c r="K2764" s="455">
        <f t="shared" ca="1" si="151"/>
        <v>-42602814.336957976</v>
      </c>
      <c r="L2764" s="455">
        <f t="shared" ca="1" si="152"/>
        <v>-10267278255.206873</v>
      </c>
      <c r="M2764" s="471">
        <f t="shared" si="154"/>
        <v>0.05</v>
      </c>
      <c r="N2764" s="475">
        <f t="shared" si="155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53"/>
        <v>-10267278255.206873</v>
      </c>
      <c r="J2765" s="455">
        <f t="array" ref="J2765">IFERROR(INDEX('Retirement Calculator'!J:J,MATCH('Isaac 401k'!N2765,'Retirement Calculator'!A:A,0),0),0)</f>
        <v>0</v>
      </c>
      <c r="K2765" s="455">
        <f t="shared" ca="1" si="151"/>
        <v>-42780326.063361973</v>
      </c>
      <c r="L2765" s="455">
        <f t="shared" ca="1" si="152"/>
        <v>-10310058581.270235</v>
      </c>
      <c r="M2765" s="471">
        <f t="shared" si="154"/>
        <v>0.05</v>
      </c>
      <c r="N2765" s="475">
        <f t="shared" si="155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53"/>
        <v>-10310058581.270235</v>
      </c>
      <c r="J2766" s="455">
        <f t="array" ref="J2766">IFERROR(INDEX('Retirement Calculator'!J:J,MATCH('Isaac 401k'!N2766,'Retirement Calculator'!A:A,0),0),0)</f>
        <v>0</v>
      </c>
      <c r="K2766" s="455">
        <f t="shared" ca="1" si="151"/>
        <v>-42958577.421959311</v>
      </c>
      <c r="L2766" s="455">
        <f t="shared" ca="1" si="152"/>
        <v>-10353017158.692194</v>
      </c>
      <c r="M2766" s="471">
        <f t="shared" si="154"/>
        <v>0.05</v>
      </c>
      <c r="N2766" s="475">
        <f t="shared" si="155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53"/>
        <v>-10353017158.692194</v>
      </c>
      <c r="J2767" s="455">
        <f t="array" ref="J2767">IFERROR(INDEX('Retirement Calculator'!J:J,MATCH('Isaac 401k'!N2767,'Retirement Calculator'!A:A,0),0),0)</f>
        <v>0</v>
      </c>
      <c r="K2767" s="455">
        <f t="shared" ca="1" si="151"/>
        <v>-43137571.494550809</v>
      </c>
      <c r="L2767" s="455">
        <f t="shared" ca="1" si="152"/>
        <v>-10396154730.186745</v>
      </c>
      <c r="M2767" s="471">
        <f t="shared" si="154"/>
        <v>0.05</v>
      </c>
      <c r="N2767" s="475">
        <f t="shared" si="155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53"/>
        <v>-10396154730.186745</v>
      </c>
      <c r="J2768" s="455">
        <f t="array" ref="J2768">IFERROR(INDEX('Retirement Calculator'!J:J,MATCH('Isaac 401k'!N2768,'Retirement Calculator'!A:A,0),0),0)</f>
        <v>0</v>
      </c>
      <c r="K2768" s="455">
        <f t="shared" ca="1" si="151"/>
        <v>-43317311.375778101</v>
      </c>
      <c r="L2768" s="455">
        <f t="shared" ca="1" si="152"/>
        <v>-10439472041.562523</v>
      </c>
      <c r="M2768" s="471">
        <f t="shared" si="154"/>
        <v>0.05</v>
      </c>
      <c r="N2768" s="475">
        <f t="shared" si="155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53"/>
        <v>-10439472041.562523</v>
      </c>
      <c r="J2769" s="455">
        <f t="array" ref="J2769">IFERROR(INDEX('Retirement Calculator'!J:J,MATCH('Isaac 401k'!N2769,'Retirement Calculator'!A:A,0),0),0)</f>
        <v>0</v>
      </c>
      <c r="K2769" s="455">
        <f t="shared" ca="1" si="151"/>
        <v>-43497800.173177175</v>
      </c>
      <c r="L2769" s="455">
        <f t="shared" ca="1" si="152"/>
        <v>-10482969841.735701</v>
      </c>
      <c r="M2769" s="471">
        <f t="shared" si="154"/>
        <v>0.05</v>
      </c>
      <c r="N2769" s="475">
        <f t="shared" si="155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53"/>
        <v>-10482969841.735701</v>
      </c>
      <c r="J2770" s="455">
        <f t="array" ref="J2770">IFERROR(INDEX('Retirement Calculator'!J:J,MATCH('Isaac 401k'!N2770,'Retirement Calculator'!A:A,0),0),0)</f>
        <v>0</v>
      </c>
      <c r="K2770" s="455">
        <f t="shared" ca="1" si="151"/>
        <v>-43679041.007232085</v>
      </c>
      <c r="L2770" s="455">
        <f t="shared" ca="1" si="152"/>
        <v>-10526648882.742933</v>
      </c>
      <c r="M2770" s="471">
        <f t="shared" si="154"/>
        <v>0.05</v>
      </c>
      <c r="N2770" s="475">
        <f t="shared" si="155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53"/>
        <v>-10526648882.742933</v>
      </c>
      <c r="J2771" s="455">
        <f t="array" ref="J2771">IFERROR(INDEX('Retirement Calculator'!J:J,MATCH('Isaac 401k'!N2771,'Retirement Calculator'!A:A,0),0),0)</f>
        <v>0</v>
      </c>
      <c r="K2771" s="455">
        <f t="shared" ca="1" si="151"/>
        <v>-43861037.011428885</v>
      </c>
      <c r="L2771" s="455">
        <f t="shared" ca="1" si="152"/>
        <v>-10570509919.754362</v>
      </c>
      <c r="M2771" s="471">
        <f t="shared" si="154"/>
        <v>0.05</v>
      </c>
      <c r="N2771" s="475">
        <f t="shared" si="155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53"/>
        <v>-10570509919.754362</v>
      </c>
      <c r="J2772" s="455">
        <f t="array" ref="J2772">IFERROR(INDEX('Retirement Calculator'!J:J,MATCH('Isaac 401k'!N2772,'Retirement Calculator'!A:A,0),0),0)</f>
        <v>0</v>
      </c>
      <c r="K2772" s="455">
        <f t="shared" ca="1" si="151"/>
        <v>-44043791.332309842</v>
      </c>
      <c r="L2772" s="455">
        <f t="shared" ca="1" si="152"/>
        <v>-10614553711.086672</v>
      </c>
      <c r="M2772" s="471">
        <f t="shared" si="154"/>
        <v>0.05</v>
      </c>
      <c r="N2772" s="475">
        <f t="shared" si="155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53"/>
        <v>-10614553711.086672</v>
      </c>
      <c r="J2773" s="455">
        <f t="array" ref="J2773">IFERROR(INDEX('Retirement Calculator'!J:J,MATCH('Isaac 401k'!N2773,'Retirement Calculator'!A:A,0),0),0)</f>
        <v>0</v>
      </c>
      <c r="K2773" s="455">
        <f t="shared" ca="1" si="151"/>
        <v>-44227307.1295278</v>
      </c>
      <c r="L2773" s="455">
        <f t="shared" ca="1" si="152"/>
        <v>-10658781018.2162</v>
      </c>
      <c r="M2773" s="471">
        <f t="shared" si="154"/>
        <v>0.05</v>
      </c>
      <c r="N2773" s="475">
        <f t="shared" si="155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53"/>
        <v>-10658781018.2162</v>
      </c>
      <c r="J2774" s="455">
        <f t="array" ref="J2774">IFERROR(INDEX('Retirement Calculator'!J:J,MATCH('Isaac 401k'!N2774,'Retirement Calculator'!A:A,0),0),0)</f>
        <v>0</v>
      </c>
      <c r="K2774" s="455">
        <f t="shared" ca="1" si="151"/>
        <v>-44411587.57590083</v>
      </c>
      <c r="L2774" s="455">
        <f t="shared" ca="1" si="152"/>
        <v>-10703192605.792101</v>
      </c>
      <c r="M2774" s="471">
        <f t="shared" si="154"/>
        <v>0.05</v>
      </c>
      <c r="N2774" s="475">
        <f t="shared" si="155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53"/>
        <v>-10703192605.792101</v>
      </c>
      <c r="J2775" s="455">
        <f t="array" ref="J2775">IFERROR(INDEX('Retirement Calculator'!J:J,MATCH('Isaac 401k'!N2775,'Retirement Calculator'!A:A,0),0),0)</f>
        <v>0</v>
      </c>
      <c r="K2775" s="455">
        <f t="shared" ca="1" si="151"/>
        <v>-44596635.857467085</v>
      </c>
      <c r="L2775" s="455">
        <f t="shared" ca="1" si="152"/>
        <v>-10747789241.649569</v>
      </c>
      <c r="M2775" s="471">
        <f t="shared" si="154"/>
        <v>0.05</v>
      </c>
      <c r="N2775" s="475">
        <f t="shared" si="155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53"/>
        <v>-10747789241.649569</v>
      </c>
      <c r="J2776" s="455">
        <f t="array" ref="J2776">IFERROR(INDEX('Retirement Calculator'!J:J,MATCH('Isaac 401k'!N2776,'Retirement Calculator'!A:A,0),0),0)</f>
        <v>0</v>
      </c>
      <c r="K2776" s="455">
        <f t="shared" ca="1" si="151"/>
        <v>-44782455.173539869</v>
      </c>
      <c r="L2776" s="455">
        <f t="shared" ca="1" si="152"/>
        <v>-10792571696.823109</v>
      </c>
      <c r="M2776" s="471">
        <f t="shared" si="154"/>
        <v>0.05</v>
      </c>
      <c r="N2776" s="475">
        <f t="shared" si="155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53"/>
        <v>-10792571696.823109</v>
      </c>
      <c r="J2777" s="455">
        <f t="array" ref="J2777">IFERROR(INDEX('Retirement Calculator'!J:J,MATCH('Isaac 401k'!N2777,'Retirement Calculator'!A:A,0),0),0)</f>
        <v>0</v>
      </c>
      <c r="K2777" s="455">
        <f t="shared" ca="1" si="151"/>
        <v>-44969048.736762956</v>
      </c>
      <c r="L2777" s="455">
        <f t="shared" ca="1" si="152"/>
        <v>-10837540745.559872</v>
      </c>
      <c r="M2777" s="471">
        <f t="shared" si="154"/>
        <v>0.05</v>
      </c>
      <c r="N2777" s="475">
        <f t="shared" si="155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53"/>
        <v>-10837540745.559872</v>
      </c>
      <c r="J2778" s="455">
        <f t="array" ref="J2778">IFERROR(INDEX('Retirement Calculator'!J:J,MATCH('Isaac 401k'!N2778,'Retirement Calculator'!A:A,0),0),0)</f>
        <v>0</v>
      </c>
      <c r="K2778" s="455">
        <f t="shared" ca="1" si="151"/>
        <v>-45156419.773166135</v>
      </c>
      <c r="L2778" s="455">
        <f t="shared" ca="1" si="152"/>
        <v>-10882697165.333038</v>
      </c>
      <c r="M2778" s="471">
        <f t="shared" si="154"/>
        <v>0.05</v>
      </c>
      <c r="N2778" s="475">
        <f t="shared" si="155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53"/>
        <v>-10882697165.333038</v>
      </c>
      <c r="J2779" s="455">
        <f t="array" ref="J2779">IFERROR(INDEX('Retirement Calculator'!J:J,MATCH('Isaac 401k'!N2779,'Retirement Calculator'!A:A,0),0),0)</f>
        <v>0</v>
      </c>
      <c r="K2779" s="455">
        <f t="shared" ca="1" si="151"/>
        <v>-45344571.522220992</v>
      </c>
      <c r="L2779" s="455">
        <f t="shared" ca="1" si="152"/>
        <v>-10928041736.855259</v>
      </c>
      <c r="M2779" s="471">
        <f t="shared" si="154"/>
        <v>0.05</v>
      </c>
      <c r="N2779" s="475">
        <f t="shared" si="155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53"/>
        <v>-10928041736.855259</v>
      </c>
      <c r="J2780" s="455">
        <f t="array" ref="J2780">IFERROR(INDEX('Retirement Calculator'!J:J,MATCH('Isaac 401k'!N2780,'Retirement Calculator'!A:A,0),0),0)</f>
        <v>0</v>
      </c>
      <c r="K2780" s="455">
        <f t="shared" ca="1" si="151"/>
        <v>-45533507.23689691</v>
      </c>
      <c r="L2780" s="455">
        <f t="shared" ca="1" si="152"/>
        <v>-10973575244.092155</v>
      </c>
      <c r="M2780" s="471">
        <f t="shared" si="154"/>
        <v>0.05</v>
      </c>
      <c r="N2780" s="475">
        <f t="shared" si="155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53"/>
        <v>-10973575244.092155</v>
      </c>
      <c r="J2781" s="455">
        <f t="array" ref="J2781">IFERROR(INDEX('Retirement Calculator'!J:J,MATCH('Isaac 401k'!N2781,'Retirement Calculator'!A:A,0),0),0)</f>
        <v>0</v>
      </c>
      <c r="K2781" s="455">
        <f t="shared" ca="1" si="151"/>
        <v>-45723230.18371731</v>
      </c>
      <c r="L2781" s="455">
        <f t="shared" ca="1" si="152"/>
        <v>-11019298474.275873</v>
      </c>
      <c r="M2781" s="471">
        <f t="shared" si="154"/>
        <v>0.05</v>
      </c>
      <c r="N2781" s="475">
        <f t="shared" si="155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53"/>
        <v>-11019298474.275873</v>
      </c>
      <c r="J2782" s="455">
        <f t="array" ref="J2782">IFERROR(INDEX('Retirement Calculator'!J:J,MATCH('Isaac 401k'!N2782,'Retirement Calculator'!A:A,0),0),0)</f>
        <v>0</v>
      </c>
      <c r="K2782" s="455">
        <f t="shared" ca="1" si="151"/>
        <v>-45913743.642816141</v>
      </c>
      <c r="L2782" s="455">
        <f t="shared" ca="1" si="152"/>
        <v>-11065212217.91869</v>
      </c>
      <c r="M2782" s="471">
        <f t="shared" si="154"/>
        <v>0.05</v>
      </c>
      <c r="N2782" s="475">
        <f t="shared" si="155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53"/>
        <v>-11065212217.91869</v>
      </c>
      <c r="J2783" s="455">
        <f t="array" ref="J2783">IFERROR(INDEX('Retirement Calculator'!J:J,MATCH('Isaac 401k'!N2783,'Retirement Calculator'!A:A,0),0),0)</f>
        <v>0</v>
      </c>
      <c r="K2783" s="455">
        <f t="shared" ca="1" si="151"/>
        <v>-46105050.907994539</v>
      </c>
      <c r="L2783" s="455">
        <f t="shared" ca="1" si="152"/>
        <v>-11111317268.826685</v>
      </c>
      <c r="M2783" s="471">
        <f t="shared" si="154"/>
        <v>0.05</v>
      </c>
      <c r="N2783" s="475">
        <f t="shared" si="155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53"/>
        <v>-11111317268.826685</v>
      </c>
      <c r="J2784" s="455">
        <f t="array" ref="J2784">IFERROR(INDEX('Retirement Calculator'!J:J,MATCH('Isaac 401k'!N2784,'Retirement Calculator'!A:A,0),0),0)</f>
        <v>0</v>
      </c>
      <c r="K2784" s="455">
        <f t="shared" ca="1" si="151"/>
        <v>-46297155.286777854</v>
      </c>
      <c r="L2784" s="455">
        <f t="shared" ca="1" si="152"/>
        <v>-11157614424.113462</v>
      </c>
      <c r="M2784" s="471">
        <f t="shared" si="154"/>
        <v>0.05</v>
      </c>
      <c r="N2784" s="475">
        <f t="shared" si="155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53"/>
        <v>-11157614424.113462</v>
      </c>
      <c r="J2785" s="455">
        <f t="array" ref="J2785">IFERROR(INDEX('Retirement Calculator'!J:J,MATCH('Isaac 401k'!N2785,'Retirement Calculator'!A:A,0),0),0)</f>
        <v>0</v>
      </c>
      <c r="K2785" s="455">
        <f t="shared" ca="1" si="151"/>
        <v>-46490060.100472763</v>
      </c>
      <c r="L2785" s="455">
        <f t="shared" ca="1" si="152"/>
        <v>-11204104484.213936</v>
      </c>
      <c r="M2785" s="471">
        <f t="shared" si="154"/>
        <v>0.05</v>
      </c>
      <c r="N2785" s="475">
        <f t="shared" si="155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53"/>
        <v>-11204104484.213936</v>
      </c>
      <c r="J2786" s="455">
        <f t="array" ref="J2786">IFERROR(INDEX('Retirement Calculator'!J:J,MATCH('Isaac 401k'!N2786,'Retirement Calculator'!A:A,0),0),0)</f>
        <v>0</v>
      </c>
      <c r="K2786" s="455">
        <f t="shared" ca="1" si="151"/>
        <v>-46683768.684224732</v>
      </c>
      <c r="L2786" s="455">
        <f t="shared" ca="1" si="152"/>
        <v>-11250788252.898161</v>
      </c>
      <c r="M2786" s="471">
        <f t="shared" si="154"/>
        <v>0.05</v>
      </c>
      <c r="N2786" s="475">
        <f t="shared" si="155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53"/>
        <v>-11250788252.898161</v>
      </c>
      <c r="J2787" s="455">
        <f t="array" ref="J2787">IFERROR(INDEX('Retirement Calculator'!J:J,MATCH('Isaac 401k'!N2787,'Retirement Calculator'!A:A,0),0),0)</f>
        <v>0</v>
      </c>
      <c r="K2787" s="455">
        <f t="shared" ca="1" si="151"/>
        <v>-46878284.38707567</v>
      </c>
      <c r="L2787" s="455">
        <f t="shared" ca="1" si="152"/>
        <v>-11297666537.285236</v>
      </c>
      <c r="M2787" s="471">
        <f t="shared" si="154"/>
        <v>0.05</v>
      </c>
      <c r="N2787" s="475">
        <f t="shared" si="155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53"/>
        <v>-11297666537.285236</v>
      </c>
      <c r="J2788" s="455">
        <f t="array" ref="J2788">IFERROR(INDEX('Retirement Calculator'!J:J,MATCH('Isaac 401k'!N2788,'Retirement Calculator'!A:A,0),0),0)</f>
        <v>0</v>
      </c>
      <c r="K2788" s="455">
        <f t="shared" ca="1" si="151"/>
        <v>-47073610.57202182</v>
      </c>
      <c r="L2788" s="455">
        <f t="shared" ca="1" si="152"/>
        <v>-11344740147.857258</v>
      </c>
      <c r="M2788" s="471">
        <f t="shared" si="154"/>
        <v>0.05</v>
      </c>
      <c r="N2788" s="475">
        <f t="shared" si="155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53"/>
        <v>-11344740147.857258</v>
      </c>
      <c r="J2789" s="455">
        <f t="array" ref="J2789">IFERROR(INDEX('Retirement Calculator'!J:J,MATCH('Isaac 401k'!N2789,'Retirement Calculator'!A:A,0),0),0)</f>
        <v>0</v>
      </c>
      <c r="K2789" s="455">
        <f t="shared" ca="1" si="151"/>
        <v>-47269750.61607191</v>
      </c>
      <c r="L2789" s="455">
        <f t="shared" ca="1" si="152"/>
        <v>-11392009898.47333</v>
      </c>
      <c r="M2789" s="471">
        <f t="shared" si="154"/>
        <v>0.05</v>
      </c>
      <c r="N2789" s="475">
        <f t="shared" si="155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53"/>
        <v>-11392009898.47333</v>
      </c>
      <c r="J2790" s="455">
        <f t="array" ref="J2790">IFERROR(INDEX('Retirement Calculator'!J:J,MATCH('Isaac 401k'!N2790,'Retirement Calculator'!A:A,0),0),0)</f>
        <v>0</v>
      </c>
      <c r="K2790" s="455">
        <f t="shared" ca="1" si="151"/>
        <v>-47466707.910305537</v>
      </c>
      <c r="L2790" s="455">
        <f t="shared" ca="1" si="152"/>
        <v>-11439476606.383635</v>
      </c>
      <c r="M2790" s="471">
        <f t="shared" si="154"/>
        <v>0.05</v>
      </c>
      <c r="N2790" s="475">
        <f t="shared" si="155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53"/>
        <v>-11439476606.383635</v>
      </c>
      <c r="J2791" s="455">
        <f t="array" ref="J2791">IFERROR(INDEX('Retirement Calculator'!J:J,MATCH('Isaac 401k'!N2791,'Retirement Calculator'!A:A,0),0),0)</f>
        <v>0</v>
      </c>
      <c r="K2791" s="455">
        <f t="shared" ca="1" si="151"/>
        <v>-47664485.859931812</v>
      </c>
      <c r="L2791" s="455">
        <f t="shared" ca="1" si="152"/>
        <v>-11487141092.243567</v>
      </c>
      <c r="M2791" s="471">
        <f t="shared" si="154"/>
        <v>0.05</v>
      </c>
      <c r="N2791" s="475">
        <f t="shared" si="155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53"/>
        <v>-11487141092.243567</v>
      </c>
      <c r="J2792" s="455">
        <f t="array" ref="J2792">IFERROR(INDEX('Retirement Calculator'!J:J,MATCH('Isaac 401k'!N2792,'Retirement Calculator'!A:A,0),0),0)</f>
        <v>0</v>
      </c>
      <c r="K2792" s="455">
        <f t="shared" ca="1" si="151"/>
        <v>-47863087.884348191</v>
      </c>
      <c r="L2792" s="455">
        <f t="shared" ca="1" si="152"/>
        <v>-11535004180.127914</v>
      </c>
      <c r="M2792" s="471">
        <f t="shared" si="154"/>
        <v>0.05</v>
      </c>
      <c r="N2792" s="475">
        <f t="shared" si="155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53"/>
        <v>-11535004180.127914</v>
      </c>
      <c r="J2793" s="455">
        <f t="array" ref="J2793">IFERROR(INDEX('Retirement Calculator'!J:J,MATCH('Isaac 401k'!N2793,'Retirement Calculator'!A:A,0),0),0)</f>
        <v>0</v>
      </c>
      <c r="K2793" s="455">
        <f t="shared" ca="1" si="151"/>
        <v>-48062517.417199641</v>
      </c>
      <c r="L2793" s="455">
        <f t="shared" ca="1" si="152"/>
        <v>-11583066697.545115</v>
      </c>
      <c r="M2793" s="471">
        <f t="shared" si="154"/>
        <v>0.05</v>
      </c>
      <c r="N2793" s="475">
        <f t="shared" si="155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53"/>
        <v>-11583066697.545115</v>
      </c>
      <c r="J2794" s="455">
        <f t="array" ref="J2794">IFERROR(INDEX('Retirement Calculator'!J:J,MATCH('Isaac 401k'!N2794,'Retirement Calculator'!A:A,0),0),0)</f>
        <v>0</v>
      </c>
      <c r="K2794" s="455">
        <f t="shared" ca="1" si="151"/>
        <v>-48262777.906437978</v>
      </c>
      <c r="L2794" s="455">
        <f t="shared" ca="1" si="152"/>
        <v>-11631329475.451553</v>
      </c>
      <c r="M2794" s="471">
        <f t="shared" si="154"/>
        <v>0.05</v>
      </c>
      <c r="N2794" s="475">
        <f t="shared" si="155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53"/>
        <v>-11631329475.451553</v>
      </c>
      <c r="J2795" s="455">
        <f t="array" ref="J2795">IFERROR(INDEX('Retirement Calculator'!J:J,MATCH('Isaac 401k'!N2795,'Retirement Calculator'!A:A,0),0),0)</f>
        <v>0</v>
      </c>
      <c r="K2795" s="455">
        <f t="shared" ca="1" si="151"/>
        <v>-48463872.814381473</v>
      </c>
      <c r="L2795" s="455">
        <f t="shared" ca="1" si="152"/>
        <v>-11679793348.265934</v>
      </c>
      <c r="M2795" s="471">
        <f t="shared" si="154"/>
        <v>0.05</v>
      </c>
      <c r="N2795" s="475">
        <f t="shared" si="155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53"/>
        <v>-11679793348.265934</v>
      </c>
      <c r="J2796" s="455">
        <f t="array" ref="J2796">IFERROR(INDEX('Retirement Calculator'!J:J,MATCH('Isaac 401k'!N2796,'Retirement Calculator'!A:A,0),0),0)</f>
        <v>0</v>
      </c>
      <c r="K2796" s="455">
        <f t="shared" ca="1" si="151"/>
        <v>-48665805.617774725</v>
      </c>
      <c r="L2796" s="455">
        <f t="shared" ca="1" si="152"/>
        <v>-11728459153.883709</v>
      </c>
      <c r="M2796" s="471">
        <f t="shared" si="154"/>
        <v>0.05</v>
      </c>
      <c r="N2796" s="475">
        <f t="shared" si="155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53"/>
        <v>-11728459153.883709</v>
      </c>
      <c r="J2797" s="455">
        <f t="array" ref="J2797">IFERROR(INDEX('Retirement Calculator'!J:J,MATCH('Isaac 401k'!N2797,'Retirement Calculator'!A:A,0),0),0)</f>
        <v>0</v>
      </c>
      <c r="K2797" s="455">
        <f t="shared" ca="1" si="151"/>
        <v>-48868579.807848789</v>
      </c>
      <c r="L2797" s="455">
        <f t="shared" ca="1" si="152"/>
        <v>-11777327733.691557</v>
      </c>
      <c r="M2797" s="471">
        <f t="shared" si="154"/>
        <v>0.05</v>
      </c>
      <c r="N2797" s="475">
        <f t="shared" si="155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53"/>
        <v>-11777327733.691557</v>
      </c>
      <c r="J2798" s="455">
        <f t="array" ref="J2798">IFERROR(INDEX('Retirement Calculator'!J:J,MATCH('Isaac 401k'!N2798,'Retirement Calculator'!A:A,0),0),0)</f>
        <v>0</v>
      </c>
      <c r="K2798" s="455">
        <f t="shared" ca="1" si="151"/>
        <v>-49072198.890381485</v>
      </c>
      <c r="L2798" s="455">
        <f t="shared" ca="1" si="152"/>
        <v>-11826399932.581938</v>
      </c>
      <c r="M2798" s="471">
        <f t="shared" si="154"/>
        <v>0.05</v>
      </c>
      <c r="N2798" s="475">
        <f t="shared" si="155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53"/>
        <v>-11826399932.581938</v>
      </c>
      <c r="J2799" s="455">
        <f t="array" ref="J2799">IFERROR(INDEX('Retirement Calculator'!J:J,MATCH('Isaac 401k'!N2799,'Retirement Calculator'!A:A,0),0),0)</f>
        <v>0</v>
      </c>
      <c r="K2799" s="455">
        <f t="shared" ca="1" si="151"/>
        <v>-49276666.385758072</v>
      </c>
      <c r="L2799" s="455">
        <f t="shared" ca="1" si="152"/>
        <v>-11875676598.967695</v>
      </c>
      <c r="M2799" s="471">
        <f t="shared" si="154"/>
        <v>0.05</v>
      </c>
      <c r="N2799" s="475">
        <f t="shared" si="155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53"/>
        <v>-11875676598.967695</v>
      </c>
      <c r="J2800" s="455">
        <f t="array" ref="J2800">IFERROR(INDEX('Retirement Calculator'!J:J,MATCH('Isaac 401k'!N2800,'Retirement Calculator'!A:A,0),0),0)</f>
        <v>0</v>
      </c>
      <c r="K2800" s="455">
        <f t="shared" ca="1" si="151"/>
        <v>-49481985.829032063</v>
      </c>
      <c r="L2800" s="455">
        <f t="shared" ca="1" si="152"/>
        <v>-11925158584.796728</v>
      </c>
      <c r="M2800" s="471">
        <f t="shared" si="154"/>
        <v>0.05</v>
      </c>
      <c r="N2800" s="475">
        <f t="shared" si="155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53"/>
        <v>-11925158584.796728</v>
      </c>
      <c r="J2801" s="455">
        <f t="array" ref="J2801">IFERROR(INDEX('Retirement Calculator'!J:J,MATCH('Isaac 401k'!N2801,'Retirement Calculator'!A:A,0),0),0)</f>
        <v>0</v>
      </c>
      <c r="K2801" s="455">
        <f t="shared" ca="1" si="151"/>
        <v>-49688160.769986369</v>
      </c>
      <c r="L2801" s="455">
        <f t="shared" ca="1" si="152"/>
        <v>-11974846745.566715</v>
      </c>
      <c r="M2801" s="471">
        <f t="shared" si="154"/>
        <v>0.05</v>
      </c>
      <c r="N2801" s="475">
        <f t="shared" si="155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53"/>
        <v>-11974846745.566715</v>
      </c>
      <c r="J2802" s="455">
        <f t="array" ref="J2802">IFERROR(INDEX('Retirement Calculator'!J:J,MATCH('Isaac 401k'!N2802,'Retirement Calculator'!A:A,0),0),0)</f>
        <v>0</v>
      </c>
      <c r="K2802" s="455">
        <f t="shared" ca="1" si="151"/>
        <v>-49895194.773194648</v>
      </c>
      <c r="L2802" s="455">
        <f t="shared" ca="1" si="152"/>
        <v>-12024741940.339911</v>
      </c>
      <c r="M2802" s="471">
        <f t="shared" si="154"/>
        <v>0.05</v>
      </c>
      <c r="N2802" s="475">
        <f t="shared" si="155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53"/>
        <v>-12024741940.339911</v>
      </c>
      <c r="J2803" s="455">
        <f t="array" ref="J2803">IFERROR(INDEX('Retirement Calculator'!J:J,MATCH('Isaac 401k'!N2803,'Retirement Calculator'!A:A,0),0),0)</f>
        <v>0</v>
      </c>
      <c r="K2803" s="455">
        <f t="shared" ca="1" si="151"/>
        <v>-50103091.41808296</v>
      </c>
      <c r="L2803" s="455">
        <f t="shared" ca="1" si="152"/>
        <v>-12074845031.757994</v>
      </c>
      <c r="M2803" s="471">
        <f t="shared" si="154"/>
        <v>0.05</v>
      </c>
      <c r="N2803" s="475">
        <f t="shared" si="155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53"/>
        <v>-12074845031.757994</v>
      </c>
      <c r="J2804" s="455">
        <f t="array" ref="J2804">IFERROR(INDEX('Retirement Calculator'!J:J,MATCH('Isaac 401k'!N2804,'Retirement Calculator'!A:A,0),0),0)</f>
        <v>0</v>
      </c>
      <c r="K2804" s="455">
        <f t="shared" ca="1" si="151"/>
        <v>-50311854.298991643</v>
      </c>
      <c r="L2804" s="455">
        <f t="shared" ca="1" si="152"/>
        <v>-12125156886.056986</v>
      </c>
      <c r="M2804" s="471">
        <f t="shared" si="154"/>
        <v>0.05</v>
      </c>
      <c r="N2804" s="475">
        <f t="shared" si="155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53"/>
        <v>-12125156886.056986</v>
      </c>
      <c r="J2805" s="455">
        <f t="array" ref="J2805">IFERROR(INDEX('Retirement Calculator'!J:J,MATCH('Isaac 401k'!N2805,'Retirement Calculator'!A:A,0),0),0)</f>
        <v>0</v>
      </c>
      <c r="K2805" s="455">
        <f t="shared" ca="1" si="151"/>
        <v>-50521487.025237441</v>
      </c>
      <c r="L2805" s="455">
        <f t="shared" ca="1" si="152"/>
        <v>-12175678373.082224</v>
      </c>
      <c r="M2805" s="471">
        <f t="shared" si="154"/>
        <v>0.05</v>
      </c>
      <c r="N2805" s="475">
        <f t="shared" si="155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53"/>
        <v>-12175678373.082224</v>
      </c>
      <c r="J2806" s="455">
        <f t="array" ref="J2806">IFERROR(INDEX('Retirement Calculator'!J:J,MATCH('Isaac 401k'!N2806,'Retirement Calculator'!A:A,0),0),0)</f>
        <v>0</v>
      </c>
      <c r="K2806" s="455">
        <f t="shared" ca="1" si="151"/>
        <v>-50731993.221175931</v>
      </c>
      <c r="L2806" s="455">
        <f t="shared" ca="1" si="152"/>
        <v>-12226410366.3034</v>
      </c>
      <c r="M2806" s="471">
        <f t="shared" si="154"/>
        <v>0.05</v>
      </c>
      <c r="N2806" s="475">
        <f t="shared" si="155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53"/>
        <v>-12226410366.3034</v>
      </c>
      <c r="J2807" s="455">
        <f t="array" ref="J2807">IFERROR(INDEX('Retirement Calculator'!J:J,MATCH('Isaac 401k'!N2807,'Retirement Calculator'!A:A,0),0),0)</f>
        <v>0</v>
      </c>
      <c r="K2807" s="455">
        <f t="shared" ca="1" si="151"/>
        <v>-50943376.526264168</v>
      </c>
      <c r="L2807" s="455">
        <f t="shared" ca="1" si="152"/>
        <v>-12277353742.829664</v>
      </c>
      <c r="M2807" s="471">
        <f t="shared" si="154"/>
        <v>0.05</v>
      </c>
      <c r="N2807" s="475">
        <f t="shared" si="155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53"/>
        <v>-12277353742.829664</v>
      </c>
      <c r="J2808" s="455">
        <f t="array" ref="J2808">IFERROR(INDEX('Retirement Calculator'!J:J,MATCH('Isaac 401k'!N2808,'Retirement Calculator'!A:A,0),0),0)</f>
        <v>0</v>
      </c>
      <c r="K2808" s="455">
        <f t="shared" ca="1" si="151"/>
        <v>-51155640.595123604</v>
      </c>
      <c r="L2808" s="455">
        <f t="shared" ca="1" si="152"/>
        <v>-12328509383.424788</v>
      </c>
      <c r="M2808" s="471">
        <f t="shared" si="154"/>
        <v>0.05</v>
      </c>
      <c r="N2808" s="475">
        <f t="shared" si="155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53"/>
        <v>-12328509383.424788</v>
      </c>
      <c r="J2809" s="455">
        <f t="array" ref="J2809">IFERROR(INDEX('Retirement Calculator'!J:J,MATCH('Isaac 401k'!N2809,'Retirement Calculator'!A:A,0),0),0)</f>
        <v>0</v>
      </c>
      <c r="K2809" s="455">
        <f t="shared" ca="1" si="151"/>
        <v>-51368789.097603284</v>
      </c>
      <c r="L2809" s="455">
        <f t="shared" ca="1" si="152"/>
        <v>-12379878172.52239</v>
      </c>
      <c r="M2809" s="471">
        <f t="shared" si="154"/>
        <v>0.05</v>
      </c>
      <c r="N2809" s="475">
        <f t="shared" si="155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53"/>
        <v>-12379878172.52239</v>
      </c>
      <c r="J2810" s="455">
        <f t="array" ref="J2810">IFERROR(INDEX('Retirement Calculator'!J:J,MATCH('Isaac 401k'!N2810,'Retirement Calculator'!A:A,0),0),0)</f>
        <v>0</v>
      </c>
      <c r="K2810" s="455">
        <f t="shared" ca="1" si="151"/>
        <v>-51582825.718843296</v>
      </c>
      <c r="L2810" s="455">
        <f t="shared" ca="1" si="152"/>
        <v>-12431460998.241234</v>
      </c>
      <c r="M2810" s="471">
        <f t="shared" si="154"/>
        <v>0.05</v>
      </c>
      <c r="N2810" s="475">
        <f t="shared" si="155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53"/>
        <v>-12431460998.241234</v>
      </c>
      <c r="J2811" s="455">
        <f t="array" ref="J2811">IFERROR(INDEX('Retirement Calculator'!J:J,MATCH('Isaac 401k'!N2811,'Retirement Calculator'!A:A,0),0),0)</f>
        <v>0</v>
      </c>
      <c r="K2811" s="455">
        <f t="shared" ca="1" si="151"/>
        <v>-51797754.159338474</v>
      </c>
      <c r="L2811" s="455">
        <f t="shared" ca="1" si="152"/>
        <v>-12483258752.400572</v>
      </c>
      <c r="M2811" s="471">
        <f t="shared" si="154"/>
        <v>0.05</v>
      </c>
      <c r="N2811" s="475">
        <f t="shared" si="155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53"/>
        <v>-12483258752.400572</v>
      </c>
      <c r="J2812" s="455">
        <f t="array" ref="J2812">IFERROR(INDEX('Retirement Calculator'!J:J,MATCH('Isaac 401k'!N2812,'Retirement Calculator'!A:A,0),0),0)</f>
        <v>0</v>
      </c>
      <c r="K2812" s="455">
        <f t="shared" ca="1" si="151"/>
        <v>-52013578.135002382</v>
      </c>
      <c r="L2812" s="455">
        <f t="shared" ca="1" si="152"/>
        <v>-12535272330.535574</v>
      </c>
      <c r="M2812" s="471">
        <f t="shared" si="154"/>
        <v>0.05</v>
      </c>
      <c r="N2812" s="475">
        <f t="shared" si="155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53"/>
        <v>-12535272330.535574</v>
      </c>
      <c r="J2813" s="455">
        <f t="array" ref="J2813">IFERROR(INDEX('Retirement Calculator'!J:J,MATCH('Isaac 401k'!N2813,'Retirement Calculator'!A:A,0),0),0)</f>
        <v>0</v>
      </c>
      <c r="K2813" s="455">
        <f t="shared" ref="K2813:K3067" ca="1" si="156">IPMT(M2813/12,1,12,-I2813+J2813,,0)</f>
        <v>-52230301.377231561</v>
      </c>
      <c r="L2813" s="455">
        <f t="shared" ref="L2813:L3067" ca="1" si="157">I2813-J2813+K2813</f>
        <v>-12587502631.912806</v>
      </c>
      <c r="M2813" s="471">
        <f t="shared" si="154"/>
        <v>0.05</v>
      </c>
      <c r="N2813" s="475">
        <f t="shared" si="155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58">L2813</f>
        <v>-12587502631.912806</v>
      </c>
      <c r="J2814" s="455">
        <f t="array" ref="J2814">IFERROR(INDEX('Retirement Calculator'!J:J,MATCH('Isaac 401k'!N2814,'Retirement Calculator'!A:A,0),0),0)</f>
        <v>0</v>
      </c>
      <c r="K2814" s="455">
        <f t="shared" ca="1" si="156"/>
        <v>-52447927.63297002</v>
      </c>
      <c r="L2814" s="455">
        <f t="shared" ca="1" si="157"/>
        <v>-12639950559.545776</v>
      </c>
      <c r="M2814" s="471">
        <f t="shared" ref="M2814:M3068" si="159">M2813</f>
        <v>0.05</v>
      </c>
      <c r="N2814" s="475">
        <f t="shared" ref="N2814:N3068" si="160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58"/>
        <v>-12639950559.545776</v>
      </c>
      <c r="J2815" s="455">
        <f t="array" ref="J2815">IFERROR(INDEX('Retirement Calculator'!J:J,MATCH('Isaac 401k'!N2815,'Retirement Calculator'!A:A,0),0),0)</f>
        <v>0</v>
      </c>
      <c r="K2815" s="455">
        <f t="shared" ca="1" si="156"/>
        <v>-52666460.664774068</v>
      </c>
      <c r="L2815" s="455">
        <f t="shared" ca="1" si="157"/>
        <v>-12692617020.21055</v>
      </c>
      <c r="M2815" s="471">
        <f t="shared" si="159"/>
        <v>0.05</v>
      </c>
      <c r="N2815" s="475">
        <f t="shared" si="160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58"/>
        <v>-12692617020.21055</v>
      </c>
      <c r="J2816" s="455">
        <f t="array" ref="J2816">IFERROR(INDEX('Retirement Calculator'!J:J,MATCH('Isaac 401k'!N2816,'Retirement Calculator'!A:A,0),0),0)</f>
        <v>0</v>
      </c>
      <c r="K2816" s="455">
        <f t="shared" ca="1" si="156"/>
        <v>-52885904.250877291</v>
      </c>
      <c r="L2816" s="455">
        <f t="shared" ca="1" si="157"/>
        <v>-12745502924.461428</v>
      </c>
      <c r="M2816" s="471">
        <f t="shared" si="159"/>
        <v>0.05</v>
      </c>
      <c r="N2816" s="475">
        <f t="shared" si="160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58"/>
        <v>-12745502924.461428</v>
      </c>
      <c r="J2817" s="455">
        <f t="array" ref="J2817">IFERROR(INDEX('Retirement Calculator'!J:J,MATCH('Isaac 401k'!N2817,'Retirement Calculator'!A:A,0),0),0)</f>
        <v>0</v>
      </c>
      <c r="K2817" s="455">
        <f t="shared" ca="1" si="156"/>
        <v>-53106262.185255945</v>
      </c>
      <c r="L2817" s="455">
        <f t="shared" ca="1" si="157"/>
        <v>-12798609186.646683</v>
      </c>
      <c r="M2817" s="471">
        <f t="shared" si="159"/>
        <v>0.05</v>
      </c>
      <c r="N2817" s="475">
        <f t="shared" si="160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58"/>
        <v>-12798609186.646683</v>
      </c>
      <c r="J2818" s="455">
        <f t="array" ref="J2818">IFERROR(INDEX('Retirement Calculator'!J:J,MATCH('Isaac 401k'!N2818,'Retirement Calculator'!A:A,0),0),0)</f>
        <v>0</v>
      </c>
      <c r="K2818" s="455">
        <f t="shared" ca="1" si="156"/>
        <v>-53327538.277694508</v>
      </c>
      <c r="L2818" s="455">
        <f t="shared" ca="1" si="157"/>
        <v>-12851936724.924377</v>
      </c>
      <c r="M2818" s="471">
        <f t="shared" si="159"/>
        <v>0.05</v>
      </c>
      <c r="N2818" s="475">
        <f t="shared" si="160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58"/>
        <v>-12851936724.924377</v>
      </c>
      <c r="J2819" s="455">
        <f t="array" ref="J2819">IFERROR(INDEX('Retirement Calculator'!J:J,MATCH('Isaac 401k'!N2819,'Retirement Calculator'!A:A,0),0),0)</f>
        <v>0</v>
      </c>
      <c r="K2819" s="455">
        <f t="shared" ca="1" si="156"/>
        <v>-53549736.353851572</v>
      </c>
      <c r="L2819" s="455">
        <f t="shared" ca="1" si="157"/>
        <v>-12905486461.278229</v>
      </c>
      <c r="M2819" s="471">
        <f t="shared" si="159"/>
        <v>0.05</v>
      </c>
      <c r="N2819" s="475">
        <f t="shared" si="160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58"/>
        <v>-12905486461.278229</v>
      </c>
      <c r="J2820" s="455">
        <f t="array" ref="J2820">IFERROR(INDEX('Retirement Calculator'!J:J,MATCH('Isaac 401k'!N2820,'Retirement Calculator'!A:A,0),0),0)</f>
        <v>0</v>
      </c>
      <c r="K2820" s="455">
        <f t="shared" ca="1" si="156"/>
        <v>-53772860.255325951</v>
      </c>
      <c r="L2820" s="455">
        <f t="shared" ca="1" si="157"/>
        <v>-12959259321.533554</v>
      </c>
      <c r="M2820" s="471">
        <f t="shared" si="159"/>
        <v>0.05</v>
      </c>
      <c r="N2820" s="475">
        <f t="shared" si="160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58"/>
        <v>-12959259321.533554</v>
      </c>
      <c r="J2821" s="455">
        <f t="array" ref="J2821">IFERROR(INDEX('Retirement Calculator'!J:J,MATCH('Isaac 401k'!N2821,'Retirement Calculator'!A:A,0),0),0)</f>
        <v>0</v>
      </c>
      <c r="K2821" s="455">
        <f t="shared" ca="1" si="156"/>
        <v>-53996913.83972314</v>
      </c>
      <c r="L2821" s="455">
        <f t="shared" ca="1" si="157"/>
        <v>-13013256235.373278</v>
      </c>
      <c r="M2821" s="471">
        <f t="shared" si="159"/>
        <v>0.05</v>
      </c>
      <c r="N2821" s="475">
        <f t="shared" si="160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58"/>
        <v>-13013256235.373278</v>
      </c>
      <c r="J2822" s="455">
        <f t="array" ref="J2822">IFERROR(INDEX('Retirement Calculator'!J:J,MATCH('Isaac 401k'!N2822,'Retirement Calculator'!A:A,0),0),0)</f>
        <v>0</v>
      </c>
      <c r="K2822" s="455">
        <f t="shared" ca="1" si="156"/>
        <v>-54221900.980721988</v>
      </c>
      <c r="L2822" s="455">
        <f t="shared" ca="1" si="157"/>
        <v>-13067478136.354</v>
      </c>
      <c r="M2822" s="471">
        <f t="shared" si="159"/>
        <v>0.05</v>
      </c>
      <c r="N2822" s="475">
        <f t="shared" si="160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58"/>
        <v>-13067478136.354</v>
      </c>
      <c r="J2823" s="455">
        <f t="array" ref="J2823">IFERROR(INDEX('Retirement Calculator'!J:J,MATCH('Isaac 401k'!N2823,'Retirement Calculator'!A:A,0),0),0)</f>
        <v>0</v>
      </c>
      <c r="K2823" s="455">
        <f t="shared" ca="1" si="156"/>
        <v>-54447825.568141669</v>
      </c>
      <c r="L2823" s="455">
        <f t="shared" ca="1" si="157"/>
        <v>-13121925961.922142</v>
      </c>
      <c r="M2823" s="471">
        <f t="shared" si="159"/>
        <v>0.05</v>
      </c>
      <c r="N2823" s="475">
        <f t="shared" si="160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58"/>
        <v>-13121925961.922142</v>
      </c>
      <c r="J2824" s="455">
        <f t="array" ref="J2824">IFERROR(INDEX('Retirement Calculator'!J:J,MATCH('Isaac 401k'!N2824,'Retirement Calculator'!A:A,0),0),0)</f>
        <v>0</v>
      </c>
      <c r="K2824" s="455">
        <f t="shared" ca="1" si="156"/>
        <v>-54674691.508008927</v>
      </c>
      <c r="L2824" s="455">
        <f t="shared" ca="1" si="157"/>
        <v>-13176600653.430151</v>
      </c>
      <c r="M2824" s="471">
        <f t="shared" si="159"/>
        <v>0.05</v>
      </c>
      <c r="N2824" s="475">
        <f t="shared" si="160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58"/>
        <v>-13176600653.430151</v>
      </c>
      <c r="J2825" s="455">
        <f t="array" ref="J2825">IFERROR(INDEX('Retirement Calculator'!J:J,MATCH('Isaac 401k'!N2825,'Retirement Calculator'!A:A,0),0),0)</f>
        <v>0</v>
      </c>
      <c r="K2825" s="455">
        <f t="shared" ca="1" si="156"/>
        <v>-54902502.722625628</v>
      </c>
      <c r="L2825" s="455">
        <f t="shared" ca="1" si="157"/>
        <v>-13231503156.152777</v>
      </c>
      <c r="M2825" s="471">
        <f t="shared" si="159"/>
        <v>0.05</v>
      </c>
      <c r="N2825" s="475">
        <f t="shared" si="160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58"/>
        <v>-13231503156.152777</v>
      </c>
      <c r="J2826" s="455">
        <f t="array" ref="J2826">IFERROR(INDEX('Retirement Calculator'!J:J,MATCH('Isaac 401k'!N2826,'Retirement Calculator'!A:A,0),0),0)</f>
        <v>0</v>
      </c>
      <c r="K2826" s="455">
        <f t="shared" ca="1" si="156"/>
        <v>-55131263.150636569</v>
      </c>
      <c r="L2826" s="455">
        <f t="shared" ca="1" si="157"/>
        <v>-13286634419.303413</v>
      </c>
      <c r="M2826" s="471">
        <f t="shared" si="159"/>
        <v>0.05</v>
      </c>
      <c r="N2826" s="475">
        <f t="shared" si="160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58"/>
        <v>-13286634419.303413</v>
      </c>
      <c r="J2827" s="455">
        <f t="array" ref="J2827">IFERROR(INDEX('Retirement Calculator'!J:J,MATCH('Isaac 401k'!N2827,'Retirement Calculator'!A:A,0),0),0)</f>
        <v>0</v>
      </c>
      <c r="K2827" s="455">
        <f t="shared" ca="1" si="156"/>
        <v>-55360976.747097552</v>
      </c>
      <c r="L2827" s="455">
        <f t="shared" ca="1" si="157"/>
        <v>-13341995396.05051</v>
      </c>
      <c r="M2827" s="471">
        <f t="shared" si="159"/>
        <v>0.05</v>
      </c>
      <c r="N2827" s="475">
        <f t="shared" si="160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58"/>
        <v>-13341995396.05051</v>
      </c>
      <c r="J2828" s="455">
        <f t="array" ref="J2828">IFERROR(INDEX('Retirement Calculator'!J:J,MATCH('Isaac 401k'!N2828,'Retirement Calculator'!A:A,0),0),0)</f>
        <v>0</v>
      </c>
      <c r="K2828" s="455">
        <f t="shared" ca="1" si="156"/>
        <v>-55591647.483543791</v>
      </c>
      <c r="L2828" s="455">
        <f t="shared" ca="1" si="157"/>
        <v>-13397587043.534054</v>
      </c>
      <c r="M2828" s="471">
        <f t="shared" si="159"/>
        <v>0.05</v>
      </c>
      <c r="N2828" s="475">
        <f t="shared" si="160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58"/>
        <v>-13397587043.534054</v>
      </c>
      <c r="J2829" s="455">
        <f t="array" ref="J2829">IFERROR(INDEX('Retirement Calculator'!J:J,MATCH('Isaac 401k'!N2829,'Retirement Calculator'!A:A,0),0),0)</f>
        <v>0</v>
      </c>
      <c r="K2829" s="455">
        <f t="shared" ca="1" si="156"/>
        <v>-55823279.348058559</v>
      </c>
      <c r="L2829" s="455">
        <f t="shared" ca="1" si="157"/>
        <v>-13453410322.882113</v>
      </c>
      <c r="M2829" s="471">
        <f t="shared" si="159"/>
        <v>0.05</v>
      </c>
      <c r="N2829" s="475">
        <f t="shared" si="160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58"/>
        <v>-13453410322.882113</v>
      </c>
      <c r="J2830" s="455">
        <f t="array" ref="J2830">IFERROR(INDEX('Retirement Calculator'!J:J,MATCH('Isaac 401k'!N2830,'Retirement Calculator'!A:A,0),0),0)</f>
        <v>0</v>
      </c>
      <c r="K2830" s="455">
        <f t="shared" ca="1" si="156"/>
        <v>-56055876.345342129</v>
      </c>
      <c r="L2830" s="455">
        <f t="shared" ca="1" si="157"/>
        <v>-13509466199.227455</v>
      </c>
      <c r="M2830" s="471">
        <f t="shared" si="159"/>
        <v>0.05</v>
      </c>
      <c r="N2830" s="475">
        <f t="shared" si="160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58"/>
        <v>-13509466199.227455</v>
      </c>
      <c r="J2831" s="455">
        <f t="array" ref="J2831">IFERROR(INDEX('Retirement Calculator'!J:J,MATCH('Isaac 401k'!N2831,'Retirement Calculator'!A:A,0),0),0)</f>
        <v>0</v>
      </c>
      <c r="K2831" s="455">
        <f t="shared" ca="1" si="156"/>
        <v>-56289442.496781059</v>
      </c>
      <c r="L2831" s="455">
        <f t="shared" ca="1" si="157"/>
        <v>-13565755641.724236</v>
      </c>
      <c r="M2831" s="471">
        <f t="shared" si="159"/>
        <v>0.05</v>
      </c>
      <c r="N2831" s="475">
        <f t="shared" si="160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58"/>
        <v>-13565755641.724236</v>
      </c>
      <c r="J2832" s="455">
        <f t="array" ref="J2832">IFERROR(INDEX('Retirement Calculator'!J:J,MATCH('Isaac 401k'!N2832,'Retirement Calculator'!A:A,0),0),0)</f>
        <v>0</v>
      </c>
      <c r="K2832" s="455">
        <f t="shared" ca="1" si="156"/>
        <v>-56523981.84051764</v>
      </c>
      <c r="L2832" s="455">
        <f t="shared" ca="1" si="157"/>
        <v>-13622279623.564753</v>
      </c>
      <c r="M2832" s="471">
        <f t="shared" si="159"/>
        <v>0.05</v>
      </c>
      <c r="N2832" s="475">
        <f t="shared" si="160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58"/>
        <v>-13622279623.564753</v>
      </c>
      <c r="J2833" s="455">
        <f t="array" ref="J2833">IFERROR(INDEX('Retirement Calculator'!J:J,MATCH('Isaac 401k'!N2833,'Retirement Calculator'!A:A,0),0),0)</f>
        <v>0</v>
      </c>
      <c r="K2833" s="455">
        <f t="shared" ca="1" si="156"/>
        <v>-56759498.431519799</v>
      </c>
      <c r="L2833" s="455">
        <f t="shared" ca="1" si="157"/>
        <v>-13679039121.996273</v>
      </c>
      <c r="M2833" s="471">
        <f t="shared" si="159"/>
        <v>0.05</v>
      </c>
      <c r="N2833" s="475">
        <f t="shared" si="160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58"/>
        <v>-13679039121.996273</v>
      </c>
      <c r="J2834" s="455">
        <f t="array" ref="J2834">IFERROR(INDEX('Retirement Calculator'!J:J,MATCH('Isaac 401k'!N2834,'Retirement Calculator'!A:A,0),0),0)</f>
        <v>0</v>
      </c>
      <c r="K2834" s="455">
        <f t="shared" ca="1" si="156"/>
        <v>-56995996.341651134</v>
      </c>
      <c r="L2834" s="455">
        <f t="shared" ca="1" si="157"/>
        <v>-13736035118.337925</v>
      </c>
      <c r="M2834" s="471">
        <f t="shared" si="159"/>
        <v>0.05</v>
      </c>
      <c r="N2834" s="475">
        <f t="shared" si="160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58"/>
        <v>-13736035118.337925</v>
      </c>
      <c r="J2835" s="455">
        <f t="array" ref="J2835">IFERROR(INDEX('Retirement Calculator'!J:J,MATCH('Isaac 401k'!N2835,'Retirement Calculator'!A:A,0),0),0)</f>
        <v>0</v>
      </c>
      <c r="K2835" s="455">
        <f t="shared" ca="1" si="156"/>
        <v>-57233479.65974135</v>
      </c>
      <c r="L2835" s="455">
        <f t="shared" ca="1" si="157"/>
        <v>-13793268597.997665</v>
      </c>
      <c r="M2835" s="471">
        <f t="shared" si="159"/>
        <v>0.05</v>
      </c>
      <c r="N2835" s="475">
        <f t="shared" si="160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58"/>
        <v>-13793268597.997665</v>
      </c>
      <c r="J2836" s="455">
        <f t="array" ref="J2836">IFERROR(INDEX('Retirement Calculator'!J:J,MATCH('Isaac 401k'!N2836,'Retirement Calculator'!A:A,0),0),0)</f>
        <v>0</v>
      </c>
      <c r="K2836" s="455">
        <f t="shared" ca="1" si="156"/>
        <v>-57471952.491656929</v>
      </c>
      <c r="L2836" s="455">
        <f t="shared" ca="1" si="157"/>
        <v>-13850740550.489323</v>
      </c>
      <c r="M2836" s="471">
        <f t="shared" si="159"/>
        <v>0.05</v>
      </c>
      <c r="N2836" s="475">
        <f t="shared" si="160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58"/>
        <v>-13850740550.489323</v>
      </c>
      <c r="J2837" s="455">
        <f t="array" ref="J2837">IFERROR(INDEX('Retirement Calculator'!J:J,MATCH('Isaac 401k'!N2837,'Retirement Calculator'!A:A,0),0),0)</f>
        <v>0</v>
      </c>
      <c r="K2837" s="455">
        <f t="shared" ca="1" si="156"/>
        <v>-57711418.960372172</v>
      </c>
      <c r="L2837" s="455">
        <f t="shared" ca="1" si="157"/>
        <v>-13908451969.449696</v>
      </c>
      <c r="M2837" s="471">
        <f t="shared" si="159"/>
        <v>0.05</v>
      </c>
      <c r="N2837" s="475">
        <f t="shared" si="160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58"/>
        <v>-13908451969.449696</v>
      </c>
      <c r="J2838" s="455">
        <f t="array" ref="J2838">IFERROR(INDEX('Retirement Calculator'!J:J,MATCH('Isaac 401k'!N2838,'Retirement Calculator'!A:A,0),0),0)</f>
        <v>0</v>
      </c>
      <c r="K2838" s="455">
        <f t="shared" ca="1" si="156"/>
        <v>-57951883.206040397</v>
      </c>
      <c r="L2838" s="455">
        <f t="shared" ca="1" si="157"/>
        <v>-13966403852.655737</v>
      </c>
      <c r="M2838" s="471">
        <f t="shared" si="159"/>
        <v>0.05</v>
      </c>
      <c r="N2838" s="475">
        <f t="shared" si="160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58"/>
        <v>-13966403852.655737</v>
      </c>
      <c r="J2839" s="455">
        <f t="array" ref="J2839">IFERROR(INDEX('Retirement Calculator'!J:J,MATCH('Isaac 401k'!N2839,'Retirement Calculator'!A:A,0),0),0)</f>
        <v>0</v>
      </c>
      <c r="K2839" s="455">
        <f t="shared" ca="1" si="156"/>
        <v>-58193349.386065573</v>
      </c>
      <c r="L2839" s="455">
        <f t="shared" ca="1" si="157"/>
        <v>-14024597202.041803</v>
      </c>
      <c r="M2839" s="471">
        <f t="shared" si="159"/>
        <v>0.05</v>
      </c>
      <c r="N2839" s="475">
        <f t="shared" si="160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58"/>
        <v>-14024597202.041803</v>
      </c>
      <c r="J2840" s="455">
        <f t="array" ref="J2840">IFERROR(INDEX('Retirement Calculator'!J:J,MATCH('Isaac 401k'!N2840,'Retirement Calculator'!A:A,0),0),0)</f>
        <v>0</v>
      </c>
      <c r="K2840" s="455">
        <f t="shared" ca="1" si="156"/>
        <v>-58435821.675174169</v>
      </c>
      <c r="L2840" s="455">
        <f t="shared" ca="1" si="157"/>
        <v>-14083033023.716978</v>
      </c>
      <c r="M2840" s="471">
        <f t="shared" si="159"/>
        <v>0.05</v>
      </c>
      <c r="N2840" s="475">
        <f t="shared" si="160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58"/>
        <v>-14083033023.716978</v>
      </c>
      <c r="J2841" s="455">
        <f t="array" ref="J2841">IFERROR(INDEX('Retirement Calculator'!J:J,MATCH('Isaac 401k'!N2841,'Retirement Calculator'!A:A,0),0),0)</f>
        <v>0</v>
      </c>
      <c r="K2841" s="455">
        <f t="shared" ca="1" si="156"/>
        <v>-58679304.265487403</v>
      </c>
      <c r="L2841" s="455">
        <f t="shared" ca="1" si="157"/>
        <v>-14141712327.982466</v>
      </c>
      <c r="M2841" s="471">
        <f t="shared" si="159"/>
        <v>0.05</v>
      </c>
      <c r="N2841" s="475">
        <f t="shared" si="160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58"/>
        <v>-14141712327.982466</v>
      </c>
      <c r="J2842" s="455">
        <f t="array" ref="J2842">IFERROR(INDEX('Retirement Calculator'!J:J,MATCH('Isaac 401k'!N2842,'Retirement Calculator'!A:A,0),0),0)</f>
        <v>0</v>
      </c>
      <c r="K2842" s="455">
        <f t="shared" ca="1" si="156"/>
        <v>-58923801.366593607</v>
      </c>
      <c r="L2842" s="455">
        <f t="shared" ca="1" si="157"/>
        <v>-14200636129.34906</v>
      </c>
      <c r="M2842" s="471">
        <f t="shared" si="159"/>
        <v>0.05</v>
      </c>
      <c r="N2842" s="475">
        <f t="shared" si="160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58"/>
        <v>-14200636129.34906</v>
      </c>
      <c r="J2843" s="455">
        <f t="array" ref="J2843">IFERROR(INDEX('Retirement Calculator'!J:J,MATCH('Isaac 401k'!N2843,'Retirement Calculator'!A:A,0),0),0)</f>
        <v>0</v>
      </c>
      <c r="K2843" s="455">
        <f t="shared" ca="1" si="156"/>
        <v>-59169317.205621071</v>
      </c>
      <c r="L2843" s="455">
        <f t="shared" ca="1" si="157"/>
        <v>-14259805446.554682</v>
      </c>
      <c r="M2843" s="471">
        <f t="shared" si="159"/>
        <v>0.05</v>
      </c>
      <c r="N2843" s="475">
        <f t="shared" si="160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58"/>
        <v>-14259805446.554682</v>
      </c>
      <c r="J2844" s="455">
        <f t="array" ref="J2844">IFERROR(INDEX('Retirement Calculator'!J:J,MATCH('Isaac 401k'!N2844,'Retirement Calculator'!A:A,0),0),0)</f>
        <v>0</v>
      </c>
      <c r="K2844" s="455">
        <f t="shared" ca="1" si="156"/>
        <v>-59415856.027311176</v>
      </c>
      <c r="L2844" s="455">
        <f t="shared" ca="1" si="157"/>
        <v>-14319221302.581993</v>
      </c>
      <c r="M2844" s="471">
        <f t="shared" si="159"/>
        <v>0.05</v>
      </c>
      <c r="N2844" s="475">
        <f t="shared" si="160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58"/>
        <v>-14319221302.581993</v>
      </c>
      <c r="J2845" s="455">
        <f t="array" ref="J2845">IFERROR(INDEX('Retirement Calculator'!J:J,MATCH('Isaac 401k'!N2845,'Retirement Calculator'!A:A,0),0),0)</f>
        <v>0</v>
      </c>
      <c r="K2845" s="455">
        <f t="shared" ca="1" si="156"/>
        <v>-59663422.094091639</v>
      </c>
      <c r="L2845" s="455">
        <f t="shared" ca="1" si="157"/>
        <v>-14378884724.676085</v>
      </c>
      <c r="M2845" s="471">
        <f t="shared" si="159"/>
        <v>0.05</v>
      </c>
      <c r="N2845" s="475">
        <f t="shared" si="160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58"/>
        <v>-14378884724.676085</v>
      </c>
      <c r="J2846" s="455">
        <f t="array" ref="J2846">IFERROR(INDEX('Retirement Calculator'!J:J,MATCH('Isaac 401k'!N2846,'Retirement Calculator'!A:A,0),0),0)</f>
        <v>0</v>
      </c>
      <c r="K2846" s="455">
        <f t="shared" ca="1" si="156"/>
        <v>-59912019.686150342</v>
      </c>
      <c r="L2846" s="455">
        <f t="shared" ca="1" si="157"/>
        <v>-14438796744.362234</v>
      </c>
      <c r="M2846" s="471">
        <f t="shared" si="159"/>
        <v>0.05</v>
      </c>
      <c r="N2846" s="475">
        <f t="shared" si="160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58"/>
        <v>-14438796744.362234</v>
      </c>
      <c r="J2847" s="455">
        <f t="array" ref="J2847">IFERROR(INDEX('Retirement Calculator'!J:J,MATCH('Isaac 401k'!N2847,'Retirement Calculator'!A:A,0),0),0)</f>
        <v>0</v>
      </c>
      <c r="K2847" s="455">
        <f t="shared" ca="1" si="156"/>
        <v>-60161653.10150931</v>
      </c>
      <c r="L2847" s="455">
        <f t="shared" ca="1" si="157"/>
        <v>-14498958397.463743</v>
      </c>
      <c r="M2847" s="471">
        <f t="shared" si="159"/>
        <v>0.05</v>
      </c>
      <c r="N2847" s="475">
        <f t="shared" si="160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58"/>
        <v>-14498958397.463743</v>
      </c>
      <c r="J2848" s="455">
        <f t="array" ref="J2848">IFERROR(INDEX('Retirement Calculator'!J:J,MATCH('Isaac 401k'!N2848,'Retirement Calculator'!A:A,0),0),0)</f>
        <v>0</v>
      </c>
      <c r="K2848" s="455">
        <f t="shared" ca="1" si="156"/>
        <v>-60412326.656098939</v>
      </c>
      <c r="L2848" s="455">
        <f t="shared" ca="1" si="157"/>
        <v>-14559370724.119843</v>
      </c>
      <c r="M2848" s="471">
        <f t="shared" si="159"/>
        <v>0.05</v>
      </c>
      <c r="N2848" s="475">
        <f t="shared" si="160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58"/>
        <v>-14559370724.119843</v>
      </c>
      <c r="J2849" s="455">
        <f t="array" ref="J2849">IFERROR(INDEX('Retirement Calculator'!J:J,MATCH('Isaac 401k'!N2849,'Retirement Calculator'!A:A,0),0),0)</f>
        <v>0</v>
      </c>
      <c r="K2849" s="455">
        <f t="shared" ca="1" si="156"/>
        <v>-60664044.683832668</v>
      </c>
      <c r="L2849" s="455">
        <f t="shared" ca="1" si="157"/>
        <v>-14620034768.803675</v>
      </c>
      <c r="M2849" s="471">
        <f t="shared" si="159"/>
        <v>0.05</v>
      </c>
      <c r="N2849" s="475">
        <f t="shared" si="160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58"/>
        <v>-14620034768.803675</v>
      </c>
      <c r="J2850" s="455">
        <f t="array" ref="J2850">IFERROR(INDEX('Retirement Calculator'!J:J,MATCH('Isaac 401k'!N2850,'Retirement Calculator'!A:A,0),0),0)</f>
        <v>0</v>
      </c>
      <c r="K2850" s="455">
        <f t="shared" ca="1" si="156"/>
        <v>-60916811.53668198</v>
      </c>
      <c r="L2850" s="455">
        <f t="shared" ca="1" si="157"/>
        <v>-14680951580.340357</v>
      </c>
      <c r="M2850" s="471">
        <f t="shared" si="159"/>
        <v>0.05</v>
      </c>
      <c r="N2850" s="475">
        <f t="shared" si="160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58"/>
        <v>-14680951580.340357</v>
      </c>
      <c r="J2851" s="455">
        <f t="array" ref="J2851">IFERROR(INDEX('Retirement Calculator'!J:J,MATCH('Isaac 401k'!N2851,'Retirement Calculator'!A:A,0),0),0)</f>
        <v>0</v>
      </c>
      <c r="K2851" s="455">
        <f t="shared" ca="1" si="156"/>
        <v>-61170631.584751479</v>
      </c>
      <c r="L2851" s="455">
        <f t="shared" ca="1" si="157"/>
        <v>-14742122211.925108</v>
      </c>
      <c r="M2851" s="471">
        <f t="shared" si="159"/>
        <v>0.05</v>
      </c>
      <c r="N2851" s="475">
        <f t="shared" si="160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58"/>
        <v>-14742122211.925108</v>
      </c>
      <c r="J2852" s="455">
        <f t="array" ref="J2852">IFERROR(INDEX('Retirement Calculator'!J:J,MATCH('Isaac 401k'!N2852,'Retirement Calculator'!A:A,0),0),0)</f>
        <v>0</v>
      </c>
      <c r="K2852" s="455">
        <f t="shared" ca="1" si="156"/>
        <v>-61425509.216354623</v>
      </c>
      <c r="L2852" s="455">
        <f t="shared" ca="1" si="157"/>
        <v>-14803547721.141462</v>
      </c>
      <c r="M2852" s="471">
        <f t="shared" si="159"/>
        <v>0.05</v>
      </c>
      <c r="N2852" s="475">
        <f t="shared" si="160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58"/>
        <v>-14803547721.141462</v>
      </c>
      <c r="J2853" s="455">
        <f t="array" ref="J2853">IFERROR(INDEX('Retirement Calculator'!J:J,MATCH('Isaac 401k'!N2853,'Retirement Calculator'!A:A,0),0),0)</f>
        <v>0</v>
      </c>
      <c r="K2853" s="455">
        <f t="shared" ca="1" si="156"/>
        <v>-61681448.838089429</v>
      </c>
      <c r="L2853" s="455">
        <f t="shared" ca="1" si="157"/>
        <v>-14865229169.979551</v>
      </c>
      <c r="M2853" s="471">
        <f t="shared" si="159"/>
        <v>0.05</v>
      </c>
      <c r="N2853" s="475">
        <f t="shared" si="160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58"/>
        <v>-14865229169.979551</v>
      </c>
      <c r="J2854" s="455">
        <f t="array" ref="J2854">IFERROR(INDEX('Retirement Calculator'!J:J,MATCH('Isaac 401k'!N2854,'Retirement Calculator'!A:A,0),0),0)</f>
        <v>0</v>
      </c>
      <c r="K2854" s="455">
        <f t="shared" ca="1" si="156"/>
        <v>-61938454.874914795</v>
      </c>
      <c r="L2854" s="455">
        <f t="shared" ca="1" si="157"/>
        <v>-14927167624.854465</v>
      </c>
      <c r="M2854" s="471">
        <f t="shared" si="159"/>
        <v>0.05</v>
      </c>
      <c r="N2854" s="475">
        <f t="shared" si="160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58"/>
        <v>-14927167624.854465</v>
      </c>
      <c r="J2855" s="455">
        <f t="array" ref="J2855">IFERROR(INDEX('Retirement Calculator'!J:J,MATCH('Isaac 401k'!N2855,'Retirement Calculator'!A:A,0),0),0)</f>
        <v>0</v>
      </c>
      <c r="K2855" s="455">
        <f t="shared" ca="1" si="156"/>
        <v>-62196531.770226933</v>
      </c>
      <c r="L2855" s="455">
        <f t="shared" ca="1" si="157"/>
        <v>-14989364156.624693</v>
      </c>
      <c r="M2855" s="471">
        <f t="shared" si="159"/>
        <v>0.05</v>
      </c>
      <c r="N2855" s="475">
        <f t="shared" si="160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58"/>
        <v>-14989364156.624693</v>
      </c>
      <c r="J2856" s="455">
        <f t="array" ref="J2856">IFERROR(INDEX('Retirement Calculator'!J:J,MATCH('Isaac 401k'!N2856,'Retirement Calculator'!A:A,0),0),0)</f>
        <v>0</v>
      </c>
      <c r="K2856" s="455">
        <f t="shared" ca="1" si="156"/>
        <v>-62455683.985936217</v>
      </c>
      <c r="L2856" s="455">
        <f t="shared" ca="1" si="157"/>
        <v>-15051819840.61063</v>
      </c>
      <c r="M2856" s="471">
        <f t="shared" si="159"/>
        <v>0.05</v>
      </c>
      <c r="N2856" s="475">
        <f t="shared" si="160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58"/>
        <v>-15051819840.61063</v>
      </c>
      <c r="J2857" s="455">
        <f t="array" ref="J2857">IFERROR(INDEX('Retirement Calculator'!J:J,MATCH('Isaac 401k'!N2857,'Retirement Calculator'!A:A,0),0),0)</f>
        <v>0</v>
      </c>
      <c r="K2857" s="455">
        <f t="shared" ca="1" si="156"/>
        <v>-62715916.002544284</v>
      </c>
      <c r="L2857" s="455">
        <f t="shared" ca="1" si="157"/>
        <v>-15114535756.613174</v>
      </c>
      <c r="M2857" s="471">
        <f t="shared" si="159"/>
        <v>0.05</v>
      </c>
      <c r="N2857" s="475">
        <f t="shared" si="160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58"/>
        <v>-15114535756.613174</v>
      </c>
      <c r="J2858" s="455">
        <f t="array" ref="J2858">IFERROR(INDEX('Retirement Calculator'!J:J,MATCH('Isaac 401k'!N2858,'Retirement Calculator'!A:A,0),0),0)</f>
        <v>0</v>
      </c>
      <c r="K2858" s="455">
        <f t="shared" ca="1" si="156"/>
        <v>-62977232.319221549</v>
      </c>
      <c r="L2858" s="455">
        <f t="shared" ca="1" si="157"/>
        <v>-15177512988.932396</v>
      </c>
      <c r="M2858" s="471">
        <f t="shared" si="159"/>
        <v>0.05</v>
      </c>
      <c r="N2858" s="475">
        <f t="shared" si="160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58"/>
        <v>-15177512988.932396</v>
      </c>
      <c r="J2859" s="455">
        <f t="array" ref="J2859">IFERROR(INDEX('Retirement Calculator'!J:J,MATCH('Isaac 401k'!N2859,'Retirement Calculator'!A:A,0),0),0)</f>
        <v>0</v>
      </c>
      <c r="K2859" s="455">
        <f t="shared" ca="1" si="156"/>
        <v>-63239637.453884974</v>
      </c>
      <c r="L2859" s="455">
        <f t="shared" ca="1" si="157"/>
        <v>-15240752626.38628</v>
      </c>
      <c r="M2859" s="471">
        <f t="shared" si="159"/>
        <v>0.05</v>
      </c>
      <c r="N2859" s="475">
        <f t="shared" si="160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58"/>
        <v>-15240752626.38628</v>
      </c>
      <c r="J2860" s="455">
        <f t="array" ref="J2860">IFERROR(INDEX('Retirement Calculator'!J:J,MATCH('Isaac 401k'!N2860,'Retirement Calculator'!A:A,0),0),0)</f>
        <v>0</v>
      </c>
      <c r="K2860" s="455">
        <f t="shared" ca="1" si="156"/>
        <v>-63503135.943276167</v>
      </c>
      <c r="L2860" s="455">
        <f t="shared" ca="1" si="157"/>
        <v>-15304255762.329556</v>
      </c>
      <c r="M2860" s="471">
        <f t="shared" si="159"/>
        <v>0.05</v>
      </c>
      <c r="N2860" s="475">
        <f t="shared" si="160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58"/>
        <v>-15304255762.329556</v>
      </c>
      <c r="J2861" s="455">
        <f t="array" ref="J2861">IFERROR(INDEX('Retirement Calculator'!J:J,MATCH('Isaac 401k'!N2861,'Retirement Calculator'!A:A,0),0),0)</f>
        <v>0</v>
      </c>
      <c r="K2861" s="455">
        <f t="shared" ca="1" si="156"/>
        <v>-63767732.343039811</v>
      </c>
      <c r="L2861" s="455">
        <f t="shared" ca="1" si="157"/>
        <v>-15368023494.672596</v>
      </c>
      <c r="M2861" s="471">
        <f t="shared" si="159"/>
        <v>0.05</v>
      </c>
      <c r="N2861" s="475">
        <f t="shared" si="160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58"/>
        <v>-15368023494.672596</v>
      </c>
      <c r="J2862" s="455">
        <f t="array" ref="J2862">IFERROR(INDEX('Retirement Calculator'!J:J,MATCH('Isaac 401k'!N2862,'Retirement Calculator'!A:A,0),0),0)</f>
        <v>0</v>
      </c>
      <c r="K2862" s="455">
        <f t="shared" ca="1" si="156"/>
        <v>-64033431.227802493</v>
      </c>
      <c r="L2862" s="455">
        <f t="shared" ca="1" si="157"/>
        <v>-15432056925.900398</v>
      </c>
      <c r="M2862" s="471">
        <f t="shared" si="159"/>
        <v>0.05</v>
      </c>
      <c r="N2862" s="475">
        <f t="shared" si="160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58"/>
        <v>-15432056925.900398</v>
      </c>
      <c r="J2863" s="455">
        <f t="array" ref="J2863">IFERROR(INDEX('Retirement Calculator'!J:J,MATCH('Isaac 401k'!N2863,'Retirement Calculator'!A:A,0),0),0)</f>
        <v>0</v>
      </c>
      <c r="K2863" s="455">
        <f t="shared" ca="1" si="156"/>
        <v>-64300237.191251658</v>
      </c>
      <c r="L2863" s="455">
        <f t="shared" ca="1" si="157"/>
        <v>-15496357163.09165</v>
      </c>
      <c r="M2863" s="471">
        <f t="shared" si="159"/>
        <v>0.05</v>
      </c>
      <c r="N2863" s="475">
        <f t="shared" si="160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58"/>
        <v>-15496357163.09165</v>
      </c>
      <c r="J2864" s="455">
        <f t="array" ref="J2864">IFERROR(INDEX('Retirement Calculator'!J:J,MATCH('Isaac 401k'!N2864,'Retirement Calculator'!A:A,0),0),0)</f>
        <v>0</v>
      </c>
      <c r="K2864" s="455">
        <f t="shared" ca="1" si="156"/>
        <v>-64568154.846215211</v>
      </c>
      <c r="L2864" s="455">
        <f t="shared" ca="1" si="157"/>
        <v>-15560925317.937864</v>
      </c>
      <c r="M2864" s="471">
        <f t="shared" si="159"/>
        <v>0.05</v>
      </c>
      <c r="N2864" s="475">
        <f t="shared" si="160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58"/>
        <v>-15560925317.937864</v>
      </c>
      <c r="J2865" s="455">
        <f t="array" ref="J2865">IFERROR(INDEX('Retirement Calculator'!J:J,MATCH('Isaac 401k'!N2865,'Retirement Calculator'!A:A,0),0),0)</f>
        <v>0</v>
      </c>
      <c r="K2865" s="455">
        <f t="shared" ca="1" si="156"/>
        <v>-64837188.82474111</v>
      </c>
      <c r="L2865" s="455">
        <f t="shared" ca="1" si="157"/>
        <v>-15625762506.762606</v>
      </c>
      <c r="M2865" s="471">
        <f t="shared" si="159"/>
        <v>0.05</v>
      </c>
      <c r="N2865" s="475">
        <f t="shared" si="160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58"/>
        <v>-15625762506.762606</v>
      </c>
      <c r="J2866" s="455">
        <f t="array" ref="J2866">IFERROR(INDEX('Retirement Calculator'!J:J,MATCH('Isaac 401k'!N2866,'Retirement Calculator'!A:A,0),0),0)</f>
        <v>0</v>
      </c>
      <c r="K2866" s="455">
        <f t="shared" ca="1" si="156"/>
        <v>-65107343.778177522</v>
      </c>
      <c r="L2866" s="455">
        <f t="shared" ca="1" si="157"/>
        <v>-15690869850.540783</v>
      </c>
      <c r="M2866" s="471">
        <f t="shared" si="159"/>
        <v>0.05</v>
      </c>
      <c r="N2866" s="475">
        <f t="shared" si="160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58"/>
        <v>-15690869850.540783</v>
      </c>
      <c r="J2867" s="455">
        <f t="array" ref="J2867">IFERROR(INDEX('Retirement Calculator'!J:J,MATCH('Isaac 401k'!N2867,'Retirement Calculator'!A:A,0),0),0)</f>
        <v>0</v>
      </c>
      <c r="K2867" s="455">
        <f t="shared" ca="1" si="156"/>
        <v>-65378624.377253257</v>
      </c>
      <c r="L2867" s="455">
        <f t="shared" ca="1" si="157"/>
        <v>-15756248474.918036</v>
      </c>
      <c r="M2867" s="471">
        <f t="shared" si="159"/>
        <v>0.05</v>
      </c>
      <c r="N2867" s="475">
        <f t="shared" si="160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58"/>
        <v>-15756248474.918036</v>
      </c>
      <c r="J2868" s="455">
        <f t="array" ref="J2868">IFERROR(INDEX('Retirement Calculator'!J:J,MATCH('Isaac 401k'!N2868,'Retirement Calculator'!A:A,0),0),0)</f>
        <v>0</v>
      </c>
      <c r="K2868" s="455">
        <f t="shared" ca="1" si="156"/>
        <v>-65651035.31215848</v>
      </c>
      <c r="L2868" s="455">
        <f t="shared" ca="1" si="157"/>
        <v>-15821899510.230194</v>
      </c>
      <c r="M2868" s="471">
        <f t="shared" si="159"/>
        <v>0.05</v>
      </c>
      <c r="N2868" s="475">
        <f t="shared" si="160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58"/>
        <v>-15821899510.230194</v>
      </c>
      <c r="J2869" s="455">
        <f t="array" ref="J2869">IFERROR(INDEX('Retirement Calculator'!J:J,MATCH('Isaac 401k'!N2869,'Retirement Calculator'!A:A,0),0),0)</f>
        <v>0</v>
      </c>
      <c r="K2869" s="455">
        <f t="shared" ca="1" si="156"/>
        <v>-65924581.292625807</v>
      </c>
      <c r="L2869" s="455">
        <f t="shared" ca="1" si="157"/>
        <v>-15887824091.52282</v>
      </c>
      <c r="M2869" s="471">
        <f t="shared" si="159"/>
        <v>0.05</v>
      </c>
      <c r="N2869" s="475">
        <f t="shared" si="160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58"/>
        <v>-15887824091.52282</v>
      </c>
      <c r="J2870" s="455">
        <f t="array" ref="J2870">IFERROR(INDEX('Retirement Calculator'!J:J,MATCH('Isaac 401k'!N2870,'Retirement Calculator'!A:A,0),0),0)</f>
        <v>0</v>
      </c>
      <c r="K2870" s="455">
        <f t="shared" ca="1" si="156"/>
        <v>-66199267.04801175</v>
      </c>
      <c r="L2870" s="455">
        <f t="shared" ca="1" si="157"/>
        <v>-15954023358.570831</v>
      </c>
      <c r="M2870" s="471">
        <f t="shared" si="159"/>
        <v>0.05</v>
      </c>
      <c r="N2870" s="475">
        <f t="shared" si="160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58"/>
        <v>-15954023358.570831</v>
      </c>
      <c r="J2871" s="455">
        <f t="array" ref="J2871">IFERROR(INDEX('Retirement Calculator'!J:J,MATCH('Isaac 401k'!N2871,'Retirement Calculator'!A:A,0),0),0)</f>
        <v>0</v>
      </c>
      <c r="K2871" s="455">
        <f t="shared" ca="1" si="156"/>
        <v>-66475097.327378459</v>
      </c>
      <c r="L2871" s="455">
        <f t="shared" ca="1" si="157"/>
        <v>-16020498455.898211</v>
      </c>
      <c r="M2871" s="471">
        <f t="shared" si="159"/>
        <v>0.05</v>
      </c>
      <c r="N2871" s="475">
        <f t="shared" si="160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58"/>
        <v>-16020498455.898211</v>
      </c>
      <c r="J2872" s="455">
        <f t="array" ref="J2872">IFERROR(INDEX('Retirement Calculator'!J:J,MATCH('Isaac 401k'!N2872,'Retirement Calculator'!A:A,0),0),0)</f>
        <v>0</v>
      </c>
      <c r="K2872" s="455">
        <f t="shared" ca="1" si="156"/>
        <v>-66752076.899575874</v>
      </c>
      <c r="L2872" s="455">
        <f t="shared" ca="1" si="157"/>
        <v>-16087250532.797787</v>
      </c>
      <c r="M2872" s="471">
        <f t="shared" si="159"/>
        <v>0.05</v>
      </c>
      <c r="N2872" s="475">
        <f t="shared" si="160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58"/>
        <v>-16087250532.797787</v>
      </c>
      <c r="J2873" s="455">
        <f t="array" ref="J2873">IFERROR(INDEX('Retirement Calculator'!J:J,MATCH('Isaac 401k'!N2873,'Retirement Calculator'!A:A,0),0),0)</f>
        <v>0</v>
      </c>
      <c r="K2873" s="455">
        <f t="shared" ca="1" si="156"/>
        <v>-67030210.553324111</v>
      </c>
      <c r="L2873" s="455">
        <f t="shared" ca="1" si="157"/>
        <v>-16154280743.35111</v>
      </c>
      <c r="M2873" s="471">
        <f t="shared" si="159"/>
        <v>0.05</v>
      </c>
      <c r="N2873" s="475">
        <f t="shared" si="160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58"/>
        <v>-16154280743.35111</v>
      </c>
      <c r="J2874" s="455">
        <f t="array" ref="J2874">IFERROR(INDEX('Retirement Calculator'!J:J,MATCH('Isaac 401k'!N2874,'Retirement Calculator'!A:A,0),0),0)</f>
        <v>0</v>
      </c>
      <c r="K2874" s="455">
        <f t="shared" ca="1" si="156"/>
        <v>-67309503.097296298</v>
      </c>
      <c r="L2874" s="455">
        <f t="shared" ca="1" si="157"/>
        <v>-16221590246.448406</v>
      </c>
      <c r="M2874" s="471">
        <f t="shared" si="159"/>
        <v>0.05</v>
      </c>
      <c r="N2874" s="475">
        <f t="shared" si="160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58"/>
        <v>-16221590246.448406</v>
      </c>
      <c r="J2875" s="455">
        <f t="array" ref="J2875">IFERROR(INDEX('Retirement Calculator'!J:J,MATCH('Isaac 401k'!N2875,'Retirement Calculator'!A:A,0),0),0)</f>
        <v>0</v>
      </c>
      <c r="K2875" s="455">
        <f t="shared" ca="1" si="156"/>
        <v>-67589959.360201687</v>
      </c>
      <c r="L2875" s="455">
        <f t="shared" ca="1" si="157"/>
        <v>-16289180205.808607</v>
      </c>
      <c r="M2875" s="471">
        <f t="shared" si="159"/>
        <v>0.05</v>
      </c>
      <c r="N2875" s="475">
        <f t="shared" si="160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58"/>
        <v>-16289180205.808607</v>
      </c>
      <c r="J2876" s="455">
        <f t="array" ref="J2876">IFERROR(INDEX('Retirement Calculator'!J:J,MATCH('Isaac 401k'!N2876,'Retirement Calculator'!A:A,0),0),0)</f>
        <v>0</v>
      </c>
      <c r="K2876" s="455">
        <f t="shared" ca="1" si="156"/>
        <v>-67871584.190869182</v>
      </c>
      <c r="L2876" s="455">
        <f t="shared" ca="1" si="157"/>
        <v>-16357051789.999475</v>
      </c>
      <c r="M2876" s="471">
        <f t="shared" si="159"/>
        <v>0.05</v>
      </c>
      <c r="N2876" s="475">
        <f t="shared" si="160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58"/>
        <v>-16357051789.999475</v>
      </c>
      <c r="J2877" s="455">
        <f t="array" ref="J2877">IFERROR(INDEX('Retirement Calculator'!J:J,MATCH('Isaac 401k'!N2877,'Retirement Calculator'!A:A,0),0),0)</f>
        <v>0</v>
      </c>
      <c r="K2877" s="455">
        <f t="shared" ca="1" si="156"/>
        <v>-68154382.458331153</v>
      </c>
      <c r="L2877" s="455">
        <f t="shared" ca="1" si="157"/>
        <v>-16425206172.457808</v>
      </c>
      <c r="M2877" s="471">
        <f t="shared" si="159"/>
        <v>0.05</v>
      </c>
      <c r="N2877" s="475">
        <f t="shared" si="160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58"/>
        <v>-16425206172.457808</v>
      </c>
      <c r="J2878" s="455">
        <f t="array" ref="J2878">IFERROR(INDEX('Retirement Calculator'!J:J,MATCH('Isaac 401k'!N2878,'Retirement Calculator'!A:A,0),0),0)</f>
        <v>0</v>
      </c>
      <c r="K2878" s="455">
        <f t="shared" ca="1" si="156"/>
        <v>-68438359.051907524</v>
      </c>
      <c r="L2878" s="455">
        <f t="shared" ca="1" si="157"/>
        <v>-16493644531.509714</v>
      </c>
      <c r="M2878" s="471">
        <f t="shared" si="159"/>
        <v>0.05</v>
      </c>
      <c r="N2878" s="475">
        <f t="shared" si="160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58"/>
        <v>-16493644531.509714</v>
      </c>
      <c r="J2879" s="455">
        <f t="array" ref="J2879">IFERROR(INDEX('Retirement Calculator'!J:J,MATCH('Isaac 401k'!N2879,'Retirement Calculator'!A:A,0),0),0)</f>
        <v>0</v>
      </c>
      <c r="K2879" s="455">
        <f t="shared" ca="1" si="156"/>
        <v>-68723518.88129048</v>
      </c>
      <c r="L2879" s="455">
        <f t="shared" ca="1" si="157"/>
        <v>-16562368050.391005</v>
      </c>
      <c r="M2879" s="471">
        <f t="shared" si="159"/>
        <v>0.05</v>
      </c>
      <c r="N2879" s="475">
        <f t="shared" si="160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58"/>
        <v>-16562368050.391005</v>
      </c>
      <c r="J2880" s="455">
        <f t="array" ref="J2880">IFERROR(INDEX('Retirement Calculator'!J:J,MATCH('Isaac 401k'!N2880,'Retirement Calculator'!A:A,0),0),0)</f>
        <v>0</v>
      </c>
      <c r="K2880" s="455">
        <f t="shared" ca="1" si="156"/>
        <v>-69009866.876629189</v>
      </c>
      <c r="L2880" s="455">
        <f t="shared" ca="1" si="157"/>
        <v>-16631377917.267633</v>
      </c>
      <c r="M2880" s="471">
        <f t="shared" si="159"/>
        <v>0.05</v>
      </c>
      <c r="N2880" s="475">
        <f t="shared" si="160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58"/>
        <v>-16631377917.267633</v>
      </c>
      <c r="J2881" s="455">
        <f t="array" ref="J2881">IFERROR(INDEX('Retirement Calculator'!J:J,MATCH('Isaac 401k'!N2881,'Retirement Calculator'!A:A,0),0),0)</f>
        <v>0</v>
      </c>
      <c r="K2881" s="455">
        <f t="shared" ca="1" si="156"/>
        <v>-69297407.988615125</v>
      </c>
      <c r="L2881" s="455">
        <f t="shared" ca="1" si="157"/>
        <v>-16700675325.256248</v>
      </c>
      <c r="M2881" s="471">
        <f t="shared" si="159"/>
        <v>0.05</v>
      </c>
      <c r="N2881" s="475">
        <f t="shared" si="160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58"/>
        <v>-16700675325.256248</v>
      </c>
      <c r="J2882" s="455">
        <f t="array" ref="J2882">IFERROR(INDEX('Retirement Calculator'!J:J,MATCH('Isaac 401k'!N2882,'Retirement Calculator'!A:A,0),0),0)</f>
        <v>0</v>
      </c>
      <c r="K2882" s="455">
        <f t="shared" ca="1" si="156"/>
        <v>-69586147.188567698</v>
      </c>
      <c r="L2882" s="455">
        <f t="shared" ca="1" si="157"/>
        <v>-16770261472.444817</v>
      </c>
      <c r="M2882" s="471">
        <f t="shared" si="159"/>
        <v>0.05</v>
      </c>
      <c r="N2882" s="475">
        <f t="shared" si="160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58"/>
        <v>-16770261472.444817</v>
      </c>
      <c r="J2883" s="455">
        <f t="array" ref="J2883">IFERROR(INDEX('Retirement Calculator'!J:J,MATCH('Isaac 401k'!N2883,'Retirement Calculator'!A:A,0),0),0)</f>
        <v>0</v>
      </c>
      <c r="K2883" s="455">
        <f t="shared" ca="1" si="156"/>
        <v>-69876089.46852006</v>
      </c>
      <c r="L2883" s="455">
        <f t="shared" ca="1" si="157"/>
        <v>-16840137561.913336</v>
      </c>
      <c r="M2883" s="471">
        <f t="shared" si="159"/>
        <v>0.05</v>
      </c>
      <c r="N2883" s="475">
        <f t="shared" si="160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58"/>
        <v>-16840137561.913336</v>
      </c>
      <c r="J2884" s="455">
        <f t="array" ref="J2884">IFERROR(INDEX('Retirement Calculator'!J:J,MATCH('Isaac 401k'!N2884,'Retirement Calculator'!A:A,0),0),0)</f>
        <v>0</v>
      </c>
      <c r="K2884" s="455">
        <f t="shared" ca="1" si="156"/>
        <v>-70167239.841305569</v>
      </c>
      <c r="L2884" s="455">
        <f t="shared" ca="1" si="157"/>
        <v>-16910304801.754641</v>
      </c>
      <c r="M2884" s="471">
        <f t="shared" si="159"/>
        <v>0.05</v>
      </c>
      <c r="N2884" s="475">
        <f t="shared" si="160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58"/>
        <v>-16910304801.754641</v>
      </c>
      <c r="J2885" s="455">
        <f t="array" ref="J2885">IFERROR(INDEX('Retirement Calculator'!J:J,MATCH('Isaac 401k'!N2885,'Retirement Calculator'!A:A,0),0),0)</f>
        <v>0</v>
      </c>
      <c r="K2885" s="455">
        <f t="shared" ca="1" si="156"/>
        <v>-70459603.34064433</v>
      </c>
      <c r="L2885" s="455">
        <f t="shared" ca="1" si="157"/>
        <v>-16980764405.095285</v>
      </c>
      <c r="M2885" s="471">
        <f t="shared" si="159"/>
        <v>0.05</v>
      </c>
      <c r="N2885" s="475">
        <f t="shared" si="160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58"/>
        <v>-16980764405.095285</v>
      </c>
      <c r="J2886" s="455">
        <f t="array" ref="J2886">IFERROR(INDEX('Retirement Calculator'!J:J,MATCH('Isaac 401k'!N2886,'Retirement Calculator'!A:A,0),0),0)</f>
        <v>0</v>
      </c>
      <c r="K2886" s="455">
        <f t="shared" ca="1" si="156"/>
        <v>-70753185.021230355</v>
      </c>
      <c r="L2886" s="455">
        <f t="shared" ca="1" si="157"/>
        <v>-17051517590.116516</v>
      </c>
      <c r="M2886" s="471">
        <f t="shared" si="159"/>
        <v>0.05</v>
      </c>
      <c r="N2886" s="475">
        <f t="shared" si="160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58"/>
        <v>-17051517590.116516</v>
      </c>
      <c r="J2887" s="455">
        <f t="array" ref="J2887">IFERROR(INDEX('Retirement Calculator'!J:J,MATCH('Isaac 401k'!N2887,'Retirement Calculator'!A:A,0),0),0)</f>
        <v>0</v>
      </c>
      <c r="K2887" s="455">
        <f t="shared" ca="1" si="156"/>
        <v>-71047989.958818823</v>
      </c>
      <c r="L2887" s="455">
        <f t="shared" ca="1" si="157"/>
        <v>-17122565580.075335</v>
      </c>
      <c r="M2887" s="471">
        <f t="shared" si="159"/>
        <v>0.05</v>
      </c>
      <c r="N2887" s="475">
        <f t="shared" si="160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58"/>
        <v>-17122565580.075335</v>
      </c>
      <c r="J2888" s="455">
        <f t="array" ref="J2888">IFERROR(INDEX('Retirement Calculator'!J:J,MATCH('Isaac 401k'!N2888,'Retirement Calculator'!A:A,0),0),0)</f>
        <v>0</v>
      </c>
      <c r="K2888" s="455">
        <f t="shared" ca="1" si="156"/>
        <v>-71344023.250313893</v>
      </c>
      <c r="L2888" s="455">
        <f t="shared" ca="1" si="157"/>
        <v>-17193909603.325649</v>
      </c>
      <c r="M2888" s="471">
        <f t="shared" si="159"/>
        <v>0.05</v>
      </c>
      <c r="N2888" s="475">
        <f t="shared" si="160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58"/>
        <v>-17193909603.325649</v>
      </c>
      <c r="J2889" s="455">
        <f t="array" ref="J2889">IFERROR(INDEX('Retirement Calculator'!J:J,MATCH('Isaac 401k'!N2889,'Retirement Calculator'!A:A,0),0),0)</f>
        <v>0</v>
      </c>
      <c r="K2889" s="455">
        <f t="shared" ca="1" si="156"/>
        <v>-71641290.013856873</v>
      </c>
      <c r="L2889" s="455">
        <f t="shared" ca="1" si="157"/>
        <v>-17265550893.339504</v>
      </c>
      <c r="M2889" s="471">
        <f t="shared" si="159"/>
        <v>0.05</v>
      </c>
      <c r="N2889" s="475">
        <f t="shared" si="160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58"/>
        <v>-17265550893.339504</v>
      </c>
      <c r="J2890" s="455">
        <f t="array" ref="J2890">IFERROR(INDEX('Retirement Calculator'!J:J,MATCH('Isaac 401k'!N2890,'Retirement Calculator'!A:A,0),0),0)</f>
        <v>0</v>
      </c>
      <c r="K2890" s="455">
        <f t="shared" ca="1" si="156"/>
        <v>-71939795.3889146</v>
      </c>
      <c r="L2890" s="455">
        <f t="shared" ca="1" si="157"/>
        <v>-17337490688.72842</v>
      </c>
      <c r="M2890" s="471">
        <f t="shared" si="159"/>
        <v>0.05</v>
      </c>
      <c r="N2890" s="475">
        <f t="shared" si="160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58"/>
        <v>-17337490688.72842</v>
      </c>
      <c r="J2891" s="455">
        <f t="array" ref="J2891">IFERROR(INDEX('Retirement Calculator'!J:J,MATCH('Isaac 401k'!N2891,'Retirement Calculator'!A:A,0),0),0)</f>
        <v>0</v>
      </c>
      <c r="K2891" s="455">
        <f t="shared" ca="1" si="156"/>
        <v>-72239544.536368415</v>
      </c>
      <c r="L2891" s="455">
        <f t="shared" ca="1" si="157"/>
        <v>-17409730233.26479</v>
      </c>
      <c r="M2891" s="471">
        <f t="shared" si="159"/>
        <v>0.05</v>
      </c>
      <c r="N2891" s="475">
        <f t="shared" si="160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58"/>
        <v>-17409730233.26479</v>
      </c>
      <c r="J2892" s="455">
        <f t="array" ref="J2892">IFERROR(INDEX('Retirement Calculator'!J:J,MATCH('Isaac 401k'!N2892,'Retirement Calculator'!A:A,0),0),0)</f>
        <v>0</v>
      </c>
      <c r="K2892" s="455">
        <f t="shared" ca="1" si="156"/>
        <v>-72540542.638603285</v>
      </c>
      <c r="L2892" s="455">
        <f t="shared" ca="1" si="157"/>
        <v>-17482270775.903393</v>
      </c>
      <c r="M2892" s="471">
        <f t="shared" si="159"/>
        <v>0.05</v>
      </c>
      <c r="N2892" s="475">
        <f t="shared" si="160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58"/>
        <v>-17482270775.903393</v>
      </c>
      <c r="J2893" s="455">
        <f t="array" ref="J2893">IFERROR(INDEX('Retirement Calculator'!J:J,MATCH('Isaac 401k'!N2893,'Retirement Calculator'!A:A,0),0),0)</f>
        <v>0</v>
      </c>
      <c r="K2893" s="455">
        <f t="shared" ca="1" si="156"/>
        <v>-72842794.899597466</v>
      </c>
      <c r="L2893" s="455">
        <f t="shared" ca="1" si="157"/>
        <v>-17555113570.80299</v>
      </c>
      <c r="M2893" s="471">
        <f t="shared" si="159"/>
        <v>0.05</v>
      </c>
      <c r="N2893" s="475">
        <f t="shared" si="160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58"/>
        <v>-17555113570.80299</v>
      </c>
      <c r="J2894" s="455">
        <f t="array" ref="J2894">IFERROR(INDEX('Retirement Calculator'!J:J,MATCH('Isaac 401k'!N2894,'Retirement Calculator'!A:A,0),0),0)</f>
        <v>0</v>
      </c>
      <c r="K2894" s="455">
        <f t="shared" ca="1" si="156"/>
        <v>-73146306.545012459</v>
      </c>
      <c r="L2894" s="455">
        <f t="shared" ca="1" si="157"/>
        <v>-17628259877.348003</v>
      </c>
      <c r="M2894" s="471">
        <f t="shared" si="159"/>
        <v>0.05</v>
      </c>
      <c r="N2894" s="475">
        <f t="shared" si="160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58"/>
        <v>-17628259877.348003</v>
      </c>
      <c r="J2895" s="455">
        <f t="array" ref="J2895">IFERROR(INDEX('Retirement Calculator'!J:J,MATCH('Isaac 401k'!N2895,'Retirement Calculator'!A:A,0),0),0)</f>
        <v>0</v>
      </c>
      <c r="K2895" s="455">
        <f t="shared" ca="1" si="156"/>
        <v>-73451082.822283342</v>
      </c>
      <c r="L2895" s="455">
        <f t="shared" ca="1" si="157"/>
        <v>-17701710960.170288</v>
      </c>
      <c r="M2895" s="471">
        <f t="shared" si="159"/>
        <v>0.05</v>
      </c>
      <c r="N2895" s="475">
        <f t="shared" si="160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58"/>
        <v>-17701710960.170288</v>
      </c>
      <c r="J2896" s="455">
        <f t="array" ref="J2896">IFERROR(INDEX('Retirement Calculator'!J:J,MATCH('Isaac 401k'!N2896,'Retirement Calculator'!A:A,0),0),0)</f>
        <v>0</v>
      </c>
      <c r="K2896" s="455">
        <f t="shared" ca="1" si="156"/>
        <v>-73757129.000709534</v>
      </c>
      <c r="L2896" s="455">
        <f t="shared" ca="1" si="157"/>
        <v>-17775468089.170998</v>
      </c>
      <c r="M2896" s="471">
        <f t="shared" si="159"/>
        <v>0.05</v>
      </c>
      <c r="N2896" s="475">
        <f t="shared" si="160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58"/>
        <v>-17775468089.170998</v>
      </c>
      <c r="J2897" s="455">
        <f t="array" ref="J2897">IFERROR(INDEX('Retirement Calculator'!J:J,MATCH('Isaac 401k'!N2897,'Retirement Calculator'!A:A,0),0),0)</f>
        <v>0</v>
      </c>
      <c r="K2897" s="455">
        <f t="shared" ca="1" si="156"/>
        <v>-74064450.371545821</v>
      </c>
      <c r="L2897" s="455">
        <f t="shared" ca="1" si="157"/>
        <v>-17849532539.542545</v>
      </c>
      <c r="M2897" s="471">
        <f t="shared" si="159"/>
        <v>0.05</v>
      </c>
      <c r="N2897" s="475">
        <f t="shared" si="160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58"/>
        <v>-17849532539.542545</v>
      </c>
      <c r="J2898" s="455">
        <f t="array" ref="J2898">IFERROR(INDEX('Retirement Calculator'!J:J,MATCH('Isaac 401k'!N2898,'Retirement Calculator'!A:A,0),0),0)</f>
        <v>0</v>
      </c>
      <c r="K2898" s="455">
        <f t="shared" ca="1" si="156"/>
        <v>-74373052.248093933</v>
      </c>
      <c r="L2898" s="455">
        <f t="shared" ca="1" si="157"/>
        <v>-17923905591.790638</v>
      </c>
      <c r="M2898" s="471">
        <f t="shared" si="159"/>
        <v>0.05</v>
      </c>
      <c r="N2898" s="475">
        <f t="shared" si="160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58"/>
        <v>-17923905591.790638</v>
      </c>
      <c r="J2899" s="455">
        <f t="array" ref="J2899">IFERROR(INDEX('Retirement Calculator'!J:J,MATCH('Isaac 401k'!N2899,'Retirement Calculator'!A:A,0),0),0)</f>
        <v>0</v>
      </c>
      <c r="K2899" s="455">
        <f t="shared" ca="1" si="156"/>
        <v>-74682939.965794325</v>
      </c>
      <c r="L2899" s="455">
        <f t="shared" ca="1" si="157"/>
        <v>-17998588531.756432</v>
      </c>
      <c r="M2899" s="471">
        <f t="shared" si="159"/>
        <v>0.05</v>
      </c>
      <c r="N2899" s="475">
        <f t="shared" si="160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58"/>
        <v>-17998588531.756432</v>
      </c>
      <c r="J2900" s="455">
        <f t="array" ref="J2900">IFERROR(INDEX('Retirement Calculator'!J:J,MATCH('Isaac 401k'!N2900,'Retirement Calculator'!A:A,0),0),0)</f>
        <v>0</v>
      </c>
      <c r="K2900" s="455">
        <f t="shared" ca="1" si="156"/>
        <v>-74994118.882318467</v>
      </c>
      <c r="L2900" s="455">
        <f t="shared" ca="1" si="157"/>
        <v>-18073582650.638748</v>
      </c>
      <c r="M2900" s="471">
        <f t="shared" si="159"/>
        <v>0.05</v>
      </c>
      <c r="N2900" s="475">
        <f t="shared" si="160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58"/>
        <v>-18073582650.638748</v>
      </c>
      <c r="J2901" s="455">
        <f t="array" ref="J2901">IFERROR(INDEX('Retirement Calculator'!J:J,MATCH('Isaac 401k'!N2901,'Retirement Calculator'!A:A,0),0),0)</f>
        <v>0</v>
      </c>
      <c r="K2901" s="455">
        <f t="shared" ca="1" si="156"/>
        <v>-75306594.377661452</v>
      </c>
      <c r="L2901" s="455">
        <f t="shared" ca="1" si="157"/>
        <v>-18148889245.016411</v>
      </c>
      <c r="M2901" s="471">
        <f t="shared" si="159"/>
        <v>0.05</v>
      </c>
      <c r="N2901" s="475">
        <f t="shared" si="160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58"/>
        <v>-18148889245.016411</v>
      </c>
      <c r="J2902" s="455">
        <f t="array" ref="J2902">IFERROR(INDEX('Retirement Calculator'!J:J,MATCH('Isaac 401k'!N2902,'Retirement Calculator'!A:A,0),0),0)</f>
        <v>0</v>
      </c>
      <c r="K2902" s="455">
        <f t="shared" ca="1" si="156"/>
        <v>-75620371.854235038</v>
      </c>
      <c r="L2902" s="455">
        <f t="shared" ca="1" si="157"/>
        <v>-18224509616.870647</v>
      </c>
      <c r="M2902" s="471">
        <f t="shared" si="159"/>
        <v>0.05</v>
      </c>
      <c r="N2902" s="475">
        <f t="shared" si="160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58"/>
        <v>-18224509616.870647</v>
      </c>
      <c r="J2903" s="455">
        <f t="array" ref="J2903">IFERROR(INDEX('Retirement Calculator'!J:J,MATCH('Isaac 401k'!N2903,'Retirement Calculator'!A:A,0),0),0)</f>
        <v>0</v>
      </c>
      <c r="K2903" s="455">
        <f t="shared" ca="1" si="156"/>
        <v>-75935456.736961037</v>
      </c>
      <c r="L2903" s="455">
        <f t="shared" ca="1" si="157"/>
        <v>-18300445073.607609</v>
      </c>
      <c r="M2903" s="471">
        <f t="shared" si="159"/>
        <v>0.05</v>
      </c>
      <c r="N2903" s="475">
        <f t="shared" si="160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58"/>
        <v>-18300445073.607609</v>
      </c>
      <c r="J2904" s="455">
        <f t="array" ref="J2904">IFERROR(INDEX('Retirement Calculator'!J:J,MATCH('Isaac 401k'!N2904,'Retirement Calculator'!A:A,0),0),0)</f>
        <v>0</v>
      </c>
      <c r="K2904" s="455">
        <f t="shared" ca="1" si="156"/>
        <v>-76251854.473365039</v>
      </c>
      <c r="L2904" s="455">
        <f t="shared" ca="1" si="157"/>
        <v>-18376696928.080975</v>
      </c>
      <c r="M2904" s="471">
        <f t="shared" si="159"/>
        <v>0.05</v>
      </c>
      <c r="N2904" s="475">
        <f t="shared" si="160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58"/>
        <v>-18376696928.080975</v>
      </c>
      <c r="J2905" s="455">
        <f t="array" ref="J2905">IFERROR(INDEX('Retirement Calculator'!J:J,MATCH('Isaac 401k'!N2905,'Retirement Calculator'!A:A,0),0),0)</f>
        <v>0</v>
      </c>
      <c r="K2905" s="455">
        <f t="shared" ca="1" si="156"/>
        <v>-76569570.533670723</v>
      </c>
      <c r="L2905" s="455">
        <f t="shared" ca="1" si="157"/>
        <v>-18453266498.614647</v>
      </c>
      <c r="M2905" s="471">
        <f t="shared" si="159"/>
        <v>0.05</v>
      </c>
      <c r="N2905" s="475">
        <f t="shared" si="160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58"/>
        <v>-18453266498.614647</v>
      </c>
      <c r="J2906" s="455">
        <f t="array" ref="J2906">IFERROR(INDEX('Retirement Calculator'!J:J,MATCH('Isaac 401k'!N2906,'Retirement Calculator'!A:A,0),0),0)</f>
        <v>0</v>
      </c>
      <c r="K2906" s="455">
        <f t="shared" ca="1" si="156"/>
        <v>-76888610.410894364</v>
      </c>
      <c r="L2906" s="455">
        <f t="shared" ca="1" si="157"/>
        <v>-18530155109.025539</v>
      </c>
      <c r="M2906" s="471">
        <f t="shared" si="159"/>
        <v>0.05</v>
      </c>
      <c r="N2906" s="475">
        <f t="shared" si="160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58"/>
        <v>-18530155109.025539</v>
      </c>
      <c r="J2907" s="455">
        <f t="array" ref="J2907">IFERROR(INDEX('Retirement Calculator'!J:J,MATCH('Isaac 401k'!N2907,'Retirement Calculator'!A:A,0),0),0)</f>
        <v>0</v>
      </c>
      <c r="K2907" s="455">
        <f t="shared" ca="1" si="156"/>
        <v>-77208979.620939746</v>
      </c>
      <c r="L2907" s="455">
        <f t="shared" ca="1" si="157"/>
        <v>-18607364088.646481</v>
      </c>
      <c r="M2907" s="471">
        <f t="shared" si="159"/>
        <v>0.05</v>
      </c>
      <c r="N2907" s="475">
        <f t="shared" si="160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58"/>
        <v>-18607364088.646481</v>
      </c>
      <c r="J2908" s="455">
        <f t="array" ref="J2908">IFERROR(INDEX('Retirement Calculator'!J:J,MATCH('Isaac 401k'!N2908,'Retirement Calculator'!A:A,0),0),0)</f>
        <v>0</v>
      </c>
      <c r="K2908" s="455">
        <f t="shared" ca="1" si="156"/>
        <v>-77530683.702693671</v>
      </c>
      <c r="L2908" s="455">
        <f t="shared" ca="1" si="157"/>
        <v>-18684894772.349174</v>
      </c>
      <c r="M2908" s="471">
        <f t="shared" si="159"/>
        <v>0.05</v>
      </c>
      <c r="N2908" s="475">
        <f t="shared" si="160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58"/>
        <v>-18684894772.349174</v>
      </c>
      <c r="J2909" s="455">
        <f t="array" ref="J2909">IFERROR(INDEX('Retirement Calculator'!J:J,MATCH('Isaac 401k'!N2909,'Retirement Calculator'!A:A,0),0),0)</f>
        <v>0</v>
      </c>
      <c r="K2909" s="455">
        <f t="shared" ca="1" si="156"/>
        <v>-77853728.218121558</v>
      </c>
      <c r="L2909" s="455">
        <f t="shared" ca="1" si="157"/>
        <v>-18762748500.567295</v>
      </c>
      <c r="M2909" s="471">
        <f t="shared" si="159"/>
        <v>0.05</v>
      </c>
      <c r="N2909" s="475">
        <f t="shared" si="160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58"/>
        <v>-18762748500.567295</v>
      </c>
      <c r="J2910" s="455">
        <f t="array" ref="J2910">IFERROR(INDEX('Retirement Calculator'!J:J,MATCH('Isaac 401k'!N2910,'Retirement Calculator'!A:A,0),0),0)</f>
        <v>0</v>
      </c>
      <c r="K2910" s="455">
        <f t="shared" ca="1" si="156"/>
        <v>-78178118.752363726</v>
      </c>
      <c r="L2910" s="455">
        <f t="shared" ca="1" si="157"/>
        <v>-18840926619.31966</v>
      </c>
      <c r="M2910" s="471">
        <f t="shared" si="159"/>
        <v>0.05</v>
      </c>
      <c r="N2910" s="475">
        <f t="shared" si="160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58"/>
        <v>-18840926619.31966</v>
      </c>
      <c r="J2911" s="455">
        <f t="array" ref="J2911">IFERROR(INDEX('Retirement Calculator'!J:J,MATCH('Isaac 401k'!N2911,'Retirement Calculator'!A:A,0),0),0)</f>
        <v>0</v>
      </c>
      <c r="K2911" s="455">
        <f t="shared" ca="1" si="156"/>
        <v>-78503860.913831919</v>
      </c>
      <c r="L2911" s="455">
        <f t="shared" ca="1" si="157"/>
        <v>-18919430480.233494</v>
      </c>
      <c r="M2911" s="471">
        <f t="shared" si="159"/>
        <v>0.05</v>
      </c>
      <c r="N2911" s="475">
        <f t="shared" si="160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58"/>
        <v>-18919430480.233494</v>
      </c>
      <c r="J2912" s="455">
        <f t="array" ref="J2912">IFERROR(INDEX('Retirement Calculator'!J:J,MATCH('Isaac 401k'!N2912,'Retirement Calculator'!A:A,0),0),0)</f>
        <v>0</v>
      </c>
      <c r="K2912" s="455">
        <f t="shared" ca="1" si="156"/>
        <v>-78830960.334306225</v>
      </c>
      <c r="L2912" s="455">
        <f t="shared" ca="1" si="157"/>
        <v>-18998261440.567799</v>
      </c>
      <c r="M2912" s="471">
        <f t="shared" si="159"/>
        <v>0.05</v>
      </c>
      <c r="N2912" s="475">
        <f t="shared" si="160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58"/>
        <v>-18998261440.567799</v>
      </c>
      <c r="J2913" s="455">
        <f t="array" ref="J2913">IFERROR(INDEX('Retirement Calculator'!J:J,MATCH('Isaac 401k'!N2913,'Retirement Calculator'!A:A,0),0),0)</f>
        <v>0</v>
      </c>
      <c r="K2913" s="455">
        <f t="shared" ca="1" si="156"/>
        <v>-79159422.669032499</v>
      </c>
      <c r="L2913" s="455">
        <f t="shared" ca="1" si="157"/>
        <v>-19077420863.236832</v>
      </c>
      <c r="M2913" s="471">
        <f t="shared" si="159"/>
        <v>0.05</v>
      </c>
      <c r="N2913" s="475">
        <f t="shared" si="160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58"/>
        <v>-19077420863.236832</v>
      </c>
      <c r="J2914" s="455">
        <f t="array" ref="J2914">IFERROR(INDEX('Retirement Calculator'!J:J,MATCH('Isaac 401k'!N2914,'Retirement Calculator'!A:A,0),0),0)</f>
        <v>0</v>
      </c>
      <c r="K2914" s="455">
        <f t="shared" ca="1" si="156"/>
        <v>-79489253.596820131</v>
      </c>
      <c r="L2914" s="455">
        <f t="shared" ca="1" si="157"/>
        <v>-19156910116.833652</v>
      </c>
      <c r="M2914" s="471">
        <f t="shared" si="159"/>
        <v>0.05</v>
      </c>
      <c r="N2914" s="475">
        <f t="shared" si="160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58"/>
        <v>-19156910116.833652</v>
      </c>
      <c r="J2915" s="455">
        <f t="array" ref="J2915">IFERROR(INDEX('Retirement Calculator'!J:J,MATCH('Isaac 401k'!N2915,'Retirement Calculator'!A:A,0),0),0)</f>
        <v>0</v>
      </c>
      <c r="K2915" s="455">
        <f t="shared" ca="1" si="156"/>
        <v>-79820458.820140213</v>
      </c>
      <c r="L2915" s="455">
        <f t="shared" ca="1" si="157"/>
        <v>-19236730575.653793</v>
      </c>
      <c r="M2915" s="471">
        <f t="shared" si="159"/>
        <v>0.05</v>
      </c>
      <c r="N2915" s="475">
        <f t="shared" si="160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58"/>
        <v>-19236730575.653793</v>
      </c>
      <c r="J2916" s="455">
        <f t="array" ref="J2916">IFERROR(INDEX('Retirement Calculator'!J:J,MATCH('Isaac 401k'!N2916,'Retirement Calculator'!A:A,0),0),0)</f>
        <v>0</v>
      </c>
      <c r="K2916" s="455">
        <f t="shared" ca="1" si="156"/>
        <v>-80153044.065224141</v>
      </c>
      <c r="L2916" s="455">
        <f t="shared" ca="1" si="157"/>
        <v>-19316883619.719017</v>
      </c>
      <c r="M2916" s="471">
        <f t="shared" si="159"/>
        <v>0.05</v>
      </c>
      <c r="N2916" s="475">
        <f t="shared" si="160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58"/>
        <v>-19316883619.719017</v>
      </c>
      <c r="J2917" s="455">
        <f t="array" ref="J2917">IFERROR(INDEX('Retirement Calculator'!J:J,MATCH('Isaac 401k'!N2917,'Retirement Calculator'!A:A,0),0),0)</f>
        <v>0</v>
      </c>
      <c r="K2917" s="455">
        <f t="shared" ca="1" si="156"/>
        <v>-80487015.082162574</v>
      </c>
      <c r="L2917" s="455">
        <f t="shared" ca="1" si="157"/>
        <v>-19397370634.801178</v>
      </c>
      <c r="M2917" s="471">
        <f t="shared" si="159"/>
        <v>0.05</v>
      </c>
      <c r="N2917" s="475">
        <f t="shared" si="160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58"/>
        <v>-19397370634.801178</v>
      </c>
      <c r="J2918" s="455">
        <f t="array" ref="J2918">IFERROR(INDEX('Retirement Calculator'!J:J,MATCH('Isaac 401k'!N2918,'Retirement Calculator'!A:A,0),0),0)</f>
        <v>0</v>
      </c>
      <c r="K2918" s="455">
        <f t="shared" ca="1" si="156"/>
        <v>-80822377.645004913</v>
      </c>
      <c r="L2918" s="455">
        <f t="shared" ca="1" si="157"/>
        <v>-19478193012.446182</v>
      </c>
      <c r="M2918" s="471">
        <f t="shared" si="159"/>
        <v>0.05</v>
      </c>
      <c r="N2918" s="475">
        <f t="shared" si="160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58"/>
        <v>-19478193012.446182</v>
      </c>
      <c r="J2919" s="455">
        <f t="array" ref="J2919">IFERROR(INDEX('Retirement Calculator'!J:J,MATCH('Isaac 401k'!N2919,'Retirement Calculator'!A:A,0),0),0)</f>
        <v>0</v>
      </c>
      <c r="K2919" s="455">
        <f t="shared" ca="1" si="156"/>
        <v>-81159137.551859096</v>
      </c>
      <c r="L2919" s="455">
        <f t="shared" ca="1" si="157"/>
        <v>-19559352149.998043</v>
      </c>
      <c r="M2919" s="471">
        <f t="shared" si="159"/>
        <v>0.05</v>
      </c>
      <c r="N2919" s="475">
        <f t="shared" si="160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58"/>
        <v>-19559352149.998043</v>
      </c>
      <c r="J2920" s="455">
        <f t="array" ref="J2920">IFERROR(INDEX('Retirement Calculator'!J:J,MATCH('Isaac 401k'!N2920,'Retirement Calculator'!A:A,0),0),0)</f>
        <v>0</v>
      </c>
      <c r="K2920" s="455">
        <f t="shared" ca="1" si="156"/>
        <v>-81497300.624991849</v>
      </c>
      <c r="L2920" s="455">
        <f t="shared" ca="1" si="157"/>
        <v>-19640849450.623035</v>
      </c>
      <c r="M2920" s="471">
        <f t="shared" si="159"/>
        <v>0.05</v>
      </c>
      <c r="N2920" s="475">
        <f t="shared" si="160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58"/>
        <v>-19640849450.623035</v>
      </c>
      <c r="J2921" s="455">
        <f t="array" ref="J2921">IFERROR(INDEX('Retirement Calculator'!J:J,MATCH('Isaac 401k'!N2921,'Retirement Calculator'!A:A,0),0),0)</f>
        <v>0</v>
      </c>
      <c r="K2921" s="455">
        <f t="shared" ca="1" si="156"/>
        <v>-81836872.710929319</v>
      </c>
      <c r="L2921" s="455">
        <f t="shared" ca="1" si="157"/>
        <v>-19722686323.333965</v>
      </c>
      <c r="M2921" s="471">
        <f t="shared" si="159"/>
        <v>0.05</v>
      </c>
      <c r="N2921" s="475">
        <f t="shared" si="160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58"/>
        <v>-19722686323.333965</v>
      </c>
      <c r="J2922" s="455">
        <f t="array" ref="J2922">IFERROR(INDEX('Retirement Calculator'!J:J,MATCH('Isaac 401k'!N2922,'Retirement Calculator'!A:A,0),0),0)</f>
        <v>0</v>
      </c>
      <c r="K2922" s="455">
        <f t="shared" ca="1" si="156"/>
        <v>-82177859.68055819</v>
      </c>
      <c r="L2922" s="455">
        <f t="shared" ca="1" si="157"/>
        <v>-19804864183.014523</v>
      </c>
      <c r="M2922" s="471">
        <f t="shared" si="159"/>
        <v>0.05</v>
      </c>
      <c r="N2922" s="475">
        <f t="shared" si="160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58"/>
        <v>-19804864183.014523</v>
      </c>
      <c r="J2923" s="455">
        <f t="array" ref="J2923">IFERROR(INDEX('Retirement Calculator'!J:J,MATCH('Isaac 401k'!N2923,'Retirement Calculator'!A:A,0),0),0)</f>
        <v>0</v>
      </c>
      <c r="K2923" s="455">
        <f t="shared" ca="1" si="156"/>
        <v>-82520267.429227173</v>
      </c>
      <c r="L2923" s="455">
        <f t="shared" ca="1" si="157"/>
        <v>-19887384450.443748</v>
      </c>
      <c r="M2923" s="471">
        <f t="shared" si="159"/>
        <v>0.05</v>
      </c>
      <c r="N2923" s="475">
        <f t="shared" si="160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58"/>
        <v>-19887384450.443748</v>
      </c>
      <c r="J2924" s="455">
        <f t="array" ref="J2924">IFERROR(INDEX('Retirement Calculator'!J:J,MATCH('Isaac 401k'!N2924,'Retirement Calculator'!A:A,0),0),0)</f>
        <v>0</v>
      </c>
      <c r="K2924" s="455">
        <f t="shared" ca="1" si="156"/>
        <v>-82864101.876848951</v>
      </c>
      <c r="L2924" s="455">
        <f t="shared" ca="1" si="157"/>
        <v>-19970248552.320599</v>
      </c>
      <c r="M2924" s="471">
        <f t="shared" si="159"/>
        <v>0.05</v>
      </c>
      <c r="N2924" s="475">
        <f t="shared" si="160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58"/>
        <v>-19970248552.320599</v>
      </c>
      <c r="J2925" s="455">
        <f t="array" ref="J2925">IFERROR(INDEX('Retirement Calculator'!J:J,MATCH('Isaac 401k'!N2925,'Retirement Calculator'!A:A,0),0),0)</f>
        <v>0</v>
      </c>
      <c r="K2925" s="455">
        <f t="shared" ca="1" si="156"/>
        <v>-83209368.968002498</v>
      </c>
      <c r="L2925" s="455">
        <f t="shared" ca="1" si="157"/>
        <v>-20053457921.288601</v>
      </c>
      <c r="M2925" s="471">
        <f t="shared" si="159"/>
        <v>0.05</v>
      </c>
      <c r="N2925" s="475">
        <f t="shared" si="160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58"/>
        <v>-20053457921.288601</v>
      </c>
      <c r="J2926" s="455">
        <f t="array" ref="J2926">IFERROR(INDEX('Retirement Calculator'!J:J,MATCH('Isaac 401k'!N2926,'Retirement Calculator'!A:A,0),0),0)</f>
        <v>0</v>
      </c>
      <c r="K2926" s="455">
        <f t="shared" ca="1" si="156"/>
        <v>-83556074.672035843</v>
      </c>
      <c r="L2926" s="455">
        <f t="shared" ca="1" si="157"/>
        <v>-20137013995.960636</v>
      </c>
      <c r="M2926" s="471">
        <f t="shared" si="159"/>
        <v>0.05</v>
      </c>
      <c r="N2926" s="475">
        <f t="shared" si="160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58"/>
        <v>-20137013995.960636</v>
      </c>
      <c r="J2927" s="455">
        <f t="array" ref="J2927">IFERROR(INDEX('Retirement Calculator'!J:J,MATCH('Isaac 401k'!N2927,'Retirement Calculator'!A:A,0),0),0)</f>
        <v>0</v>
      </c>
      <c r="K2927" s="455">
        <f t="shared" ca="1" si="156"/>
        <v>-83904224.983169317</v>
      </c>
      <c r="L2927" s="455">
        <f t="shared" ca="1" si="157"/>
        <v>-20220918220.943806</v>
      </c>
      <c r="M2927" s="471">
        <f t="shared" si="159"/>
        <v>0.05</v>
      </c>
      <c r="N2927" s="475">
        <f t="shared" si="160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58"/>
        <v>-20220918220.943806</v>
      </c>
      <c r="J2928" s="455">
        <f t="array" ref="J2928">IFERROR(INDEX('Retirement Calculator'!J:J,MATCH('Isaac 401k'!N2928,'Retirement Calculator'!A:A,0),0),0)</f>
        <v>0</v>
      </c>
      <c r="K2928" s="455">
        <f t="shared" ca="1" si="156"/>
        <v>-84253825.920599192</v>
      </c>
      <c r="L2928" s="455">
        <f t="shared" ca="1" si="157"/>
        <v>-20305172046.864407</v>
      </c>
      <c r="M2928" s="471">
        <f t="shared" si="159"/>
        <v>0.05</v>
      </c>
      <c r="N2928" s="475">
        <f t="shared" si="160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58"/>
        <v>-20305172046.864407</v>
      </c>
      <c r="J2929" s="455">
        <f t="array" ref="J2929">IFERROR(INDEX('Retirement Calculator'!J:J,MATCH('Isaac 401k'!N2929,'Retirement Calculator'!A:A,0),0),0)</f>
        <v>0</v>
      </c>
      <c r="K2929" s="455">
        <f t="shared" ca="1" si="156"/>
        <v>-84604883.528601691</v>
      </c>
      <c r="L2929" s="455">
        <f t="shared" ca="1" si="157"/>
        <v>-20389776930.393009</v>
      </c>
      <c r="M2929" s="471">
        <f t="shared" si="159"/>
        <v>0.05</v>
      </c>
      <c r="N2929" s="475">
        <f t="shared" si="160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58"/>
        <v>-20389776930.393009</v>
      </c>
      <c r="J2930" s="455">
        <f t="array" ref="J2930">IFERROR(INDEX('Retirement Calculator'!J:J,MATCH('Isaac 401k'!N2930,'Retirement Calculator'!A:A,0),0),0)</f>
        <v>0</v>
      </c>
      <c r="K2930" s="455">
        <f t="shared" ca="1" si="156"/>
        <v>-84957403.876637533</v>
      </c>
      <c r="L2930" s="455">
        <f t="shared" ca="1" si="157"/>
        <v>-20474734334.269646</v>
      </c>
      <c r="M2930" s="471">
        <f t="shared" si="159"/>
        <v>0.05</v>
      </c>
      <c r="N2930" s="475">
        <f t="shared" si="160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58"/>
        <v>-20474734334.269646</v>
      </c>
      <c r="J2931" s="455">
        <f t="array" ref="J2931">IFERROR(INDEX('Retirement Calculator'!J:J,MATCH('Isaac 401k'!N2931,'Retirement Calculator'!A:A,0),0),0)</f>
        <v>0</v>
      </c>
      <c r="K2931" s="455">
        <f t="shared" ca="1" si="156"/>
        <v>-85311393.059456855</v>
      </c>
      <c r="L2931" s="455">
        <f t="shared" ca="1" si="157"/>
        <v>-20560045727.329102</v>
      </c>
      <c r="M2931" s="471">
        <f t="shared" si="159"/>
        <v>0.05</v>
      </c>
      <c r="N2931" s="475">
        <f t="shared" si="160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58"/>
        <v>-20560045727.329102</v>
      </c>
      <c r="J2932" s="455">
        <f t="array" ref="J2932">IFERROR(INDEX('Retirement Calculator'!J:J,MATCH('Isaac 401k'!N2932,'Retirement Calculator'!A:A,0),0),0)</f>
        <v>0</v>
      </c>
      <c r="K2932" s="455">
        <f t="shared" ca="1" si="156"/>
        <v>-85666857.19720459</v>
      </c>
      <c r="L2932" s="455">
        <f t="shared" ca="1" si="157"/>
        <v>-20645712584.526306</v>
      </c>
      <c r="M2932" s="471">
        <f t="shared" si="159"/>
        <v>0.05</v>
      </c>
      <c r="N2932" s="475">
        <f t="shared" si="160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58"/>
        <v>-20645712584.526306</v>
      </c>
      <c r="J2933" s="455">
        <f t="array" ref="J2933">IFERROR(INDEX('Retirement Calculator'!J:J,MATCH('Isaac 401k'!N2933,'Retirement Calculator'!A:A,0),0),0)</f>
        <v>0</v>
      </c>
      <c r="K2933" s="455">
        <f t="shared" ca="1" si="156"/>
        <v>-86023802.435526282</v>
      </c>
      <c r="L2933" s="455">
        <f t="shared" ca="1" si="157"/>
        <v>-20731736386.961834</v>
      </c>
      <c r="M2933" s="471">
        <f t="shared" si="159"/>
        <v>0.05</v>
      </c>
      <c r="N2933" s="475">
        <f t="shared" si="160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58"/>
        <v>-20731736386.961834</v>
      </c>
      <c r="J2934" s="455">
        <f t="array" ref="J2934">IFERROR(INDEX('Retirement Calculator'!J:J,MATCH('Isaac 401k'!N2934,'Retirement Calculator'!A:A,0),0),0)</f>
        <v>0</v>
      </c>
      <c r="K2934" s="455">
        <f t="shared" ca="1" si="156"/>
        <v>-86382234.9456743</v>
      </c>
      <c r="L2934" s="455">
        <f t="shared" ca="1" si="157"/>
        <v>-20818118621.907509</v>
      </c>
      <c r="M2934" s="471">
        <f t="shared" si="159"/>
        <v>0.05</v>
      </c>
      <c r="N2934" s="475">
        <f t="shared" si="160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58"/>
        <v>-20818118621.907509</v>
      </c>
      <c r="J2935" s="455">
        <f t="array" ref="J2935">IFERROR(INDEX('Retirement Calculator'!J:J,MATCH('Isaac 401k'!N2935,'Retirement Calculator'!A:A,0),0),0)</f>
        <v>0</v>
      </c>
      <c r="K2935" s="455">
        <f t="shared" ca="1" si="156"/>
        <v>-86742160.924614623</v>
      </c>
      <c r="L2935" s="455">
        <f t="shared" ca="1" si="157"/>
        <v>-20904860782.832123</v>
      </c>
      <c r="M2935" s="471">
        <f t="shared" si="159"/>
        <v>0.05</v>
      </c>
      <c r="N2935" s="475">
        <f t="shared" si="160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58"/>
        <v>-20904860782.832123</v>
      </c>
      <c r="J2936" s="455">
        <f t="array" ref="J2936">IFERROR(INDEX('Retirement Calculator'!J:J,MATCH('Isaac 401k'!N2936,'Retirement Calculator'!A:A,0),0),0)</f>
        <v>0</v>
      </c>
      <c r="K2936" s="455">
        <f t="shared" ca="1" si="156"/>
        <v>-87103586.595133841</v>
      </c>
      <c r="L2936" s="455">
        <f t="shared" ca="1" si="157"/>
        <v>-20991964369.427258</v>
      </c>
      <c r="M2936" s="471">
        <f t="shared" si="159"/>
        <v>0.05</v>
      </c>
      <c r="N2936" s="475">
        <f t="shared" si="160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58"/>
        <v>-20991964369.427258</v>
      </c>
      <c r="J2937" s="455">
        <f t="array" ref="J2937">IFERROR(INDEX('Retirement Calculator'!J:J,MATCH('Isaac 401k'!N2937,'Retirement Calculator'!A:A,0),0),0)</f>
        <v>0</v>
      </c>
      <c r="K2937" s="455">
        <f t="shared" ca="1" si="156"/>
        <v>-87466518.205946907</v>
      </c>
      <c r="L2937" s="455">
        <f t="shared" ca="1" si="157"/>
        <v>-21079430887.633205</v>
      </c>
      <c r="M2937" s="471">
        <f t="shared" si="159"/>
        <v>0.05</v>
      </c>
      <c r="N2937" s="475">
        <f t="shared" si="160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58"/>
        <v>-21079430887.633205</v>
      </c>
      <c r="J2938" s="455">
        <f t="array" ref="J2938">IFERROR(INDEX('Retirement Calculator'!J:J,MATCH('Isaac 401k'!N2938,'Retirement Calculator'!A:A,0),0),0)</f>
        <v>0</v>
      </c>
      <c r="K2938" s="455">
        <f t="shared" ca="1" si="156"/>
        <v>-87830962.031805024</v>
      </c>
      <c r="L2938" s="455">
        <f t="shared" ca="1" si="157"/>
        <v>-21167261849.665009</v>
      </c>
      <c r="M2938" s="471">
        <f t="shared" si="159"/>
        <v>0.05</v>
      </c>
      <c r="N2938" s="475">
        <f t="shared" si="160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58"/>
        <v>-21167261849.665009</v>
      </c>
      <c r="J2939" s="455">
        <f t="array" ref="J2939">IFERROR(INDEX('Retirement Calculator'!J:J,MATCH('Isaac 401k'!N2939,'Retirement Calculator'!A:A,0),0),0)</f>
        <v>0</v>
      </c>
      <c r="K2939" s="455">
        <f t="shared" ca="1" si="156"/>
        <v>-88196924.373604208</v>
      </c>
      <c r="L2939" s="455">
        <f t="shared" ca="1" si="157"/>
        <v>-21255458774.038612</v>
      </c>
      <c r="M2939" s="471">
        <f t="shared" si="159"/>
        <v>0.05</v>
      </c>
      <c r="N2939" s="475">
        <f t="shared" si="160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58"/>
        <v>-21255458774.038612</v>
      </c>
      <c r="J2940" s="455">
        <f t="array" ref="J2940">IFERROR(INDEX('Retirement Calculator'!J:J,MATCH('Isaac 401k'!N2940,'Retirement Calculator'!A:A,0),0),0)</f>
        <v>0</v>
      </c>
      <c r="K2940" s="455">
        <f t="shared" ca="1" si="156"/>
        <v>-88564411.55849421</v>
      </c>
      <c r="L2940" s="455">
        <f t="shared" ca="1" si="157"/>
        <v>-21344023185.597107</v>
      </c>
      <c r="M2940" s="471">
        <f t="shared" si="159"/>
        <v>0.05</v>
      </c>
      <c r="N2940" s="475">
        <f t="shared" si="160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58"/>
        <v>-21344023185.597107</v>
      </c>
      <c r="J2941" s="455">
        <f t="array" ref="J2941">IFERROR(INDEX('Retirement Calculator'!J:J,MATCH('Isaac 401k'!N2941,'Retirement Calculator'!A:A,0),0),0)</f>
        <v>0</v>
      </c>
      <c r="K2941" s="455">
        <f t="shared" ca="1" si="156"/>
        <v>-88933429.939987943</v>
      </c>
      <c r="L2941" s="455">
        <f t="shared" ca="1" si="157"/>
        <v>-21432956615.537094</v>
      </c>
      <c r="M2941" s="471">
        <f t="shared" si="159"/>
        <v>0.05</v>
      </c>
      <c r="N2941" s="475">
        <f t="shared" si="160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58"/>
        <v>-21432956615.537094</v>
      </c>
      <c r="J2942" s="455">
        <f t="array" ref="J2942">IFERROR(INDEX('Retirement Calculator'!J:J,MATCH('Isaac 401k'!N2942,'Retirement Calculator'!A:A,0),0),0)</f>
        <v>0</v>
      </c>
      <c r="K2942" s="455">
        <f t="shared" ca="1" si="156"/>
        <v>-89303985.898071229</v>
      </c>
      <c r="L2942" s="455">
        <f t="shared" ca="1" si="157"/>
        <v>-21522260601.435165</v>
      </c>
      <c r="M2942" s="471">
        <f t="shared" si="159"/>
        <v>0.05</v>
      </c>
      <c r="N2942" s="475">
        <f t="shared" si="160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58"/>
        <v>-21522260601.435165</v>
      </c>
      <c r="J2943" s="455">
        <f t="array" ref="J2943">IFERROR(INDEX('Retirement Calculator'!J:J,MATCH('Isaac 401k'!N2943,'Retirement Calculator'!A:A,0),0),0)</f>
        <v>0</v>
      </c>
      <c r="K2943" s="455">
        <f t="shared" ca="1" si="156"/>
        <v>-89676085.839313194</v>
      </c>
      <c r="L2943" s="455">
        <f t="shared" ca="1" si="157"/>
        <v>-21611936687.274479</v>
      </c>
      <c r="M2943" s="471">
        <f t="shared" si="159"/>
        <v>0.05</v>
      </c>
      <c r="N2943" s="475">
        <f t="shared" si="160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58"/>
        <v>-21611936687.274479</v>
      </c>
      <c r="J2944" s="455">
        <f t="array" ref="J2944">IFERROR(INDEX('Retirement Calculator'!J:J,MATCH('Isaac 401k'!N2944,'Retirement Calculator'!A:A,0),0),0)</f>
        <v>0</v>
      </c>
      <c r="K2944" s="455">
        <f t="shared" ca="1" si="156"/>
        <v>-90049736.19697699</v>
      </c>
      <c r="L2944" s="455">
        <f t="shared" ca="1" si="157"/>
        <v>-21701986423.471455</v>
      </c>
      <c r="M2944" s="471">
        <f t="shared" si="159"/>
        <v>0.05</v>
      </c>
      <c r="N2944" s="475">
        <f t="shared" si="160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58"/>
        <v>-21701986423.471455</v>
      </c>
      <c r="J2945" s="455">
        <f t="array" ref="J2945">IFERROR(INDEX('Retirement Calculator'!J:J,MATCH('Isaac 401k'!N2945,'Retirement Calculator'!A:A,0),0),0)</f>
        <v>0</v>
      </c>
      <c r="K2945" s="455">
        <f t="shared" ca="1" si="156"/>
        <v>-90424943.431131065</v>
      </c>
      <c r="L2945" s="455">
        <f t="shared" ca="1" si="157"/>
        <v>-21792411366.902584</v>
      </c>
      <c r="M2945" s="471">
        <f t="shared" si="159"/>
        <v>0.05</v>
      </c>
      <c r="N2945" s="475">
        <f t="shared" si="160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58"/>
        <v>-21792411366.902584</v>
      </c>
      <c r="J2946" s="455">
        <f t="array" ref="J2946">IFERROR(INDEX('Retirement Calculator'!J:J,MATCH('Isaac 401k'!N2946,'Retirement Calculator'!A:A,0),0),0)</f>
        <v>0</v>
      </c>
      <c r="K2946" s="455">
        <f t="shared" ca="1" si="156"/>
        <v>-90801714.028760761</v>
      </c>
      <c r="L2946" s="455">
        <f t="shared" ca="1" si="157"/>
        <v>-21883213080.931343</v>
      </c>
      <c r="M2946" s="471">
        <f t="shared" si="159"/>
        <v>0.05</v>
      </c>
      <c r="N2946" s="475">
        <f t="shared" si="160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58"/>
        <v>-21883213080.931343</v>
      </c>
      <c r="J2947" s="455">
        <f t="array" ref="J2947">IFERROR(INDEX('Retirement Calculator'!J:J,MATCH('Isaac 401k'!N2947,'Retirement Calculator'!A:A,0),0),0)</f>
        <v>0</v>
      </c>
      <c r="K2947" s="455">
        <f t="shared" ca="1" si="156"/>
        <v>-91180054.50388059</v>
      </c>
      <c r="L2947" s="455">
        <f t="shared" ca="1" si="157"/>
        <v>-21974393135.435223</v>
      </c>
      <c r="M2947" s="471">
        <f t="shared" si="159"/>
        <v>0.05</v>
      </c>
      <c r="N2947" s="475">
        <f t="shared" si="160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58"/>
        <v>-21974393135.435223</v>
      </c>
      <c r="J2948" s="455">
        <f t="array" ref="J2948">IFERROR(INDEX('Retirement Calculator'!J:J,MATCH('Isaac 401k'!N2948,'Retirement Calculator'!A:A,0),0),0)</f>
        <v>0</v>
      </c>
      <c r="K2948" s="455">
        <f t="shared" ca="1" si="156"/>
        <v>-91559971.397646755</v>
      </c>
      <c r="L2948" s="455">
        <f t="shared" ca="1" si="157"/>
        <v>-22065953106.83287</v>
      </c>
      <c r="M2948" s="471">
        <f t="shared" si="159"/>
        <v>0.05</v>
      </c>
      <c r="N2948" s="475">
        <f t="shared" si="160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58"/>
        <v>-22065953106.83287</v>
      </c>
      <c r="J2949" s="455">
        <f t="array" ref="J2949">IFERROR(INDEX('Retirement Calculator'!J:J,MATCH('Isaac 401k'!N2949,'Retirement Calculator'!A:A,0),0),0)</f>
        <v>0</v>
      </c>
      <c r="K2949" s="455">
        <f t="shared" ca="1" si="156"/>
        <v>-91941471.278470293</v>
      </c>
      <c r="L2949" s="455">
        <f t="shared" ca="1" si="157"/>
        <v>-22157894578.11134</v>
      </c>
      <c r="M2949" s="471">
        <f t="shared" si="159"/>
        <v>0.05</v>
      </c>
      <c r="N2949" s="475">
        <f t="shared" si="160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58"/>
        <v>-22157894578.11134</v>
      </c>
      <c r="J2950" s="455">
        <f t="array" ref="J2950">IFERROR(INDEX('Retirement Calculator'!J:J,MATCH('Isaac 401k'!N2950,'Retirement Calculator'!A:A,0),0),0)</f>
        <v>0</v>
      </c>
      <c r="K2950" s="455">
        <f t="shared" ca="1" si="156"/>
        <v>-92324560.742130578</v>
      </c>
      <c r="L2950" s="455">
        <f t="shared" ca="1" si="157"/>
        <v>-22250219138.85347</v>
      </c>
      <c r="M2950" s="471">
        <f t="shared" si="159"/>
        <v>0.05</v>
      </c>
      <c r="N2950" s="475">
        <f t="shared" si="160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58"/>
        <v>-22250219138.85347</v>
      </c>
      <c r="J2951" s="455">
        <f t="array" ref="J2951">IFERROR(INDEX('Retirement Calculator'!J:J,MATCH('Isaac 401k'!N2951,'Retirement Calculator'!A:A,0),0),0)</f>
        <v>0</v>
      </c>
      <c r="K2951" s="455">
        <f t="shared" ca="1" si="156"/>
        <v>-92709246.411889464</v>
      </c>
      <c r="L2951" s="455">
        <f t="shared" ca="1" si="157"/>
        <v>-22342928385.265358</v>
      </c>
      <c r="M2951" s="471">
        <f t="shared" si="159"/>
        <v>0.05</v>
      </c>
      <c r="N2951" s="475">
        <f t="shared" si="160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58"/>
        <v>-22342928385.265358</v>
      </c>
      <c r="J2952" s="455">
        <f t="array" ref="J2952">IFERROR(INDEX('Retirement Calculator'!J:J,MATCH('Isaac 401k'!N2952,'Retirement Calculator'!A:A,0),0),0)</f>
        <v>0</v>
      </c>
      <c r="K2952" s="455">
        <f t="shared" ca="1" si="156"/>
        <v>-93095534.938605651</v>
      </c>
      <c r="L2952" s="455">
        <f t="shared" ca="1" si="157"/>
        <v>-22436023920.203964</v>
      </c>
      <c r="M2952" s="471">
        <f t="shared" si="159"/>
        <v>0.05</v>
      </c>
      <c r="N2952" s="475">
        <f t="shared" si="160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58"/>
        <v>-22436023920.203964</v>
      </c>
      <c r="J2953" s="455">
        <f t="array" ref="J2953">IFERROR(INDEX('Retirement Calculator'!J:J,MATCH('Isaac 401k'!N2953,'Retirement Calculator'!A:A,0),0),0)</f>
        <v>0</v>
      </c>
      <c r="K2953" s="455">
        <f t="shared" ca="1" si="156"/>
        <v>-93483433.000849843</v>
      </c>
      <c r="L2953" s="455">
        <f t="shared" ca="1" si="157"/>
        <v>-22529507353.204815</v>
      </c>
      <c r="M2953" s="471">
        <f t="shared" si="159"/>
        <v>0.05</v>
      </c>
      <c r="N2953" s="475">
        <f t="shared" si="160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58"/>
        <v>-22529507353.204815</v>
      </c>
      <c r="J2954" s="455">
        <f t="array" ref="J2954">IFERROR(INDEX('Retirement Calculator'!J:J,MATCH('Isaac 401k'!N2954,'Retirement Calculator'!A:A,0),0),0)</f>
        <v>0</v>
      </c>
      <c r="K2954" s="455">
        <f t="shared" ca="1" si="156"/>
        <v>-93872947.305020064</v>
      </c>
      <c r="L2954" s="455">
        <f t="shared" ca="1" si="157"/>
        <v>-22623380300.509834</v>
      </c>
      <c r="M2954" s="471">
        <f t="shared" si="159"/>
        <v>0.05</v>
      </c>
      <c r="N2954" s="475">
        <f t="shared" si="160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58"/>
        <v>-22623380300.509834</v>
      </c>
      <c r="J2955" s="455">
        <f t="array" ref="J2955">IFERROR(INDEX('Retirement Calculator'!J:J,MATCH('Isaac 401k'!N2955,'Retirement Calculator'!A:A,0),0),0)</f>
        <v>0</v>
      </c>
      <c r="K2955" s="455">
        <f t="shared" ca="1" si="156"/>
        <v>-94264084.585457638</v>
      </c>
      <c r="L2955" s="455">
        <f t="shared" ca="1" si="157"/>
        <v>-22717644385.095291</v>
      </c>
      <c r="M2955" s="471">
        <f t="shared" si="159"/>
        <v>0.05</v>
      </c>
      <c r="N2955" s="475">
        <f t="shared" si="160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58"/>
        <v>-22717644385.095291</v>
      </c>
      <c r="J2956" s="455">
        <f t="array" ref="J2956">IFERROR(INDEX('Retirement Calculator'!J:J,MATCH('Isaac 401k'!N2956,'Retirement Calculator'!A:A,0),0),0)</f>
        <v>0</v>
      </c>
      <c r="K2956" s="455">
        <f t="shared" ca="1" si="156"/>
        <v>-94656851.604563713</v>
      </c>
      <c r="L2956" s="455">
        <f t="shared" ca="1" si="157"/>
        <v>-22812301236.699856</v>
      </c>
      <c r="M2956" s="471">
        <f t="shared" si="159"/>
        <v>0.05</v>
      </c>
      <c r="N2956" s="475">
        <f t="shared" si="160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58"/>
        <v>-22812301236.699856</v>
      </c>
      <c r="J2957" s="455">
        <f t="array" ref="J2957">IFERROR(INDEX('Retirement Calculator'!J:J,MATCH('Isaac 401k'!N2957,'Retirement Calculator'!A:A,0),0),0)</f>
        <v>0</v>
      </c>
      <c r="K2957" s="455">
        <f t="shared" ca="1" si="156"/>
        <v>-95051255.152916059</v>
      </c>
      <c r="L2957" s="455">
        <f t="shared" ca="1" si="157"/>
        <v>-22907352491.852772</v>
      </c>
      <c r="M2957" s="471">
        <f t="shared" si="159"/>
        <v>0.05</v>
      </c>
      <c r="N2957" s="475">
        <f t="shared" si="160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58"/>
        <v>-22907352491.852772</v>
      </c>
      <c r="J2958" s="455">
        <f t="array" ref="J2958">IFERROR(INDEX('Retirement Calculator'!J:J,MATCH('Isaac 401k'!N2958,'Retirement Calculator'!A:A,0),0),0)</f>
        <v>0</v>
      </c>
      <c r="K2958" s="455">
        <f t="shared" ca="1" si="156"/>
        <v>-95447302.049386546</v>
      </c>
      <c r="L2958" s="455">
        <f t="shared" ca="1" si="157"/>
        <v>-23002799793.902157</v>
      </c>
      <c r="M2958" s="471">
        <f t="shared" si="159"/>
        <v>0.05</v>
      </c>
      <c r="N2958" s="475">
        <f t="shared" si="160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58"/>
        <v>-23002799793.902157</v>
      </c>
      <c r="J2959" s="455">
        <f t="array" ref="J2959">IFERROR(INDEX('Retirement Calculator'!J:J,MATCH('Isaac 401k'!N2959,'Retirement Calculator'!A:A,0),0),0)</f>
        <v>0</v>
      </c>
      <c r="K2959" s="455">
        <f t="shared" ca="1" si="156"/>
        <v>-95844999.141258985</v>
      </c>
      <c r="L2959" s="455">
        <f t="shared" ca="1" si="157"/>
        <v>-23098644793.043415</v>
      </c>
      <c r="M2959" s="471">
        <f t="shared" si="159"/>
        <v>0.05</v>
      </c>
      <c r="N2959" s="475">
        <f t="shared" si="160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58"/>
        <v>-23098644793.043415</v>
      </c>
      <c r="J2960" s="455">
        <f t="array" ref="J2960">IFERROR(INDEX('Retirement Calculator'!J:J,MATCH('Isaac 401k'!N2960,'Retirement Calculator'!A:A,0),0),0)</f>
        <v>0</v>
      </c>
      <c r="K2960" s="455">
        <f t="shared" ca="1" si="156"/>
        <v>-96244353.30434756</v>
      </c>
      <c r="L2960" s="455">
        <f t="shared" ca="1" si="157"/>
        <v>-23194889146.347763</v>
      </c>
      <c r="M2960" s="471">
        <f t="shared" si="159"/>
        <v>0.05</v>
      </c>
      <c r="N2960" s="475">
        <f t="shared" si="160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58"/>
        <v>-23194889146.347763</v>
      </c>
      <c r="J2961" s="455">
        <f t="array" ref="J2961">IFERROR(INDEX('Retirement Calculator'!J:J,MATCH('Isaac 401k'!N2961,'Retirement Calculator'!A:A,0),0),0)</f>
        <v>0</v>
      </c>
      <c r="K2961" s="455">
        <f t="shared" ca="1" si="156"/>
        <v>-96645371.443115681</v>
      </c>
      <c r="L2961" s="455">
        <f t="shared" ca="1" si="157"/>
        <v>-23291534517.790878</v>
      </c>
      <c r="M2961" s="471">
        <f t="shared" si="159"/>
        <v>0.05</v>
      </c>
      <c r="N2961" s="475">
        <f t="shared" si="160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58"/>
        <v>-23291534517.790878</v>
      </c>
      <c r="J2962" s="455">
        <f t="array" ref="J2962">IFERROR(INDEX('Retirement Calculator'!J:J,MATCH('Isaac 401k'!N2962,'Retirement Calculator'!A:A,0),0),0)</f>
        <v>0</v>
      </c>
      <c r="K2962" s="455">
        <f t="shared" ca="1" si="156"/>
        <v>-97048060.490795329</v>
      </c>
      <c r="L2962" s="455">
        <f t="shared" ca="1" si="157"/>
        <v>-23388582578.281673</v>
      </c>
      <c r="M2962" s="471">
        <f t="shared" si="159"/>
        <v>0.05</v>
      </c>
      <c r="N2962" s="475">
        <f t="shared" si="160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58"/>
        <v>-23388582578.281673</v>
      </c>
      <c r="J2963" s="455">
        <f t="array" ref="J2963">IFERROR(INDEX('Retirement Calculator'!J:J,MATCH('Isaac 401k'!N2963,'Retirement Calculator'!A:A,0),0),0)</f>
        <v>0</v>
      </c>
      <c r="K2963" s="455">
        <f t="shared" ca="1" si="156"/>
        <v>-97452427.409506977</v>
      </c>
      <c r="L2963" s="455">
        <f t="shared" ca="1" si="157"/>
        <v>-23486035005.691181</v>
      </c>
      <c r="M2963" s="471">
        <f t="shared" si="159"/>
        <v>0.05</v>
      </c>
      <c r="N2963" s="475">
        <f t="shared" si="160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58"/>
        <v>-23486035005.691181</v>
      </c>
      <c r="J2964" s="455">
        <f t="array" ref="J2964">IFERROR(INDEX('Retirement Calculator'!J:J,MATCH('Isaac 401k'!N2964,'Retirement Calculator'!A:A,0),0),0)</f>
        <v>0</v>
      </c>
      <c r="K2964" s="455">
        <f t="shared" ca="1" si="156"/>
        <v>-97858479.190379918</v>
      </c>
      <c r="L2964" s="455">
        <f t="shared" ca="1" si="157"/>
        <v>-23583893484.881561</v>
      </c>
      <c r="M2964" s="471">
        <f t="shared" si="159"/>
        <v>0.05</v>
      </c>
      <c r="N2964" s="475">
        <f t="shared" si="160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58"/>
        <v>-23583893484.881561</v>
      </c>
      <c r="J2965" s="455">
        <f t="array" ref="J2965">IFERROR(INDEX('Retirement Calculator'!J:J,MATCH('Isaac 401k'!N2965,'Retirement Calculator'!A:A,0),0),0)</f>
        <v>0</v>
      </c>
      <c r="K2965" s="455">
        <f t="shared" ca="1" si="156"/>
        <v>-98266222.853673175</v>
      </c>
      <c r="L2965" s="455">
        <f t="shared" ca="1" si="157"/>
        <v>-23682159707.735233</v>
      </c>
      <c r="M2965" s="471">
        <f t="shared" si="159"/>
        <v>0.05</v>
      </c>
      <c r="N2965" s="475">
        <f t="shared" si="160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58"/>
        <v>-23682159707.735233</v>
      </c>
      <c r="J2966" s="455">
        <f t="array" ref="J2966">IFERROR(INDEX('Retirement Calculator'!J:J,MATCH('Isaac 401k'!N2966,'Retirement Calculator'!A:A,0),0),0)</f>
        <v>0</v>
      </c>
      <c r="K2966" s="455">
        <f t="shared" ca="1" si="156"/>
        <v>-98675665.44889681</v>
      </c>
      <c r="L2966" s="455">
        <f t="shared" ca="1" si="157"/>
        <v>-23780835373.184132</v>
      </c>
      <c r="M2966" s="471">
        <f t="shared" si="159"/>
        <v>0.05</v>
      </c>
      <c r="N2966" s="475">
        <f t="shared" si="160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58"/>
        <v>-23780835373.184132</v>
      </c>
      <c r="J2967" s="455">
        <f t="array" ref="J2967">IFERROR(INDEX('Retirement Calculator'!J:J,MATCH('Isaac 401k'!N2967,'Retirement Calculator'!A:A,0),0),0)</f>
        <v>0</v>
      </c>
      <c r="K2967" s="455">
        <f t="shared" ca="1" si="156"/>
        <v>-99086814.054933876</v>
      </c>
      <c r="L2967" s="455">
        <f t="shared" ca="1" si="157"/>
        <v>-23879922187.239067</v>
      </c>
      <c r="M2967" s="471">
        <f t="shared" si="159"/>
        <v>0.05</v>
      </c>
      <c r="N2967" s="475">
        <f t="shared" si="160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58"/>
        <v>-23879922187.239067</v>
      </c>
      <c r="J2968" s="455">
        <f t="array" ref="J2968">IFERROR(INDEX('Retirement Calculator'!J:J,MATCH('Isaac 401k'!N2968,'Retirement Calculator'!A:A,0),0),0)</f>
        <v>0</v>
      </c>
      <c r="K2968" s="455">
        <f t="shared" ca="1" si="156"/>
        <v>-99499675.780162781</v>
      </c>
      <c r="L2968" s="455">
        <f t="shared" ca="1" si="157"/>
        <v>-23979421863.01923</v>
      </c>
      <c r="M2968" s="471">
        <f t="shared" si="159"/>
        <v>0.05</v>
      </c>
      <c r="N2968" s="475">
        <f t="shared" si="160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58"/>
        <v>-23979421863.01923</v>
      </c>
      <c r="J2969" s="455">
        <f t="array" ref="J2969">IFERROR(INDEX('Retirement Calculator'!J:J,MATCH('Isaac 401k'!N2969,'Retirement Calculator'!A:A,0),0),0)</f>
        <v>0</v>
      </c>
      <c r="K2969" s="455">
        <f t="shared" ca="1" si="156"/>
        <v>-99914257.762580127</v>
      </c>
      <c r="L2969" s="455">
        <f t="shared" ca="1" si="157"/>
        <v>-24079336120.781811</v>
      </c>
      <c r="M2969" s="471">
        <f t="shared" si="159"/>
        <v>0.05</v>
      </c>
      <c r="N2969" s="475">
        <f t="shared" si="160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58"/>
        <v>-24079336120.781811</v>
      </c>
      <c r="J2970" s="455">
        <f t="array" ref="J2970">IFERROR(INDEX('Retirement Calculator'!J:J,MATCH('Isaac 401k'!N2970,'Retirement Calculator'!A:A,0),0),0)</f>
        <v>0</v>
      </c>
      <c r="K2970" s="455">
        <f t="shared" ca="1" si="156"/>
        <v>-100330567.16992421</v>
      </c>
      <c r="L2970" s="455">
        <f t="shared" ca="1" si="157"/>
        <v>-24179666687.951736</v>
      </c>
      <c r="M2970" s="471">
        <f t="shared" si="159"/>
        <v>0.05</v>
      </c>
      <c r="N2970" s="475">
        <f t="shared" si="160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58"/>
        <v>-24179666687.951736</v>
      </c>
      <c r="J2971" s="455">
        <f t="array" ref="J2971">IFERROR(INDEX('Retirement Calculator'!J:J,MATCH('Isaac 401k'!N2971,'Retirement Calculator'!A:A,0),0),0)</f>
        <v>0</v>
      </c>
      <c r="K2971" s="455">
        <f t="shared" ca="1" si="156"/>
        <v>-100748611.1997989</v>
      </c>
      <c r="L2971" s="455">
        <f t="shared" ca="1" si="157"/>
        <v>-24280415299.151535</v>
      </c>
      <c r="M2971" s="471">
        <f t="shared" si="159"/>
        <v>0.05</v>
      </c>
      <c r="N2971" s="475">
        <f t="shared" si="160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58"/>
        <v>-24280415299.151535</v>
      </c>
      <c r="J2972" s="455">
        <f t="array" ref="J2972">IFERROR(INDEX('Retirement Calculator'!J:J,MATCH('Isaac 401k'!N2972,'Retirement Calculator'!A:A,0),0),0)</f>
        <v>0</v>
      </c>
      <c r="K2972" s="455">
        <f t="shared" ca="1" si="156"/>
        <v>-101168397.07979806</v>
      </c>
      <c r="L2972" s="455">
        <f t="shared" ca="1" si="157"/>
        <v>-24381583696.231335</v>
      </c>
      <c r="M2972" s="471">
        <f t="shared" si="159"/>
        <v>0.05</v>
      </c>
      <c r="N2972" s="475">
        <f t="shared" si="160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58"/>
        <v>-24381583696.231335</v>
      </c>
      <c r="J2973" s="455">
        <f t="array" ref="J2973">IFERROR(INDEX('Retirement Calculator'!J:J,MATCH('Isaac 401k'!N2973,'Retirement Calculator'!A:A,0),0),0)</f>
        <v>0</v>
      </c>
      <c r="K2973" s="455">
        <f t="shared" ca="1" si="156"/>
        <v>-101589932.06763056</v>
      </c>
      <c r="L2973" s="455">
        <f t="shared" ca="1" si="157"/>
        <v>-24483173628.298965</v>
      </c>
      <c r="M2973" s="471">
        <f t="shared" si="159"/>
        <v>0.05</v>
      </c>
      <c r="N2973" s="475">
        <f t="shared" si="160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58"/>
        <v>-24483173628.298965</v>
      </c>
      <c r="J2974" s="455">
        <f t="array" ref="J2974">IFERROR(INDEX('Retirement Calculator'!J:J,MATCH('Isaac 401k'!N2974,'Retirement Calculator'!A:A,0),0),0)</f>
        <v>0</v>
      </c>
      <c r="K2974" s="455">
        <f t="shared" ca="1" si="156"/>
        <v>-102013223.4512457</v>
      </c>
      <c r="L2974" s="455">
        <f t="shared" ca="1" si="157"/>
        <v>-24585186851.75021</v>
      </c>
      <c r="M2974" s="471">
        <f t="shared" si="159"/>
        <v>0.05</v>
      </c>
      <c r="N2974" s="475">
        <f t="shared" si="160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58"/>
        <v>-24585186851.75021</v>
      </c>
      <c r="J2975" s="455">
        <f t="array" ref="J2975">IFERROR(INDEX('Retirement Calculator'!J:J,MATCH('Isaac 401k'!N2975,'Retirement Calculator'!A:A,0),0),0)</f>
        <v>0</v>
      </c>
      <c r="K2975" s="455">
        <f t="shared" ca="1" si="156"/>
        <v>-102438278.54895921</v>
      </c>
      <c r="L2975" s="455">
        <f t="shared" ca="1" si="157"/>
        <v>-24687625130.299168</v>
      </c>
      <c r="M2975" s="471">
        <f t="shared" si="159"/>
        <v>0.05</v>
      </c>
      <c r="N2975" s="475">
        <f t="shared" si="160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58"/>
        <v>-24687625130.299168</v>
      </c>
      <c r="J2976" s="455">
        <f t="array" ref="J2976">IFERROR(INDEX('Retirement Calculator'!J:J,MATCH('Isaac 401k'!N2976,'Retirement Calculator'!A:A,0),0),0)</f>
        <v>0</v>
      </c>
      <c r="K2976" s="455">
        <f t="shared" ca="1" si="156"/>
        <v>-102865104.70957987</v>
      </c>
      <c r="L2976" s="455">
        <f t="shared" ca="1" si="157"/>
        <v>-24790490235.008747</v>
      </c>
      <c r="M2976" s="471">
        <f t="shared" si="159"/>
        <v>0.05</v>
      </c>
      <c r="N2976" s="475">
        <f t="shared" si="160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58"/>
        <v>-24790490235.008747</v>
      </c>
      <c r="J2977" s="455">
        <f t="array" ref="J2977">IFERROR(INDEX('Retirement Calculator'!J:J,MATCH('Isaac 401k'!N2977,'Retirement Calculator'!A:A,0),0),0)</f>
        <v>0</v>
      </c>
      <c r="K2977" s="455">
        <f t="shared" ca="1" si="156"/>
        <v>-103293709.31253645</v>
      </c>
      <c r="L2977" s="455">
        <f t="shared" ca="1" si="157"/>
        <v>-24893783944.321285</v>
      </c>
      <c r="M2977" s="471">
        <f t="shared" si="159"/>
        <v>0.05</v>
      </c>
      <c r="N2977" s="475">
        <f t="shared" si="160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58"/>
        <v>-24893783944.321285</v>
      </c>
      <c r="J2978" s="455">
        <f t="array" ref="J2978">IFERROR(INDEX('Retirement Calculator'!J:J,MATCH('Isaac 401k'!N2978,'Retirement Calculator'!A:A,0),0),0)</f>
        <v>0</v>
      </c>
      <c r="K2978" s="455">
        <f t="shared" ca="1" si="156"/>
        <v>-103724099.76800536</v>
      </c>
      <c r="L2978" s="455">
        <f t="shared" ca="1" si="157"/>
        <v>-24997508044.089291</v>
      </c>
      <c r="M2978" s="471">
        <f t="shared" si="159"/>
        <v>0.05</v>
      </c>
      <c r="N2978" s="475">
        <f t="shared" si="160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58"/>
        <v>-24997508044.089291</v>
      </c>
      <c r="J2979" s="455">
        <f t="array" ref="J2979">IFERROR(INDEX('Retirement Calculator'!J:J,MATCH('Isaac 401k'!N2979,'Retirement Calculator'!A:A,0),0),0)</f>
        <v>0</v>
      </c>
      <c r="K2979" s="455">
        <f t="shared" ca="1" si="156"/>
        <v>-104156283.5170387</v>
      </c>
      <c r="L2979" s="455">
        <f t="shared" ca="1" si="157"/>
        <v>-25101664327.606331</v>
      </c>
      <c r="M2979" s="471">
        <f t="shared" si="159"/>
        <v>0.05</v>
      </c>
      <c r="N2979" s="475">
        <f t="shared" si="160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58"/>
        <v>-25101664327.606331</v>
      </c>
      <c r="J2980" s="455">
        <f t="array" ref="J2980">IFERROR(INDEX('Retirement Calculator'!J:J,MATCH('Isaac 401k'!N2980,'Retirement Calculator'!A:A,0),0),0)</f>
        <v>0</v>
      </c>
      <c r="K2980" s="455">
        <f t="shared" ca="1" si="156"/>
        <v>-104590268.03169304</v>
      </c>
      <c r="L2980" s="455">
        <f t="shared" ca="1" si="157"/>
        <v>-25206254595.638023</v>
      </c>
      <c r="M2980" s="471">
        <f t="shared" si="159"/>
        <v>0.05</v>
      </c>
      <c r="N2980" s="475">
        <f t="shared" si="160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58"/>
        <v>-25206254595.638023</v>
      </c>
      <c r="J2981" s="455">
        <f t="array" ref="J2981">IFERROR(INDEX('Retirement Calculator'!J:J,MATCH('Isaac 401k'!N2981,'Retirement Calculator'!A:A,0),0),0)</f>
        <v>0</v>
      </c>
      <c r="K2981" s="455">
        <f t="shared" ca="1" si="156"/>
        <v>-105026060.81515843</v>
      </c>
      <c r="L2981" s="455">
        <f t="shared" ca="1" si="157"/>
        <v>-25311280656.453182</v>
      </c>
      <c r="M2981" s="471">
        <f t="shared" si="159"/>
        <v>0.05</v>
      </c>
      <c r="N2981" s="475">
        <f t="shared" si="160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58"/>
        <v>-25311280656.453182</v>
      </c>
      <c r="J2982" s="455">
        <f t="array" ref="J2982">IFERROR(INDEX('Retirement Calculator'!J:J,MATCH('Isaac 401k'!N2982,'Retirement Calculator'!A:A,0),0),0)</f>
        <v>0</v>
      </c>
      <c r="K2982" s="455">
        <f t="shared" ca="1" si="156"/>
        <v>-105463669.40188825</v>
      </c>
      <c r="L2982" s="455">
        <f t="shared" ca="1" si="157"/>
        <v>-25416744325.855072</v>
      </c>
      <c r="M2982" s="471">
        <f t="shared" si="159"/>
        <v>0.05</v>
      </c>
      <c r="N2982" s="475">
        <f t="shared" si="160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58"/>
        <v>-25416744325.855072</v>
      </c>
      <c r="J2983" s="455">
        <f t="array" ref="J2983">IFERROR(INDEX('Retirement Calculator'!J:J,MATCH('Isaac 401k'!N2983,'Retirement Calculator'!A:A,0),0),0)</f>
        <v>0</v>
      </c>
      <c r="K2983" s="455">
        <f t="shared" ca="1" si="156"/>
        <v>-105903101.35772946</v>
      </c>
      <c r="L2983" s="455">
        <f t="shared" ca="1" si="157"/>
        <v>-25522647427.212803</v>
      </c>
      <c r="M2983" s="471">
        <f t="shared" si="159"/>
        <v>0.05</v>
      </c>
      <c r="N2983" s="475">
        <f t="shared" si="160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58"/>
        <v>-25522647427.212803</v>
      </c>
      <c r="J2984" s="455">
        <f t="array" ref="J2984">IFERROR(INDEX('Retirement Calculator'!J:J,MATCH('Isaac 401k'!N2984,'Retirement Calculator'!A:A,0),0),0)</f>
        <v>0</v>
      </c>
      <c r="K2984" s="455">
        <f t="shared" ca="1" si="156"/>
        <v>-106344364.28005335</v>
      </c>
      <c r="L2984" s="455">
        <f t="shared" ca="1" si="157"/>
        <v>-25628991791.492855</v>
      </c>
      <c r="M2984" s="471">
        <f t="shared" si="159"/>
        <v>0.05</v>
      </c>
      <c r="N2984" s="475">
        <f t="shared" si="160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58"/>
        <v>-25628991791.492855</v>
      </c>
      <c r="J2985" s="455">
        <f t="array" ref="J2985">IFERROR(INDEX('Retirement Calculator'!J:J,MATCH('Isaac 401k'!N2985,'Retirement Calculator'!A:A,0),0),0)</f>
        <v>0</v>
      </c>
      <c r="K2985" s="455">
        <f t="shared" ca="1" si="156"/>
        <v>-106787465.79788689</v>
      </c>
      <c r="L2985" s="455">
        <f t="shared" ca="1" si="157"/>
        <v>-25735779257.290741</v>
      </c>
      <c r="M2985" s="471">
        <f t="shared" si="159"/>
        <v>0.05</v>
      </c>
      <c r="N2985" s="475">
        <f t="shared" si="160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58"/>
        <v>-25735779257.290741</v>
      </c>
      <c r="J2986" s="455">
        <f t="array" ref="J2986">IFERROR(INDEX('Retirement Calculator'!J:J,MATCH('Isaac 401k'!N2986,'Retirement Calculator'!A:A,0),0),0)</f>
        <v>0</v>
      </c>
      <c r="K2986" s="455">
        <f t="shared" ca="1" si="156"/>
        <v>-107232413.57204476</v>
      </c>
      <c r="L2986" s="455">
        <f t="shared" ca="1" si="157"/>
        <v>-25843011670.862785</v>
      </c>
      <c r="M2986" s="471">
        <f t="shared" si="159"/>
        <v>0.05</v>
      </c>
      <c r="N2986" s="475">
        <f t="shared" si="160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58"/>
        <v>-25843011670.862785</v>
      </c>
      <c r="J2987" s="455">
        <f t="array" ref="J2987">IFERROR(INDEX('Retirement Calculator'!J:J,MATCH('Isaac 401k'!N2987,'Retirement Calculator'!A:A,0),0),0)</f>
        <v>0</v>
      </c>
      <c r="K2987" s="455">
        <f t="shared" ca="1" si="156"/>
        <v>-107679215.29526161</v>
      </c>
      <c r="L2987" s="455">
        <f t="shared" ca="1" si="157"/>
        <v>-25950690886.158047</v>
      </c>
      <c r="M2987" s="471">
        <f t="shared" si="159"/>
        <v>0.05</v>
      </c>
      <c r="N2987" s="475">
        <f t="shared" si="160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58"/>
        <v>-25950690886.158047</v>
      </c>
      <c r="J2988" s="455">
        <f t="array" ref="J2988">IFERROR(INDEX('Retirement Calculator'!J:J,MATCH('Isaac 401k'!N2988,'Retirement Calculator'!A:A,0),0),0)</f>
        <v>0</v>
      </c>
      <c r="K2988" s="455">
        <f t="shared" ca="1" si="156"/>
        <v>-108127878.69232519</v>
      </c>
      <c r="L2988" s="455">
        <f t="shared" ca="1" si="157"/>
        <v>-26058818764.850372</v>
      </c>
      <c r="M2988" s="471">
        <f t="shared" si="159"/>
        <v>0.05</v>
      </c>
      <c r="N2988" s="475">
        <f t="shared" si="160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58"/>
        <v>-26058818764.850372</v>
      </c>
      <c r="J2989" s="455">
        <f t="array" ref="J2989">IFERROR(INDEX('Retirement Calculator'!J:J,MATCH('Isaac 401k'!N2989,'Retirement Calculator'!A:A,0),0),0)</f>
        <v>0</v>
      </c>
      <c r="K2989" s="455">
        <f t="shared" ca="1" si="156"/>
        <v>-108578411.52020988</v>
      </c>
      <c r="L2989" s="455">
        <f t="shared" ca="1" si="157"/>
        <v>-26167397176.370583</v>
      </c>
      <c r="M2989" s="471">
        <f t="shared" si="159"/>
        <v>0.05</v>
      </c>
      <c r="N2989" s="475">
        <f t="shared" si="160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58"/>
        <v>-26167397176.370583</v>
      </c>
      <c r="J2990" s="455">
        <f t="array" ref="J2990">IFERROR(INDEX('Retirement Calculator'!J:J,MATCH('Isaac 401k'!N2990,'Retirement Calculator'!A:A,0),0),0)</f>
        <v>0</v>
      </c>
      <c r="K2990" s="455">
        <f t="shared" ca="1" si="156"/>
        <v>-109030821.56821077</v>
      </c>
      <c r="L2990" s="455">
        <f t="shared" ca="1" si="157"/>
        <v>-26276427997.938793</v>
      </c>
      <c r="M2990" s="471">
        <f t="shared" si="159"/>
        <v>0.05</v>
      </c>
      <c r="N2990" s="475">
        <f t="shared" si="160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58"/>
        <v>-26276427997.938793</v>
      </c>
      <c r="J2991" s="455">
        <f t="array" ref="J2991">IFERROR(INDEX('Retirement Calculator'!J:J,MATCH('Isaac 401k'!N2991,'Retirement Calculator'!A:A,0),0),0)</f>
        <v>0</v>
      </c>
      <c r="K2991" s="455">
        <f t="shared" ca="1" si="156"/>
        <v>-109485116.6580783</v>
      </c>
      <c r="L2991" s="455">
        <f t="shared" ca="1" si="157"/>
        <v>-26385913114.59687</v>
      </c>
      <c r="M2991" s="471">
        <f t="shared" si="159"/>
        <v>0.05</v>
      </c>
      <c r="N2991" s="475">
        <f t="shared" si="160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58"/>
        <v>-26385913114.59687</v>
      </c>
      <c r="J2992" s="455">
        <f t="array" ref="J2992">IFERROR(INDEX('Retirement Calculator'!J:J,MATCH('Isaac 401k'!N2992,'Retirement Calculator'!A:A,0),0),0)</f>
        <v>0</v>
      </c>
      <c r="K2992" s="455">
        <f t="shared" ca="1" si="156"/>
        <v>-109941304.64415362</v>
      </c>
      <c r="L2992" s="455">
        <f t="shared" ca="1" si="157"/>
        <v>-26495854419.241024</v>
      </c>
      <c r="M2992" s="471">
        <f t="shared" si="159"/>
        <v>0.05</v>
      </c>
      <c r="N2992" s="475">
        <f t="shared" si="160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58"/>
        <v>-26495854419.241024</v>
      </c>
      <c r="J2993" s="455">
        <f t="array" ref="J2993">IFERROR(INDEX('Retirement Calculator'!J:J,MATCH('Isaac 401k'!N2993,'Retirement Calculator'!A:A,0),0),0)</f>
        <v>0</v>
      </c>
      <c r="K2993" s="455">
        <f t="shared" ca="1" si="156"/>
        <v>-110399393.41350426</v>
      </c>
      <c r="L2993" s="455">
        <f t="shared" ca="1" si="157"/>
        <v>-26606253812.65453</v>
      </c>
      <c r="M2993" s="471">
        <f t="shared" si="159"/>
        <v>0.05</v>
      </c>
      <c r="N2993" s="475">
        <f t="shared" si="160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58"/>
        <v>-26606253812.65453</v>
      </c>
      <c r="J2994" s="455">
        <f t="array" ref="J2994">IFERROR(INDEX('Retirement Calculator'!J:J,MATCH('Isaac 401k'!N2994,'Retirement Calculator'!A:A,0),0),0)</f>
        <v>0</v>
      </c>
      <c r="K2994" s="455">
        <f t="shared" ca="1" si="156"/>
        <v>-110859390.88606054</v>
      </c>
      <c r="L2994" s="455">
        <f t="shared" ca="1" si="157"/>
        <v>-26717113203.540588</v>
      </c>
      <c r="M2994" s="471">
        <f t="shared" si="159"/>
        <v>0.05</v>
      </c>
      <c r="N2994" s="475">
        <f t="shared" si="160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58"/>
        <v>-26717113203.540588</v>
      </c>
      <c r="J2995" s="455">
        <f t="array" ref="J2995">IFERROR(INDEX('Retirement Calculator'!J:J,MATCH('Isaac 401k'!N2995,'Retirement Calculator'!A:A,0),0),0)</f>
        <v>0</v>
      </c>
      <c r="K2995" s="455">
        <f t="shared" ca="1" si="156"/>
        <v>-111321305.01475245</v>
      </c>
      <c r="L2995" s="455">
        <f t="shared" ca="1" si="157"/>
        <v>-26828434508.55534</v>
      </c>
      <c r="M2995" s="471">
        <f t="shared" si="159"/>
        <v>0.05</v>
      </c>
      <c r="N2995" s="475">
        <f t="shared" si="160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58"/>
        <v>-26828434508.55534</v>
      </c>
      <c r="J2996" s="455">
        <f t="array" ref="J2996">IFERROR(INDEX('Retirement Calculator'!J:J,MATCH('Isaac 401k'!N2996,'Retirement Calculator'!A:A,0),0),0)</f>
        <v>0</v>
      </c>
      <c r="K2996" s="455">
        <f t="shared" ca="1" si="156"/>
        <v>-111785143.78564724</v>
      </c>
      <c r="L2996" s="455">
        <f t="shared" ca="1" si="157"/>
        <v>-26940219652.340988</v>
      </c>
      <c r="M2996" s="471">
        <f t="shared" si="159"/>
        <v>0.05</v>
      </c>
      <c r="N2996" s="475">
        <f t="shared" si="160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58"/>
        <v>-26940219652.340988</v>
      </c>
      <c r="J2997" s="455">
        <f t="array" ref="J2997">IFERROR(INDEX('Retirement Calculator'!J:J,MATCH('Isaac 401k'!N2997,'Retirement Calculator'!A:A,0),0),0)</f>
        <v>0</v>
      </c>
      <c r="K2997" s="455">
        <f t="shared" ca="1" si="156"/>
        <v>-112250915.21808745</v>
      </c>
      <c r="L2997" s="455">
        <f t="shared" ca="1" si="157"/>
        <v>-27052470567.559074</v>
      </c>
      <c r="M2997" s="471">
        <f t="shared" si="159"/>
        <v>0.05</v>
      </c>
      <c r="N2997" s="475">
        <f t="shared" si="160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58"/>
        <v>-27052470567.559074</v>
      </c>
      <c r="J2998" s="455">
        <f t="array" ref="J2998">IFERROR(INDEX('Retirement Calculator'!J:J,MATCH('Isaac 401k'!N2998,'Retirement Calculator'!A:A,0),0),0)</f>
        <v>0</v>
      </c>
      <c r="K2998" s="455">
        <f t="shared" ca="1" si="156"/>
        <v>-112718627.36482947</v>
      </c>
      <c r="L2998" s="455">
        <f t="shared" ca="1" si="157"/>
        <v>-27165189194.923904</v>
      </c>
      <c r="M2998" s="471">
        <f t="shared" si="159"/>
        <v>0.05</v>
      </c>
      <c r="N2998" s="475">
        <f t="shared" si="160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58"/>
        <v>-27165189194.923904</v>
      </c>
      <c r="J2999" s="455">
        <f t="array" ref="J2999">IFERROR(INDEX('Retirement Calculator'!J:J,MATCH('Isaac 401k'!N2999,'Retirement Calculator'!A:A,0),0),0)</f>
        <v>0</v>
      </c>
      <c r="K2999" s="455">
        <f t="shared" ca="1" si="156"/>
        <v>-113188288.31218293</v>
      </c>
      <c r="L2999" s="455">
        <f t="shared" ca="1" si="157"/>
        <v>-27278377483.236088</v>
      </c>
      <c r="M2999" s="471">
        <f t="shared" si="159"/>
        <v>0.05</v>
      </c>
      <c r="N2999" s="475">
        <f t="shared" si="160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58"/>
        <v>-27278377483.236088</v>
      </c>
      <c r="J3000" s="455">
        <f t="array" ref="J3000">IFERROR(INDEX('Retirement Calculator'!J:J,MATCH('Isaac 401k'!N3000,'Retirement Calculator'!A:A,0),0),0)</f>
        <v>0</v>
      </c>
      <c r="K3000" s="455">
        <f t="shared" ca="1" si="156"/>
        <v>-113659906.18015034</v>
      </c>
      <c r="L3000" s="455">
        <f t="shared" ca="1" si="157"/>
        <v>-27392037389.416237</v>
      </c>
      <c r="M3000" s="471">
        <f t="shared" si="159"/>
        <v>0.05</v>
      </c>
      <c r="N3000" s="475">
        <f t="shared" si="160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58"/>
        <v>-27392037389.416237</v>
      </c>
      <c r="J3001" s="455">
        <f t="array" ref="J3001">IFERROR(INDEX('Retirement Calculator'!J:J,MATCH('Isaac 401k'!N3001,'Retirement Calculator'!A:A,0),0),0)</f>
        <v>0</v>
      </c>
      <c r="K3001" s="455">
        <f t="shared" ca="1" si="156"/>
        <v>-114133489.12256765</v>
      </c>
      <c r="L3001" s="455">
        <f t="shared" ca="1" si="157"/>
        <v>-27506170878.538803</v>
      </c>
      <c r="M3001" s="471">
        <f t="shared" si="159"/>
        <v>0.05</v>
      </c>
      <c r="N3001" s="475">
        <f t="shared" si="160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58"/>
        <v>-27506170878.538803</v>
      </c>
      <c r="J3002" s="455">
        <f t="array" ref="J3002">IFERROR(INDEX('Retirement Calculator'!J:J,MATCH('Isaac 401k'!N3002,'Retirement Calculator'!A:A,0),0),0)</f>
        <v>0</v>
      </c>
      <c r="K3002" s="455">
        <f t="shared" ca="1" si="156"/>
        <v>-114609045.32724501</v>
      </c>
      <c r="L3002" s="455">
        <f t="shared" ca="1" si="157"/>
        <v>-27620779923.866047</v>
      </c>
      <c r="M3002" s="471">
        <f t="shared" si="159"/>
        <v>0.05</v>
      </c>
      <c r="N3002" s="475">
        <f t="shared" si="160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58"/>
        <v>-27620779923.866047</v>
      </c>
      <c r="J3003" s="455">
        <f t="array" ref="J3003">IFERROR(INDEX('Retirement Calculator'!J:J,MATCH('Isaac 401k'!N3003,'Retirement Calculator'!A:A,0),0),0)</f>
        <v>0</v>
      </c>
      <c r="K3003" s="455">
        <f t="shared" ca="1" si="156"/>
        <v>-115086583.01610851</v>
      </c>
      <c r="L3003" s="455">
        <f t="shared" ca="1" si="157"/>
        <v>-27735866506.882156</v>
      </c>
      <c r="M3003" s="471">
        <f t="shared" si="159"/>
        <v>0.05</v>
      </c>
      <c r="N3003" s="475">
        <f t="shared" si="160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58"/>
        <v>-27735866506.882156</v>
      </c>
      <c r="J3004" s="455">
        <f t="array" ref="J3004">IFERROR(INDEX('Retirement Calculator'!J:J,MATCH('Isaac 401k'!N3004,'Retirement Calculator'!A:A,0),0),0)</f>
        <v>0</v>
      </c>
      <c r="K3004" s="455">
        <f t="shared" ca="1" si="156"/>
        <v>-115566110.44534232</v>
      </c>
      <c r="L3004" s="455">
        <f t="shared" ca="1" si="157"/>
        <v>-27851432617.327499</v>
      </c>
      <c r="M3004" s="471">
        <f t="shared" si="159"/>
        <v>0.05</v>
      </c>
      <c r="N3004" s="475">
        <f t="shared" si="160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58"/>
        <v>-27851432617.327499</v>
      </c>
      <c r="J3005" s="455">
        <f t="array" ref="J3005">IFERROR(INDEX('Retirement Calculator'!J:J,MATCH('Isaac 401k'!N3005,'Retirement Calculator'!A:A,0),0),0)</f>
        <v>0</v>
      </c>
      <c r="K3005" s="455">
        <f t="shared" ca="1" si="156"/>
        <v>-116047635.90553123</v>
      </c>
      <c r="L3005" s="455">
        <f t="shared" ca="1" si="157"/>
        <v>-27967480253.233032</v>
      </c>
      <c r="M3005" s="471">
        <f t="shared" si="159"/>
        <v>0.05</v>
      </c>
      <c r="N3005" s="475">
        <f t="shared" si="160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58"/>
        <v>-27967480253.233032</v>
      </c>
      <c r="J3006" s="455">
        <f t="array" ref="J3006">IFERROR(INDEX('Retirement Calculator'!J:J,MATCH('Isaac 401k'!N3006,'Retirement Calculator'!A:A,0),0),0)</f>
        <v>0</v>
      </c>
      <c r="K3006" s="455">
        <f t="shared" ca="1" si="156"/>
        <v>-116531167.72180431</v>
      </c>
      <c r="L3006" s="455">
        <f t="shared" ca="1" si="157"/>
        <v>-28084011420.954838</v>
      </c>
      <c r="M3006" s="471">
        <f t="shared" si="159"/>
        <v>0.05</v>
      </c>
      <c r="N3006" s="475">
        <f t="shared" si="160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58"/>
        <v>-28084011420.954838</v>
      </c>
      <c r="J3007" s="455">
        <f t="array" ref="J3007">IFERROR(INDEX('Retirement Calculator'!J:J,MATCH('Isaac 401k'!N3007,'Retirement Calculator'!A:A,0),0),0)</f>
        <v>0</v>
      </c>
      <c r="K3007" s="455">
        <f t="shared" ca="1" si="156"/>
        <v>-117016714.25397849</v>
      </c>
      <c r="L3007" s="455">
        <f t="shared" ca="1" si="157"/>
        <v>-28201028135.208817</v>
      </c>
      <c r="M3007" s="471">
        <f t="shared" si="159"/>
        <v>0.05</v>
      </c>
      <c r="N3007" s="475">
        <f t="shared" si="160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58"/>
        <v>-28201028135.208817</v>
      </c>
      <c r="J3008" s="455">
        <f t="array" ref="J3008">IFERROR(INDEX('Retirement Calculator'!J:J,MATCH('Isaac 401k'!N3008,'Retirement Calculator'!A:A,0),0),0)</f>
        <v>0</v>
      </c>
      <c r="K3008" s="455">
        <f t="shared" ca="1" si="156"/>
        <v>-117504283.89670341</v>
      </c>
      <c r="L3008" s="455">
        <f t="shared" ca="1" si="157"/>
        <v>-28318532419.105518</v>
      </c>
      <c r="M3008" s="471">
        <f t="shared" si="159"/>
        <v>0.05</v>
      </c>
      <c r="N3008" s="475">
        <f t="shared" si="160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58"/>
        <v>-28318532419.105518</v>
      </c>
      <c r="J3009" s="455">
        <f t="array" ref="J3009">IFERROR(INDEX('Retirement Calculator'!J:J,MATCH('Isaac 401k'!N3009,'Retirement Calculator'!A:A,0),0),0)</f>
        <v>0</v>
      </c>
      <c r="K3009" s="455">
        <f t="shared" ca="1" si="156"/>
        <v>-117993885.07960631</v>
      </c>
      <c r="L3009" s="455">
        <f t="shared" ca="1" si="157"/>
        <v>-28436526304.185123</v>
      </c>
      <c r="M3009" s="471">
        <f t="shared" si="159"/>
        <v>0.05</v>
      </c>
      <c r="N3009" s="475">
        <f t="shared" si="160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58"/>
        <v>-28436526304.185123</v>
      </c>
      <c r="J3010" s="455">
        <f t="array" ref="J3010">IFERROR(INDEX('Retirement Calculator'!J:J,MATCH('Isaac 401k'!N3010,'Retirement Calculator'!A:A,0),0),0)</f>
        <v>0</v>
      </c>
      <c r="K3010" s="455">
        <f t="shared" ca="1" si="156"/>
        <v>-118485526.26743801</v>
      </c>
      <c r="L3010" s="455">
        <f t="shared" ca="1" si="157"/>
        <v>-28555011830.45256</v>
      </c>
      <c r="M3010" s="471">
        <f t="shared" si="159"/>
        <v>0.05</v>
      </c>
      <c r="N3010" s="475">
        <f t="shared" si="160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58"/>
        <v>-28555011830.45256</v>
      </c>
      <c r="J3011" s="455">
        <f t="array" ref="J3011">IFERROR(INDEX('Retirement Calculator'!J:J,MATCH('Isaac 401k'!N3011,'Retirement Calculator'!A:A,0),0),0)</f>
        <v>0</v>
      </c>
      <c r="K3011" s="455">
        <f t="shared" ca="1" si="156"/>
        <v>-118979215.960219</v>
      </c>
      <c r="L3011" s="455">
        <f t="shared" ca="1" si="157"/>
        <v>-28673991046.412781</v>
      </c>
      <c r="M3011" s="471">
        <f t="shared" si="159"/>
        <v>0.05</v>
      </c>
      <c r="N3011" s="475">
        <f t="shared" si="160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58"/>
        <v>-28673991046.412781</v>
      </c>
      <c r="J3012" s="455">
        <f t="array" ref="J3012">IFERROR(INDEX('Retirement Calculator'!J:J,MATCH('Isaac 401k'!N3012,'Retirement Calculator'!A:A,0),0),0)</f>
        <v>0</v>
      </c>
      <c r="K3012" s="455">
        <f t="shared" ca="1" si="156"/>
        <v>-119474962.6933866</v>
      </c>
      <c r="L3012" s="455">
        <f t="shared" ca="1" si="157"/>
        <v>-28793466009.106167</v>
      </c>
      <c r="M3012" s="471">
        <f t="shared" si="159"/>
        <v>0.05</v>
      </c>
      <c r="N3012" s="475">
        <f t="shared" si="160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58"/>
        <v>-28793466009.106167</v>
      </c>
      <c r="J3013" s="455">
        <f t="array" ref="J3013">IFERROR(INDEX('Retirement Calculator'!J:J,MATCH('Isaac 401k'!N3013,'Retirement Calculator'!A:A,0),0),0)</f>
        <v>0</v>
      </c>
      <c r="K3013" s="455">
        <f t="shared" ca="1" si="156"/>
        <v>-119972775.03794235</v>
      </c>
      <c r="L3013" s="455">
        <f t="shared" ca="1" si="157"/>
        <v>-28913438784.144108</v>
      </c>
      <c r="M3013" s="471">
        <f t="shared" si="159"/>
        <v>0.05</v>
      </c>
      <c r="N3013" s="475">
        <f t="shared" si="160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58"/>
        <v>-28913438784.144108</v>
      </c>
      <c r="J3014" s="455">
        <f t="array" ref="J3014">IFERROR(INDEX('Retirement Calculator'!J:J,MATCH('Isaac 401k'!N3014,'Retirement Calculator'!A:A,0),0),0)</f>
        <v>0</v>
      </c>
      <c r="K3014" s="455">
        <f t="shared" ca="1" si="156"/>
        <v>-120472661.60060047</v>
      </c>
      <c r="L3014" s="455">
        <f t="shared" ca="1" si="157"/>
        <v>-29033911445.744709</v>
      </c>
      <c r="M3014" s="471">
        <f t="shared" si="159"/>
        <v>0.05</v>
      </c>
      <c r="N3014" s="475">
        <f t="shared" si="160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58"/>
        <v>-29033911445.744709</v>
      </c>
      <c r="J3015" s="455">
        <f t="array" ref="J3015">IFERROR(INDEX('Retirement Calculator'!J:J,MATCH('Isaac 401k'!N3015,'Retirement Calculator'!A:A,0),0),0)</f>
        <v>0</v>
      </c>
      <c r="K3015" s="455">
        <f t="shared" ca="1" si="156"/>
        <v>-120974631.02393629</v>
      </c>
      <c r="L3015" s="455">
        <f t="shared" ca="1" si="157"/>
        <v>-29154886076.768646</v>
      </c>
      <c r="M3015" s="471">
        <f t="shared" si="159"/>
        <v>0.05</v>
      </c>
      <c r="N3015" s="475">
        <f t="shared" si="160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58"/>
        <v>-29154886076.768646</v>
      </c>
      <c r="J3016" s="455">
        <f t="array" ref="J3016">IFERROR(INDEX('Retirement Calculator'!J:J,MATCH('Isaac 401k'!N3016,'Retirement Calculator'!A:A,0),0),0)</f>
        <v>0</v>
      </c>
      <c r="K3016" s="455">
        <f t="shared" ca="1" si="156"/>
        <v>-121478691.98653603</v>
      </c>
      <c r="L3016" s="455">
        <f t="shared" ca="1" si="157"/>
        <v>-29276364768.75518</v>
      </c>
      <c r="M3016" s="471">
        <f t="shared" si="159"/>
        <v>0.05</v>
      </c>
      <c r="N3016" s="475">
        <f t="shared" si="160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58"/>
        <v>-29276364768.75518</v>
      </c>
      <c r="J3017" s="455">
        <f t="array" ref="J3017">IFERROR(INDEX('Retirement Calculator'!J:J,MATCH('Isaac 401k'!N3017,'Retirement Calculator'!A:A,0),0),0)</f>
        <v>0</v>
      </c>
      <c r="K3017" s="455">
        <f t="shared" ca="1" si="156"/>
        <v>-121984853.20314659</v>
      </c>
      <c r="L3017" s="455">
        <f t="shared" ca="1" si="157"/>
        <v>-29398349621.958328</v>
      </c>
      <c r="M3017" s="471">
        <f t="shared" si="159"/>
        <v>0.05</v>
      </c>
      <c r="N3017" s="475">
        <f t="shared" si="160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58"/>
        <v>-29398349621.958328</v>
      </c>
      <c r="J3018" s="455">
        <f t="array" ref="J3018">IFERROR(INDEX('Retirement Calculator'!J:J,MATCH('Isaac 401k'!N3018,'Retirement Calculator'!A:A,0),0),0)</f>
        <v>0</v>
      </c>
      <c r="K3018" s="455">
        <f t="shared" ca="1" si="156"/>
        <v>-122493123.42482637</v>
      </c>
      <c r="L3018" s="455">
        <f t="shared" ca="1" si="157"/>
        <v>-29520842745.383156</v>
      </c>
      <c r="M3018" s="471">
        <f t="shared" si="159"/>
        <v>0.05</v>
      </c>
      <c r="N3018" s="475">
        <f t="shared" si="160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58"/>
        <v>-29520842745.383156</v>
      </c>
      <c r="J3019" s="455">
        <f t="array" ref="J3019">IFERROR(INDEX('Retirement Calculator'!J:J,MATCH('Isaac 401k'!N3019,'Retirement Calculator'!A:A,0),0),0)</f>
        <v>0</v>
      </c>
      <c r="K3019" s="455">
        <f t="shared" ca="1" si="156"/>
        <v>-123003511.43909647</v>
      </c>
      <c r="L3019" s="455">
        <f t="shared" ca="1" si="157"/>
        <v>-29643846256.822254</v>
      </c>
      <c r="M3019" s="471">
        <f t="shared" si="159"/>
        <v>0.05</v>
      </c>
      <c r="N3019" s="475">
        <f t="shared" si="160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58"/>
        <v>-29643846256.822254</v>
      </c>
      <c r="J3020" s="455">
        <f t="array" ref="J3020">IFERROR(INDEX('Retirement Calculator'!J:J,MATCH('Isaac 401k'!N3020,'Retirement Calculator'!A:A,0),0),0)</f>
        <v>0</v>
      </c>
      <c r="K3020" s="455">
        <f t="shared" ca="1" si="156"/>
        <v>-123516026.07009272</v>
      </c>
      <c r="L3020" s="455">
        <f t="shared" ca="1" si="157"/>
        <v>-29767362282.892345</v>
      </c>
      <c r="M3020" s="471">
        <f t="shared" si="159"/>
        <v>0.05</v>
      </c>
      <c r="N3020" s="475">
        <f t="shared" si="160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58"/>
        <v>-29767362282.892345</v>
      </c>
      <c r="J3021" s="455">
        <f t="array" ref="J3021">IFERROR(INDEX('Retirement Calculator'!J:J,MATCH('Isaac 401k'!N3021,'Retirement Calculator'!A:A,0),0),0)</f>
        <v>0</v>
      </c>
      <c r="K3021" s="455">
        <f t="shared" ca="1" si="156"/>
        <v>-124030676.17871809</v>
      </c>
      <c r="L3021" s="455">
        <f t="shared" ca="1" si="157"/>
        <v>-29891392959.071064</v>
      </c>
      <c r="M3021" s="471">
        <f t="shared" si="159"/>
        <v>0.05</v>
      </c>
      <c r="N3021" s="475">
        <f t="shared" si="160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58"/>
        <v>-29891392959.071064</v>
      </c>
      <c r="J3022" s="455">
        <f t="array" ref="J3022">IFERROR(INDEX('Retirement Calculator'!J:J,MATCH('Isaac 401k'!N3022,'Retirement Calculator'!A:A,0),0),0)</f>
        <v>0</v>
      </c>
      <c r="K3022" s="455">
        <f t="shared" ca="1" si="156"/>
        <v>-124547470.66279608</v>
      </c>
      <c r="L3022" s="455">
        <f t="shared" ca="1" si="157"/>
        <v>-30015940429.73386</v>
      </c>
      <c r="M3022" s="471">
        <f t="shared" si="159"/>
        <v>0.05</v>
      </c>
      <c r="N3022" s="475">
        <f t="shared" si="160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58"/>
        <v>-30015940429.73386</v>
      </c>
      <c r="J3023" s="455">
        <f t="array" ref="J3023">IFERROR(INDEX('Retirement Calculator'!J:J,MATCH('Isaac 401k'!N3023,'Retirement Calculator'!A:A,0),0),0)</f>
        <v>0</v>
      </c>
      <c r="K3023" s="455">
        <f t="shared" ca="1" si="156"/>
        <v>-125066418.45722441</v>
      </c>
      <c r="L3023" s="455">
        <f t="shared" ca="1" si="157"/>
        <v>-30141006848.191086</v>
      </c>
      <c r="M3023" s="471">
        <f t="shared" si="159"/>
        <v>0.05</v>
      </c>
      <c r="N3023" s="475">
        <f t="shared" si="160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58"/>
        <v>-30141006848.191086</v>
      </c>
      <c r="J3024" s="455">
        <f t="array" ref="J3024">IFERROR(INDEX('Retirement Calculator'!J:J,MATCH('Isaac 401k'!N3024,'Retirement Calculator'!A:A,0),0),0)</f>
        <v>0</v>
      </c>
      <c r="K3024" s="455">
        <f t="shared" ca="1" si="156"/>
        <v>-125587528.5341295</v>
      </c>
      <c r="L3024" s="455">
        <f t="shared" ca="1" si="157"/>
        <v>-30266594376.725216</v>
      </c>
      <c r="M3024" s="471">
        <f t="shared" si="159"/>
        <v>0.05</v>
      </c>
      <c r="N3024" s="475">
        <f t="shared" si="160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58"/>
        <v>-30266594376.725216</v>
      </c>
      <c r="J3025" s="455">
        <f t="array" ref="J3025">IFERROR(INDEX('Retirement Calculator'!J:J,MATCH('Isaac 401k'!N3025,'Retirement Calculator'!A:A,0),0),0)</f>
        <v>0</v>
      </c>
      <c r="K3025" s="455">
        <f t="shared" ca="1" si="156"/>
        <v>-126110809.90302174</v>
      </c>
      <c r="L3025" s="455">
        <f t="shared" ca="1" si="157"/>
        <v>-30392705186.628239</v>
      </c>
      <c r="M3025" s="471">
        <f t="shared" si="159"/>
        <v>0.05</v>
      </c>
      <c r="N3025" s="475">
        <f t="shared" si="160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58"/>
        <v>-30392705186.628239</v>
      </c>
      <c r="J3026" s="455">
        <f t="array" ref="J3026">IFERROR(INDEX('Retirement Calculator'!J:J,MATCH('Isaac 401k'!N3026,'Retirement Calculator'!A:A,0),0),0)</f>
        <v>0</v>
      </c>
      <c r="K3026" s="455">
        <f t="shared" ca="1" si="156"/>
        <v>-126636271.61095099</v>
      </c>
      <c r="L3026" s="455">
        <f t="shared" ca="1" si="157"/>
        <v>-30519341458.239189</v>
      </c>
      <c r="M3026" s="471">
        <f t="shared" si="159"/>
        <v>0.05</v>
      </c>
      <c r="N3026" s="475">
        <f t="shared" si="160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58"/>
        <v>-30519341458.239189</v>
      </c>
      <c r="J3027" s="455">
        <f t="array" ref="J3027">IFERROR(INDEX('Retirement Calculator'!J:J,MATCH('Isaac 401k'!N3027,'Retirement Calculator'!A:A,0),0),0)</f>
        <v>0</v>
      </c>
      <c r="K3027" s="455">
        <f t="shared" ca="1" si="156"/>
        <v>-127163922.74266331</v>
      </c>
      <c r="L3027" s="455">
        <f t="shared" ca="1" si="157"/>
        <v>-30646505380.981853</v>
      </c>
      <c r="M3027" s="471">
        <f t="shared" si="159"/>
        <v>0.05</v>
      </c>
      <c r="N3027" s="475">
        <f t="shared" si="160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58"/>
        <v>-30646505380.981853</v>
      </c>
      <c r="J3028" s="455">
        <f t="array" ref="J3028">IFERROR(INDEX('Retirement Calculator'!J:J,MATCH('Isaac 401k'!N3028,'Retirement Calculator'!A:A,0),0),0)</f>
        <v>0</v>
      </c>
      <c r="K3028" s="455">
        <f t="shared" ca="1" si="156"/>
        <v>-127693772.42075773</v>
      </c>
      <c r="L3028" s="455">
        <f t="shared" ca="1" si="157"/>
        <v>-30774199153.402611</v>
      </c>
      <c r="M3028" s="471">
        <f t="shared" si="159"/>
        <v>0.05</v>
      </c>
      <c r="N3028" s="475">
        <f t="shared" si="160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58"/>
        <v>-30774199153.402611</v>
      </c>
      <c r="J3029" s="455">
        <f t="array" ref="J3029">IFERROR(INDEX('Retirement Calculator'!J:J,MATCH('Isaac 401k'!N3029,'Retirement Calculator'!A:A,0),0),0)</f>
        <v>0</v>
      </c>
      <c r="K3029" s="455">
        <f t="shared" ca="1" si="156"/>
        <v>-128225829.8058442</v>
      </c>
      <c r="L3029" s="455">
        <f t="shared" ca="1" si="157"/>
        <v>-30902424983.208454</v>
      </c>
      <c r="M3029" s="471">
        <f t="shared" si="159"/>
        <v>0.05</v>
      </c>
      <c r="N3029" s="475">
        <f t="shared" si="160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58"/>
        <v>-30902424983.208454</v>
      </c>
      <c r="J3030" s="455">
        <f t="array" ref="J3030">IFERROR(INDEX('Retirement Calculator'!J:J,MATCH('Isaac 401k'!N3030,'Retirement Calculator'!A:A,0),0),0)</f>
        <v>0</v>
      </c>
      <c r="K3030" s="455">
        <f t="shared" ca="1" si="156"/>
        <v>-128760104.09670191</v>
      </c>
      <c r="L3030" s="455">
        <f t="shared" ca="1" si="157"/>
        <v>-31031185087.305157</v>
      </c>
      <c r="M3030" s="471">
        <f t="shared" si="159"/>
        <v>0.05</v>
      </c>
      <c r="N3030" s="475">
        <f t="shared" si="160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58"/>
        <v>-31031185087.305157</v>
      </c>
      <c r="J3031" s="455">
        <f t="array" ref="J3031">IFERROR(INDEX('Retirement Calculator'!J:J,MATCH('Isaac 401k'!N3031,'Retirement Calculator'!A:A,0),0),0)</f>
        <v>0</v>
      </c>
      <c r="K3031" s="455">
        <f t="shared" ca="1" si="156"/>
        <v>-129296604.53043815</v>
      </c>
      <c r="L3031" s="455">
        <f t="shared" ca="1" si="157"/>
        <v>-31160481691.835594</v>
      </c>
      <c r="M3031" s="471">
        <f t="shared" si="159"/>
        <v>0.05</v>
      </c>
      <c r="N3031" s="475">
        <f t="shared" si="160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58"/>
        <v>-31160481691.835594</v>
      </c>
      <c r="J3032" s="455">
        <f t="array" ref="J3032">IFERROR(INDEX('Retirement Calculator'!J:J,MATCH('Isaac 401k'!N3032,'Retirement Calculator'!A:A,0),0),0)</f>
        <v>0</v>
      </c>
      <c r="K3032" s="455">
        <f t="shared" ca="1" si="156"/>
        <v>-129835340.3826483</v>
      </c>
      <c r="L3032" s="455">
        <f t="shared" ca="1" si="157"/>
        <v>-31290317032.218243</v>
      </c>
      <c r="M3032" s="471">
        <f t="shared" si="159"/>
        <v>0.05</v>
      </c>
      <c r="N3032" s="475">
        <f t="shared" si="160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58"/>
        <v>-31290317032.218243</v>
      </c>
      <c r="J3033" s="455">
        <f t="array" ref="J3033">IFERROR(INDEX('Retirement Calculator'!J:J,MATCH('Isaac 401k'!N3033,'Retirement Calculator'!A:A,0),0),0)</f>
        <v>0</v>
      </c>
      <c r="K3033" s="455">
        <f t="shared" ca="1" si="156"/>
        <v>-130376320.96757601</v>
      </c>
      <c r="L3033" s="455">
        <f t="shared" ca="1" si="157"/>
        <v>-31420693353.185818</v>
      </c>
      <c r="M3033" s="471">
        <f t="shared" si="159"/>
        <v>0.05</v>
      </c>
      <c r="N3033" s="475">
        <f t="shared" si="160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58"/>
        <v>-31420693353.185818</v>
      </c>
      <c r="J3034" s="455">
        <f t="array" ref="J3034">IFERROR(INDEX('Retirement Calculator'!J:J,MATCH('Isaac 401k'!N3034,'Retirement Calculator'!A:A,0),0),0)</f>
        <v>0</v>
      </c>
      <c r="K3034" s="455">
        <f t="shared" ca="1" si="156"/>
        <v>-130919555.63827424</v>
      </c>
      <c r="L3034" s="455">
        <f t="shared" ca="1" si="157"/>
        <v>-31551612908.824093</v>
      </c>
      <c r="M3034" s="471">
        <f t="shared" si="159"/>
        <v>0.05</v>
      </c>
      <c r="N3034" s="475">
        <f t="shared" si="160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58"/>
        <v>-31551612908.824093</v>
      </c>
      <c r="J3035" s="455">
        <f t="array" ref="J3035">IFERROR(INDEX('Retirement Calculator'!J:J,MATCH('Isaac 401k'!N3035,'Retirement Calculator'!A:A,0),0),0)</f>
        <v>0</v>
      </c>
      <c r="K3035" s="455">
        <f t="shared" ca="1" si="156"/>
        <v>-131465053.78676707</v>
      </c>
      <c r="L3035" s="455">
        <f t="shared" ca="1" si="157"/>
        <v>-31683077962.610859</v>
      </c>
      <c r="M3035" s="471">
        <f t="shared" si="159"/>
        <v>0.05</v>
      </c>
      <c r="N3035" s="475">
        <f t="shared" si="160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58"/>
        <v>-31683077962.610859</v>
      </c>
      <c r="J3036" s="455">
        <f t="array" ref="J3036">IFERROR(INDEX('Retirement Calculator'!J:J,MATCH('Isaac 401k'!N3036,'Retirement Calculator'!A:A,0),0),0)</f>
        <v>0</v>
      </c>
      <c r="K3036" s="455">
        <f t="shared" ca="1" si="156"/>
        <v>-132012824.84421192</v>
      </c>
      <c r="L3036" s="455">
        <f t="shared" ca="1" si="157"/>
        <v>-31815090787.45507</v>
      </c>
      <c r="M3036" s="471">
        <f t="shared" si="159"/>
        <v>0.05</v>
      </c>
      <c r="N3036" s="475">
        <f t="shared" si="160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58"/>
        <v>-31815090787.45507</v>
      </c>
      <c r="J3037" s="455">
        <f t="array" ref="J3037">IFERROR(INDEX('Retirement Calculator'!J:J,MATCH('Isaac 401k'!N3037,'Retirement Calculator'!A:A,0),0),0)</f>
        <v>0</v>
      </c>
      <c r="K3037" s="455">
        <f t="shared" ca="1" si="156"/>
        <v>-132562878.2810628</v>
      </c>
      <c r="L3037" s="455">
        <f t="shared" ca="1" si="157"/>
        <v>-31947653665.736134</v>
      </c>
      <c r="M3037" s="471">
        <f t="shared" si="159"/>
        <v>0.05</v>
      </c>
      <c r="N3037" s="475">
        <f t="shared" si="160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58"/>
        <v>-31947653665.736134</v>
      </c>
      <c r="J3038" s="455">
        <f t="array" ref="J3038">IFERROR(INDEX('Retirement Calculator'!J:J,MATCH('Isaac 401k'!N3038,'Retirement Calculator'!A:A,0),0),0)</f>
        <v>0</v>
      </c>
      <c r="K3038" s="455">
        <f t="shared" ca="1" si="156"/>
        <v>-133115223.60723387</v>
      </c>
      <c r="L3038" s="455">
        <f t="shared" ca="1" si="157"/>
        <v>-32080768889.343369</v>
      </c>
      <c r="M3038" s="471">
        <f t="shared" si="159"/>
        <v>0.05</v>
      </c>
      <c r="N3038" s="475">
        <f t="shared" si="160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58"/>
        <v>-32080768889.343369</v>
      </c>
      <c r="J3039" s="455">
        <f t="array" ref="J3039">IFERROR(INDEX('Retirement Calculator'!J:J,MATCH('Isaac 401k'!N3039,'Retirement Calculator'!A:A,0),0),0)</f>
        <v>0</v>
      </c>
      <c r="K3039" s="455">
        <f t="shared" ca="1" si="156"/>
        <v>-133669870.37226401</v>
      </c>
      <c r="L3039" s="455">
        <f t="shared" ca="1" si="157"/>
        <v>-32214438759.715633</v>
      </c>
      <c r="M3039" s="471">
        <f t="shared" si="159"/>
        <v>0.05</v>
      </c>
      <c r="N3039" s="475">
        <f t="shared" si="160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58"/>
        <v>-32214438759.715633</v>
      </c>
      <c r="J3040" s="455">
        <f t="array" ref="J3040">IFERROR(INDEX('Retirement Calculator'!J:J,MATCH('Isaac 401k'!N3040,'Retirement Calculator'!A:A,0),0),0)</f>
        <v>0</v>
      </c>
      <c r="K3040" s="455">
        <f t="shared" ca="1" si="156"/>
        <v>-134226828.16548181</v>
      </c>
      <c r="L3040" s="455">
        <f t="shared" ca="1" si="157"/>
        <v>-32348665587.881115</v>
      </c>
      <c r="M3040" s="471">
        <f t="shared" si="159"/>
        <v>0.05</v>
      </c>
      <c r="N3040" s="475">
        <f t="shared" si="160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58"/>
        <v>-32348665587.881115</v>
      </c>
      <c r="J3041" s="455">
        <f t="array" ref="J3041">IFERROR(INDEX('Retirement Calculator'!J:J,MATCH('Isaac 401k'!N3041,'Retirement Calculator'!A:A,0),0),0)</f>
        <v>0</v>
      </c>
      <c r="K3041" s="455">
        <f t="shared" ca="1" si="156"/>
        <v>-134786106.6161713</v>
      </c>
      <c r="L3041" s="455">
        <f t="shared" ca="1" si="157"/>
        <v>-32483451694.497288</v>
      </c>
      <c r="M3041" s="471">
        <f t="shared" si="159"/>
        <v>0.05</v>
      </c>
      <c r="N3041" s="475">
        <f t="shared" si="160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58"/>
        <v>-32483451694.497288</v>
      </c>
      <c r="J3042" s="455">
        <f t="array" ref="J3042">IFERROR(INDEX('Retirement Calculator'!J:J,MATCH('Isaac 401k'!N3042,'Retirement Calculator'!A:A,0),0),0)</f>
        <v>0</v>
      </c>
      <c r="K3042" s="455">
        <f t="shared" ca="1" si="156"/>
        <v>-135347715.39373869</v>
      </c>
      <c r="L3042" s="455">
        <f t="shared" ca="1" si="157"/>
        <v>-32618799409.891026</v>
      </c>
      <c r="M3042" s="471">
        <f t="shared" si="159"/>
        <v>0.05</v>
      </c>
      <c r="N3042" s="475">
        <f t="shared" si="160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58"/>
        <v>-32618799409.891026</v>
      </c>
      <c r="J3043" s="455">
        <f t="array" ref="J3043">IFERROR(INDEX('Retirement Calculator'!J:J,MATCH('Isaac 401k'!N3043,'Retirement Calculator'!A:A,0),0),0)</f>
        <v>0</v>
      </c>
      <c r="K3043" s="455">
        <f t="shared" ca="1" si="156"/>
        <v>-135911664.20787928</v>
      </c>
      <c r="L3043" s="455">
        <f t="shared" ca="1" si="157"/>
        <v>-32754711074.098904</v>
      </c>
      <c r="M3043" s="471">
        <f t="shared" si="159"/>
        <v>0.05</v>
      </c>
      <c r="N3043" s="475">
        <f t="shared" si="160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58"/>
        <v>-32754711074.098904</v>
      </c>
      <c r="J3044" s="455">
        <f t="array" ref="J3044">IFERROR(INDEX('Retirement Calculator'!J:J,MATCH('Isaac 401k'!N3044,'Retirement Calculator'!A:A,0),0),0)</f>
        <v>0</v>
      </c>
      <c r="K3044" s="455">
        <f t="shared" ca="1" si="156"/>
        <v>-136477962.80874544</v>
      </c>
      <c r="L3044" s="455">
        <f t="shared" ca="1" si="157"/>
        <v>-32891189036.90765</v>
      </c>
      <c r="M3044" s="471">
        <f t="shared" si="159"/>
        <v>0.05</v>
      </c>
      <c r="N3044" s="475">
        <f t="shared" si="160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58"/>
        <v>-32891189036.90765</v>
      </c>
      <c r="J3045" s="455">
        <f t="array" ref="J3045">IFERROR(INDEX('Retirement Calculator'!J:J,MATCH('Isaac 401k'!N3045,'Retirement Calculator'!A:A,0),0),0)</f>
        <v>0</v>
      </c>
      <c r="K3045" s="455">
        <f t="shared" ca="1" si="156"/>
        <v>-137046620.98711523</v>
      </c>
      <c r="L3045" s="455">
        <f t="shared" ca="1" si="157"/>
        <v>-33028235657.894764</v>
      </c>
      <c r="M3045" s="471">
        <f t="shared" si="159"/>
        <v>0.05</v>
      </c>
      <c r="N3045" s="475">
        <f t="shared" si="160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58"/>
        <v>-33028235657.894764</v>
      </c>
      <c r="J3046" s="455">
        <f t="array" ref="J3046">IFERROR(INDEX('Retirement Calculator'!J:J,MATCH('Isaac 401k'!N3046,'Retirement Calculator'!A:A,0),0),0)</f>
        <v>0</v>
      </c>
      <c r="K3046" s="455">
        <f t="shared" ca="1" si="156"/>
        <v>-137617648.57456151</v>
      </c>
      <c r="L3046" s="455">
        <f t="shared" ca="1" si="157"/>
        <v>-33165853306.469326</v>
      </c>
      <c r="M3046" s="471">
        <f t="shared" si="159"/>
        <v>0.05</v>
      </c>
      <c r="N3046" s="475">
        <f t="shared" si="160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58"/>
        <v>-33165853306.469326</v>
      </c>
      <c r="J3047" s="455">
        <f t="array" ref="J3047">IFERROR(INDEX('Retirement Calculator'!J:J,MATCH('Isaac 401k'!N3047,'Retirement Calculator'!A:A,0),0),0)</f>
        <v>0</v>
      </c>
      <c r="K3047" s="455">
        <f t="shared" ca="1" si="156"/>
        <v>-138191055.44362217</v>
      </c>
      <c r="L3047" s="455">
        <f t="shared" ca="1" si="157"/>
        <v>-33304044361.912949</v>
      </c>
      <c r="M3047" s="471">
        <f t="shared" si="159"/>
        <v>0.05</v>
      </c>
      <c r="N3047" s="475">
        <f t="shared" si="160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58"/>
        <v>-33304044361.912949</v>
      </c>
      <c r="J3048" s="455">
        <f t="array" ref="J3048">IFERROR(INDEX('Retirement Calculator'!J:J,MATCH('Isaac 401k'!N3048,'Retirement Calculator'!A:A,0),0),0)</f>
        <v>0</v>
      </c>
      <c r="K3048" s="455">
        <f t="shared" ca="1" si="156"/>
        <v>-138766851.50797063</v>
      </c>
      <c r="L3048" s="455">
        <f t="shared" ca="1" si="157"/>
        <v>-33442811213.420918</v>
      </c>
      <c r="M3048" s="471">
        <f t="shared" si="159"/>
        <v>0.05</v>
      </c>
      <c r="N3048" s="475">
        <f t="shared" si="160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58"/>
        <v>-33442811213.420918</v>
      </c>
      <c r="J3049" s="455">
        <f t="array" ref="J3049">IFERROR(INDEX('Retirement Calculator'!J:J,MATCH('Isaac 401k'!N3049,'Retirement Calculator'!A:A,0),0),0)</f>
        <v>0</v>
      </c>
      <c r="K3049" s="455">
        <f t="shared" ca="1" si="156"/>
        <v>-139345046.72258717</v>
      </c>
      <c r="L3049" s="455">
        <f t="shared" ca="1" si="157"/>
        <v>-33582156260.143505</v>
      </c>
      <c r="M3049" s="471">
        <f t="shared" si="159"/>
        <v>0.05</v>
      </c>
      <c r="N3049" s="475">
        <f t="shared" si="160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58"/>
        <v>-33582156260.143505</v>
      </c>
      <c r="J3050" s="455">
        <f t="array" ref="J3050">IFERROR(INDEX('Retirement Calculator'!J:J,MATCH('Isaac 401k'!N3050,'Retirement Calculator'!A:A,0),0),0)</f>
        <v>0</v>
      </c>
      <c r="K3050" s="455">
        <f t="shared" ca="1" si="156"/>
        <v>-139925651.08393127</v>
      </c>
      <c r="L3050" s="455">
        <f t="shared" ca="1" si="157"/>
        <v>-33722081911.227436</v>
      </c>
      <c r="M3050" s="471">
        <f t="shared" si="159"/>
        <v>0.05</v>
      </c>
      <c r="N3050" s="475">
        <f t="shared" si="160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58"/>
        <v>-33722081911.227436</v>
      </c>
      <c r="J3051" s="455">
        <f t="array" ref="J3051">IFERROR(INDEX('Retirement Calculator'!J:J,MATCH('Isaac 401k'!N3051,'Retirement Calculator'!A:A,0),0),0)</f>
        <v>0</v>
      </c>
      <c r="K3051" s="455">
        <f t="shared" ca="1" si="156"/>
        <v>-140508674.63011429</v>
      </c>
      <c r="L3051" s="455">
        <f t="shared" ca="1" si="157"/>
        <v>-33862590585.857552</v>
      </c>
      <c r="M3051" s="471">
        <f t="shared" si="159"/>
        <v>0.05</v>
      </c>
      <c r="N3051" s="475">
        <f t="shared" si="160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58"/>
        <v>-33862590585.857552</v>
      </c>
      <c r="J3052" s="455">
        <f t="array" ref="J3052">IFERROR(INDEX('Retirement Calculator'!J:J,MATCH('Isaac 401k'!N3052,'Retirement Calculator'!A:A,0),0),0)</f>
        <v>0</v>
      </c>
      <c r="K3052" s="455">
        <f t="shared" ca="1" si="156"/>
        <v>-141094127.44107312</v>
      </c>
      <c r="L3052" s="455">
        <f t="shared" ca="1" si="157"/>
        <v>-34003684713.298626</v>
      </c>
      <c r="M3052" s="471">
        <f t="shared" si="159"/>
        <v>0.05</v>
      </c>
      <c r="N3052" s="475">
        <f t="shared" si="160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58"/>
        <v>-34003684713.298626</v>
      </c>
      <c r="J3053" s="455">
        <f t="array" ref="J3053">IFERROR(INDEX('Retirement Calculator'!J:J,MATCH('Isaac 401k'!N3053,'Retirement Calculator'!A:A,0),0),0)</f>
        <v>0</v>
      </c>
      <c r="K3053" s="455">
        <f t="shared" ca="1" si="156"/>
        <v>-141682019.63874429</v>
      </c>
      <c r="L3053" s="455">
        <f t="shared" ca="1" si="157"/>
        <v>-34145366732.93737</v>
      </c>
      <c r="M3053" s="471">
        <f t="shared" si="159"/>
        <v>0.05</v>
      </c>
      <c r="N3053" s="475">
        <f t="shared" si="160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58"/>
        <v>-34145366732.93737</v>
      </c>
      <c r="J3054" s="455">
        <f t="array" ref="J3054">IFERROR(INDEX('Retirement Calculator'!J:J,MATCH('Isaac 401k'!N3054,'Retirement Calculator'!A:A,0),0),0)</f>
        <v>0</v>
      </c>
      <c r="K3054" s="455">
        <f t="shared" ca="1" si="156"/>
        <v>-142272361.38723904</v>
      </c>
      <c r="L3054" s="455">
        <f t="shared" ca="1" si="157"/>
        <v>-34287639094.324608</v>
      </c>
      <c r="M3054" s="471">
        <f t="shared" si="159"/>
        <v>0.05</v>
      </c>
      <c r="N3054" s="475">
        <f t="shared" si="160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58"/>
        <v>-34287639094.324608</v>
      </c>
      <c r="J3055" s="455">
        <f t="array" ref="J3055">IFERROR(INDEX('Retirement Calculator'!J:J,MATCH('Isaac 401k'!N3055,'Retirement Calculator'!A:A,0),0),0)</f>
        <v>0</v>
      </c>
      <c r="K3055" s="455">
        <f t="shared" ca="1" si="156"/>
        <v>-142865162.8930192</v>
      </c>
      <c r="L3055" s="455">
        <f t="shared" ca="1" si="157"/>
        <v>-34430504257.217628</v>
      </c>
      <c r="M3055" s="471">
        <f t="shared" si="159"/>
        <v>0.05</v>
      </c>
      <c r="N3055" s="475">
        <f t="shared" si="160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58"/>
        <v>-34430504257.217628</v>
      </c>
      <c r="J3056" s="455">
        <f t="array" ref="J3056">IFERROR(INDEX('Retirement Calculator'!J:J,MATCH('Isaac 401k'!N3056,'Retirement Calculator'!A:A,0),0),0)</f>
        <v>0</v>
      </c>
      <c r="K3056" s="455">
        <f t="shared" ca="1" si="156"/>
        <v>-143460434.40507346</v>
      </c>
      <c r="L3056" s="455">
        <f t="shared" ca="1" si="157"/>
        <v>-34573964691.622704</v>
      </c>
      <c r="M3056" s="471">
        <f t="shared" si="159"/>
        <v>0.05</v>
      </c>
      <c r="N3056" s="475">
        <f t="shared" si="160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58"/>
        <v>-34573964691.622704</v>
      </c>
      <c r="J3057" s="455">
        <f t="array" ref="J3057">IFERROR(INDEX('Retirement Calculator'!J:J,MATCH('Isaac 401k'!N3057,'Retirement Calculator'!A:A,0),0),0)</f>
        <v>0</v>
      </c>
      <c r="K3057" s="455">
        <f t="shared" ca="1" si="156"/>
        <v>-144058186.2150946</v>
      </c>
      <c r="L3057" s="455">
        <f t="shared" ca="1" si="157"/>
        <v>-34718022877.837799</v>
      </c>
      <c r="M3057" s="471">
        <f t="shared" si="159"/>
        <v>0.05</v>
      </c>
      <c r="N3057" s="475">
        <f t="shared" si="160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58"/>
        <v>-34718022877.837799</v>
      </c>
      <c r="J3058" s="455">
        <f t="array" ref="J3058">IFERROR(INDEX('Retirement Calculator'!J:J,MATCH('Isaac 401k'!N3058,'Retirement Calculator'!A:A,0),0),0)</f>
        <v>0</v>
      </c>
      <c r="K3058" s="455">
        <f t="shared" ca="1" si="156"/>
        <v>-144658428.6576575</v>
      </c>
      <c r="L3058" s="455">
        <f t="shared" ca="1" si="157"/>
        <v>-34862681306.495453</v>
      </c>
      <c r="M3058" s="471">
        <f t="shared" si="159"/>
        <v>0.05</v>
      </c>
      <c r="N3058" s="475">
        <f t="shared" si="160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58"/>
        <v>-34862681306.495453</v>
      </c>
      <c r="J3059" s="455">
        <f t="array" ref="J3059">IFERROR(INDEX('Retirement Calculator'!J:J,MATCH('Isaac 401k'!N3059,'Retirement Calculator'!A:A,0),0),0)</f>
        <v>0</v>
      </c>
      <c r="K3059" s="455">
        <f t="shared" ca="1" si="156"/>
        <v>-145261172.11039773</v>
      </c>
      <c r="L3059" s="455">
        <f t="shared" ca="1" si="157"/>
        <v>-35007942478.60585</v>
      </c>
      <c r="M3059" s="471">
        <f t="shared" si="159"/>
        <v>0.05</v>
      </c>
      <c r="N3059" s="475">
        <f t="shared" si="160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58"/>
        <v>-35007942478.60585</v>
      </c>
      <c r="J3060" s="455">
        <f t="array" ref="J3060">IFERROR(INDEX('Retirement Calculator'!J:J,MATCH('Isaac 401k'!N3060,'Retirement Calculator'!A:A,0),0),0)</f>
        <v>0</v>
      </c>
      <c r="K3060" s="455">
        <f t="shared" ca="1" si="156"/>
        <v>-145866426.99419105</v>
      </c>
      <c r="L3060" s="455">
        <f t="shared" ca="1" si="157"/>
        <v>-35153808905.600044</v>
      </c>
      <c r="M3060" s="471">
        <f t="shared" si="159"/>
        <v>0.05</v>
      </c>
      <c r="N3060" s="475">
        <f t="shared" si="160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58"/>
        <v>-35153808905.600044</v>
      </c>
      <c r="J3061" s="455">
        <f t="array" ref="J3061">IFERROR(INDEX('Retirement Calculator'!J:J,MATCH('Isaac 401k'!N3061,'Retirement Calculator'!A:A,0),0),0)</f>
        <v>0</v>
      </c>
      <c r="K3061" s="455">
        <f t="shared" ca="1" si="156"/>
        <v>-146474203.77333352</v>
      </c>
      <c r="L3061" s="455">
        <f t="shared" ca="1" si="157"/>
        <v>-35300283109.373375</v>
      </c>
      <c r="M3061" s="471">
        <f t="shared" si="159"/>
        <v>0.05</v>
      </c>
      <c r="N3061" s="475">
        <f t="shared" si="160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58"/>
        <v>-35300283109.373375</v>
      </c>
      <c r="J3062" s="455">
        <f t="array" ref="J3062">IFERROR(INDEX('Retirement Calculator'!J:J,MATCH('Isaac 401k'!N3062,'Retirement Calculator'!A:A,0),0),0)</f>
        <v>0</v>
      </c>
      <c r="K3062" s="455">
        <f t="shared" ca="1" si="156"/>
        <v>-147084512.95572239</v>
      </c>
      <c r="L3062" s="455">
        <f t="shared" ca="1" si="157"/>
        <v>-35447367622.329094</v>
      </c>
      <c r="M3062" s="471">
        <f t="shared" si="159"/>
        <v>0.05</v>
      </c>
      <c r="N3062" s="475">
        <f t="shared" si="160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58"/>
        <v>-35447367622.329094</v>
      </c>
      <c r="J3063" s="455">
        <f t="array" ref="J3063">IFERROR(INDEX('Retirement Calculator'!J:J,MATCH('Isaac 401k'!N3063,'Retirement Calculator'!A:A,0),0),0)</f>
        <v>0</v>
      </c>
      <c r="K3063" s="455">
        <f t="shared" ca="1" si="156"/>
        <v>-147697365.0930379</v>
      </c>
      <c r="L3063" s="455">
        <f t="shared" ca="1" si="157"/>
        <v>-35595064987.422134</v>
      </c>
      <c r="M3063" s="471">
        <f t="shared" si="159"/>
        <v>0.05</v>
      </c>
      <c r="N3063" s="475">
        <f t="shared" si="160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58"/>
        <v>-35595064987.422134</v>
      </c>
      <c r="J3064" s="455">
        <f t="array" ref="J3064">IFERROR(INDEX('Retirement Calculator'!J:J,MATCH('Isaac 401k'!N3064,'Retirement Calculator'!A:A,0),0),0)</f>
        <v>0</v>
      </c>
      <c r="K3064" s="455">
        <f t="shared" ca="1" si="156"/>
        <v>-148312770.78092557</v>
      </c>
      <c r="L3064" s="455">
        <f t="shared" ca="1" si="157"/>
        <v>-35743377758.203056</v>
      </c>
      <c r="M3064" s="471">
        <f t="shared" si="159"/>
        <v>0.05</v>
      </c>
      <c r="N3064" s="475">
        <f t="shared" si="160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58"/>
        <v>-35743377758.203056</v>
      </c>
      <c r="J3065" s="455">
        <f t="array" ref="J3065">IFERROR(INDEX('Retirement Calculator'!J:J,MATCH('Isaac 401k'!N3065,'Retirement Calculator'!A:A,0),0),0)</f>
        <v>0</v>
      </c>
      <c r="K3065" s="455">
        <f t="shared" ca="1" si="156"/>
        <v>-148930740.65917939</v>
      </c>
      <c r="L3065" s="455">
        <f t="shared" ca="1" si="157"/>
        <v>-35892308498.862236</v>
      </c>
      <c r="M3065" s="471">
        <f t="shared" si="159"/>
        <v>0.05</v>
      </c>
      <c r="N3065" s="475">
        <f t="shared" si="160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58"/>
        <v>-35892308498.862236</v>
      </c>
      <c r="J3066" s="455">
        <f t="array" ref="J3066">IFERROR(INDEX('Retirement Calculator'!J:J,MATCH('Isaac 401k'!N3066,'Retirement Calculator'!A:A,0),0),0)</f>
        <v>0</v>
      </c>
      <c r="K3066" s="455">
        <f t="shared" ca="1" si="156"/>
        <v>-149551285.41192597</v>
      </c>
      <c r="L3066" s="455">
        <f t="shared" ca="1" si="157"/>
        <v>-36041859784.274162</v>
      </c>
      <c r="M3066" s="471">
        <f t="shared" si="159"/>
        <v>0.05</v>
      </c>
      <c r="N3066" s="475">
        <f t="shared" si="160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58"/>
        <v>-36041859784.274162</v>
      </c>
      <c r="J3067" s="455">
        <f t="array" ref="J3067">IFERROR(INDEX('Retirement Calculator'!J:J,MATCH('Isaac 401k'!N3067,'Retirement Calculator'!A:A,0),0),0)</f>
        <v>0</v>
      </c>
      <c r="K3067" s="455">
        <f t="shared" ca="1" si="156"/>
        <v>-150174415.767809</v>
      </c>
      <c r="L3067" s="455">
        <f t="shared" ca="1" si="157"/>
        <v>-36192034200.041969</v>
      </c>
      <c r="M3067" s="471">
        <f t="shared" si="159"/>
        <v>0.05</v>
      </c>
      <c r="N3067" s="475">
        <f t="shared" si="160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58"/>
        <v>-36192034200.041969</v>
      </c>
      <c r="J3068" s="455">
        <f t="array" ref="J3068">IFERROR(INDEX('Retirement Calculator'!J:J,MATCH('Isaac 401k'!N3068,'Retirement Calculator'!A:A,0),0),0)</f>
        <v>0</v>
      </c>
      <c r="K3068" s="455">
        <f t="shared" ref="K3068:K3322" ca="1" si="161">IPMT(M3068/12,1,12,-I3068+J3068,,0)</f>
        <v>-150800142.50017488</v>
      </c>
      <c r="L3068" s="455">
        <f t="shared" ref="L3068:L3322" ca="1" si="162">I3068-J3068+K3068</f>
        <v>-36342834342.542145</v>
      </c>
      <c r="M3068" s="471">
        <f t="shared" si="159"/>
        <v>0.05</v>
      </c>
      <c r="N3068" s="475">
        <f t="shared" si="160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63">L3068</f>
        <v>-36342834342.542145</v>
      </c>
      <c r="J3069" s="455">
        <f t="array" ref="J3069">IFERROR(INDEX('Retirement Calculator'!J:J,MATCH('Isaac 401k'!N3069,'Retirement Calculator'!A:A,0),0),0)</f>
        <v>0</v>
      </c>
      <c r="K3069" s="455">
        <f t="shared" ca="1" si="161"/>
        <v>-151428476.42725894</v>
      </c>
      <c r="L3069" s="455">
        <f t="shared" ca="1" si="162"/>
        <v>-36494262818.969406</v>
      </c>
      <c r="M3069" s="471">
        <f t="shared" ref="M3069:M3323" si="164">M3068</f>
        <v>0.05</v>
      </c>
      <c r="N3069" s="475">
        <f t="shared" ref="N3069:N3323" si="165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63"/>
        <v>-36494262818.969406</v>
      </c>
      <c r="J3070" s="455">
        <f t="array" ref="J3070">IFERROR(INDEX('Retirement Calculator'!J:J,MATCH('Isaac 401k'!N3070,'Retirement Calculator'!A:A,0),0),0)</f>
        <v>0</v>
      </c>
      <c r="K3070" s="455">
        <f t="shared" ca="1" si="161"/>
        <v>-152059428.41237253</v>
      </c>
      <c r="L3070" s="455">
        <f t="shared" ca="1" si="162"/>
        <v>-36646322247.381775</v>
      </c>
      <c r="M3070" s="471">
        <f t="shared" si="164"/>
        <v>0.05</v>
      </c>
      <c r="N3070" s="475">
        <f t="shared" si="165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63"/>
        <v>-36646322247.381775</v>
      </c>
      <c r="J3071" s="455">
        <f t="array" ref="J3071">IFERROR(INDEX('Retirement Calculator'!J:J,MATCH('Isaac 401k'!N3071,'Retirement Calculator'!A:A,0),0),0)</f>
        <v>0</v>
      </c>
      <c r="K3071" s="455">
        <f t="shared" ca="1" si="161"/>
        <v>-152693009.36409074</v>
      </c>
      <c r="L3071" s="455">
        <f t="shared" ca="1" si="162"/>
        <v>-36799015256.745865</v>
      </c>
      <c r="M3071" s="471">
        <f t="shared" si="164"/>
        <v>0.05</v>
      </c>
      <c r="N3071" s="475">
        <f t="shared" si="165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63"/>
        <v>-36799015256.745865</v>
      </c>
      <c r="J3072" s="455">
        <f t="array" ref="J3072">IFERROR(INDEX('Retirement Calculator'!J:J,MATCH('Isaac 401k'!N3072,'Retirement Calculator'!A:A,0),0),0)</f>
        <v>0</v>
      </c>
      <c r="K3072" s="455">
        <f t="shared" ca="1" si="161"/>
        <v>-153329230.23644111</v>
      </c>
      <c r="L3072" s="455">
        <f t="shared" ca="1" si="162"/>
        <v>-36952344486.982307</v>
      </c>
      <c r="M3072" s="471">
        <f t="shared" si="164"/>
        <v>0.05</v>
      </c>
      <c r="N3072" s="475">
        <f t="shared" si="165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63"/>
        <v>-36952344486.982307</v>
      </c>
      <c r="J3073" s="455">
        <f t="array" ref="J3073">IFERROR(INDEX('Retirement Calculator'!J:J,MATCH('Isaac 401k'!N3073,'Retirement Calculator'!A:A,0),0),0)</f>
        <v>0</v>
      </c>
      <c r="K3073" s="455">
        <f t="shared" ca="1" si="161"/>
        <v>-153968102.02909294</v>
      </c>
      <c r="L3073" s="455">
        <f t="shared" ca="1" si="162"/>
        <v>-37106312589.011398</v>
      </c>
      <c r="M3073" s="471">
        <f t="shared" si="164"/>
        <v>0.05</v>
      </c>
      <c r="N3073" s="475">
        <f t="shared" si="165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63"/>
        <v>-37106312589.011398</v>
      </c>
      <c r="J3074" s="455">
        <f t="array" ref="J3074">IFERROR(INDEX('Retirement Calculator'!J:J,MATCH('Isaac 401k'!N3074,'Retirement Calculator'!A:A,0),0),0)</f>
        <v>0</v>
      </c>
      <c r="K3074" s="455">
        <f t="shared" ca="1" si="161"/>
        <v>-154609635.7875475</v>
      </c>
      <c r="L3074" s="455">
        <f t="shared" ca="1" si="162"/>
        <v>-37260922224.798943</v>
      </c>
      <c r="M3074" s="471">
        <f t="shared" si="164"/>
        <v>0.05</v>
      </c>
      <c r="N3074" s="475">
        <f t="shared" si="165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63"/>
        <v>-37260922224.798943</v>
      </c>
      <c r="J3075" s="455">
        <f t="array" ref="J3075">IFERROR(INDEX('Retirement Calculator'!J:J,MATCH('Isaac 401k'!N3075,'Retirement Calculator'!A:A,0),0),0)</f>
        <v>0</v>
      </c>
      <c r="K3075" s="455">
        <f t="shared" ca="1" si="161"/>
        <v>-155253842.60332891</v>
      </c>
      <c r="L3075" s="455">
        <f t="shared" ca="1" si="162"/>
        <v>-37416176067.402275</v>
      </c>
      <c r="M3075" s="471">
        <f t="shared" si="164"/>
        <v>0.05</v>
      </c>
      <c r="N3075" s="475">
        <f t="shared" si="165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63"/>
        <v>-37416176067.402275</v>
      </c>
      <c r="J3076" s="455">
        <f t="array" ref="J3076">IFERROR(INDEX('Retirement Calculator'!J:J,MATCH('Isaac 401k'!N3076,'Retirement Calculator'!A:A,0),0),0)</f>
        <v>0</v>
      </c>
      <c r="K3076" s="455">
        <f t="shared" ca="1" si="161"/>
        <v>-155900733.61417615</v>
      </c>
      <c r="L3076" s="455">
        <f t="shared" ca="1" si="162"/>
        <v>-37572076801.016449</v>
      </c>
      <c r="M3076" s="471">
        <f t="shared" si="164"/>
        <v>0.05</v>
      </c>
      <c r="N3076" s="475">
        <f t="shared" si="165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63"/>
        <v>-37572076801.016449</v>
      </c>
      <c r="J3077" s="455">
        <f t="array" ref="J3077">IFERROR(INDEX('Retirement Calculator'!J:J,MATCH('Isaac 401k'!N3077,'Retirement Calculator'!A:A,0),0),0)</f>
        <v>0</v>
      </c>
      <c r="K3077" s="455">
        <f t="shared" ca="1" si="161"/>
        <v>-156550320.00423521</v>
      </c>
      <c r="L3077" s="455">
        <f t="shared" ca="1" si="162"/>
        <v>-37728627121.020683</v>
      </c>
      <c r="M3077" s="471">
        <f t="shared" si="164"/>
        <v>0.05</v>
      </c>
      <c r="N3077" s="475">
        <f t="shared" si="165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63"/>
        <v>-37728627121.020683</v>
      </c>
      <c r="J3078" s="455">
        <f t="array" ref="J3078">IFERROR(INDEX('Retirement Calculator'!J:J,MATCH('Isaac 401k'!N3078,'Retirement Calculator'!A:A,0),0),0)</f>
        <v>0</v>
      </c>
      <c r="K3078" s="455">
        <f t="shared" ca="1" si="161"/>
        <v>-157202613.00425285</v>
      </c>
      <c r="L3078" s="455">
        <f t="shared" ca="1" si="162"/>
        <v>-37885829734.024933</v>
      </c>
      <c r="M3078" s="471">
        <f t="shared" si="164"/>
        <v>0.05</v>
      </c>
      <c r="N3078" s="475">
        <f t="shared" si="165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63"/>
        <v>-37885829734.024933</v>
      </c>
      <c r="J3079" s="455">
        <f t="array" ref="J3079">IFERROR(INDEX('Retirement Calculator'!J:J,MATCH('Isaac 401k'!N3079,'Retirement Calculator'!A:A,0),0),0)</f>
        <v>0</v>
      </c>
      <c r="K3079" s="455">
        <f t="shared" ca="1" si="161"/>
        <v>-157857623.89177054</v>
      </c>
      <c r="L3079" s="455">
        <f t="shared" ca="1" si="162"/>
        <v>-38043687357.916702</v>
      </c>
      <c r="M3079" s="471">
        <f t="shared" si="164"/>
        <v>0.05</v>
      </c>
      <c r="N3079" s="475">
        <f t="shared" si="165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63"/>
        <v>-38043687357.916702</v>
      </c>
      <c r="J3080" s="455">
        <f t="array" ref="J3080">IFERROR(INDEX('Retirement Calculator'!J:J,MATCH('Isaac 401k'!N3080,'Retirement Calculator'!A:A,0),0),0)</f>
        <v>0</v>
      </c>
      <c r="K3080" s="455">
        <f t="shared" ca="1" si="161"/>
        <v>-158515363.9913196</v>
      </c>
      <c r="L3080" s="455">
        <f t="shared" ca="1" si="162"/>
        <v>-38202202721.90802</v>
      </c>
      <c r="M3080" s="471">
        <f t="shared" si="164"/>
        <v>0.05</v>
      </c>
      <c r="N3080" s="475">
        <f t="shared" si="165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63"/>
        <v>-38202202721.90802</v>
      </c>
      <c r="J3081" s="455">
        <f t="array" ref="J3081">IFERROR(INDEX('Retirement Calculator'!J:J,MATCH('Isaac 401k'!N3081,'Retirement Calculator'!A:A,0),0),0)</f>
        <v>0</v>
      </c>
      <c r="K3081" s="455">
        <f t="shared" ca="1" si="161"/>
        <v>-159175844.67461675</v>
      </c>
      <c r="L3081" s="455">
        <f t="shared" ca="1" si="162"/>
        <v>-38361378566.582634</v>
      </c>
      <c r="M3081" s="471">
        <f t="shared" si="164"/>
        <v>0.05</v>
      </c>
      <c r="N3081" s="475">
        <f t="shared" si="165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63"/>
        <v>-38361378566.582634</v>
      </c>
      <c r="J3082" s="455">
        <f t="array" ref="J3082">IFERROR(INDEX('Retirement Calculator'!J:J,MATCH('Isaac 401k'!N3082,'Retirement Calculator'!A:A,0),0),0)</f>
        <v>0</v>
      </c>
      <c r="K3082" s="455">
        <f t="shared" ca="1" si="161"/>
        <v>-159839077.36076099</v>
      </c>
      <c r="L3082" s="455">
        <f t="shared" ca="1" si="162"/>
        <v>-38521217643.943398</v>
      </c>
      <c r="M3082" s="471">
        <f t="shared" si="164"/>
        <v>0.05</v>
      </c>
      <c r="N3082" s="475">
        <f t="shared" si="165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63"/>
        <v>-38521217643.943398</v>
      </c>
      <c r="J3083" s="455">
        <f t="array" ref="J3083">IFERROR(INDEX('Retirement Calculator'!J:J,MATCH('Isaac 401k'!N3083,'Retirement Calculator'!A:A,0),0),0)</f>
        <v>0</v>
      </c>
      <c r="K3083" s="455">
        <f t="shared" ca="1" si="161"/>
        <v>-160505073.51643082</v>
      </c>
      <c r="L3083" s="455">
        <f t="shared" ca="1" si="162"/>
        <v>-38681722717.459831</v>
      </c>
      <c r="M3083" s="471">
        <f t="shared" si="164"/>
        <v>0.05</v>
      </c>
      <c r="N3083" s="475">
        <f t="shared" si="165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63"/>
        <v>-38681722717.459831</v>
      </c>
      <c r="J3084" s="455">
        <f t="array" ref="J3084">IFERROR(INDEX('Retirement Calculator'!J:J,MATCH('Isaac 401k'!N3084,'Retirement Calculator'!A:A,0),0),0)</f>
        <v>0</v>
      </c>
      <c r="K3084" s="455">
        <f t="shared" ca="1" si="161"/>
        <v>-161173844.65608263</v>
      </c>
      <c r="L3084" s="455">
        <f t="shared" ca="1" si="162"/>
        <v>-38842896562.115913</v>
      </c>
      <c r="M3084" s="471">
        <f t="shared" si="164"/>
        <v>0.05</v>
      </c>
      <c r="N3084" s="475">
        <f t="shared" si="165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63"/>
        <v>-38842896562.115913</v>
      </c>
      <c r="J3085" s="455">
        <f t="array" ref="J3085">IFERROR(INDEX('Retirement Calculator'!J:J,MATCH('Isaac 401k'!N3085,'Retirement Calculator'!A:A,0),0),0)</f>
        <v>0</v>
      </c>
      <c r="K3085" s="455">
        <f t="shared" ca="1" si="161"/>
        <v>-161845402.34214965</v>
      </c>
      <c r="L3085" s="455">
        <f t="shared" ca="1" si="162"/>
        <v>-39004741964.458061</v>
      </c>
      <c r="M3085" s="471">
        <f t="shared" si="164"/>
        <v>0.05</v>
      </c>
      <c r="N3085" s="475">
        <f t="shared" si="165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63"/>
        <v>-39004741964.458061</v>
      </c>
      <c r="J3086" s="455">
        <f t="array" ref="J3086">IFERROR(INDEX('Retirement Calculator'!J:J,MATCH('Isaac 401k'!N3086,'Retirement Calculator'!A:A,0),0),0)</f>
        <v>0</v>
      </c>
      <c r="K3086" s="455">
        <f t="shared" ca="1" si="161"/>
        <v>-162519758.18524191</v>
      </c>
      <c r="L3086" s="455">
        <f t="shared" ca="1" si="162"/>
        <v>-39167261722.643303</v>
      </c>
      <c r="M3086" s="471">
        <f t="shared" si="164"/>
        <v>0.05</v>
      </c>
      <c r="N3086" s="475">
        <f t="shared" si="165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63"/>
        <v>-39167261722.643303</v>
      </c>
      <c r="J3087" s="455">
        <f t="array" ref="J3087">IFERROR(INDEX('Retirement Calculator'!J:J,MATCH('Isaac 401k'!N3087,'Retirement Calculator'!A:A,0),0),0)</f>
        <v>0</v>
      </c>
      <c r="K3087" s="455">
        <f t="shared" ca="1" si="161"/>
        <v>-163196923.84434709</v>
      </c>
      <c r="L3087" s="455">
        <f t="shared" ca="1" si="162"/>
        <v>-39330458646.487648</v>
      </c>
      <c r="M3087" s="471">
        <f t="shared" si="164"/>
        <v>0.05</v>
      </c>
      <c r="N3087" s="475">
        <f t="shared" si="165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63"/>
        <v>-39330458646.487648</v>
      </c>
      <c r="J3088" s="455">
        <f t="array" ref="J3088">IFERROR(INDEX('Retirement Calculator'!J:J,MATCH('Isaac 401k'!N3088,'Retirement Calculator'!A:A,0),0),0)</f>
        <v>0</v>
      </c>
      <c r="K3088" s="455">
        <f t="shared" ca="1" si="161"/>
        <v>-163876911.02703187</v>
      </c>
      <c r="L3088" s="455">
        <f t="shared" ca="1" si="162"/>
        <v>-39494335557.514679</v>
      </c>
      <c r="M3088" s="471">
        <f t="shared" si="164"/>
        <v>0.05</v>
      </c>
      <c r="N3088" s="475">
        <f t="shared" si="165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63"/>
        <v>-39494335557.514679</v>
      </c>
      <c r="J3089" s="455">
        <f t="array" ref="J3089">IFERROR(INDEX('Retirement Calculator'!J:J,MATCH('Isaac 401k'!N3089,'Retirement Calculator'!A:A,0),0),0)</f>
        <v>0</v>
      </c>
      <c r="K3089" s="455">
        <f t="shared" ca="1" si="161"/>
        <v>-164559731.4896445</v>
      </c>
      <c r="L3089" s="455">
        <f t="shared" ca="1" si="162"/>
        <v>-39658895289.004326</v>
      </c>
      <c r="M3089" s="471">
        <f t="shared" si="164"/>
        <v>0.05</v>
      </c>
      <c r="N3089" s="475">
        <f t="shared" si="165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63"/>
        <v>-39658895289.004326</v>
      </c>
      <c r="J3090" s="455">
        <f t="array" ref="J3090">IFERROR(INDEX('Retirement Calculator'!J:J,MATCH('Isaac 401k'!N3090,'Retirement Calculator'!A:A,0),0),0)</f>
        <v>0</v>
      </c>
      <c r="K3090" s="455">
        <f t="shared" ca="1" si="161"/>
        <v>-165245397.03751802</v>
      </c>
      <c r="L3090" s="455">
        <f t="shared" ca="1" si="162"/>
        <v>-39824140686.041847</v>
      </c>
      <c r="M3090" s="471">
        <f t="shared" si="164"/>
        <v>0.05</v>
      </c>
      <c r="N3090" s="475">
        <f t="shared" si="165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63"/>
        <v>-39824140686.041847</v>
      </c>
      <c r="J3091" s="455">
        <f t="array" ref="J3091">IFERROR(INDEX('Retirement Calculator'!J:J,MATCH('Isaac 401k'!N3091,'Retirement Calculator'!A:A,0),0),0)</f>
        <v>0</v>
      </c>
      <c r="K3091" s="455">
        <f t="shared" ca="1" si="161"/>
        <v>-165933919.52517435</v>
      </c>
      <c r="L3091" s="455">
        <f t="shared" ca="1" si="162"/>
        <v>-39990074605.567024</v>
      </c>
      <c r="M3091" s="471">
        <f t="shared" si="164"/>
        <v>0.05</v>
      </c>
      <c r="N3091" s="475">
        <f t="shared" si="165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63"/>
        <v>-39990074605.567024</v>
      </c>
      <c r="J3092" s="455">
        <f t="array" ref="J3092">IFERROR(INDEX('Retirement Calculator'!J:J,MATCH('Isaac 401k'!N3092,'Retirement Calculator'!A:A,0),0),0)</f>
        <v>0</v>
      </c>
      <c r="K3092" s="455">
        <f t="shared" ca="1" si="161"/>
        <v>-166625310.85652927</v>
      </c>
      <c r="L3092" s="455">
        <f t="shared" ca="1" si="162"/>
        <v>-40156699916.423553</v>
      </c>
      <c r="M3092" s="471">
        <f t="shared" si="164"/>
        <v>0.05</v>
      </c>
      <c r="N3092" s="475">
        <f t="shared" si="165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63"/>
        <v>-40156699916.423553</v>
      </c>
      <c r="J3093" s="455">
        <f t="array" ref="J3093">IFERROR(INDEX('Retirement Calculator'!J:J,MATCH('Isaac 401k'!N3093,'Retirement Calculator'!A:A,0),0),0)</f>
        <v>0</v>
      </c>
      <c r="K3093" s="455">
        <f t="shared" ca="1" si="161"/>
        <v>-167319582.98509812</v>
      </c>
      <c r="L3093" s="455">
        <f t="shared" ca="1" si="162"/>
        <v>-40324019499.408653</v>
      </c>
      <c r="M3093" s="471">
        <f t="shared" si="164"/>
        <v>0.05</v>
      </c>
      <c r="N3093" s="475">
        <f t="shared" si="165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63"/>
        <v>-40324019499.408653</v>
      </c>
      <c r="J3094" s="455">
        <f t="array" ref="J3094">IFERROR(INDEX('Retirement Calculator'!J:J,MATCH('Isaac 401k'!N3094,'Retirement Calculator'!A:A,0),0),0)</f>
        <v>0</v>
      </c>
      <c r="K3094" s="455">
        <f t="shared" ca="1" si="161"/>
        <v>-168016747.91420272</v>
      </c>
      <c r="L3094" s="455">
        <f t="shared" ca="1" si="162"/>
        <v>-40492036247.322853</v>
      </c>
      <c r="M3094" s="471">
        <f t="shared" si="164"/>
        <v>0.05</v>
      </c>
      <c r="N3094" s="475">
        <f t="shared" si="165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63"/>
        <v>-40492036247.322853</v>
      </c>
      <c r="J3095" s="455">
        <f t="array" ref="J3095">IFERROR(INDEX('Retirement Calculator'!J:J,MATCH('Isaac 401k'!N3095,'Retirement Calculator'!A:A,0),0),0)</f>
        <v>0</v>
      </c>
      <c r="K3095" s="455">
        <f t="shared" ca="1" si="161"/>
        <v>-168716817.69717854</v>
      </c>
      <c r="L3095" s="455">
        <f t="shared" ca="1" si="162"/>
        <v>-40660753065.020035</v>
      </c>
      <c r="M3095" s="471">
        <f t="shared" si="164"/>
        <v>0.05</v>
      </c>
      <c r="N3095" s="475">
        <f t="shared" si="165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63"/>
        <v>-40660753065.020035</v>
      </c>
      <c r="J3096" s="455">
        <f t="array" ref="J3096">IFERROR(INDEX('Retirement Calculator'!J:J,MATCH('Isaac 401k'!N3096,'Retirement Calculator'!A:A,0),0),0)</f>
        <v>0</v>
      </c>
      <c r="K3096" s="455">
        <f t="shared" ca="1" si="161"/>
        <v>-169419804.43758348</v>
      </c>
      <c r="L3096" s="455">
        <f t="shared" ca="1" si="162"/>
        <v>-40830172869.457619</v>
      </c>
      <c r="M3096" s="471">
        <f t="shared" si="164"/>
        <v>0.05</v>
      </c>
      <c r="N3096" s="475">
        <f t="shared" si="165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63"/>
        <v>-40830172869.457619</v>
      </c>
      <c r="J3097" s="455">
        <f t="array" ref="J3097">IFERROR(INDEX('Retirement Calculator'!J:J,MATCH('Isaac 401k'!N3097,'Retirement Calculator'!A:A,0),0),0)</f>
        <v>0</v>
      </c>
      <c r="K3097" s="455">
        <f t="shared" ca="1" si="161"/>
        <v>-170125720.28940675</v>
      </c>
      <c r="L3097" s="455">
        <f t="shared" ca="1" si="162"/>
        <v>-41000298589.747025</v>
      </c>
      <c r="M3097" s="471">
        <f t="shared" si="164"/>
        <v>0.05</v>
      </c>
      <c r="N3097" s="475">
        <f t="shared" si="165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63"/>
        <v>-41000298589.747025</v>
      </c>
      <c r="J3098" s="455">
        <f t="array" ref="J3098">IFERROR(INDEX('Retirement Calculator'!J:J,MATCH('Isaac 401k'!N3098,'Retirement Calculator'!A:A,0),0),0)</f>
        <v>0</v>
      </c>
      <c r="K3098" s="455">
        <f t="shared" ca="1" si="161"/>
        <v>-170834577.45727926</v>
      </c>
      <c r="L3098" s="455">
        <f t="shared" ca="1" si="162"/>
        <v>-41171133167.204308</v>
      </c>
      <c r="M3098" s="471">
        <f t="shared" si="164"/>
        <v>0.05</v>
      </c>
      <c r="N3098" s="475">
        <f t="shared" si="165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63"/>
        <v>-41171133167.204308</v>
      </c>
      <c r="J3099" s="455">
        <f t="array" ref="J3099">IFERROR(INDEX('Retirement Calculator'!J:J,MATCH('Isaac 401k'!N3099,'Retirement Calculator'!A:A,0),0),0)</f>
        <v>0</v>
      </c>
      <c r="K3099" s="455">
        <f t="shared" ca="1" si="161"/>
        <v>-171546388.1966846</v>
      </c>
      <c r="L3099" s="455">
        <f t="shared" ca="1" si="162"/>
        <v>-41342679555.400993</v>
      </c>
      <c r="M3099" s="471">
        <f t="shared" si="164"/>
        <v>0.05</v>
      </c>
      <c r="N3099" s="475">
        <f t="shared" si="165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63"/>
        <v>-41342679555.400993</v>
      </c>
      <c r="J3100" s="455">
        <f t="array" ref="J3100">IFERROR(INDEX('Retirement Calculator'!J:J,MATCH('Isaac 401k'!N3100,'Retirement Calculator'!A:A,0),0),0)</f>
        <v>0</v>
      </c>
      <c r="K3100" s="455">
        <f t="shared" ca="1" si="161"/>
        <v>-172261164.81417081</v>
      </c>
      <c r="L3100" s="455">
        <f t="shared" ca="1" si="162"/>
        <v>-41514940720.215164</v>
      </c>
      <c r="M3100" s="471">
        <f t="shared" si="164"/>
        <v>0.05</v>
      </c>
      <c r="N3100" s="475">
        <f t="shared" si="165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63"/>
        <v>-41514940720.215164</v>
      </c>
      <c r="J3101" s="455">
        <f t="array" ref="J3101">IFERROR(INDEX('Retirement Calculator'!J:J,MATCH('Isaac 401k'!N3101,'Retirement Calculator'!A:A,0),0),0)</f>
        <v>0</v>
      </c>
      <c r="K3101" s="455">
        <f t="shared" ca="1" si="161"/>
        <v>-172978919.66756317</v>
      </c>
      <c r="L3101" s="455">
        <f t="shared" ca="1" si="162"/>
        <v>-41687919639.882729</v>
      </c>
      <c r="M3101" s="471">
        <f t="shared" si="164"/>
        <v>0.05</v>
      </c>
      <c r="N3101" s="475">
        <f t="shared" si="165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63"/>
        <v>-41687919639.882729</v>
      </c>
      <c r="J3102" s="455">
        <f t="array" ref="J3102">IFERROR(INDEX('Retirement Calculator'!J:J,MATCH('Isaac 401k'!N3102,'Retirement Calculator'!A:A,0),0),0)</f>
        <v>0</v>
      </c>
      <c r="K3102" s="455">
        <f t="shared" ca="1" si="161"/>
        <v>-173699665.16617805</v>
      </c>
      <c r="L3102" s="455">
        <f t="shared" ca="1" si="162"/>
        <v>-41861619305.048904</v>
      </c>
      <c r="M3102" s="471">
        <f t="shared" si="164"/>
        <v>0.05</v>
      </c>
      <c r="N3102" s="475">
        <f t="shared" si="165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63"/>
        <v>-41861619305.048904</v>
      </c>
      <c r="J3103" s="455">
        <f t="array" ref="J3103">IFERROR(INDEX('Retirement Calculator'!J:J,MATCH('Isaac 401k'!N3103,'Retirement Calculator'!A:A,0),0),0)</f>
        <v>0</v>
      </c>
      <c r="K3103" s="455">
        <f t="shared" ca="1" si="161"/>
        <v>-174423413.7710371</v>
      </c>
      <c r="L3103" s="455">
        <f t="shared" ca="1" si="162"/>
        <v>-42036042718.819939</v>
      </c>
      <c r="M3103" s="471">
        <f t="shared" si="164"/>
        <v>0.05</v>
      </c>
      <c r="N3103" s="475">
        <f t="shared" si="165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63"/>
        <v>-42036042718.819939</v>
      </c>
      <c r="J3104" s="455">
        <f t="array" ref="J3104">IFERROR(INDEX('Retirement Calculator'!J:J,MATCH('Isaac 401k'!N3104,'Retirement Calculator'!A:A,0),0),0)</f>
        <v>0</v>
      </c>
      <c r="K3104" s="455">
        <f t="shared" ca="1" si="161"/>
        <v>-175150177.99508306</v>
      </c>
      <c r="L3104" s="455">
        <f t="shared" ca="1" si="162"/>
        <v>-42211192896.815025</v>
      </c>
      <c r="M3104" s="471">
        <f t="shared" si="164"/>
        <v>0.05</v>
      </c>
      <c r="N3104" s="475">
        <f t="shared" si="165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63"/>
        <v>-42211192896.815025</v>
      </c>
      <c r="J3105" s="455">
        <f t="array" ref="J3105">IFERROR(INDEX('Retirement Calculator'!J:J,MATCH('Isaac 401k'!N3105,'Retirement Calculator'!A:A,0),0),0)</f>
        <v>0</v>
      </c>
      <c r="K3105" s="455">
        <f t="shared" ca="1" si="161"/>
        <v>-175879970.40339595</v>
      </c>
      <c r="L3105" s="455">
        <f t="shared" ca="1" si="162"/>
        <v>-42387072867.218422</v>
      </c>
      <c r="M3105" s="471">
        <f t="shared" si="164"/>
        <v>0.05</v>
      </c>
      <c r="N3105" s="475">
        <f t="shared" si="165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63"/>
        <v>-42387072867.218422</v>
      </c>
      <c r="J3106" s="455">
        <f t="array" ref="J3106">IFERROR(INDEX('Retirement Calculator'!J:J,MATCH('Isaac 401k'!N3106,'Retirement Calculator'!A:A,0),0),0)</f>
        <v>0</v>
      </c>
      <c r="K3106" s="455">
        <f t="shared" ca="1" si="161"/>
        <v>-176612803.61341009</v>
      </c>
      <c r="L3106" s="455">
        <f t="shared" ca="1" si="162"/>
        <v>-42563685670.831833</v>
      </c>
      <c r="M3106" s="471">
        <f t="shared" si="164"/>
        <v>0.05</v>
      </c>
      <c r="N3106" s="475">
        <f t="shared" si="165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63"/>
        <v>-42563685670.831833</v>
      </c>
      <c r="J3107" s="455">
        <f t="array" ref="J3107">IFERROR(INDEX('Retirement Calculator'!J:J,MATCH('Isaac 401k'!N3107,'Retirement Calculator'!A:A,0),0),0)</f>
        <v>0</v>
      </c>
      <c r="K3107" s="455">
        <f t="shared" ca="1" si="161"/>
        <v>-177348690.29513264</v>
      </c>
      <c r="L3107" s="455">
        <f t="shared" ca="1" si="162"/>
        <v>-42741034361.126968</v>
      </c>
      <c r="M3107" s="471">
        <f t="shared" si="164"/>
        <v>0.05</v>
      </c>
      <c r="N3107" s="475">
        <f t="shared" si="165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63"/>
        <v>-42741034361.126968</v>
      </c>
      <c r="J3108" s="455">
        <f t="array" ref="J3108">IFERROR(INDEX('Retirement Calculator'!J:J,MATCH('Isaac 401k'!N3108,'Retirement Calculator'!A:A,0),0),0)</f>
        <v>0</v>
      </c>
      <c r="K3108" s="455">
        <f t="shared" ca="1" si="161"/>
        <v>-178087643.17136237</v>
      </c>
      <c r="L3108" s="455">
        <f t="shared" ca="1" si="162"/>
        <v>-42919122004.298332</v>
      </c>
      <c r="M3108" s="471">
        <f t="shared" si="164"/>
        <v>0.05</v>
      </c>
      <c r="N3108" s="475">
        <f t="shared" si="165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63"/>
        <v>-42919122004.298332</v>
      </c>
      <c r="J3109" s="455">
        <f t="array" ref="J3109">IFERROR(INDEX('Retirement Calculator'!J:J,MATCH('Isaac 401k'!N3109,'Retirement Calculator'!A:A,0),0),0)</f>
        <v>0</v>
      </c>
      <c r="K3109" s="455">
        <f t="shared" ca="1" si="161"/>
        <v>-178829675.01790971</v>
      </c>
      <c r="L3109" s="455">
        <f t="shared" ca="1" si="162"/>
        <v>-43097951679.316238</v>
      </c>
      <c r="M3109" s="471">
        <f t="shared" si="164"/>
        <v>0.05</v>
      </c>
      <c r="N3109" s="475">
        <f t="shared" si="165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63"/>
        <v>-43097951679.316238</v>
      </c>
      <c r="J3110" s="455">
        <f t="array" ref="J3110">IFERROR(INDEX('Retirement Calculator'!J:J,MATCH('Isaac 401k'!N3110,'Retirement Calculator'!A:A,0),0),0)</f>
        <v>0</v>
      </c>
      <c r="K3110" s="455">
        <f t="shared" ca="1" si="161"/>
        <v>-179574798.66381764</v>
      </c>
      <c r="L3110" s="455">
        <f t="shared" ca="1" si="162"/>
        <v>-43277526477.980057</v>
      </c>
      <c r="M3110" s="471">
        <f t="shared" si="164"/>
        <v>0.05</v>
      </c>
      <c r="N3110" s="475">
        <f t="shared" si="165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63"/>
        <v>-43277526477.980057</v>
      </c>
      <c r="J3111" s="455">
        <f t="array" ref="J3111">IFERROR(INDEX('Retirement Calculator'!J:J,MATCH('Isaac 401k'!N3111,'Retirement Calculator'!A:A,0),0),0)</f>
        <v>0</v>
      </c>
      <c r="K3111" s="455">
        <f t="shared" ca="1" si="161"/>
        <v>-180323026.99158356</v>
      </c>
      <c r="L3111" s="455">
        <f t="shared" ca="1" si="162"/>
        <v>-43457849504.971642</v>
      </c>
      <c r="M3111" s="471">
        <f t="shared" si="164"/>
        <v>0.05</v>
      </c>
      <c r="N3111" s="475">
        <f t="shared" si="165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63"/>
        <v>-43457849504.971642</v>
      </c>
      <c r="J3112" s="455">
        <f t="array" ref="J3112">IFERROR(INDEX('Retirement Calculator'!J:J,MATCH('Isaac 401k'!N3112,'Retirement Calculator'!A:A,0),0),0)</f>
        <v>0</v>
      </c>
      <c r="K3112" s="455">
        <f t="shared" ca="1" si="161"/>
        <v>-181074372.93738183</v>
      </c>
      <c r="L3112" s="455">
        <f t="shared" ca="1" si="162"/>
        <v>-43638923877.909027</v>
      </c>
      <c r="M3112" s="471">
        <f t="shared" si="164"/>
        <v>0.05</v>
      </c>
      <c r="N3112" s="475">
        <f t="shared" si="165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63"/>
        <v>-43638923877.909027</v>
      </c>
      <c r="J3113" s="455">
        <f t="array" ref="J3113">IFERROR(INDEX('Retirement Calculator'!J:J,MATCH('Isaac 401k'!N3113,'Retirement Calculator'!A:A,0),0),0)</f>
        <v>0</v>
      </c>
      <c r="K3113" s="455">
        <f t="shared" ca="1" si="161"/>
        <v>-181828849.49128762</v>
      </c>
      <c r="L3113" s="455">
        <f t="shared" ca="1" si="162"/>
        <v>-43820752727.400314</v>
      </c>
      <c r="M3113" s="471">
        <f t="shared" si="164"/>
        <v>0.05</v>
      </c>
      <c r="N3113" s="475">
        <f t="shared" si="165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63"/>
        <v>-43820752727.400314</v>
      </c>
      <c r="J3114" s="455">
        <f t="array" ref="J3114">IFERROR(INDEX('Retirement Calculator'!J:J,MATCH('Isaac 401k'!N3114,'Retirement Calculator'!A:A,0),0),0)</f>
        <v>0</v>
      </c>
      <c r="K3114" s="455">
        <f t="shared" ca="1" si="161"/>
        <v>-182586469.6975013</v>
      </c>
      <c r="L3114" s="455">
        <f t="shared" ca="1" si="162"/>
        <v>-44003339197.097816</v>
      </c>
      <c r="M3114" s="471">
        <f t="shared" si="164"/>
        <v>0.05</v>
      </c>
      <c r="N3114" s="475">
        <f t="shared" si="165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63"/>
        <v>-44003339197.097816</v>
      </c>
      <c r="J3115" s="455">
        <f t="array" ref="J3115">IFERROR(INDEX('Retirement Calculator'!J:J,MATCH('Isaac 401k'!N3115,'Retirement Calculator'!A:A,0),0),0)</f>
        <v>0</v>
      </c>
      <c r="K3115" s="455">
        <f t="shared" ca="1" si="161"/>
        <v>-183347246.65457425</v>
      </c>
      <c r="L3115" s="455">
        <f t="shared" ca="1" si="162"/>
        <v>-44186686443.752388</v>
      </c>
      <c r="M3115" s="471">
        <f t="shared" si="164"/>
        <v>0.05</v>
      </c>
      <c r="N3115" s="475">
        <f t="shared" si="165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63"/>
        <v>-44186686443.752388</v>
      </c>
      <c r="J3116" s="455">
        <f t="array" ref="J3116">IFERROR(INDEX('Retirement Calculator'!J:J,MATCH('Isaac 401k'!N3116,'Retirement Calculator'!A:A,0),0),0)</f>
        <v>0</v>
      </c>
      <c r="K3116" s="455">
        <f t="shared" ca="1" si="161"/>
        <v>-184111193.51563495</v>
      </c>
      <c r="L3116" s="455">
        <f t="shared" ca="1" si="162"/>
        <v>-44370797637.268021</v>
      </c>
      <c r="M3116" s="471">
        <f t="shared" si="164"/>
        <v>0.05</v>
      </c>
      <c r="N3116" s="475">
        <f t="shared" si="165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63"/>
        <v>-44370797637.268021</v>
      </c>
      <c r="J3117" s="455">
        <f t="array" ref="J3117">IFERROR(INDEX('Retirement Calculator'!J:J,MATCH('Isaac 401k'!N3117,'Retirement Calculator'!A:A,0),0),0)</f>
        <v>0</v>
      </c>
      <c r="K3117" s="455">
        <f t="shared" ca="1" si="161"/>
        <v>-184878323.48861676</v>
      </c>
      <c r="L3117" s="455">
        <f t="shared" ca="1" si="162"/>
        <v>-44555675960.756638</v>
      </c>
      <c r="M3117" s="471">
        <f t="shared" si="164"/>
        <v>0.05</v>
      </c>
      <c r="N3117" s="475">
        <f t="shared" si="165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63"/>
        <v>-44555675960.756638</v>
      </c>
      <c r="J3118" s="455">
        <f t="array" ref="J3118">IFERROR(INDEX('Retirement Calculator'!J:J,MATCH('Isaac 401k'!N3118,'Retirement Calculator'!A:A,0),0),0)</f>
        <v>0</v>
      </c>
      <c r="K3118" s="455">
        <f t="shared" ca="1" si="161"/>
        <v>-185648649.83648598</v>
      </c>
      <c r="L3118" s="455">
        <f t="shared" ca="1" si="162"/>
        <v>-44741324610.593124</v>
      </c>
      <c r="M3118" s="471">
        <f t="shared" si="164"/>
        <v>0.05</v>
      </c>
      <c r="N3118" s="475">
        <f t="shared" si="165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63"/>
        <v>-44741324610.593124</v>
      </c>
      <c r="J3119" s="455">
        <f t="array" ref="J3119">IFERROR(INDEX('Retirement Calculator'!J:J,MATCH('Isaac 401k'!N3119,'Retirement Calculator'!A:A,0),0),0)</f>
        <v>0</v>
      </c>
      <c r="K3119" s="455">
        <f t="shared" ca="1" si="161"/>
        <v>-186422185.87747136</v>
      </c>
      <c r="L3119" s="455">
        <f t="shared" ca="1" si="162"/>
        <v>-44927746796.470596</v>
      </c>
      <c r="M3119" s="471">
        <f t="shared" si="164"/>
        <v>0.05</v>
      </c>
      <c r="N3119" s="475">
        <f t="shared" si="165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63"/>
        <v>-44927746796.470596</v>
      </c>
      <c r="J3120" s="455">
        <f t="array" ref="J3120">IFERROR(INDEX('Retirement Calculator'!J:J,MATCH('Isaac 401k'!N3120,'Retirement Calculator'!A:A,0),0),0)</f>
        <v>0</v>
      </c>
      <c r="K3120" s="455">
        <f t="shared" ca="1" si="161"/>
        <v>-187198944.98529416</v>
      </c>
      <c r="L3120" s="455">
        <f t="shared" ca="1" si="162"/>
        <v>-45114945741.455887</v>
      </c>
      <c r="M3120" s="471">
        <f t="shared" si="164"/>
        <v>0.05</v>
      </c>
      <c r="N3120" s="475">
        <f t="shared" si="165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63"/>
        <v>-45114945741.455887</v>
      </c>
      <c r="J3121" s="455">
        <f t="array" ref="J3121">IFERROR(INDEX('Retirement Calculator'!J:J,MATCH('Isaac 401k'!N3121,'Retirement Calculator'!A:A,0),0),0)</f>
        <v>0</v>
      </c>
      <c r="K3121" s="455">
        <f t="shared" ca="1" si="161"/>
        <v>-187978940.58939952</v>
      </c>
      <c r="L3121" s="455">
        <f t="shared" ca="1" si="162"/>
        <v>-45302924682.045288</v>
      </c>
      <c r="M3121" s="471">
        <f t="shared" si="164"/>
        <v>0.05</v>
      </c>
      <c r="N3121" s="475">
        <f t="shared" si="165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63"/>
        <v>-45302924682.045288</v>
      </c>
      <c r="J3122" s="455">
        <f t="array" ref="J3122">IFERROR(INDEX('Retirement Calculator'!J:J,MATCH('Isaac 401k'!N3122,'Retirement Calculator'!A:A,0),0),0)</f>
        <v>0</v>
      </c>
      <c r="K3122" s="455">
        <f t="shared" ca="1" si="161"/>
        <v>-188762186.17518869</v>
      </c>
      <c r="L3122" s="455">
        <f t="shared" ca="1" si="162"/>
        <v>-45491686868.220474</v>
      </c>
      <c r="M3122" s="471">
        <f t="shared" si="164"/>
        <v>0.05</v>
      </c>
      <c r="N3122" s="475">
        <f t="shared" si="165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63"/>
        <v>-45491686868.220474</v>
      </c>
      <c r="J3123" s="455">
        <f t="array" ref="J3123">IFERROR(INDEX('Retirement Calculator'!J:J,MATCH('Isaac 401k'!N3123,'Retirement Calculator'!A:A,0),0),0)</f>
        <v>0</v>
      </c>
      <c r="K3123" s="455">
        <f t="shared" ca="1" si="161"/>
        <v>-189548695.28425199</v>
      </c>
      <c r="L3123" s="455">
        <f t="shared" ca="1" si="162"/>
        <v>-45681235563.504723</v>
      </c>
      <c r="M3123" s="471">
        <f t="shared" si="164"/>
        <v>0.05</v>
      </c>
      <c r="N3123" s="475">
        <f t="shared" si="165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63"/>
        <v>-45681235563.504723</v>
      </c>
      <c r="J3124" s="455">
        <f t="array" ref="J3124">IFERROR(INDEX('Retirement Calculator'!J:J,MATCH('Isaac 401k'!N3124,'Retirement Calculator'!A:A,0),0),0)</f>
        <v>0</v>
      </c>
      <c r="K3124" s="455">
        <f t="shared" ca="1" si="161"/>
        <v>-190338481.51460302</v>
      </c>
      <c r="L3124" s="455">
        <f t="shared" ca="1" si="162"/>
        <v>-45871574045.019325</v>
      </c>
      <c r="M3124" s="471">
        <f t="shared" si="164"/>
        <v>0.05</v>
      </c>
      <c r="N3124" s="475">
        <f t="shared" si="165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63"/>
        <v>-45871574045.019325</v>
      </c>
      <c r="J3125" s="455">
        <f t="array" ref="J3125">IFERROR(INDEX('Retirement Calculator'!J:J,MATCH('Isaac 401k'!N3125,'Retirement Calculator'!A:A,0),0),0)</f>
        <v>0</v>
      </c>
      <c r="K3125" s="455">
        <f t="shared" ca="1" si="161"/>
        <v>-191131558.52091384</v>
      </c>
      <c r="L3125" s="455">
        <f t="shared" ca="1" si="162"/>
        <v>-46062705603.540237</v>
      </c>
      <c r="M3125" s="471">
        <f t="shared" si="164"/>
        <v>0.05</v>
      </c>
      <c r="N3125" s="475">
        <f t="shared" si="165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63"/>
        <v>-46062705603.540237</v>
      </c>
      <c r="J3126" s="455">
        <f t="array" ref="J3126">IFERROR(INDEX('Retirement Calculator'!J:J,MATCH('Isaac 401k'!N3126,'Retirement Calculator'!A:A,0),0),0)</f>
        <v>0</v>
      </c>
      <c r="K3126" s="455">
        <f t="shared" ca="1" si="161"/>
        <v>-191927940.01475099</v>
      </c>
      <c r="L3126" s="455">
        <f t="shared" ca="1" si="162"/>
        <v>-46254633543.554985</v>
      </c>
      <c r="M3126" s="471">
        <f t="shared" si="164"/>
        <v>0.05</v>
      </c>
      <c r="N3126" s="475">
        <f t="shared" si="165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63"/>
        <v>-46254633543.554985</v>
      </c>
      <c r="J3127" s="455">
        <f t="array" ref="J3127">IFERROR(INDEX('Retirement Calculator'!J:J,MATCH('Isaac 401k'!N3127,'Retirement Calculator'!A:A,0),0),0)</f>
        <v>0</v>
      </c>
      <c r="K3127" s="455">
        <f t="shared" ca="1" si="161"/>
        <v>-192727639.76481244</v>
      </c>
      <c r="L3127" s="455">
        <f t="shared" ca="1" si="162"/>
        <v>-46447361183.319794</v>
      </c>
      <c r="M3127" s="471">
        <f t="shared" si="164"/>
        <v>0.05</v>
      </c>
      <c r="N3127" s="475">
        <f t="shared" si="165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63"/>
        <v>-46447361183.319794</v>
      </c>
      <c r="J3128" s="455">
        <f t="array" ref="J3128">IFERROR(INDEX('Retirement Calculator'!J:J,MATCH('Isaac 401k'!N3128,'Retirement Calculator'!A:A,0),0),0)</f>
        <v>0</v>
      </c>
      <c r="K3128" s="455">
        <f t="shared" ca="1" si="161"/>
        <v>-193530671.59716579</v>
      </c>
      <c r="L3128" s="455">
        <f t="shared" ca="1" si="162"/>
        <v>-46640891854.916962</v>
      </c>
      <c r="M3128" s="471">
        <f t="shared" si="164"/>
        <v>0.05</v>
      </c>
      <c r="N3128" s="475">
        <f t="shared" si="165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63"/>
        <v>-46640891854.916962</v>
      </c>
      <c r="J3129" s="455">
        <f t="array" ref="J3129">IFERROR(INDEX('Retirement Calculator'!J:J,MATCH('Isaac 401k'!N3129,'Retirement Calculator'!A:A,0),0),0)</f>
        <v>0</v>
      </c>
      <c r="K3129" s="455">
        <f t="shared" ca="1" si="161"/>
        <v>-194337049.39548734</v>
      </c>
      <c r="L3129" s="455">
        <f t="shared" ca="1" si="162"/>
        <v>-46835228904.312447</v>
      </c>
      <c r="M3129" s="471">
        <f t="shared" si="164"/>
        <v>0.05</v>
      </c>
      <c r="N3129" s="475">
        <f t="shared" si="165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63"/>
        <v>-46835228904.312447</v>
      </c>
      <c r="J3130" s="455">
        <f t="array" ref="J3130">IFERROR(INDEX('Retirement Calculator'!J:J,MATCH('Isaac 401k'!N3130,'Retirement Calculator'!A:A,0),0),0)</f>
        <v>0</v>
      </c>
      <c r="K3130" s="455">
        <f t="shared" ca="1" si="161"/>
        <v>-195146787.10130185</v>
      </c>
      <c r="L3130" s="455">
        <f t="shared" ca="1" si="162"/>
        <v>-47030375691.41375</v>
      </c>
      <c r="M3130" s="471">
        <f t="shared" si="164"/>
        <v>0.05</v>
      </c>
      <c r="N3130" s="475">
        <f t="shared" si="165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63"/>
        <v>-47030375691.41375</v>
      </c>
      <c r="J3131" s="455">
        <f t="array" ref="J3131">IFERROR(INDEX('Retirement Calculator'!J:J,MATCH('Isaac 401k'!N3131,'Retirement Calculator'!A:A,0),0),0)</f>
        <v>0</v>
      </c>
      <c r="K3131" s="455">
        <f t="shared" ca="1" si="161"/>
        <v>-195959898.71422395</v>
      </c>
      <c r="L3131" s="455">
        <f t="shared" ca="1" si="162"/>
        <v>-47226335590.127975</v>
      </c>
      <c r="M3131" s="471">
        <f t="shared" si="164"/>
        <v>0.05</v>
      </c>
      <c r="N3131" s="475">
        <f t="shared" si="165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63"/>
        <v>-47226335590.127975</v>
      </c>
      <c r="J3132" s="455">
        <f t="array" ref="J3132">IFERROR(INDEX('Retirement Calculator'!J:J,MATCH('Isaac 401k'!N3132,'Retirement Calculator'!A:A,0),0),0)</f>
        <v>0</v>
      </c>
      <c r="K3132" s="455">
        <f t="shared" ca="1" si="161"/>
        <v>-196776398.29219991</v>
      </c>
      <c r="L3132" s="455">
        <f t="shared" ca="1" si="162"/>
        <v>-47423111988.420174</v>
      </c>
      <c r="M3132" s="471">
        <f t="shared" si="164"/>
        <v>0.05</v>
      </c>
      <c r="N3132" s="475">
        <f t="shared" si="165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63"/>
        <v>-47423111988.420174</v>
      </c>
      <c r="J3133" s="455">
        <f t="array" ref="J3133">IFERROR(INDEX('Retirement Calculator'!J:J,MATCH('Isaac 401k'!N3133,'Retirement Calculator'!A:A,0),0),0)</f>
        <v>0</v>
      </c>
      <c r="K3133" s="455">
        <f t="shared" ca="1" si="161"/>
        <v>-197596299.95175073</v>
      </c>
      <c r="L3133" s="455">
        <f t="shared" ca="1" si="162"/>
        <v>-47620708288.371925</v>
      </c>
      <c r="M3133" s="471">
        <f t="shared" si="164"/>
        <v>0.05</v>
      </c>
      <c r="N3133" s="475">
        <f t="shared" si="165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63"/>
        <v>-47620708288.371925</v>
      </c>
      <c r="J3134" s="455">
        <f t="array" ref="J3134">IFERROR(INDEX('Retirement Calculator'!J:J,MATCH('Isaac 401k'!N3134,'Retirement Calculator'!A:A,0),0),0)</f>
        <v>0</v>
      </c>
      <c r="K3134" s="455">
        <f t="shared" ca="1" si="161"/>
        <v>-198419617.86821637</v>
      </c>
      <c r="L3134" s="455">
        <f t="shared" ca="1" si="162"/>
        <v>-47819127906.240143</v>
      </c>
      <c r="M3134" s="471">
        <f t="shared" si="164"/>
        <v>0.05</v>
      </c>
      <c r="N3134" s="475">
        <f t="shared" si="165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63"/>
        <v>-47819127906.240143</v>
      </c>
      <c r="J3135" s="455">
        <f t="array" ref="J3135">IFERROR(INDEX('Retirement Calculator'!J:J,MATCH('Isaac 401k'!N3135,'Retirement Calculator'!A:A,0),0),0)</f>
        <v>0</v>
      </c>
      <c r="K3135" s="455">
        <f t="shared" ca="1" si="161"/>
        <v>-199246366.27600059</v>
      </c>
      <c r="L3135" s="455">
        <f t="shared" ca="1" si="162"/>
        <v>-48018374272.516144</v>
      </c>
      <c r="M3135" s="471">
        <f t="shared" si="164"/>
        <v>0.05</v>
      </c>
      <c r="N3135" s="475">
        <f t="shared" si="165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63"/>
        <v>-48018374272.516144</v>
      </c>
      <c r="J3136" s="455">
        <f t="array" ref="J3136">IFERROR(INDEX('Retirement Calculator'!J:J,MATCH('Isaac 401k'!N3136,'Retirement Calculator'!A:A,0),0),0)</f>
        <v>0</v>
      </c>
      <c r="K3136" s="455">
        <f t="shared" ca="1" si="161"/>
        <v>-200076559.46881726</v>
      </c>
      <c r="L3136" s="455">
        <f t="shared" ca="1" si="162"/>
        <v>-48218450831.984962</v>
      </c>
      <c r="M3136" s="471">
        <f t="shared" si="164"/>
        <v>0.05</v>
      </c>
      <c r="N3136" s="475">
        <f t="shared" si="165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63"/>
        <v>-48218450831.984962</v>
      </c>
      <c r="J3137" s="455">
        <f t="array" ref="J3137">IFERROR(INDEX('Retirement Calculator'!J:J,MATCH('Isaac 401k'!N3137,'Retirement Calculator'!A:A,0),0),0)</f>
        <v>0</v>
      </c>
      <c r="K3137" s="455">
        <f t="shared" ca="1" si="161"/>
        <v>-200910211.79993734</v>
      </c>
      <c r="L3137" s="455">
        <f t="shared" ca="1" si="162"/>
        <v>-48419361043.784897</v>
      </c>
      <c r="M3137" s="471">
        <f t="shared" si="164"/>
        <v>0.05</v>
      </c>
      <c r="N3137" s="475">
        <f t="shared" si="165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63"/>
        <v>-48419361043.784897</v>
      </c>
      <c r="J3138" s="455">
        <f t="array" ref="J3138">IFERROR(INDEX('Retirement Calculator'!J:J,MATCH('Isaac 401k'!N3138,'Retirement Calculator'!A:A,0),0),0)</f>
        <v>0</v>
      </c>
      <c r="K3138" s="455">
        <f t="shared" ca="1" si="161"/>
        <v>-201747337.68243706</v>
      </c>
      <c r="L3138" s="455">
        <f t="shared" ca="1" si="162"/>
        <v>-48621108381.467331</v>
      </c>
      <c r="M3138" s="471">
        <f t="shared" si="164"/>
        <v>0.05</v>
      </c>
      <c r="N3138" s="475">
        <f t="shared" si="165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63"/>
        <v>-48621108381.467331</v>
      </c>
      <c r="J3139" s="455">
        <f t="array" ref="J3139">IFERROR(INDEX('Retirement Calculator'!J:J,MATCH('Isaac 401k'!N3139,'Retirement Calculator'!A:A,0),0),0)</f>
        <v>0</v>
      </c>
      <c r="K3139" s="455">
        <f t="shared" ca="1" si="161"/>
        <v>-202587951.5894472</v>
      </c>
      <c r="L3139" s="455">
        <f t="shared" ca="1" si="162"/>
        <v>-48823696333.056778</v>
      </c>
      <c r="M3139" s="471">
        <f t="shared" si="164"/>
        <v>0.05</v>
      </c>
      <c r="N3139" s="475">
        <f t="shared" si="165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63"/>
        <v>-48823696333.056778</v>
      </c>
      <c r="J3140" s="455">
        <f t="array" ref="J3140">IFERROR(INDEX('Retirement Calculator'!J:J,MATCH('Isaac 401k'!N3140,'Retirement Calculator'!A:A,0),0),0)</f>
        <v>0</v>
      </c>
      <c r="K3140" s="455">
        <f t="shared" ca="1" si="161"/>
        <v>-203432068.05440325</v>
      </c>
      <c r="L3140" s="455">
        <f t="shared" ca="1" si="162"/>
        <v>-49027128401.111183</v>
      </c>
      <c r="M3140" s="471">
        <f t="shared" si="164"/>
        <v>0.05</v>
      </c>
      <c r="N3140" s="475">
        <f t="shared" si="165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63"/>
        <v>-49027128401.111183</v>
      </c>
      <c r="J3141" s="455">
        <f t="array" ref="J3141">IFERROR(INDEX('Retirement Calculator'!J:J,MATCH('Isaac 401k'!N3141,'Retirement Calculator'!A:A,0),0),0)</f>
        <v>0</v>
      </c>
      <c r="K3141" s="455">
        <f t="shared" ca="1" si="161"/>
        <v>-204279701.6712966</v>
      </c>
      <c r="L3141" s="455">
        <f t="shared" ca="1" si="162"/>
        <v>-49231408102.782478</v>
      </c>
      <c r="M3141" s="471">
        <f t="shared" si="164"/>
        <v>0.05</v>
      </c>
      <c r="N3141" s="475">
        <f t="shared" si="165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63"/>
        <v>-49231408102.782478</v>
      </c>
      <c r="J3142" s="455">
        <f t="array" ref="J3142">IFERROR(INDEX('Retirement Calculator'!J:J,MATCH('Isaac 401k'!N3142,'Retirement Calculator'!A:A,0),0),0)</f>
        <v>0</v>
      </c>
      <c r="K3142" s="455">
        <f t="shared" ca="1" si="161"/>
        <v>-205130867.09492698</v>
      </c>
      <c r="L3142" s="455">
        <f t="shared" ca="1" si="162"/>
        <v>-49436538969.877403</v>
      </c>
      <c r="M3142" s="471">
        <f t="shared" si="164"/>
        <v>0.05</v>
      </c>
      <c r="N3142" s="475">
        <f t="shared" si="165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63"/>
        <v>-49436538969.877403</v>
      </c>
      <c r="J3143" s="455">
        <f t="array" ref="J3143">IFERROR(INDEX('Retirement Calculator'!J:J,MATCH('Isaac 401k'!N3143,'Retirement Calculator'!A:A,0),0),0)</f>
        <v>0</v>
      </c>
      <c r="K3143" s="455">
        <f t="shared" ca="1" si="161"/>
        <v>-205985579.04115584</v>
      </c>
      <c r="L3143" s="455">
        <f t="shared" ca="1" si="162"/>
        <v>-49642524548.918556</v>
      </c>
      <c r="M3143" s="471">
        <f t="shared" si="164"/>
        <v>0.05</v>
      </c>
      <c r="N3143" s="475">
        <f t="shared" si="165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63"/>
        <v>-49642524548.918556</v>
      </c>
      <c r="J3144" s="455">
        <f t="array" ref="J3144">IFERROR(INDEX('Retirement Calculator'!J:J,MATCH('Isaac 401k'!N3144,'Retirement Calculator'!A:A,0),0),0)</f>
        <v>0</v>
      </c>
      <c r="K3144" s="455">
        <f t="shared" ca="1" si="161"/>
        <v>-206843852.28716063</v>
      </c>
      <c r="L3144" s="455">
        <f t="shared" ca="1" si="162"/>
        <v>-49849368401.205719</v>
      </c>
      <c r="M3144" s="471">
        <f t="shared" si="164"/>
        <v>0.05</v>
      </c>
      <c r="N3144" s="475">
        <f t="shared" si="165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63"/>
        <v>-49849368401.205719</v>
      </c>
      <c r="J3145" s="455">
        <f t="array" ref="J3145">IFERROR(INDEX('Retirement Calculator'!J:J,MATCH('Isaac 401k'!N3145,'Retirement Calculator'!A:A,0),0),0)</f>
        <v>0</v>
      </c>
      <c r="K3145" s="455">
        <f t="shared" ca="1" si="161"/>
        <v>-207705701.67169049</v>
      </c>
      <c r="L3145" s="455">
        <f t="shared" ca="1" si="162"/>
        <v>-50057074102.877411</v>
      </c>
      <c r="M3145" s="471">
        <f t="shared" si="164"/>
        <v>0.05</v>
      </c>
      <c r="N3145" s="475">
        <f t="shared" si="165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63"/>
        <v>-50057074102.877411</v>
      </c>
      <c r="J3146" s="455">
        <f t="array" ref="J3146">IFERROR(INDEX('Retirement Calculator'!J:J,MATCH('Isaac 401k'!N3146,'Retirement Calculator'!A:A,0),0),0)</f>
        <v>0</v>
      </c>
      <c r="K3146" s="455">
        <f t="shared" ca="1" si="161"/>
        <v>-208571142.09532255</v>
      </c>
      <c r="L3146" s="455">
        <f t="shared" ca="1" si="162"/>
        <v>-50265645244.972733</v>
      </c>
      <c r="M3146" s="471">
        <f t="shared" si="164"/>
        <v>0.05</v>
      </c>
      <c r="N3146" s="475">
        <f t="shared" si="165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63"/>
        <v>-50265645244.972733</v>
      </c>
      <c r="J3147" s="455">
        <f t="array" ref="J3147">IFERROR(INDEX('Retirement Calculator'!J:J,MATCH('Isaac 401k'!N3147,'Retirement Calculator'!A:A,0),0),0)</f>
        <v>0</v>
      </c>
      <c r="K3147" s="455">
        <f t="shared" ca="1" si="161"/>
        <v>-209440188.52071971</v>
      </c>
      <c r="L3147" s="455">
        <f t="shared" ca="1" si="162"/>
        <v>-50475085433.493454</v>
      </c>
      <c r="M3147" s="471">
        <f t="shared" si="164"/>
        <v>0.05</v>
      </c>
      <c r="N3147" s="475">
        <f t="shared" si="165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63"/>
        <v>-50475085433.493454</v>
      </c>
      <c r="J3148" s="455">
        <f t="array" ref="J3148">IFERROR(INDEX('Retirement Calculator'!J:J,MATCH('Isaac 401k'!N3148,'Retirement Calculator'!A:A,0),0),0)</f>
        <v>0</v>
      </c>
      <c r="K3148" s="455">
        <f t="shared" ca="1" si="161"/>
        <v>-210312855.97288939</v>
      </c>
      <c r="L3148" s="455">
        <f t="shared" ca="1" si="162"/>
        <v>-50685398289.466347</v>
      </c>
      <c r="M3148" s="471">
        <f t="shared" si="164"/>
        <v>0.05</v>
      </c>
      <c r="N3148" s="475">
        <f t="shared" si="165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63"/>
        <v>-50685398289.466347</v>
      </c>
      <c r="J3149" s="455">
        <f t="array" ref="J3149">IFERROR(INDEX('Retirement Calculator'!J:J,MATCH('Isaac 401k'!N3149,'Retirement Calculator'!A:A,0),0),0)</f>
        <v>0</v>
      </c>
      <c r="K3149" s="455">
        <f t="shared" ca="1" si="161"/>
        <v>-211189159.53944311</v>
      </c>
      <c r="L3149" s="455">
        <f t="shared" ca="1" si="162"/>
        <v>-50896587449.005791</v>
      </c>
      <c r="M3149" s="471">
        <f t="shared" si="164"/>
        <v>0.05</v>
      </c>
      <c r="N3149" s="475">
        <f t="shared" si="165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63"/>
        <v>-50896587449.005791</v>
      </c>
      <c r="J3150" s="455">
        <f t="array" ref="J3150">IFERROR(INDEX('Retirement Calculator'!J:J,MATCH('Isaac 401k'!N3150,'Retirement Calculator'!A:A,0),0),0)</f>
        <v>0</v>
      </c>
      <c r="K3150" s="455">
        <f t="shared" ca="1" si="161"/>
        <v>-212069114.37085745</v>
      </c>
      <c r="L3150" s="455">
        <f t="shared" ca="1" si="162"/>
        <v>-51108656563.376648</v>
      </c>
      <c r="M3150" s="471">
        <f t="shared" si="164"/>
        <v>0.05</v>
      </c>
      <c r="N3150" s="475">
        <f t="shared" si="165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63"/>
        <v>-51108656563.376648</v>
      </c>
      <c r="J3151" s="455">
        <f t="array" ref="J3151">IFERROR(INDEX('Retirement Calculator'!J:J,MATCH('Isaac 401k'!N3151,'Retirement Calculator'!A:A,0),0),0)</f>
        <v>0</v>
      </c>
      <c r="K3151" s="455">
        <f t="shared" ca="1" si="161"/>
        <v>-212952735.68073604</v>
      </c>
      <c r="L3151" s="455">
        <f t="shared" ca="1" si="162"/>
        <v>-51321609299.057381</v>
      </c>
      <c r="M3151" s="471">
        <f t="shared" si="164"/>
        <v>0.05</v>
      </c>
      <c r="N3151" s="475">
        <f t="shared" si="165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63"/>
        <v>-51321609299.057381</v>
      </c>
      <c r="J3152" s="455">
        <f t="array" ref="J3152">IFERROR(INDEX('Retirement Calculator'!J:J,MATCH('Isaac 401k'!N3152,'Retirement Calculator'!A:A,0),0),0)</f>
        <v>0</v>
      </c>
      <c r="K3152" s="455">
        <f t="shared" ca="1" si="161"/>
        <v>-213840038.74607241</v>
      </c>
      <c r="L3152" s="455">
        <f t="shared" ca="1" si="162"/>
        <v>-51535449337.803452</v>
      </c>
      <c r="M3152" s="471">
        <f t="shared" si="164"/>
        <v>0.05</v>
      </c>
      <c r="N3152" s="475">
        <f t="shared" si="165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63"/>
        <v>-51535449337.803452</v>
      </c>
      <c r="J3153" s="455">
        <f t="array" ref="J3153">IFERROR(INDEX('Retirement Calculator'!J:J,MATCH('Isaac 401k'!N3153,'Retirement Calculator'!A:A,0),0),0)</f>
        <v>0</v>
      </c>
      <c r="K3153" s="455">
        <f t="shared" ca="1" si="161"/>
        <v>-214731038.90751439</v>
      </c>
      <c r="L3153" s="455">
        <f t="shared" ca="1" si="162"/>
        <v>-51750180376.710968</v>
      </c>
      <c r="M3153" s="471">
        <f t="shared" si="164"/>
        <v>0.05</v>
      </c>
      <c r="N3153" s="475">
        <f t="shared" si="165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63"/>
        <v>-51750180376.710968</v>
      </c>
      <c r="J3154" s="455">
        <f t="array" ref="J3154">IFERROR(INDEX('Retirement Calculator'!J:J,MATCH('Isaac 401k'!N3154,'Retirement Calculator'!A:A,0),0),0)</f>
        <v>0</v>
      </c>
      <c r="K3154" s="455">
        <f t="shared" ca="1" si="161"/>
        <v>-215625751.56962904</v>
      </c>
      <c r="L3154" s="455">
        <f t="shared" ca="1" si="162"/>
        <v>-51965806128.280594</v>
      </c>
      <c r="M3154" s="471">
        <f t="shared" si="164"/>
        <v>0.05</v>
      </c>
      <c r="N3154" s="475">
        <f t="shared" si="165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63"/>
        <v>-51965806128.280594</v>
      </c>
      <c r="J3155" s="455">
        <f t="array" ref="J3155">IFERROR(INDEX('Retirement Calculator'!J:J,MATCH('Isaac 401k'!N3155,'Retirement Calculator'!A:A,0),0),0)</f>
        <v>0</v>
      </c>
      <c r="K3155" s="455">
        <f t="shared" ca="1" si="161"/>
        <v>-216524192.20116913</v>
      </c>
      <c r="L3155" s="455">
        <f t="shared" ca="1" si="162"/>
        <v>-52182330320.481766</v>
      </c>
      <c r="M3155" s="471">
        <f t="shared" si="164"/>
        <v>0.05</v>
      </c>
      <c r="N3155" s="475">
        <f t="shared" si="165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63"/>
        <v>-52182330320.481766</v>
      </c>
      <c r="J3156" s="455">
        <f t="array" ref="J3156">IFERROR(INDEX('Retirement Calculator'!J:J,MATCH('Isaac 401k'!N3156,'Retirement Calculator'!A:A,0),0),0)</f>
        <v>0</v>
      </c>
      <c r="K3156" s="455">
        <f t="shared" ca="1" si="161"/>
        <v>-217426376.33534068</v>
      </c>
      <c r="L3156" s="455">
        <f t="shared" ca="1" si="162"/>
        <v>-52399756696.817108</v>
      </c>
      <c r="M3156" s="471">
        <f t="shared" si="164"/>
        <v>0.05</v>
      </c>
      <c r="N3156" s="475">
        <f t="shared" si="165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63"/>
        <v>-52399756696.817108</v>
      </c>
      <c r="J3157" s="455">
        <f t="array" ref="J3157">IFERROR(INDEX('Retirement Calculator'!J:J,MATCH('Isaac 401k'!N3157,'Retirement Calculator'!A:A,0),0),0)</f>
        <v>0</v>
      </c>
      <c r="K3157" s="455">
        <f t="shared" ca="1" si="161"/>
        <v>-218332319.57007128</v>
      </c>
      <c r="L3157" s="455">
        <f t="shared" ca="1" si="162"/>
        <v>-52618089016.387177</v>
      </c>
      <c r="M3157" s="471">
        <f t="shared" si="164"/>
        <v>0.05</v>
      </c>
      <c r="N3157" s="475">
        <f t="shared" si="165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63"/>
        <v>-52618089016.387177</v>
      </c>
      <c r="J3158" s="455">
        <f t="array" ref="J3158">IFERROR(INDEX('Retirement Calculator'!J:J,MATCH('Isaac 401k'!N3158,'Retirement Calculator'!A:A,0),0),0)</f>
        <v>0</v>
      </c>
      <c r="K3158" s="455">
        <f t="shared" ca="1" si="161"/>
        <v>-219242037.56827989</v>
      </c>
      <c r="L3158" s="455">
        <f t="shared" ca="1" si="162"/>
        <v>-52837331053.95546</v>
      </c>
      <c r="M3158" s="471">
        <f t="shared" si="164"/>
        <v>0.05</v>
      </c>
      <c r="N3158" s="475">
        <f t="shared" si="165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63"/>
        <v>-52837331053.95546</v>
      </c>
      <c r="J3159" s="455">
        <f t="array" ref="J3159">IFERROR(INDEX('Retirement Calculator'!J:J,MATCH('Isaac 401k'!N3159,'Retirement Calculator'!A:A,0),0),0)</f>
        <v>0</v>
      </c>
      <c r="K3159" s="455">
        <f t="shared" ca="1" si="161"/>
        <v>-220155546.05814776</v>
      </c>
      <c r="L3159" s="455">
        <f t="shared" ca="1" si="162"/>
        <v>-53057486600.013611</v>
      </c>
      <c r="M3159" s="471">
        <f t="shared" si="164"/>
        <v>0.05</v>
      </c>
      <c r="N3159" s="475">
        <f t="shared" si="165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63"/>
        <v>-53057486600.013611</v>
      </c>
      <c r="J3160" s="455">
        <f t="array" ref="J3160">IFERROR(INDEX('Retirement Calculator'!J:J,MATCH('Isaac 401k'!N3160,'Retirement Calculator'!A:A,0),0),0)</f>
        <v>0</v>
      </c>
      <c r="K3160" s="455">
        <f t="shared" ca="1" si="161"/>
        <v>-221072860.83339003</v>
      </c>
      <c r="L3160" s="455">
        <f t="shared" ca="1" si="162"/>
        <v>-53278559460.847</v>
      </c>
      <c r="M3160" s="471">
        <f t="shared" si="164"/>
        <v>0.05</v>
      </c>
      <c r="N3160" s="475">
        <f t="shared" si="165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63"/>
        <v>-53278559460.847</v>
      </c>
      <c r="J3161" s="455">
        <f t="array" ref="J3161">IFERROR(INDEX('Retirement Calculator'!J:J,MATCH('Isaac 401k'!N3161,'Retirement Calculator'!A:A,0),0),0)</f>
        <v>0</v>
      </c>
      <c r="K3161" s="455">
        <f t="shared" ca="1" si="161"/>
        <v>-221993997.75352916</v>
      </c>
      <c r="L3161" s="455">
        <f t="shared" ca="1" si="162"/>
        <v>-53500553458.600533</v>
      </c>
      <c r="M3161" s="471">
        <f t="shared" si="164"/>
        <v>0.05</v>
      </c>
      <c r="N3161" s="475">
        <f t="shared" si="165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63"/>
        <v>-53500553458.600533</v>
      </c>
      <c r="J3162" s="455">
        <f t="array" ref="J3162">IFERROR(INDEX('Retirement Calculator'!J:J,MATCH('Isaac 401k'!N3162,'Retirement Calculator'!A:A,0),0),0)</f>
        <v>0</v>
      </c>
      <c r="K3162" s="455">
        <f t="shared" ca="1" si="161"/>
        <v>-222918972.74416888</v>
      </c>
      <c r="L3162" s="455">
        <f t="shared" ca="1" si="162"/>
        <v>-53723472431.344704</v>
      </c>
      <c r="M3162" s="471">
        <f t="shared" si="164"/>
        <v>0.05</v>
      </c>
      <c r="N3162" s="475">
        <f t="shared" si="165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63"/>
        <v>-53723472431.344704</v>
      </c>
      <c r="J3163" s="455">
        <f t="array" ref="J3163">IFERROR(INDEX('Retirement Calculator'!J:J,MATCH('Isaac 401k'!N3163,'Retirement Calculator'!A:A,0),0),0)</f>
        <v>0</v>
      </c>
      <c r="K3163" s="455">
        <f t="shared" ca="1" si="161"/>
        <v>-223847801.79726958</v>
      </c>
      <c r="L3163" s="455">
        <f t="shared" ca="1" si="162"/>
        <v>-53947320233.141975</v>
      </c>
      <c r="M3163" s="471">
        <f t="shared" si="164"/>
        <v>0.05</v>
      </c>
      <c r="N3163" s="475">
        <f t="shared" si="165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63"/>
        <v>-53947320233.141975</v>
      </c>
      <c r="J3164" s="455">
        <f t="array" ref="J3164">IFERROR(INDEX('Retirement Calculator'!J:J,MATCH('Isaac 401k'!N3164,'Retirement Calculator'!A:A,0),0),0)</f>
        <v>0</v>
      </c>
      <c r="K3164" s="455">
        <f t="shared" ca="1" si="161"/>
        <v>-224780500.97142494</v>
      </c>
      <c r="L3164" s="455">
        <f t="shared" ca="1" si="162"/>
        <v>-54172100734.113403</v>
      </c>
      <c r="M3164" s="471">
        <f t="shared" si="164"/>
        <v>0.05</v>
      </c>
      <c r="N3164" s="475">
        <f t="shared" si="165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63"/>
        <v>-54172100734.113403</v>
      </c>
      <c r="J3165" s="455">
        <f t="array" ref="J3165">IFERROR(INDEX('Retirement Calculator'!J:J,MATCH('Isaac 401k'!N3165,'Retirement Calculator'!A:A,0),0),0)</f>
        <v>0</v>
      </c>
      <c r="K3165" s="455">
        <f t="shared" ca="1" si="161"/>
        <v>-225717086.39213917</v>
      </c>
      <c r="L3165" s="455">
        <f t="shared" ca="1" si="162"/>
        <v>-54397817820.505539</v>
      </c>
      <c r="M3165" s="471">
        <f t="shared" si="164"/>
        <v>0.05</v>
      </c>
      <c r="N3165" s="475">
        <f t="shared" si="165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63"/>
        <v>-54397817820.505539</v>
      </c>
      <c r="J3166" s="455">
        <f t="array" ref="J3166">IFERROR(INDEX('Retirement Calculator'!J:J,MATCH('Isaac 401k'!N3166,'Retirement Calculator'!A:A,0),0),0)</f>
        <v>0</v>
      </c>
      <c r="K3166" s="455">
        <f t="shared" ca="1" si="161"/>
        <v>-226657574.2521064</v>
      </c>
      <c r="L3166" s="455">
        <f t="shared" ca="1" si="162"/>
        <v>-54624475394.757645</v>
      </c>
      <c r="M3166" s="471">
        <f t="shared" si="164"/>
        <v>0.05</v>
      </c>
      <c r="N3166" s="475">
        <f t="shared" si="165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63"/>
        <v>-54624475394.757645</v>
      </c>
      <c r="J3167" s="455">
        <f t="array" ref="J3167">IFERROR(INDEX('Retirement Calculator'!J:J,MATCH('Isaac 401k'!N3167,'Retirement Calculator'!A:A,0),0),0)</f>
        <v>0</v>
      </c>
      <c r="K3167" s="455">
        <f t="shared" ca="1" si="161"/>
        <v>-227601980.81149015</v>
      </c>
      <c r="L3167" s="455">
        <f t="shared" ca="1" si="162"/>
        <v>-54852077375.569138</v>
      </c>
      <c r="M3167" s="471">
        <f t="shared" si="164"/>
        <v>0.05</v>
      </c>
      <c r="N3167" s="475">
        <f t="shared" si="165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63"/>
        <v>-54852077375.569138</v>
      </c>
      <c r="J3168" s="455">
        <f t="array" ref="J3168">IFERROR(INDEX('Retirement Calculator'!J:J,MATCH('Isaac 401k'!N3168,'Retirement Calculator'!A:A,0),0),0)</f>
        <v>0</v>
      </c>
      <c r="K3168" s="455">
        <f t="shared" ca="1" si="161"/>
        <v>-228550322.39820474</v>
      </c>
      <c r="L3168" s="455">
        <f t="shared" ca="1" si="162"/>
        <v>-55080627697.967339</v>
      </c>
      <c r="M3168" s="471">
        <f t="shared" si="164"/>
        <v>0.05</v>
      </c>
      <c r="N3168" s="475">
        <f t="shared" si="165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63"/>
        <v>-55080627697.967339</v>
      </c>
      <c r="J3169" s="455">
        <f t="array" ref="J3169">IFERROR(INDEX('Retirement Calculator'!J:J,MATCH('Isaac 401k'!N3169,'Retirement Calculator'!A:A,0),0),0)</f>
        <v>0</v>
      </c>
      <c r="K3169" s="455">
        <f t="shared" ca="1" si="161"/>
        <v>-229502615.40819725</v>
      </c>
      <c r="L3169" s="455">
        <f t="shared" ca="1" si="162"/>
        <v>-55310130313.375534</v>
      </c>
      <c r="M3169" s="471">
        <f t="shared" si="164"/>
        <v>0.05</v>
      </c>
      <c r="N3169" s="475">
        <f t="shared" si="165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63"/>
        <v>-55310130313.375534</v>
      </c>
      <c r="J3170" s="455">
        <f t="array" ref="J3170">IFERROR(INDEX('Retirement Calculator'!J:J,MATCH('Isaac 401k'!N3170,'Retirement Calculator'!A:A,0),0),0)</f>
        <v>0</v>
      </c>
      <c r="K3170" s="455">
        <f t="shared" ca="1" si="161"/>
        <v>-230458876.30573139</v>
      </c>
      <c r="L3170" s="455">
        <f t="shared" ca="1" si="162"/>
        <v>-55540589189.681267</v>
      </c>
      <c r="M3170" s="471">
        <f t="shared" si="164"/>
        <v>0.05</v>
      </c>
      <c r="N3170" s="475">
        <f t="shared" si="165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63"/>
        <v>-55540589189.681267</v>
      </c>
      <c r="J3171" s="455">
        <f t="array" ref="J3171">IFERROR(INDEX('Retirement Calculator'!J:J,MATCH('Isaac 401k'!N3171,'Retirement Calculator'!A:A,0),0),0)</f>
        <v>0</v>
      </c>
      <c r="K3171" s="455">
        <f t="shared" ca="1" si="161"/>
        <v>-231419121.62367195</v>
      </c>
      <c r="L3171" s="455">
        <f t="shared" ca="1" si="162"/>
        <v>-55772008311.304939</v>
      </c>
      <c r="M3171" s="471">
        <f t="shared" si="164"/>
        <v>0.05</v>
      </c>
      <c r="N3171" s="475">
        <f t="shared" si="165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63"/>
        <v>-55772008311.304939</v>
      </c>
      <c r="J3172" s="455">
        <f t="array" ref="J3172">IFERROR(INDEX('Retirement Calculator'!J:J,MATCH('Isaac 401k'!N3172,'Retirement Calculator'!A:A,0),0),0)</f>
        <v>0</v>
      </c>
      <c r="K3172" s="455">
        <f t="shared" ca="1" si="161"/>
        <v>-232383367.96377057</v>
      </c>
      <c r="L3172" s="455">
        <f t="shared" ca="1" si="162"/>
        <v>-56004391679.268707</v>
      </c>
      <c r="M3172" s="471">
        <f t="shared" si="164"/>
        <v>0.05</v>
      </c>
      <c r="N3172" s="475">
        <f t="shared" si="165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63"/>
        <v>-56004391679.268707</v>
      </c>
      <c r="J3173" s="455">
        <f t="array" ref="J3173">IFERROR(INDEX('Retirement Calculator'!J:J,MATCH('Isaac 401k'!N3173,'Retirement Calculator'!A:A,0),0),0)</f>
        <v>0</v>
      </c>
      <c r="K3173" s="455">
        <f t="shared" ca="1" si="161"/>
        <v>-233351631.99695295</v>
      </c>
      <c r="L3173" s="455">
        <f t="shared" ca="1" si="162"/>
        <v>-56237743311.265663</v>
      </c>
      <c r="M3173" s="471">
        <f t="shared" si="164"/>
        <v>0.05</v>
      </c>
      <c r="N3173" s="475">
        <f t="shared" si="165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63"/>
        <v>-56237743311.265663</v>
      </c>
      <c r="J3174" s="455">
        <f t="array" ref="J3174">IFERROR(INDEX('Retirement Calculator'!J:J,MATCH('Isaac 401k'!N3174,'Retirement Calculator'!A:A,0),0),0)</f>
        <v>0</v>
      </c>
      <c r="K3174" s="455">
        <f t="shared" ca="1" si="161"/>
        <v>-234323930.46360692</v>
      </c>
      <c r="L3174" s="455">
        <f t="shared" ca="1" si="162"/>
        <v>-56472067241.729271</v>
      </c>
      <c r="M3174" s="471">
        <f t="shared" si="164"/>
        <v>0.05</v>
      </c>
      <c r="N3174" s="475">
        <f t="shared" si="165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63"/>
        <v>-56472067241.729271</v>
      </c>
      <c r="J3175" s="455">
        <f t="array" ref="J3175">IFERROR(INDEX('Retirement Calculator'!J:J,MATCH('Isaac 401k'!N3175,'Retirement Calculator'!A:A,0),0),0)</f>
        <v>0</v>
      </c>
      <c r="K3175" s="455">
        <f t="shared" ca="1" si="161"/>
        <v>-235300280.17387199</v>
      </c>
      <c r="L3175" s="455">
        <f t="shared" ca="1" si="162"/>
        <v>-56707367521.903145</v>
      </c>
      <c r="M3175" s="471">
        <f t="shared" si="164"/>
        <v>0.05</v>
      </c>
      <c r="N3175" s="475">
        <f t="shared" si="165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63"/>
        <v>-56707367521.903145</v>
      </c>
      <c r="J3176" s="455">
        <f t="array" ref="J3176">IFERROR(INDEX('Retirement Calculator'!J:J,MATCH('Isaac 401k'!N3176,'Retirement Calculator'!A:A,0),0),0)</f>
        <v>0</v>
      </c>
      <c r="K3176" s="455">
        <f t="shared" ca="1" si="161"/>
        <v>-236280698.00792977</v>
      </c>
      <c r="L3176" s="455">
        <f t="shared" ca="1" si="162"/>
        <v>-56943648219.911072</v>
      </c>
      <c r="M3176" s="471">
        <f t="shared" si="164"/>
        <v>0.05</v>
      </c>
      <c r="N3176" s="475">
        <f t="shared" si="165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63"/>
        <v>-56943648219.911072</v>
      </c>
      <c r="J3177" s="455">
        <f t="array" ref="J3177">IFERROR(INDEX('Retirement Calculator'!J:J,MATCH('Isaac 401k'!N3177,'Retirement Calculator'!A:A,0),0),0)</f>
        <v>0</v>
      </c>
      <c r="K3177" s="455">
        <f t="shared" ca="1" si="161"/>
        <v>-237265200.91629609</v>
      </c>
      <c r="L3177" s="455">
        <f t="shared" ca="1" si="162"/>
        <v>-57180913420.82737</v>
      </c>
      <c r="M3177" s="471">
        <f t="shared" si="164"/>
        <v>0.05</v>
      </c>
      <c r="N3177" s="475">
        <f t="shared" si="165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63"/>
        <v>-57180913420.82737</v>
      </c>
      <c r="J3178" s="455">
        <f t="array" ref="J3178">IFERROR(INDEX('Retirement Calculator'!J:J,MATCH('Isaac 401k'!N3178,'Retirement Calculator'!A:A,0),0),0)</f>
        <v>0</v>
      </c>
      <c r="K3178" s="455">
        <f t="shared" ca="1" si="161"/>
        <v>-238253805.92011404</v>
      </c>
      <c r="L3178" s="455">
        <f t="shared" ca="1" si="162"/>
        <v>-57419167226.747482</v>
      </c>
      <c r="M3178" s="471">
        <f t="shared" si="164"/>
        <v>0.05</v>
      </c>
      <c r="N3178" s="475">
        <f t="shared" si="165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63"/>
        <v>-57419167226.747482</v>
      </c>
      <c r="J3179" s="455">
        <f t="array" ref="J3179">IFERROR(INDEX('Retirement Calculator'!J:J,MATCH('Isaac 401k'!N3179,'Retirement Calculator'!A:A,0),0),0)</f>
        <v>0</v>
      </c>
      <c r="K3179" s="455">
        <f t="shared" ca="1" si="161"/>
        <v>-239246530.11144784</v>
      </c>
      <c r="L3179" s="455">
        <f t="shared" ca="1" si="162"/>
        <v>-57658413756.858932</v>
      </c>
      <c r="M3179" s="471">
        <f t="shared" si="164"/>
        <v>0.05</v>
      </c>
      <c r="N3179" s="475">
        <f t="shared" si="165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63"/>
        <v>-57658413756.858932</v>
      </c>
      <c r="J3180" s="455">
        <f t="array" ref="J3180">IFERROR(INDEX('Retirement Calculator'!J:J,MATCH('Isaac 401k'!N3180,'Retirement Calculator'!A:A,0),0),0)</f>
        <v>0</v>
      </c>
      <c r="K3180" s="455">
        <f t="shared" ca="1" si="161"/>
        <v>-240243390.65357888</v>
      </c>
      <c r="L3180" s="455">
        <f t="shared" ca="1" si="162"/>
        <v>-57898657147.512512</v>
      </c>
      <c r="M3180" s="471">
        <f t="shared" si="164"/>
        <v>0.05</v>
      </c>
      <c r="N3180" s="475">
        <f t="shared" si="165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63"/>
        <v>-57898657147.512512</v>
      </c>
      <c r="J3181" s="455">
        <f t="array" ref="J3181">IFERROR(INDEX('Retirement Calculator'!J:J,MATCH('Isaac 401k'!N3181,'Retirement Calculator'!A:A,0),0),0)</f>
        <v>0</v>
      </c>
      <c r="K3181" s="455">
        <f t="shared" ca="1" si="161"/>
        <v>-241244404.78130209</v>
      </c>
      <c r="L3181" s="455">
        <f t="shared" ca="1" si="162"/>
        <v>-58139901552.293816</v>
      </c>
      <c r="M3181" s="471">
        <f t="shared" si="164"/>
        <v>0.05</v>
      </c>
      <c r="N3181" s="475">
        <f t="shared" si="165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63"/>
        <v>-58139901552.293816</v>
      </c>
      <c r="J3182" s="455">
        <f t="array" ref="J3182">IFERROR(INDEX('Retirement Calculator'!J:J,MATCH('Isaac 401k'!N3182,'Retirement Calculator'!A:A,0),0),0)</f>
        <v>0</v>
      </c>
      <c r="K3182" s="455">
        <f t="shared" ca="1" si="161"/>
        <v>-242249589.80122423</v>
      </c>
      <c r="L3182" s="455">
        <f t="shared" ca="1" si="162"/>
        <v>-58382151142.095039</v>
      </c>
      <c r="M3182" s="471">
        <f t="shared" si="164"/>
        <v>0.05</v>
      </c>
      <c r="N3182" s="475">
        <f t="shared" si="165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63"/>
        <v>-58382151142.095039</v>
      </c>
      <c r="J3183" s="455">
        <f t="array" ref="J3183">IFERROR(INDEX('Retirement Calculator'!J:J,MATCH('Isaac 401k'!N3183,'Retirement Calculator'!A:A,0),0),0)</f>
        <v>0</v>
      </c>
      <c r="K3183" s="455">
        <f t="shared" ca="1" si="161"/>
        <v>-243258963.09206265</v>
      </c>
      <c r="L3183" s="455">
        <f t="shared" ca="1" si="162"/>
        <v>-58625410105.187103</v>
      </c>
      <c r="M3183" s="471">
        <f t="shared" si="164"/>
        <v>0.05</v>
      </c>
      <c r="N3183" s="475">
        <f t="shared" si="165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63"/>
        <v>-58625410105.187103</v>
      </c>
      <c r="J3184" s="455">
        <f t="array" ref="J3184">IFERROR(INDEX('Retirement Calculator'!J:J,MATCH('Isaac 401k'!N3184,'Retirement Calculator'!A:A,0),0),0)</f>
        <v>0</v>
      </c>
      <c r="K3184" s="455">
        <f t="shared" ca="1" si="161"/>
        <v>-244272542.10494626</v>
      </c>
      <c r="L3184" s="455">
        <f t="shared" ca="1" si="162"/>
        <v>-58869682647.292053</v>
      </c>
      <c r="M3184" s="471">
        <f t="shared" si="164"/>
        <v>0.05</v>
      </c>
      <c r="N3184" s="475">
        <f t="shared" si="165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63"/>
        <v>-58869682647.292053</v>
      </c>
      <c r="J3185" s="455">
        <f t="array" ref="J3185">IFERROR(INDEX('Retirement Calculator'!J:J,MATCH('Isaac 401k'!N3185,'Retirement Calculator'!A:A,0),0),0)</f>
        <v>0</v>
      </c>
      <c r="K3185" s="455">
        <f t="shared" ca="1" si="161"/>
        <v>-245290344.36371684</v>
      </c>
      <c r="L3185" s="455">
        <f t="shared" ca="1" si="162"/>
        <v>-59114972991.655769</v>
      </c>
      <c r="M3185" s="471">
        <f t="shared" si="164"/>
        <v>0.05</v>
      </c>
      <c r="N3185" s="475">
        <f t="shared" si="165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63"/>
        <v>-59114972991.655769</v>
      </c>
      <c r="J3186" s="455">
        <f t="array" ref="J3186">IFERROR(INDEX('Retirement Calculator'!J:J,MATCH('Isaac 401k'!N3186,'Retirement Calculator'!A:A,0),0),0)</f>
        <v>0</v>
      </c>
      <c r="K3186" s="455">
        <f t="shared" ca="1" si="161"/>
        <v>-246312387.4652324</v>
      </c>
      <c r="L3186" s="455">
        <f t="shared" ca="1" si="162"/>
        <v>-59361285379.121002</v>
      </c>
      <c r="M3186" s="471">
        <f t="shared" si="164"/>
        <v>0.05</v>
      </c>
      <c r="N3186" s="475">
        <f t="shared" si="165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63"/>
        <v>-59361285379.121002</v>
      </c>
      <c r="J3187" s="455">
        <f t="array" ref="J3187">IFERROR(INDEX('Retirement Calculator'!J:J,MATCH('Isaac 401k'!N3187,'Retirement Calculator'!A:A,0),0),0)</f>
        <v>0</v>
      </c>
      <c r="K3187" s="455">
        <f t="shared" ca="1" si="161"/>
        <v>-247338689.07967085</v>
      </c>
      <c r="L3187" s="455">
        <f t="shared" ca="1" si="162"/>
        <v>-59608624068.200676</v>
      </c>
      <c r="M3187" s="471">
        <f t="shared" si="164"/>
        <v>0.05</v>
      </c>
      <c r="N3187" s="475">
        <f t="shared" si="165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63"/>
        <v>-59608624068.200676</v>
      </c>
      <c r="J3188" s="455">
        <f t="array" ref="J3188">IFERROR(INDEX('Retirement Calculator'!J:J,MATCH('Isaac 401k'!N3188,'Retirement Calculator'!A:A,0),0),0)</f>
        <v>0</v>
      </c>
      <c r="K3188" s="455">
        <f t="shared" ca="1" si="161"/>
        <v>-248369266.95083615</v>
      </c>
      <c r="L3188" s="455">
        <f t="shared" ca="1" si="162"/>
        <v>-59856993335.151512</v>
      </c>
      <c r="M3188" s="471">
        <f t="shared" si="164"/>
        <v>0.05</v>
      </c>
      <c r="N3188" s="475">
        <f t="shared" si="165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63"/>
        <v>-59856993335.151512</v>
      </c>
      <c r="J3189" s="455">
        <f t="array" ref="J3189">IFERROR(INDEX('Retirement Calculator'!J:J,MATCH('Isaac 401k'!N3189,'Retirement Calculator'!A:A,0),0),0)</f>
        <v>0</v>
      </c>
      <c r="K3189" s="455">
        <f t="shared" ca="1" si="161"/>
        <v>-249404138.89646462</v>
      </c>
      <c r="L3189" s="455">
        <f t="shared" ca="1" si="162"/>
        <v>-60106397474.047974</v>
      </c>
      <c r="M3189" s="471">
        <f t="shared" si="164"/>
        <v>0.05</v>
      </c>
      <c r="N3189" s="475">
        <f t="shared" si="165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63"/>
        <v>-60106397474.047974</v>
      </c>
      <c r="J3190" s="455">
        <f t="array" ref="J3190">IFERROR(INDEX('Retirement Calculator'!J:J,MATCH('Isaac 401k'!N3190,'Retirement Calculator'!A:A,0),0),0)</f>
        <v>0</v>
      </c>
      <c r="K3190" s="455">
        <f t="shared" ca="1" si="161"/>
        <v>-250443322.80853322</v>
      </c>
      <c r="L3190" s="455">
        <f t="shared" ca="1" si="162"/>
        <v>-60356840796.856506</v>
      </c>
      <c r="M3190" s="471">
        <f t="shared" si="164"/>
        <v>0.05</v>
      </c>
      <c r="N3190" s="475">
        <f t="shared" si="165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63"/>
        <v>-60356840796.856506</v>
      </c>
      <c r="J3191" s="455">
        <f t="array" ref="J3191">IFERROR(INDEX('Retirement Calculator'!J:J,MATCH('Isaac 401k'!N3191,'Retirement Calculator'!A:A,0),0),0)</f>
        <v>0</v>
      </c>
      <c r="K3191" s="455">
        <f t="shared" ca="1" si="161"/>
        <v>-251486836.65356877</v>
      </c>
      <c r="L3191" s="455">
        <f t="shared" ca="1" si="162"/>
        <v>-60608327633.510078</v>
      </c>
      <c r="M3191" s="471">
        <f t="shared" si="164"/>
        <v>0.05</v>
      </c>
      <c r="N3191" s="475">
        <f t="shared" si="165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63"/>
        <v>-60608327633.510078</v>
      </c>
      <c r="J3192" s="455">
        <f t="array" ref="J3192">IFERROR(INDEX('Retirement Calculator'!J:J,MATCH('Isaac 401k'!N3192,'Retirement Calculator'!A:A,0),0),0)</f>
        <v>0</v>
      </c>
      <c r="K3192" s="455">
        <f t="shared" ca="1" si="161"/>
        <v>-252534698.47295865</v>
      </c>
      <c r="L3192" s="455">
        <f t="shared" ca="1" si="162"/>
        <v>-60860862331.98304</v>
      </c>
      <c r="M3192" s="471">
        <f t="shared" si="164"/>
        <v>0.05</v>
      </c>
      <c r="N3192" s="475">
        <f t="shared" si="165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63"/>
        <v>-60860862331.98304</v>
      </c>
      <c r="J3193" s="455">
        <f t="array" ref="J3193">IFERROR(INDEX('Retirement Calculator'!J:J,MATCH('Isaac 401k'!N3193,'Retirement Calculator'!A:A,0),0),0)</f>
        <v>0</v>
      </c>
      <c r="K3193" s="455">
        <f t="shared" ca="1" si="161"/>
        <v>-253586926.38326266</v>
      </c>
      <c r="L3193" s="455">
        <f t="shared" ca="1" si="162"/>
        <v>-61114449258.366302</v>
      </c>
      <c r="M3193" s="471">
        <f t="shared" si="164"/>
        <v>0.05</v>
      </c>
      <c r="N3193" s="475">
        <f t="shared" si="165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63"/>
        <v>-61114449258.366302</v>
      </c>
      <c r="J3194" s="455">
        <f t="array" ref="J3194">IFERROR(INDEX('Retirement Calculator'!J:J,MATCH('Isaac 401k'!N3194,'Retirement Calculator'!A:A,0),0),0)</f>
        <v>0</v>
      </c>
      <c r="K3194" s="455">
        <f t="shared" ca="1" si="161"/>
        <v>-254643538.57652625</v>
      </c>
      <c r="L3194" s="455">
        <f t="shared" ca="1" si="162"/>
        <v>-61369092796.942825</v>
      </c>
      <c r="M3194" s="471">
        <f t="shared" si="164"/>
        <v>0.05</v>
      </c>
      <c r="N3194" s="475">
        <f t="shared" si="165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63"/>
        <v>-61369092796.942825</v>
      </c>
      <c r="J3195" s="455">
        <f t="array" ref="J3195">IFERROR(INDEX('Retirement Calculator'!J:J,MATCH('Isaac 401k'!N3195,'Retirement Calculator'!A:A,0),0),0)</f>
        <v>0</v>
      </c>
      <c r="K3195" s="455">
        <f t="shared" ca="1" si="161"/>
        <v>-255704553.32059512</v>
      </c>
      <c r="L3195" s="455">
        <f t="shared" ca="1" si="162"/>
        <v>-61624797350.26342</v>
      </c>
      <c r="M3195" s="471">
        <f t="shared" si="164"/>
        <v>0.05</v>
      </c>
      <c r="N3195" s="475">
        <f t="shared" si="165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63"/>
        <v>-61624797350.26342</v>
      </c>
      <c r="J3196" s="455">
        <f t="array" ref="J3196">IFERROR(INDEX('Retirement Calculator'!J:J,MATCH('Isaac 401k'!N3196,'Retirement Calculator'!A:A,0),0),0)</f>
        <v>0</v>
      </c>
      <c r="K3196" s="455">
        <f t="shared" ca="1" si="161"/>
        <v>-256769988.9594309</v>
      </c>
      <c r="L3196" s="455">
        <f t="shared" ca="1" si="162"/>
        <v>-61881567339.222855</v>
      </c>
      <c r="M3196" s="471">
        <f t="shared" si="164"/>
        <v>0.05</v>
      </c>
      <c r="N3196" s="475">
        <f t="shared" si="165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63"/>
        <v>-61881567339.222855</v>
      </c>
      <c r="J3197" s="455">
        <f t="array" ref="J3197">IFERROR(INDEX('Retirement Calculator'!J:J,MATCH('Isaac 401k'!N3197,'Retirement Calculator'!A:A,0),0),0)</f>
        <v>0</v>
      </c>
      <c r="K3197" s="455">
        <f t="shared" ca="1" si="161"/>
        <v>-257839863.91342854</v>
      </c>
      <c r="L3197" s="455">
        <f t="shared" ca="1" si="162"/>
        <v>-62139407203.136284</v>
      </c>
      <c r="M3197" s="471">
        <f t="shared" si="164"/>
        <v>0.05</v>
      </c>
      <c r="N3197" s="475">
        <f t="shared" si="165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63"/>
        <v>-62139407203.136284</v>
      </c>
      <c r="J3198" s="455">
        <f t="array" ref="J3198">IFERROR(INDEX('Retirement Calculator'!J:J,MATCH('Isaac 401k'!N3198,'Retirement Calculator'!A:A,0),0),0)</f>
        <v>0</v>
      </c>
      <c r="K3198" s="455">
        <f t="shared" ca="1" si="161"/>
        <v>-258914196.67973447</v>
      </c>
      <c r="L3198" s="455">
        <f t="shared" ca="1" si="162"/>
        <v>-62398321399.816017</v>
      </c>
      <c r="M3198" s="471">
        <f t="shared" si="164"/>
        <v>0.05</v>
      </c>
      <c r="N3198" s="475">
        <f t="shared" si="165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63"/>
        <v>-62398321399.816017</v>
      </c>
      <c r="J3199" s="455">
        <f t="array" ref="J3199">IFERROR(INDEX('Retirement Calculator'!J:J,MATCH('Isaac 401k'!N3199,'Retirement Calculator'!A:A,0),0),0)</f>
        <v>0</v>
      </c>
      <c r="K3199" s="455">
        <f t="shared" ca="1" si="161"/>
        <v>-259993005.83256674</v>
      </c>
      <c r="L3199" s="455">
        <f t="shared" ca="1" si="162"/>
        <v>-62658314405.648582</v>
      </c>
      <c r="M3199" s="471">
        <f t="shared" si="164"/>
        <v>0.05</v>
      </c>
      <c r="N3199" s="475">
        <f t="shared" si="165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63"/>
        <v>-62658314405.648582</v>
      </c>
      <c r="J3200" s="455">
        <f t="array" ref="J3200">IFERROR(INDEX('Retirement Calculator'!J:J,MATCH('Isaac 401k'!N3200,'Retirement Calculator'!A:A,0),0),0)</f>
        <v>0</v>
      </c>
      <c r="K3200" s="455">
        <f t="shared" ca="1" si="161"/>
        <v>-261076310.02353573</v>
      </c>
      <c r="L3200" s="455">
        <f t="shared" ca="1" si="162"/>
        <v>-62919390715.672119</v>
      </c>
      <c r="M3200" s="471">
        <f t="shared" si="164"/>
        <v>0.05</v>
      </c>
      <c r="N3200" s="475">
        <f t="shared" si="165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63"/>
        <v>-62919390715.672119</v>
      </c>
      <c r="J3201" s="455">
        <f t="array" ref="J3201">IFERROR(INDEX('Retirement Calculator'!J:J,MATCH('Isaac 401k'!N3201,'Retirement Calculator'!A:A,0),0),0)</f>
        <v>0</v>
      </c>
      <c r="K3201" s="455">
        <f t="shared" ca="1" si="161"/>
        <v>-262164127.98196715</v>
      </c>
      <c r="L3201" s="455">
        <f t="shared" ca="1" si="162"/>
        <v>-63181554843.654083</v>
      </c>
      <c r="M3201" s="471">
        <f t="shared" si="164"/>
        <v>0.05</v>
      </c>
      <c r="N3201" s="475">
        <f t="shared" si="165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63"/>
        <v>-63181554843.654083</v>
      </c>
      <c r="J3202" s="455">
        <f t="array" ref="J3202">IFERROR(INDEX('Retirement Calculator'!J:J,MATCH('Isaac 401k'!N3202,'Retirement Calculator'!A:A,0),0),0)</f>
        <v>0</v>
      </c>
      <c r="K3202" s="455">
        <f t="shared" ca="1" si="161"/>
        <v>-263256478.51522535</v>
      </c>
      <c r="L3202" s="455">
        <f t="shared" ca="1" si="162"/>
        <v>-63444811322.169312</v>
      </c>
      <c r="M3202" s="471">
        <f t="shared" si="164"/>
        <v>0.05</v>
      </c>
      <c r="N3202" s="475">
        <f t="shared" si="165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63"/>
        <v>-63444811322.169312</v>
      </c>
      <c r="J3203" s="455">
        <f t="array" ref="J3203">IFERROR(INDEX('Retirement Calculator'!J:J,MATCH('Isaac 401k'!N3203,'Retirement Calculator'!A:A,0),0),0)</f>
        <v>0</v>
      </c>
      <c r="K3203" s="455">
        <f t="shared" ca="1" si="161"/>
        <v>-264353380.50903881</v>
      </c>
      <c r="L3203" s="455">
        <f t="shared" ca="1" si="162"/>
        <v>-63709164702.678352</v>
      </c>
      <c r="M3203" s="471">
        <f t="shared" si="164"/>
        <v>0.05</v>
      </c>
      <c r="N3203" s="475">
        <f t="shared" si="165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63"/>
        <v>-63709164702.678352</v>
      </c>
      <c r="J3204" s="455">
        <f t="array" ref="J3204">IFERROR(INDEX('Retirement Calculator'!J:J,MATCH('Isaac 401k'!N3204,'Retirement Calculator'!A:A,0),0),0)</f>
        <v>0</v>
      </c>
      <c r="K3204" s="455">
        <f t="shared" ca="1" si="161"/>
        <v>-265454852.92782646</v>
      </c>
      <c r="L3204" s="455">
        <f t="shared" ca="1" si="162"/>
        <v>-63974619555.606178</v>
      </c>
      <c r="M3204" s="471">
        <f t="shared" si="164"/>
        <v>0.05</v>
      </c>
      <c r="N3204" s="475">
        <f t="shared" si="165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63"/>
        <v>-63974619555.606178</v>
      </c>
      <c r="J3205" s="455">
        <f t="array" ref="J3205">IFERROR(INDEX('Retirement Calculator'!J:J,MATCH('Isaac 401k'!N3205,'Retirement Calculator'!A:A,0),0),0)</f>
        <v>0</v>
      </c>
      <c r="K3205" s="455">
        <f t="shared" ca="1" si="161"/>
        <v>-266560914.81502575</v>
      </c>
      <c r="L3205" s="455">
        <f t="shared" ca="1" si="162"/>
        <v>-64241180470.421204</v>
      </c>
      <c r="M3205" s="471">
        <f t="shared" si="164"/>
        <v>0.05</v>
      </c>
      <c r="N3205" s="475">
        <f t="shared" si="165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63"/>
        <v>-64241180470.421204</v>
      </c>
      <c r="J3206" s="455">
        <f t="array" ref="J3206">IFERROR(INDEX('Retirement Calculator'!J:J,MATCH('Isaac 401k'!N3206,'Retirement Calculator'!A:A,0),0),0)</f>
        <v>0</v>
      </c>
      <c r="K3206" s="455">
        <f t="shared" ca="1" si="161"/>
        <v>-267671585.29342166</v>
      </c>
      <c r="L3206" s="455">
        <f t="shared" ca="1" si="162"/>
        <v>-64508852055.714622</v>
      </c>
      <c r="M3206" s="471">
        <f t="shared" si="164"/>
        <v>0.05</v>
      </c>
      <c r="N3206" s="475">
        <f t="shared" si="165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63"/>
        <v>-64508852055.714622</v>
      </c>
      <c r="J3207" s="455">
        <f t="array" ref="J3207">IFERROR(INDEX('Retirement Calculator'!J:J,MATCH('Isaac 401k'!N3207,'Retirement Calculator'!A:A,0),0),0)</f>
        <v>0</v>
      </c>
      <c r="K3207" s="455">
        <f t="shared" ca="1" si="161"/>
        <v>-268786883.56547755</v>
      </c>
      <c r="L3207" s="455">
        <f t="shared" ca="1" si="162"/>
        <v>-64777638939.280098</v>
      </c>
      <c r="M3207" s="471">
        <f t="shared" si="164"/>
        <v>0.05</v>
      </c>
      <c r="N3207" s="475">
        <f t="shared" si="165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63"/>
        <v>-64777638939.280098</v>
      </c>
      <c r="J3208" s="455">
        <f t="array" ref="J3208">IFERROR(INDEX('Retirement Calculator'!J:J,MATCH('Isaac 401k'!N3208,'Retirement Calculator'!A:A,0),0),0)</f>
        <v>0</v>
      </c>
      <c r="K3208" s="455">
        <f t="shared" ca="1" si="161"/>
        <v>-269906828.91366702</v>
      </c>
      <c r="L3208" s="455">
        <f t="shared" ca="1" si="162"/>
        <v>-65047545768.193764</v>
      </c>
      <c r="M3208" s="471">
        <f t="shared" si="164"/>
        <v>0.05</v>
      </c>
      <c r="N3208" s="475">
        <f t="shared" si="165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63"/>
        <v>-65047545768.193764</v>
      </c>
      <c r="J3209" s="455">
        <f t="array" ref="J3209">IFERROR(INDEX('Retirement Calculator'!J:J,MATCH('Isaac 401k'!N3209,'Retirement Calculator'!A:A,0),0),0)</f>
        <v>0</v>
      </c>
      <c r="K3209" s="455">
        <f t="shared" ca="1" si="161"/>
        <v>-271031440.70080733</v>
      </c>
      <c r="L3209" s="455">
        <f t="shared" ca="1" si="162"/>
        <v>-65318577208.894569</v>
      </c>
      <c r="M3209" s="471">
        <f t="shared" si="164"/>
        <v>0.05</v>
      </c>
      <c r="N3209" s="475">
        <f t="shared" si="165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63"/>
        <v>-65318577208.894569</v>
      </c>
      <c r="J3210" s="455">
        <f t="array" ref="J3210">IFERROR(INDEX('Retirement Calculator'!J:J,MATCH('Isaac 401k'!N3210,'Retirement Calculator'!A:A,0),0),0)</f>
        <v>0</v>
      </c>
      <c r="K3210" s="455">
        <f t="shared" ca="1" si="161"/>
        <v>-272160738.37039405</v>
      </c>
      <c r="L3210" s="455">
        <f t="shared" ca="1" si="162"/>
        <v>-65590737947.264961</v>
      </c>
      <c r="M3210" s="471">
        <f t="shared" si="164"/>
        <v>0.05</v>
      </c>
      <c r="N3210" s="475">
        <f t="shared" si="165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63"/>
        <v>-65590737947.264961</v>
      </c>
      <c r="J3211" s="455">
        <f t="array" ref="J3211">IFERROR(INDEX('Retirement Calculator'!J:J,MATCH('Isaac 401k'!N3211,'Retirement Calculator'!A:A,0),0),0)</f>
        <v>0</v>
      </c>
      <c r="K3211" s="455">
        <f t="shared" ca="1" si="161"/>
        <v>-273294741.44693732</v>
      </c>
      <c r="L3211" s="455">
        <f t="shared" ca="1" si="162"/>
        <v>-65864032688.711899</v>
      </c>
      <c r="M3211" s="471">
        <f t="shared" si="164"/>
        <v>0.05</v>
      </c>
      <c r="N3211" s="475">
        <f t="shared" si="165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63"/>
        <v>-65864032688.711899</v>
      </c>
      <c r="J3212" s="455">
        <f t="array" ref="J3212">IFERROR(INDEX('Retirement Calculator'!J:J,MATCH('Isaac 401k'!N3212,'Retirement Calculator'!A:A,0),0),0)</f>
        <v>0</v>
      </c>
      <c r="K3212" s="455">
        <f t="shared" ca="1" si="161"/>
        <v>-274433469.53629959</v>
      </c>
      <c r="L3212" s="455">
        <f t="shared" ca="1" si="162"/>
        <v>-66138466158.248199</v>
      </c>
      <c r="M3212" s="471">
        <f t="shared" si="164"/>
        <v>0.05</v>
      </c>
      <c r="N3212" s="475">
        <f t="shared" si="165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63"/>
        <v>-66138466158.248199</v>
      </c>
      <c r="J3213" s="455">
        <f t="array" ref="J3213">IFERROR(INDEX('Retirement Calculator'!J:J,MATCH('Isaac 401k'!N3213,'Retirement Calculator'!A:A,0),0),0)</f>
        <v>0</v>
      </c>
      <c r="K3213" s="455">
        <f t="shared" ca="1" si="161"/>
        <v>-275576942.32603419</v>
      </c>
      <c r="L3213" s="455">
        <f t="shared" ca="1" si="162"/>
        <v>-66414043100.574234</v>
      </c>
      <c r="M3213" s="471">
        <f t="shared" si="164"/>
        <v>0.05</v>
      </c>
      <c r="N3213" s="475">
        <f t="shared" si="165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63"/>
        <v>-66414043100.574234</v>
      </c>
      <c r="J3214" s="455">
        <f t="array" ref="J3214">IFERROR(INDEX('Retirement Calculator'!J:J,MATCH('Isaac 401k'!N3214,'Retirement Calculator'!A:A,0),0),0)</f>
        <v>0</v>
      </c>
      <c r="K3214" s="455">
        <f t="shared" ca="1" si="161"/>
        <v>-276725179.58572596</v>
      </c>
      <c r="L3214" s="455">
        <f t="shared" ca="1" si="162"/>
        <v>-66690768280.159958</v>
      </c>
      <c r="M3214" s="471">
        <f t="shared" si="164"/>
        <v>0.05</v>
      </c>
      <c r="N3214" s="475">
        <f t="shared" si="165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63"/>
        <v>-66690768280.159958</v>
      </c>
      <c r="J3215" s="455">
        <f t="array" ref="J3215">IFERROR(INDEX('Retirement Calculator'!J:J,MATCH('Isaac 401k'!N3215,'Retirement Calculator'!A:A,0),0),0)</f>
        <v>0</v>
      </c>
      <c r="K3215" s="455">
        <f t="shared" ca="1" si="161"/>
        <v>-277878201.16733319</v>
      </c>
      <c r="L3215" s="455">
        <f t="shared" ca="1" si="162"/>
        <v>-66968646481.327293</v>
      </c>
      <c r="M3215" s="471">
        <f t="shared" si="164"/>
        <v>0.05</v>
      </c>
      <c r="N3215" s="475">
        <f t="shared" si="165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63"/>
        <v>-66968646481.327293</v>
      </c>
      <c r="J3216" s="455">
        <f t="array" ref="J3216">IFERROR(INDEX('Retirement Calculator'!J:J,MATCH('Isaac 401k'!N3216,'Retirement Calculator'!A:A,0),0),0)</f>
        <v>0</v>
      </c>
      <c r="K3216" s="455">
        <f t="shared" ca="1" si="161"/>
        <v>-279036027.00553036</v>
      </c>
      <c r="L3216" s="455">
        <f t="shared" ca="1" si="162"/>
        <v>-67247682508.332825</v>
      </c>
      <c r="M3216" s="471">
        <f t="shared" si="164"/>
        <v>0.05</v>
      </c>
      <c r="N3216" s="475">
        <f t="shared" si="165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63"/>
        <v>-67247682508.332825</v>
      </c>
      <c r="J3217" s="455">
        <f t="array" ref="J3217">IFERROR(INDEX('Retirement Calculator'!J:J,MATCH('Isaac 401k'!N3217,'Retirement Calculator'!A:A,0),0),0)</f>
        <v>0</v>
      </c>
      <c r="K3217" s="455">
        <f t="shared" ca="1" si="161"/>
        <v>-280198677.11805338</v>
      </c>
      <c r="L3217" s="455">
        <f t="shared" ca="1" si="162"/>
        <v>-67527881185.450874</v>
      </c>
      <c r="M3217" s="471">
        <f t="shared" si="164"/>
        <v>0.05</v>
      </c>
      <c r="N3217" s="475">
        <f t="shared" si="165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63"/>
        <v>-67527881185.450874</v>
      </c>
      <c r="J3218" s="455">
        <f t="array" ref="J3218">IFERROR(INDEX('Retirement Calculator'!J:J,MATCH('Isaac 401k'!N3218,'Retirement Calculator'!A:A,0),0),0)</f>
        <v>0</v>
      </c>
      <c r="K3218" s="455">
        <f t="shared" ca="1" si="161"/>
        <v>-281366171.60604525</v>
      </c>
      <c r="L3218" s="455">
        <f t="shared" ca="1" si="162"/>
        <v>-67809247357.056923</v>
      </c>
      <c r="M3218" s="471">
        <f t="shared" si="164"/>
        <v>0.05</v>
      </c>
      <c r="N3218" s="475">
        <f t="shared" si="165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63"/>
        <v>-67809247357.056923</v>
      </c>
      <c r="J3219" s="455">
        <f t="array" ref="J3219">IFERROR(INDEX('Retirement Calculator'!J:J,MATCH('Isaac 401k'!N3219,'Retirement Calculator'!A:A,0),0),0)</f>
        <v>0</v>
      </c>
      <c r="K3219" s="455">
        <f t="shared" ca="1" si="161"/>
        <v>-282538530.65440387</v>
      </c>
      <c r="L3219" s="455">
        <f t="shared" ca="1" si="162"/>
        <v>-68091785887.711327</v>
      </c>
      <c r="M3219" s="471">
        <f t="shared" si="164"/>
        <v>0.05</v>
      </c>
      <c r="N3219" s="475">
        <f t="shared" si="165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63"/>
        <v>-68091785887.711327</v>
      </c>
      <c r="J3220" s="455">
        <f t="array" ref="J3220">IFERROR(INDEX('Retirement Calculator'!J:J,MATCH('Isaac 401k'!N3220,'Retirement Calculator'!A:A,0),0),0)</f>
        <v>0</v>
      </c>
      <c r="K3220" s="455">
        <f t="shared" ca="1" si="161"/>
        <v>-283715774.53213054</v>
      </c>
      <c r="L3220" s="455">
        <f t="shared" ca="1" si="162"/>
        <v>-68375501662.243454</v>
      </c>
      <c r="M3220" s="471">
        <f t="shared" si="164"/>
        <v>0.05</v>
      </c>
      <c r="N3220" s="475">
        <f t="shared" si="165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63"/>
        <v>-68375501662.243454</v>
      </c>
      <c r="J3221" s="455">
        <f t="array" ref="J3221">IFERROR(INDEX('Retirement Calculator'!J:J,MATCH('Isaac 401k'!N3221,'Retirement Calculator'!A:A,0),0),0)</f>
        <v>0</v>
      </c>
      <c r="K3221" s="455">
        <f t="shared" ca="1" si="161"/>
        <v>-284897923.59268105</v>
      </c>
      <c r="L3221" s="455">
        <f t="shared" ca="1" si="162"/>
        <v>-68660399585.836136</v>
      </c>
      <c r="M3221" s="471">
        <f t="shared" si="164"/>
        <v>0.05</v>
      </c>
      <c r="N3221" s="475">
        <f t="shared" si="165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63"/>
        <v>-68660399585.836136</v>
      </c>
      <c r="J3222" s="455">
        <f t="array" ref="J3222">IFERROR(INDEX('Retirement Calculator'!J:J,MATCH('Isaac 401k'!N3222,'Retirement Calculator'!A:A,0),0),0)</f>
        <v>0</v>
      </c>
      <c r="K3222" s="455">
        <f t="shared" ca="1" si="161"/>
        <v>-286084998.27431726</v>
      </c>
      <c r="L3222" s="455">
        <f t="shared" ca="1" si="162"/>
        <v>-68946484584.110458</v>
      </c>
      <c r="M3222" s="471">
        <f t="shared" si="164"/>
        <v>0.05</v>
      </c>
      <c r="N3222" s="475">
        <f t="shared" si="165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63"/>
        <v>-68946484584.110458</v>
      </c>
      <c r="J3223" s="455">
        <f t="array" ref="J3223">IFERROR(INDEX('Retirement Calculator'!J:J,MATCH('Isaac 401k'!N3223,'Retirement Calculator'!A:A,0),0),0)</f>
        <v>0</v>
      </c>
      <c r="K3223" s="455">
        <f t="shared" ca="1" si="161"/>
        <v>-287277019.10046023</v>
      </c>
      <c r="L3223" s="455">
        <f t="shared" ca="1" si="162"/>
        <v>-69233761603.210922</v>
      </c>
      <c r="M3223" s="471">
        <f t="shared" si="164"/>
        <v>0.05</v>
      </c>
      <c r="N3223" s="475">
        <f t="shared" si="165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63"/>
        <v>-69233761603.210922</v>
      </c>
      <c r="J3224" s="455">
        <f t="array" ref="J3224">IFERROR(INDEX('Retirement Calculator'!J:J,MATCH('Isaac 401k'!N3224,'Retirement Calculator'!A:A,0),0),0)</f>
        <v>0</v>
      </c>
      <c r="K3224" s="455">
        <f t="shared" ca="1" si="161"/>
        <v>-288474006.68004549</v>
      </c>
      <c r="L3224" s="455">
        <f t="shared" ca="1" si="162"/>
        <v>-69522235609.890961</v>
      </c>
      <c r="M3224" s="471">
        <f t="shared" si="164"/>
        <v>0.05</v>
      </c>
      <c r="N3224" s="475">
        <f t="shared" si="165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63"/>
        <v>-69522235609.890961</v>
      </c>
      <c r="J3225" s="455">
        <f t="array" ref="J3225">IFERROR(INDEX('Retirement Calculator'!J:J,MATCH('Isaac 401k'!N3225,'Retirement Calculator'!A:A,0),0),0)</f>
        <v>0</v>
      </c>
      <c r="K3225" s="455">
        <f t="shared" ca="1" si="161"/>
        <v>-289675981.70787901</v>
      </c>
      <c r="L3225" s="455">
        <f t="shared" ca="1" si="162"/>
        <v>-69811911591.598846</v>
      </c>
      <c r="M3225" s="471">
        <f t="shared" si="164"/>
        <v>0.05</v>
      </c>
      <c r="N3225" s="475">
        <f t="shared" si="165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63"/>
        <v>-69811911591.598846</v>
      </c>
      <c r="J3226" s="455">
        <f t="array" ref="J3226">IFERROR(INDEX('Retirement Calculator'!J:J,MATCH('Isaac 401k'!N3226,'Retirement Calculator'!A:A,0),0),0)</f>
        <v>0</v>
      </c>
      <c r="K3226" s="455">
        <f t="shared" ca="1" si="161"/>
        <v>-290882964.96499521</v>
      </c>
      <c r="L3226" s="455">
        <f t="shared" ca="1" si="162"/>
        <v>-70102794556.563843</v>
      </c>
      <c r="M3226" s="471">
        <f t="shared" si="164"/>
        <v>0.05</v>
      </c>
      <c r="N3226" s="475">
        <f t="shared" si="165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63"/>
        <v>-70102794556.563843</v>
      </c>
      <c r="J3227" s="455">
        <f t="array" ref="J3227">IFERROR(INDEX('Retirement Calculator'!J:J,MATCH('Isaac 401k'!N3227,'Retirement Calculator'!A:A,0),0),0)</f>
        <v>0</v>
      </c>
      <c r="K3227" s="455">
        <f t="shared" ca="1" si="161"/>
        <v>-292094977.31901598</v>
      </c>
      <c r="L3227" s="455">
        <f t="shared" ca="1" si="162"/>
        <v>-70394889533.882858</v>
      </c>
      <c r="M3227" s="471">
        <f t="shared" si="164"/>
        <v>0.05</v>
      </c>
      <c r="N3227" s="475">
        <f t="shared" si="165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63"/>
        <v>-70394889533.882858</v>
      </c>
      <c r="J3228" s="455">
        <f t="array" ref="J3228">IFERROR(INDEX('Retirement Calculator'!J:J,MATCH('Isaac 401k'!N3228,'Retirement Calculator'!A:A,0),0),0)</f>
        <v>0</v>
      </c>
      <c r="K3228" s="455">
        <f t="shared" ca="1" si="161"/>
        <v>-293312039.72451192</v>
      </c>
      <c r="L3228" s="455">
        <f t="shared" ca="1" si="162"/>
        <v>-70688201573.607376</v>
      </c>
      <c r="M3228" s="471">
        <f t="shared" si="164"/>
        <v>0.05</v>
      </c>
      <c r="N3228" s="475">
        <f t="shared" si="165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63"/>
        <v>-70688201573.607376</v>
      </c>
      <c r="J3229" s="455">
        <f t="array" ref="J3229">IFERROR(INDEX('Retirement Calculator'!J:J,MATCH('Isaac 401k'!N3229,'Retirement Calculator'!A:A,0),0),0)</f>
        <v>0</v>
      </c>
      <c r="K3229" s="455">
        <f t="shared" ca="1" si="161"/>
        <v>-294534173.22336406</v>
      </c>
      <c r="L3229" s="455">
        <f t="shared" ca="1" si="162"/>
        <v>-70982735746.830734</v>
      </c>
      <c r="M3229" s="471">
        <f t="shared" si="164"/>
        <v>0.05</v>
      </c>
      <c r="N3229" s="475">
        <f t="shared" si="165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63"/>
        <v>-70982735746.830734</v>
      </c>
      <c r="J3230" s="455">
        <f t="array" ref="J3230">IFERROR(INDEX('Retirement Calculator'!J:J,MATCH('Isaac 401k'!N3230,'Retirement Calculator'!A:A,0),0),0)</f>
        <v>0</v>
      </c>
      <c r="K3230" s="455">
        <f t="shared" ca="1" si="161"/>
        <v>-295761398.94512808</v>
      </c>
      <c r="L3230" s="455">
        <f t="shared" ca="1" si="162"/>
        <v>-71278497145.775864</v>
      </c>
      <c r="M3230" s="471">
        <f t="shared" si="164"/>
        <v>0.05</v>
      </c>
      <c r="N3230" s="475">
        <f t="shared" si="165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63"/>
        <v>-71278497145.775864</v>
      </c>
      <c r="J3231" s="455">
        <f t="array" ref="J3231">IFERROR(INDEX('Retirement Calculator'!J:J,MATCH('Isaac 401k'!N3231,'Retirement Calculator'!A:A,0),0),0)</f>
        <v>0</v>
      </c>
      <c r="K3231" s="455">
        <f t="shared" ca="1" si="161"/>
        <v>-296993738.1073994</v>
      </c>
      <c r="L3231" s="455">
        <f t="shared" ca="1" si="162"/>
        <v>-71575490883.88327</v>
      </c>
      <c r="M3231" s="471">
        <f t="shared" si="164"/>
        <v>0.05</v>
      </c>
      <c r="N3231" s="475">
        <f t="shared" si="165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63"/>
        <v>-71575490883.88327</v>
      </c>
      <c r="J3232" s="455">
        <f t="array" ref="J3232">IFERROR(INDEX('Retirement Calculator'!J:J,MATCH('Isaac 401k'!N3232,'Retirement Calculator'!A:A,0),0),0)</f>
        <v>0</v>
      </c>
      <c r="K3232" s="455">
        <f t="shared" ca="1" si="161"/>
        <v>-298231212.01618028</v>
      </c>
      <c r="L3232" s="455">
        <f t="shared" ca="1" si="162"/>
        <v>-71873722095.899445</v>
      </c>
      <c r="M3232" s="471">
        <f t="shared" si="164"/>
        <v>0.05</v>
      </c>
      <c r="N3232" s="475">
        <f t="shared" si="165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63"/>
        <v>-71873722095.899445</v>
      </c>
      <c r="J3233" s="455">
        <f t="array" ref="J3233">IFERROR(INDEX('Retirement Calculator'!J:J,MATCH('Isaac 401k'!N3233,'Retirement Calculator'!A:A,0),0),0)</f>
        <v>0</v>
      </c>
      <c r="K3233" s="455">
        <f t="shared" ca="1" si="161"/>
        <v>-299473842.0662477</v>
      </c>
      <c r="L3233" s="455">
        <f t="shared" ca="1" si="162"/>
        <v>-72173195937.965698</v>
      </c>
      <c r="M3233" s="471">
        <f t="shared" si="164"/>
        <v>0.05</v>
      </c>
      <c r="N3233" s="475">
        <f t="shared" si="165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63"/>
        <v>-72173195937.965698</v>
      </c>
      <c r="J3234" s="455">
        <f t="array" ref="J3234">IFERROR(INDEX('Retirement Calculator'!J:J,MATCH('Isaac 401k'!N3234,'Retirement Calculator'!A:A,0),0),0)</f>
        <v>0</v>
      </c>
      <c r="K3234" s="455">
        <f t="shared" ca="1" si="161"/>
        <v>-300721649.74152374</v>
      </c>
      <c r="L3234" s="455">
        <f t="shared" ca="1" si="162"/>
        <v>-72473917587.707214</v>
      </c>
      <c r="M3234" s="471">
        <f t="shared" si="164"/>
        <v>0.05</v>
      </c>
      <c r="N3234" s="475">
        <f t="shared" si="165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63"/>
        <v>-72473917587.707214</v>
      </c>
      <c r="J3235" s="455">
        <f t="array" ref="J3235">IFERROR(INDEX('Retirement Calculator'!J:J,MATCH('Isaac 401k'!N3235,'Retirement Calculator'!A:A,0),0),0)</f>
        <v>0</v>
      </c>
      <c r="K3235" s="455">
        <f t="shared" ca="1" si="161"/>
        <v>-301974656.61544675</v>
      </c>
      <c r="L3235" s="455">
        <f t="shared" ca="1" si="162"/>
        <v>-72775892244.322662</v>
      </c>
      <c r="M3235" s="471">
        <f t="shared" si="164"/>
        <v>0.05</v>
      </c>
      <c r="N3235" s="475">
        <f t="shared" si="165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63"/>
        <v>-72775892244.322662</v>
      </c>
      <c r="J3236" s="455">
        <f t="array" ref="J3236">IFERROR(INDEX('Retirement Calculator'!J:J,MATCH('Isaac 401k'!N3236,'Retirement Calculator'!A:A,0),0),0)</f>
        <v>0</v>
      </c>
      <c r="K3236" s="455">
        <f t="shared" ca="1" si="161"/>
        <v>-303232884.35134441</v>
      </c>
      <c r="L3236" s="455">
        <f t="shared" ca="1" si="162"/>
        <v>-73079125128.674011</v>
      </c>
      <c r="M3236" s="471">
        <f t="shared" si="164"/>
        <v>0.05</v>
      </c>
      <c r="N3236" s="475">
        <f t="shared" si="165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63"/>
        <v>-73079125128.674011</v>
      </c>
      <c r="J3237" s="455">
        <f t="array" ref="J3237">IFERROR(INDEX('Retirement Calculator'!J:J,MATCH('Isaac 401k'!N3237,'Retirement Calculator'!A:A,0),0),0)</f>
        <v>0</v>
      </c>
      <c r="K3237" s="455">
        <f t="shared" ca="1" si="161"/>
        <v>-304496354.70280838</v>
      </c>
      <c r="L3237" s="455">
        <f t="shared" ca="1" si="162"/>
        <v>-73383621483.376816</v>
      </c>
      <c r="M3237" s="471">
        <f t="shared" si="164"/>
        <v>0.05</v>
      </c>
      <c r="N3237" s="475">
        <f t="shared" si="165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63"/>
        <v>-73383621483.376816</v>
      </c>
      <c r="J3238" s="455">
        <f t="array" ref="J3238">IFERROR(INDEX('Retirement Calculator'!J:J,MATCH('Isaac 401k'!N3238,'Retirement Calculator'!A:A,0),0),0)</f>
        <v>0</v>
      </c>
      <c r="K3238" s="455">
        <f t="shared" ca="1" si="161"/>
        <v>-305765089.51407003</v>
      </c>
      <c r="L3238" s="455">
        <f t="shared" ca="1" si="162"/>
        <v>-73689386572.890884</v>
      </c>
      <c r="M3238" s="471">
        <f t="shared" si="164"/>
        <v>0.05</v>
      </c>
      <c r="N3238" s="475">
        <f t="shared" si="165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63"/>
        <v>-73689386572.890884</v>
      </c>
      <c r="J3239" s="455">
        <f t="array" ref="J3239">IFERROR(INDEX('Retirement Calculator'!J:J,MATCH('Isaac 401k'!N3239,'Retirement Calculator'!A:A,0),0),0)</f>
        <v>0</v>
      </c>
      <c r="K3239" s="455">
        <f t="shared" ca="1" si="161"/>
        <v>-307039110.7203787</v>
      </c>
      <c r="L3239" s="455">
        <f t="shared" ca="1" si="162"/>
        <v>-73996425683.611267</v>
      </c>
      <c r="M3239" s="471">
        <f t="shared" si="164"/>
        <v>0.05</v>
      </c>
      <c r="N3239" s="475">
        <f t="shared" si="165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63"/>
        <v>-73996425683.611267</v>
      </c>
      <c r="J3240" s="455">
        <f t="array" ref="J3240">IFERROR(INDEX('Retirement Calculator'!J:J,MATCH('Isaac 401k'!N3240,'Retirement Calculator'!A:A,0),0),0)</f>
        <v>0</v>
      </c>
      <c r="K3240" s="455">
        <f t="shared" ca="1" si="161"/>
        <v>-308318440.34838027</v>
      </c>
      <c r="L3240" s="455">
        <f t="shared" ca="1" si="162"/>
        <v>-74304744123.959641</v>
      </c>
      <c r="M3240" s="471">
        <f t="shared" si="164"/>
        <v>0.05</v>
      </c>
      <c r="N3240" s="475">
        <f t="shared" si="165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63"/>
        <v>-74304744123.959641</v>
      </c>
      <c r="J3241" s="455">
        <f t="array" ref="J3241">IFERROR(INDEX('Retirement Calculator'!J:J,MATCH('Isaac 401k'!N3241,'Retirement Calculator'!A:A,0),0),0)</f>
        <v>0</v>
      </c>
      <c r="K3241" s="455">
        <f t="shared" ca="1" si="161"/>
        <v>-309603100.51649851</v>
      </c>
      <c r="L3241" s="455">
        <f t="shared" ca="1" si="162"/>
        <v>-74614347224.476135</v>
      </c>
      <c r="M3241" s="471">
        <f t="shared" si="164"/>
        <v>0.05</v>
      </c>
      <c r="N3241" s="475">
        <f t="shared" si="165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63"/>
        <v>-74614347224.476135</v>
      </c>
      <c r="J3242" s="455">
        <f t="array" ref="J3242">IFERROR(INDEX('Retirement Calculator'!J:J,MATCH('Isaac 401k'!N3242,'Retirement Calculator'!A:A,0),0),0)</f>
        <v>0</v>
      </c>
      <c r="K3242" s="455">
        <f t="shared" ca="1" si="161"/>
        <v>-310893113.43531722</v>
      </c>
      <c r="L3242" s="455">
        <f t="shared" ca="1" si="162"/>
        <v>-74925240337.911453</v>
      </c>
      <c r="M3242" s="471">
        <f t="shared" si="164"/>
        <v>0.05</v>
      </c>
      <c r="N3242" s="475">
        <f t="shared" si="165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63"/>
        <v>-74925240337.911453</v>
      </c>
      <c r="J3243" s="455">
        <f t="array" ref="J3243">IFERROR(INDEX('Retirement Calculator'!J:J,MATCH('Isaac 401k'!N3243,'Retirement Calculator'!A:A,0),0),0)</f>
        <v>0</v>
      </c>
      <c r="K3243" s="455">
        <f t="shared" ca="1" si="161"/>
        <v>-312188501.40796441</v>
      </c>
      <c r="L3243" s="455">
        <f t="shared" ca="1" si="162"/>
        <v>-75237428839.319412</v>
      </c>
      <c r="M3243" s="471">
        <f t="shared" si="164"/>
        <v>0.05</v>
      </c>
      <c r="N3243" s="475">
        <f t="shared" si="165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63"/>
        <v>-75237428839.319412</v>
      </c>
      <c r="J3244" s="455">
        <f t="array" ref="J3244">IFERROR(INDEX('Retirement Calculator'!J:J,MATCH('Isaac 401k'!N3244,'Retirement Calculator'!A:A,0),0),0)</f>
        <v>0</v>
      </c>
      <c r="K3244" s="455">
        <f t="shared" ca="1" si="161"/>
        <v>-313489286.83049756</v>
      </c>
      <c r="L3244" s="455">
        <f t="shared" ca="1" si="162"/>
        <v>-75550918126.149902</v>
      </c>
      <c r="M3244" s="471">
        <f t="shared" si="164"/>
        <v>0.05</v>
      </c>
      <c r="N3244" s="475">
        <f t="shared" si="165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63"/>
        <v>-75550918126.149902</v>
      </c>
      <c r="J3245" s="455">
        <f t="array" ref="J3245">IFERROR(INDEX('Retirement Calculator'!J:J,MATCH('Isaac 401k'!N3245,'Retirement Calculator'!A:A,0),0),0)</f>
        <v>0</v>
      </c>
      <c r="K3245" s="455">
        <f t="shared" ca="1" si="161"/>
        <v>-314795492.19229126</v>
      </c>
      <c r="L3245" s="455">
        <f t="shared" ca="1" si="162"/>
        <v>-75865713618.342194</v>
      </c>
      <c r="M3245" s="471">
        <f t="shared" si="164"/>
        <v>0.05</v>
      </c>
      <c r="N3245" s="475">
        <f t="shared" si="165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63"/>
        <v>-75865713618.342194</v>
      </c>
      <c r="J3246" s="455">
        <f t="array" ref="J3246">IFERROR(INDEX('Retirement Calculator'!J:J,MATCH('Isaac 401k'!N3246,'Retirement Calculator'!A:A,0),0),0)</f>
        <v>0</v>
      </c>
      <c r="K3246" s="455">
        <f t="shared" ca="1" si="161"/>
        <v>-316107140.07642579</v>
      </c>
      <c r="L3246" s="455">
        <f t="shared" ca="1" si="162"/>
        <v>-76181820758.418625</v>
      </c>
      <c r="M3246" s="471">
        <f t="shared" si="164"/>
        <v>0.05</v>
      </c>
      <c r="N3246" s="475">
        <f t="shared" si="165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63"/>
        <v>-76181820758.418625</v>
      </c>
      <c r="J3247" s="455">
        <f t="array" ref="J3247">IFERROR(INDEX('Retirement Calculator'!J:J,MATCH('Isaac 401k'!N3247,'Retirement Calculator'!A:A,0),0),0)</f>
        <v>0</v>
      </c>
      <c r="K3247" s="455">
        <f t="shared" ca="1" si="161"/>
        <v>-317424253.16007757</v>
      </c>
      <c r="L3247" s="455">
        <f t="shared" ca="1" si="162"/>
        <v>-76499245011.578705</v>
      </c>
      <c r="M3247" s="471">
        <f t="shared" si="164"/>
        <v>0.05</v>
      </c>
      <c r="N3247" s="475">
        <f t="shared" si="165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63"/>
        <v>-76499245011.578705</v>
      </c>
      <c r="J3248" s="455">
        <f t="array" ref="J3248">IFERROR(INDEX('Retirement Calculator'!J:J,MATCH('Isaac 401k'!N3248,'Retirement Calculator'!A:A,0),0),0)</f>
        <v>0</v>
      </c>
      <c r="K3248" s="455">
        <f t="shared" ca="1" si="161"/>
        <v>-318746854.21491128</v>
      </c>
      <c r="L3248" s="455">
        <f t="shared" ca="1" si="162"/>
        <v>-76817991865.79361</v>
      </c>
      <c r="M3248" s="471">
        <f t="shared" si="164"/>
        <v>0.05</v>
      </c>
      <c r="N3248" s="475">
        <f t="shared" si="165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63"/>
        <v>-76817991865.79361</v>
      </c>
      <c r="J3249" s="455">
        <f t="array" ref="J3249">IFERROR(INDEX('Retirement Calculator'!J:J,MATCH('Isaac 401k'!N3249,'Retirement Calculator'!A:A,0),0),0)</f>
        <v>0</v>
      </c>
      <c r="K3249" s="455">
        <f t="shared" ca="1" si="161"/>
        <v>-320074966.10747337</v>
      </c>
      <c r="L3249" s="455">
        <f t="shared" ca="1" si="162"/>
        <v>-77138066831.901077</v>
      </c>
      <c r="M3249" s="471">
        <f t="shared" si="164"/>
        <v>0.05</v>
      </c>
      <c r="N3249" s="475">
        <f t="shared" si="165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63"/>
        <v>-77138066831.901077</v>
      </c>
      <c r="J3250" s="455">
        <f t="array" ref="J3250">IFERROR(INDEX('Retirement Calculator'!J:J,MATCH('Isaac 401k'!N3250,'Retirement Calculator'!A:A,0),0),0)</f>
        <v>0</v>
      </c>
      <c r="K3250" s="455">
        <f t="shared" ca="1" si="161"/>
        <v>-321408611.79958785</v>
      </c>
      <c r="L3250" s="455">
        <f t="shared" ca="1" si="162"/>
        <v>-77459475443.700668</v>
      </c>
      <c r="M3250" s="471">
        <f t="shared" si="164"/>
        <v>0.05</v>
      </c>
      <c r="N3250" s="475">
        <f t="shared" si="165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63"/>
        <v>-77459475443.700668</v>
      </c>
      <c r="J3251" s="455">
        <f t="array" ref="J3251">IFERROR(INDEX('Retirement Calculator'!J:J,MATCH('Isaac 401k'!N3251,'Retirement Calculator'!A:A,0),0),0)</f>
        <v>0</v>
      </c>
      <c r="K3251" s="455">
        <f t="shared" ca="1" si="161"/>
        <v>-322747814.3487528</v>
      </c>
      <c r="L3251" s="455">
        <f t="shared" ca="1" si="162"/>
        <v>-77782223258.049423</v>
      </c>
      <c r="M3251" s="471">
        <f t="shared" si="164"/>
        <v>0.05</v>
      </c>
      <c r="N3251" s="475">
        <f t="shared" si="165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63"/>
        <v>-77782223258.049423</v>
      </c>
      <c r="J3252" s="455">
        <f t="array" ref="J3252">IFERROR(INDEX('Retirement Calculator'!J:J,MATCH('Isaac 401k'!N3252,'Retirement Calculator'!A:A,0),0),0)</f>
        <v>0</v>
      </c>
      <c r="K3252" s="455">
        <f t="shared" ca="1" si="161"/>
        <v>-324092596.90853924</v>
      </c>
      <c r="L3252" s="455">
        <f t="shared" ca="1" si="162"/>
        <v>-78106315854.957962</v>
      </c>
      <c r="M3252" s="471">
        <f t="shared" si="164"/>
        <v>0.05</v>
      </c>
      <c r="N3252" s="475">
        <f t="shared" si="165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63"/>
        <v>-78106315854.957962</v>
      </c>
      <c r="J3253" s="455">
        <f t="array" ref="J3253">IFERROR(INDEX('Retirement Calculator'!J:J,MATCH('Isaac 401k'!N3253,'Retirement Calculator'!A:A,0),0),0)</f>
        <v>0</v>
      </c>
      <c r="K3253" s="455">
        <f t="shared" ca="1" si="161"/>
        <v>-325442982.72899151</v>
      </c>
      <c r="L3253" s="455">
        <f t="shared" ca="1" si="162"/>
        <v>-78431758837.686951</v>
      </c>
      <c r="M3253" s="471">
        <f t="shared" si="164"/>
        <v>0.05</v>
      </c>
      <c r="N3253" s="475">
        <f t="shared" si="165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63"/>
        <v>-78431758837.686951</v>
      </c>
      <c r="J3254" s="455">
        <f t="array" ref="J3254">IFERROR(INDEX('Retirement Calculator'!J:J,MATCH('Isaac 401k'!N3254,'Retirement Calculator'!A:A,0),0),0)</f>
        <v>0</v>
      </c>
      <c r="K3254" s="455">
        <f t="shared" ca="1" si="161"/>
        <v>-326798995.15702897</v>
      </c>
      <c r="L3254" s="455">
        <f t="shared" ca="1" si="162"/>
        <v>-78758557832.843979</v>
      </c>
      <c r="M3254" s="471">
        <f t="shared" si="164"/>
        <v>0.05</v>
      </c>
      <c r="N3254" s="475">
        <f t="shared" si="165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63"/>
        <v>-78758557832.843979</v>
      </c>
      <c r="J3255" s="455">
        <f t="array" ref="J3255">IFERROR(INDEX('Retirement Calculator'!J:J,MATCH('Isaac 401k'!N3255,'Retirement Calculator'!A:A,0),0),0)</f>
        <v>0</v>
      </c>
      <c r="K3255" s="455">
        <f t="shared" ca="1" si="161"/>
        <v>-328160657.63684988</v>
      </c>
      <c r="L3255" s="455">
        <f t="shared" ca="1" si="162"/>
        <v>-79086718490.480835</v>
      </c>
      <c r="M3255" s="471">
        <f t="shared" si="164"/>
        <v>0.05</v>
      </c>
      <c r="N3255" s="475">
        <f t="shared" si="165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63"/>
        <v>-79086718490.480835</v>
      </c>
      <c r="J3256" s="455">
        <f t="array" ref="J3256">IFERROR(INDEX('Retirement Calculator'!J:J,MATCH('Isaac 401k'!N3256,'Retirement Calculator'!A:A,0),0),0)</f>
        <v>0</v>
      </c>
      <c r="K3256" s="455">
        <f t="shared" ca="1" si="161"/>
        <v>-329527993.7103368</v>
      </c>
      <c r="L3256" s="455">
        <f t="shared" ca="1" si="162"/>
        <v>-79416246484.191177</v>
      </c>
      <c r="M3256" s="471">
        <f t="shared" si="164"/>
        <v>0.05</v>
      </c>
      <c r="N3256" s="475">
        <f t="shared" si="165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63"/>
        <v>-79416246484.191177</v>
      </c>
      <c r="J3257" s="455">
        <f t="array" ref="J3257">IFERROR(INDEX('Retirement Calculator'!J:J,MATCH('Isaac 401k'!N3257,'Retirement Calculator'!A:A,0),0),0)</f>
        <v>0</v>
      </c>
      <c r="K3257" s="455">
        <f t="shared" ca="1" si="161"/>
        <v>-330901027.01746321</v>
      </c>
      <c r="L3257" s="455">
        <f t="shared" ca="1" si="162"/>
        <v>-79747147511.208633</v>
      </c>
      <c r="M3257" s="471">
        <f t="shared" si="164"/>
        <v>0.05</v>
      </c>
      <c r="N3257" s="475">
        <f t="shared" si="165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63"/>
        <v>-79747147511.208633</v>
      </c>
      <c r="J3258" s="455">
        <f t="array" ref="J3258">IFERROR(INDEX('Retirement Calculator'!J:J,MATCH('Isaac 401k'!N3258,'Retirement Calculator'!A:A,0),0),0)</f>
        <v>0</v>
      </c>
      <c r="K3258" s="455">
        <f t="shared" ca="1" si="161"/>
        <v>-332279781.29670262</v>
      </c>
      <c r="L3258" s="455">
        <f t="shared" ca="1" si="162"/>
        <v>-80079427292.505341</v>
      </c>
      <c r="M3258" s="471">
        <f t="shared" si="164"/>
        <v>0.05</v>
      </c>
      <c r="N3258" s="475">
        <f t="shared" si="165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63"/>
        <v>-80079427292.505341</v>
      </c>
      <c r="J3259" s="455">
        <f t="array" ref="J3259">IFERROR(INDEX('Retirement Calculator'!J:J,MATCH('Isaac 401k'!N3259,'Retirement Calculator'!A:A,0),0),0)</f>
        <v>0</v>
      </c>
      <c r="K3259" s="455">
        <f t="shared" ca="1" si="161"/>
        <v>-333664280.38543892</v>
      </c>
      <c r="L3259" s="455">
        <f t="shared" ca="1" si="162"/>
        <v>-80413091572.890778</v>
      </c>
      <c r="M3259" s="471">
        <f t="shared" si="164"/>
        <v>0.05</v>
      </c>
      <c r="N3259" s="475">
        <f t="shared" si="165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63"/>
        <v>-80413091572.890778</v>
      </c>
      <c r="J3260" s="455">
        <f t="array" ref="J3260">IFERROR(INDEX('Retirement Calculator'!J:J,MATCH('Isaac 401k'!N3260,'Retirement Calculator'!A:A,0),0),0)</f>
        <v>0</v>
      </c>
      <c r="K3260" s="455">
        <f t="shared" ca="1" si="161"/>
        <v>-335054548.22037822</v>
      </c>
      <c r="L3260" s="455">
        <f t="shared" ca="1" si="162"/>
        <v>-80748146121.11116</v>
      </c>
      <c r="M3260" s="471">
        <f t="shared" si="164"/>
        <v>0.05</v>
      </c>
      <c r="N3260" s="475">
        <f t="shared" si="165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63"/>
        <v>-80748146121.11116</v>
      </c>
      <c r="J3261" s="455">
        <f t="array" ref="J3261">IFERROR(INDEX('Retirement Calculator'!J:J,MATCH('Isaac 401k'!N3261,'Retirement Calculator'!A:A,0),0),0)</f>
        <v>0</v>
      </c>
      <c r="K3261" s="455">
        <f t="shared" ca="1" si="161"/>
        <v>-336450608.83796316</v>
      </c>
      <c r="L3261" s="455">
        <f t="shared" ca="1" si="162"/>
        <v>-81084596729.949127</v>
      </c>
      <c r="M3261" s="471">
        <f t="shared" si="164"/>
        <v>0.05</v>
      </c>
      <c r="N3261" s="475">
        <f t="shared" si="165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63"/>
        <v>-81084596729.949127</v>
      </c>
      <c r="J3262" s="455">
        <f t="array" ref="J3262">IFERROR(INDEX('Retirement Calculator'!J:J,MATCH('Isaac 401k'!N3262,'Retirement Calculator'!A:A,0),0),0)</f>
        <v>0</v>
      </c>
      <c r="K3262" s="455">
        <f t="shared" ca="1" si="161"/>
        <v>-337852486.37478805</v>
      </c>
      <c r="L3262" s="455">
        <f t="shared" ca="1" si="162"/>
        <v>-81422449216.323914</v>
      </c>
      <c r="M3262" s="471">
        <f t="shared" si="164"/>
        <v>0.05</v>
      </c>
      <c r="N3262" s="475">
        <f t="shared" si="165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63"/>
        <v>-81422449216.323914</v>
      </c>
      <c r="J3263" s="455">
        <f t="array" ref="J3263">IFERROR(INDEX('Retirement Calculator'!J:J,MATCH('Isaac 401k'!N3263,'Retirement Calculator'!A:A,0),0),0)</f>
        <v>0</v>
      </c>
      <c r="K3263" s="455">
        <f t="shared" ca="1" si="161"/>
        <v>-339260205.06801629</v>
      </c>
      <c r="L3263" s="455">
        <f t="shared" ca="1" si="162"/>
        <v>-81761709421.391937</v>
      </c>
      <c r="M3263" s="471">
        <f t="shared" si="164"/>
        <v>0.05</v>
      </c>
      <c r="N3263" s="475">
        <f t="shared" si="165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63"/>
        <v>-81761709421.391937</v>
      </c>
      <c r="J3264" s="455">
        <f t="array" ref="J3264">IFERROR(INDEX('Retirement Calculator'!J:J,MATCH('Isaac 401k'!N3264,'Retirement Calculator'!A:A,0),0),0)</f>
        <v>0</v>
      </c>
      <c r="K3264" s="455">
        <f t="shared" ca="1" si="161"/>
        <v>-340673789.25579971</v>
      </c>
      <c r="L3264" s="455">
        <f t="shared" ca="1" si="162"/>
        <v>-82102383210.647736</v>
      </c>
      <c r="M3264" s="471">
        <f t="shared" si="164"/>
        <v>0.05</v>
      </c>
      <c r="N3264" s="475">
        <f t="shared" si="165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63"/>
        <v>-82102383210.647736</v>
      </c>
      <c r="J3265" s="455">
        <f t="array" ref="J3265">IFERROR(INDEX('Retirement Calculator'!J:J,MATCH('Isaac 401k'!N3265,'Retirement Calculator'!A:A,0),0),0)</f>
        <v>0</v>
      </c>
      <c r="K3265" s="455">
        <f t="shared" ca="1" si="161"/>
        <v>-342093263.3776989</v>
      </c>
      <c r="L3265" s="455">
        <f t="shared" ca="1" si="162"/>
        <v>-82444476474.025436</v>
      </c>
      <c r="M3265" s="471">
        <f t="shared" si="164"/>
        <v>0.05</v>
      </c>
      <c r="N3265" s="475">
        <f t="shared" si="165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63"/>
        <v>-82444476474.025436</v>
      </c>
      <c r="J3266" s="455">
        <f t="array" ref="J3266">IFERROR(INDEX('Retirement Calculator'!J:J,MATCH('Isaac 401k'!N3266,'Retirement Calculator'!A:A,0),0),0)</f>
        <v>0</v>
      </c>
      <c r="K3266" s="455">
        <f t="shared" ca="1" si="161"/>
        <v>-343518651.975106</v>
      </c>
      <c r="L3266" s="455">
        <f t="shared" ca="1" si="162"/>
        <v>-82787995126.000549</v>
      </c>
      <c r="M3266" s="471">
        <f t="shared" si="164"/>
        <v>0.05</v>
      </c>
      <c r="N3266" s="475">
        <f t="shared" si="165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63"/>
        <v>-82787995126.000549</v>
      </c>
      <c r="J3267" s="455">
        <f t="array" ref="J3267">IFERROR(INDEX('Retirement Calculator'!J:J,MATCH('Isaac 401k'!N3267,'Retirement Calculator'!A:A,0),0),0)</f>
        <v>0</v>
      </c>
      <c r="K3267" s="455">
        <f t="shared" ca="1" si="161"/>
        <v>-344949979.69166893</v>
      </c>
      <c r="L3267" s="455">
        <f t="shared" ca="1" si="162"/>
        <v>-83132945105.692215</v>
      </c>
      <c r="M3267" s="471">
        <f t="shared" si="164"/>
        <v>0.05</v>
      </c>
      <c r="N3267" s="475">
        <f t="shared" si="165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63"/>
        <v>-83132945105.692215</v>
      </c>
      <c r="J3268" s="455">
        <f t="array" ref="J3268">IFERROR(INDEX('Retirement Calculator'!J:J,MATCH('Isaac 401k'!N3268,'Retirement Calculator'!A:A,0),0),0)</f>
        <v>0</v>
      </c>
      <c r="K3268" s="455">
        <f t="shared" ca="1" si="161"/>
        <v>-346387271.27371758</v>
      </c>
      <c r="L3268" s="455">
        <f t="shared" ca="1" si="162"/>
        <v>-83479332376.965927</v>
      </c>
      <c r="M3268" s="471">
        <f t="shared" si="164"/>
        <v>0.05</v>
      </c>
      <c r="N3268" s="475">
        <f t="shared" si="165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63"/>
        <v>-83479332376.965927</v>
      </c>
      <c r="J3269" s="455">
        <f t="array" ref="J3269">IFERROR(INDEX('Retirement Calculator'!J:J,MATCH('Isaac 401k'!N3269,'Retirement Calculator'!A:A,0),0),0)</f>
        <v>0</v>
      </c>
      <c r="K3269" s="455">
        <f t="shared" ca="1" si="161"/>
        <v>-347830551.57069135</v>
      </c>
      <c r="L3269" s="455">
        <f t="shared" ca="1" si="162"/>
        <v>-83827162928.536621</v>
      </c>
      <c r="M3269" s="471">
        <f t="shared" si="164"/>
        <v>0.05</v>
      </c>
      <c r="N3269" s="475">
        <f t="shared" si="165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63"/>
        <v>-83827162928.536621</v>
      </c>
      <c r="J3270" s="455">
        <f t="array" ref="J3270">IFERROR(INDEX('Retirement Calculator'!J:J,MATCH('Isaac 401k'!N3270,'Retirement Calculator'!A:A,0),0),0)</f>
        <v>0</v>
      </c>
      <c r="K3270" s="455">
        <f t="shared" ca="1" si="161"/>
        <v>-349279845.53556925</v>
      </c>
      <c r="L3270" s="455">
        <f t="shared" ca="1" si="162"/>
        <v>-84176442774.072189</v>
      </c>
      <c r="M3270" s="471">
        <f t="shared" si="164"/>
        <v>0.05</v>
      </c>
      <c r="N3270" s="475">
        <f t="shared" si="165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63"/>
        <v>-84176442774.072189</v>
      </c>
      <c r="J3271" s="455">
        <f t="array" ref="J3271">IFERROR(INDEX('Retirement Calculator'!J:J,MATCH('Isaac 401k'!N3271,'Retirement Calculator'!A:A,0),0),0)</f>
        <v>0</v>
      </c>
      <c r="K3271" s="455">
        <f t="shared" ca="1" si="161"/>
        <v>-350735178.22530079</v>
      </c>
      <c r="L3271" s="455">
        <f t="shared" ca="1" si="162"/>
        <v>-84527177952.297485</v>
      </c>
      <c r="M3271" s="471">
        <f t="shared" si="164"/>
        <v>0.05</v>
      </c>
      <c r="N3271" s="475">
        <f t="shared" si="165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63"/>
        <v>-84527177952.297485</v>
      </c>
      <c r="J3272" s="455">
        <f t="array" ref="J3272">IFERROR(INDEX('Retirement Calculator'!J:J,MATCH('Isaac 401k'!N3272,'Retirement Calculator'!A:A,0),0),0)</f>
        <v>0</v>
      </c>
      <c r="K3272" s="455">
        <f t="shared" ca="1" si="161"/>
        <v>-352196574.80123949</v>
      </c>
      <c r="L3272" s="455">
        <f t="shared" ca="1" si="162"/>
        <v>-84879374527.098724</v>
      </c>
      <c r="M3272" s="471">
        <f t="shared" si="164"/>
        <v>0.05</v>
      </c>
      <c r="N3272" s="475">
        <f t="shared" si="165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63"/>
        <v>-84879374527.098724</v>
      </c>
      <c r="J3273" s="455">
        <f t="array" ref="J3273">IFERROR(INDEX('Retirement Calculator'!J:J,MATCH('Isaac 401k'!N3273,'Retirement Calculator'!A:A,0),0),0)</f>
        <v>0</v>
      </c>
      <c r="K3273" s="455">
        <f t="shared" ca="1" si="161"/>
        <v>-353664060.52957803</v>
      </c>
      <c r="L3273" s="455">
        <f t="shared" ca="1" si="162"/>
        <v>-85233038587.628296</v>
      </c>
      <c r="M3273" s="471">
        <f t="shared" si="164"/>
        <v>0.05</v>
      </c>
      <c r="N3273" s="475">
        <f t="shared" si="165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63"/>
        <v>-85233038587.628296</v>
      </c>
      <c r="J3274" s="455">
        <f t="array" ref="J3274">IFERROR(INDEX('Retirement Calculator'!J:J,MATCH('Isaac 401k'!N3274,'Retirement Calculator'!A:A,0),0),0)</f>
        <v>0</v>
      </c>
      <c r="K3274" s="455">
        <f t="shared" ca="1" si="161"/>
        <v>-355137660.78178453</v>
      </c>
      <c r="L3274" s="455">
        <f t="shared" ca="1" si="162"/>
        <v>-85588176248.41008</v>
      </c>
      <c r="M3274" s="471">
        <f t="shared" si="164"/>
        <v>0.05</v>
      </c>
      <c r="N3274" s="475">
        <f t="shared" si="165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63"/>
        <v>-85588176248.41008</v>
      </c>
      <c r="J3275" s="455">
        <f t="array" ref="J3275">IFERROR(INDEX('Retirement Calculator'!J:J,MATCH('Isaac 401k'!N3275,'Retirement Calculator'!A:A,0),0),0)</f>
        <v>0</v>
      </c>
      <c r="K3275" s="455">
        <f t="shared" ca="1" si="161"/>
        <v>-356617401.03504199</v>
      </c>
      <c r="L3275" s="455">
        <f t="shared" ca="1" si="162"/>
        <v>-85944793649.445129</v>
      </c>
      <c r="M3275" s="471">
        <f t="shared" si="164"/>
        <v>0.05</v>
      </c>
      <c r="N3275" s="475">
        <f t="shared" si="165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63"/>
        <v>-85944793649.445129</v>
      </c>
      <c r="J3276" s="455">
        <f t="array" ref="J3276">IFERROR(INDEX('Retirement Calculator'!J:J,MATCH('Isaac 401k'!N3276,'Retirement Calculator'!A:A,0),0),0)</f>
        <v>0</v>
      </c>
      <c r="K3276" s="455">
        <f t="shared" ca="1" si="161"/>
        <v>-358103306.87268806</v>
      </c>
      <c r="L3276" s="455">
        <f t="shared" ca="1" si="162"/>
        <v>-86302896956.31781</v>
      </c>
      <c r="M3276" s="471">
        <f t="shared" si="164"/>
        <v>0.05</v>
      </c>
      <c r="N3276" s="475">
        <f t="shared" si="165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63"/>
        <v>-86302896956.31781</v>
      </c>
      <c r="J3277" s="455">
        <f t="array" ref="J3277">IFERROR(INDEX('Retirement Calculator'!J:J,MATCH('Isaac 401k'!N3277,'Retirement Calculator'!A:A,0),0),0)</f>
        <v>0</v>
      </c>
      <c r="K3277" s="455">
        <f t="shared" ca="1" si="161"/>
        <v>-359595403.98465753</v>
      </c>
      <c r="L3277" s="455">
        <f t="shared" ca="1" si="162"/>
        <v>-86662492360.302475</v>
      </c>
      <c r="M3277" s="471">
        <f t="shared" si="164"/>
        <v>0.05</v>
      </c>
      <c r="N3277" s="475">
        <f t="shared" si="165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63"/>
        <v>-86662492360.302475</v>
      </c>
      <c r="J3278" s="455">
        <f t="array" ref="J3278">IFERROR(INDEX('Retirement Calculator'!J:J,MATCH('Isaac 401k'!N3278,'Retirement Calculator'!A:A,0),0),0)</f>
        <v>0</v>
      </c>
      <c r="K3278" s="455">
        <f t="shared" ca="1" si="161"/>
        <v>-361093718.16792697</v>
      </c>
      <c r="L3278" s="455">
        <f t="shared" ca="1" si="162"/>
        <v>-87023586078.470398</v>
      </c>
      <c r="M3278" s="471">
        <f t="shared" si="164"/>
        <v>0.05</v>
      </c>
      <c r="N3278" s="475">
        <f t="shared" si="165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63"/>
        <v>-87023586078.470398</v>
      </c>
      <c r="J3279" s="455">
        <f t="array" ref="J3279">IFERROR(INDEX('Retirement Calculator'!J:J,MATCH('Isaac 401k'!N3279,'Retirement Calculator'!A:A,0),0),0)</f>
        <v>0</v>
      </c>
      <c r="K3279" s="455">
        <f t="shared" ca="1" si="161"/>
        <v>-362598275.32695997</v>
      </c>
      <c r="L3279" s="455">
        <f t="shared" ca="1" si="162"/>
        <v>-87386184353.797363</v>
      </c>
      <c r="M3279" s="471">
        <f t="shared" si="164"/>
        <v>0.05</v>
      </c>
      <c r="N3279" s="475">
        <f t="shared" si="165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63"/>
        <v>-87386184353.797363</v>
      </c>
      <c r="J3280" s="455">
        <f t="array" ref="J3280">IFERROR(INDEX('Retirement Calculator'!J:J,MATCH('Isaac 401k'!N3280,'Retirement Calculator'!A:A,0),0),0)</f>
        <v>0</v>
      </c>
      <c r="K3280" s="455">
        <f t="shared" ca="1" si="161"/>
        <v>-364109101.47415566</v>
      </c>
      <c r="L3280" s="455">
        <f t="shared" ca="1" si="162"/>
        <v>-87750293455.271515</v>
      </c>
      <c r="M3280" s="471">
        <f t="shared" si="164"/>
        <v>0.05</v>
      </c>
      <c r="N3280" s="475">
        <f t="shared" si="165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63"/>
        <v>-87750293455.271515</v>
      </c>
      <c r="J3281" s="455">
        <f t="array" ref="J3281">IFERROR(INDEX('Retirement Calculator'!J:J,MATCH('Isaac 401k'!N3281,'Retirement Calculator'!A:A,0),0),0)</f>
        <v>0</v>
      </c>
      <c r="K3281" s="455">
        <f t="shared" ca="1" si="161"/>
        <v>-365626222.73029798</v>
      </c>
      <c r="L3281" s="455">
        <f t="shared" ca="1" si="162"/>
        <v>-88115919678.001816</v>
      </c>
      <c r="M3281" s="471">
        <f t="shared" si="164"/>
        <v>0.05</v>
      </c>
      <c r="N3281" s="475">
        <f t="shared" si="165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63"/>
        <v>-88115919678.001816</v>
      </c>
      <c r="J3282" s="455">
        <f t="array" ref="J3282">IFERROR(INDEX('Retirement Calculator'!J:J,MATCH('Isaac 401k'!N3282,'Retirement Calculator'!A:A,0),0),0)</f>
        <v>0</v>
      </c>
      <c r="K3282" s="455">
        <f t="shared" ca="1" si="161"/>
        <v>-367149665.32500756</v>
      </c>
      <c r="L3282" s="455">
        <f t="shared" ca="1" si="162"/>
        <v>-88483069343.326828</v>
      </c>
      <c r="M3282" s="471">
        <f t="shared" si="164"/>
        <v>0.05</v>
      </c>
      <c r="N3282" s="475">
        <f t="shared" si="165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63"/>
        <v>-88483069343.326828</v>
      </c>
      <c r="J3283" s="455">
        <f t="array" ref="J3283">IFERROR(INDEX('Retirement Calculator'!J:J,MATCH('Isaac 401k'!N3283,'Retirement Calculator'!A:A,0),0),0)</f>
        <v>0</v>
      </c>
      <c r="K3283" s="455">
        <f t="shared" ca="1" si="161"/>
        <v>-368679455.59719509</v>
      </c>
      <c r="L3283" s="455">
        <f t="shared" ca="1" si="162"/>
        <v>-88851748798.924026</v>
      </c>
      <c r="M3283" s="471">
        <f t="shared" si="164"/>
        <v>0.05</v>
      </c>
      <c r="N3283" s="475">
        <f t="shared" si="165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63"/>
        <v>-88851748798.924026</v>
      </c>
      <c r="J3284" s="455">
        <f t="array" ref="J3284">IFERROR(INDEX('Retirement Calculator'!J:J,MATCH('Isaac 401k'!N3284,'Retirement Calculator'!A:A,0),0),0)</f>
        <v>0</v>
      </c>
      <c r="K3284" s="455">
        <f t="shared" ca="1" si="161"/>
        <v>-370215619.99551678</v>
      </c>
      <c r="L3284" s="455">
        <f t="shared" ca="1" si="162"/>
        <v>-89221964418.91954</v>
      </c>
      <c r="M3284" s="471">
        <f t="shared" si="164"/>
        <v>0.05</v>
      </c>
      <c r="N3284" s="475">
        <f t="shared" si="165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63"/>
        <v>-89221964418.91954</v>
      </c>
      <c r="J3285" s="455">
        <f t="array" ref="J3285">IFERROR(INDEX('Retirement Calculator'!J:J,MATCH('Isaac 401k'!N3285,'Retirement Calculator'!A:A,0),0),0)</f>
        <v>0</v>
      </c>
      <c r="K3285" s="455">
        <f t="shared" ca="1" si="161"/>
        <v>-371758185.07883143</v>
      </c>
      <c r="L3285" s="455">
        <f t="shared" ca="1" si="162"/>
        <v>-89593722603.998367</v>
      </c>
      <c r="M3285" s="471">
        <f t="shared" si="164"/>
        <v>0.05</v>
      </c>
      <c r="N3285" s="475">
        <f t="shared" si="165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63"/>
        <v>-89593722603.998367</v>
      </c>
      <c r="J3286" s="455">
        <f t="array" ref="J3286">IFERROR(INDEX('Retirement Calculator'!J:J,MATCH('Isaac 401k'!N3286,'Retirement Calculator'!A:A,0),0),0)</f>
        <v>0</v>
      </c>
      <c r="K3286" s="455">
        <f t="shared" ca="1" si="161"/>
        <v>-373307177.51665986</v>
      </c>
      <c r="L3286" s="455">
        <f t="shared" ca="1" si="162"/>
        <v>-89967029781.51503</v>
      </c>
      <c r="M3286" s="471">
        <f t="shared" si="164"/>
        <v>0.05</v>
      </c>
      <c r="N3286" s="475">
        <f t="shared" si="165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63"/>
        <v>-89967029781.51503</v>
      </c>
      <c r="J3287" s="455">
        <f t="array" ref="J3287">IFERROR(INDEX('Retirement Calculator'!J:J,MATCH('Isaac 401k'!N3287,'Retirement Calculator'!A:A,0),0),0)</f>
        <v>0</v>
      </c>
      <c r="K3287" s="455">
        <f t="shared" ca="1" si="161"/>
        <v>-374862624.08964598</v>
      </c>
      <c r="L3287" s="455">
        <f t="shared" ca="1" si="162"/>
        <v>-90341892405.604675</v>
      </c>
      <c r="M3287" s="471">
        <f t="shared" si="164"/>
        <v>0.05</v>
      </c>
      <c r="N3287" s="475">
        <f t="shared" si="165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63"/>
        <v>-90341892405.604675</v>
      </c>
      <c r="J3288" s="455">
        <f t="array" ref="J3288">IFERROR(INDEX('Retirement Calculator'!J:J,MATCH('Isaac 401k'!N3288,'Retirement Calculator'!A:A,0),0),0)</f>
        <v>0</v>
      </c>
      <c r="K3288" s="455">
        <f t="shared" ca="1" si="161"/>
        <v>-376424551.69001949</v>
      </c>
      <c r="L3288" s="455">
        <f t="shared" ca="1" si="162"/>
        <v>-90718316957.294693</v>
      </c>
      <c r="M3288" s="471">
        <f t="shared" si="164"/>
        <v>0.05</v>
      </c>
      <c r="N3288" s="475">
        <f t="shared" si="165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63"/>
        <v>-90718316957.294693</v>
      </c>
      <c r="J3289" s="455">
        <f t="array" ref="J3289">IFERROR(INDEX('Retirement Calculator'!J:J,MATCH('Isaac 401k'!N3289,'Retirement Calculator'!A:A,0),0),0)</f>
        <v>0</v>
      </c>
      <c r="K3289" s="455">
        <f t="shared" ca="1" si="161"/>
        <v>-377992987.32206124</v>
      </c>
      <c r="L3289" s="455">
        <f t="shared" ca="1" si="162"/>
        <v>-91096309944.61676</v>
      </c>
      <c r="M3289" s="471">
        <f t="shared" si="164"/>
        <v>0.05</v>
      </c>
      <c r="N3289" s="475">
        <f t="shared" si="165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63"/>
        <v>-91096309944.61676</v>
      </c>
      <c r="J3290" s="455">
        <f t="array" ref="J3290">IFERROR(INDEX('Retirement Calculator'!J:J,MATCH('Isaac 401k'!N3290,'Retirement Calculator'!A:A,0),0),0)</f>
        <v>0</v>
      </c>
      <c r="K3290" s="455">
        <f t="shared" ca="1" si="161"/>
        <v>-379567958.10256982</v>
      </c>
      <c r="L3290" s="455">
        <f t="shared" ca="1" si="162"/>
        <v>-91475877902.71933</v>
      </c>
      <c r="M3290" s="471">
        <f t="shared" si="164"/>
        <v>0.05</v>
      </c>
      <c r="N3290" s="475">
        <f t="shared" si="165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63"/>
        <v>-91475877902.71933</v>
      </c>
      <c r="J3291" s="455">
        <f t="array" ref="J3291">IFERROR(INDEX('Retirement Calculator'!J:J,MATCH('Isaac 401k'!N3291,'Retirement Calculator'!A:A,0),0),0)</f>
        <v>0</v>
      </c>
      <c r="K3291" s="455">
        <f t="shared" ca="1" si="161"/>
        <v>-381149491.26133054</v>
      </c>
      <c r="L3291" s="455">
        <f t="shared" ca="1" si="162"/>
        <v>-91857027393.980667</v>
      </c>
      <c r="M3291" s="471">
        <f t="shared" si="164"/>
        <v>0.05</v>
      </c>
      <c r="N3291" s="475">
        <f t="shared" si="165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63"/>
        <v>-91857027393.980667</v>
      </c>
      <c r="J3292" s="455">
        <f t="array" ref="J3292">IFERROR(INDEX('Retirement Calculator'!J:J,MATCH('Isaac 401k'!N3292,'Retirement Calculator'!A:A,0),0),0)</f>
        <v>0</v>
      </c>
      <c r="K3292" s="455">
        <f t="shared" ca="1" si="161"/>
        <v>-382737614.14158612</v>
      </c>
      <c r="L3292" s="455">
        <f t="shared" ca="1" si="162"/>
        <v>-92239765008.122253</v>
      </c>
      <c r="M3292" s="471">
        <f t="shared" si="164"/>
        <v>0.05</v>
      </c>
      <c r="N3292" s="475">
        <f t="shared" si="165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63"/>
        <v>-92239765008.122253</v>
      </c>
      <c r="J3293" s="455">
        <f t="array" ref="J3293">IFERROR(INDEX('Retirement Calculator'!J:J,MATCH('Isaac 401k'!N3293,'Retirement Calculator'!A:A,0),0),0)</f>
        <v>0</v>
      </c>
      <c r="K3293" s="455">
        <f t="shared" ca="1" si="161"/>
        <v>-384332354.20050937</v>
      </c>
      <c r="L3293" s="455">
        <f t="shared" ca="1" si="162"/>
        <v>-92624097362.322769</v>
      </c>
      <c r="M3293" s="471">
        <f t="shared" si="164"/>
        <v>0.05</v>
      </c>
      <c r="N3293" s="475">
        <f t="shared" si="165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63"/>
        <v>-92624097362.322769</v>
      </c>
      <c r="J3294" s="455">
        <f t="array" ref="J3294">IFERROR(INDEX('Retirement Calculator'!J:J,MATCH('Isaac 401k'!N3294,'Retirement Calculator'!A:A,0),0),0)</f>
        <v>0</v>
      </c>
      <c r="K3294" s="455">
        <f t="shared" ca="1" si="161"/>
        <v>-385933739.00967818</v>
      </c>
      <c r="L3294" s="455">
        <f t="shared" ca="1" si="162"/>
        <v>-93010031101.332443</v>
      </c>
      <c r="M3294" s="471">
        <f t="shared" si="164"/>
        <v>0.05</v>
      </c>
      <c r="N3294" s="475">
        <f t="shared" si="165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63"/>
        <v>-93010031101.332443</v>
      </c>
      <c r="J3295" s="455">
        <f t="array" ref="J3295">IFERROR(INDEX('Retirement Calculator'!J:J,MATCH('Isaac 401k'!N3295,'Retirement Calculator'!A:A,0),0),0)</f>
        <v>0</v>
      </c>
      <c r="K3295" s="455">
        <f t="shared" ca="1" si="161"/>
        <v>-387541796.25555182</v>
      </c>
      <c r="L3295" s="455">
        <f t="shared" ca="1" si="162"/>
        <v>-93397572897.587997</v>
      </c>
      <c r="M3295" s="471">
        <f t="shared" si="164"/>
        <v>0.05</v>
      </c>
      <c r="N3295" s="475">
        <f t="shared" si="165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63"/>
        <v>-93397572897.587997</v>
      </c>
      <c r="J3296" s="455">
        <f t="array" ref="J3296">IFERROR(INDEX('Retirement Calculator'!J:J,MATCH('Isaac 401k'!N3296,'Retirement Calculator'!A:A,0),0),0)</f>
        <v>0</v>
      </c>
      <c r="K3296" s="455">
        <f t="shared" ca="1" si="161"/>
        <v>-389156553.73995</v>
      </c>
      <c r="L3296" s="455">
        <f t="shared" ca="1" si="162"/>
        <v>-93786729451.327942</v>
      </c>
      <c r="M3296" s="471">
        <f t="shared" si="164"/>
        <v>0.05</v>
      </c>
      <c r="N3296" s="475">
        <f t="shared" si="165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63"/>
        <v>-93786729451.327942</v>
      </c>
      <c r="J3297" s="455">
        <f t="array" ref="J3297">IFERROR(INDEX('Retirement Calculator'!J:J,MATCH('Isaac 401k'!N3297,'Retirement Calculator'!A:A,0),0),0)</f>
        <v>0</v>
      </c>
      <c r="K3297" s="455">
        <f t="shared" ca="1" si="161"/>
        <v>-390778039.3805331</v>
      </c>
      <c r="L3297" s="455">
        <f t="shared" ca="1" si="162"/>
        <v>-94177507490.708481</v>
      </c>
      <c r="M3297" s="471">
        <f t="shared" si="164"/>
        <v>0.05</v>
      </c>
      <c r="N3297" s="475">
        <f t="shared" si="165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63"/>
        <v>-94177507490.708481</v>
      </c>
      <c r="J3298" s="455">
        <f t="array" ref="J3298">IFERROR(INDEX('Retirement Calculator'!J:J,MATCH('Isaac 401k'!N3298,'Retirement Calculator'!A:A,0),0),0)</f>
        <v>0</v>
      </c>
      <c r="K3298" s="455">
        <f t="shared" ca="1" si="161"/>
        <v>-392406281.21128535</v>
      </c>
      <c r="L3298" s="455">
        <f t="shared" ca="1" si="162"/>
        <v>-94569913771.919769</v>
      </c>
      <c r="M3298" s="471">
        <f t="shared" si="164"/>
        <v>0.05</v>
      </c>
      <c r="N3298" s="475">
        <f t="shared" si="165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63"/>
        <v>-94569913771.919769</v>
      </c>
      <c r="J3299" s="455">
        <f t="array" ref="J3299">IFERROR(INDEX('Retirement Calculator'!J:J,MATCH('Isaac 401k'!N3299,'Retirement Calculator'!A:A,0),0),0)</f>
        <v>0</v>
      </c>
      <c r="K3299" s="455">
        <f t="shared" ca="1" si="161"/>
        <v>-394041307.38299906</v>
      </c>
      <c r="L3299" s="455">
        <f t="shared" ca="1" si="162"/>
        <v>-94963955079.302765</v>
      </c>
      <c r="M3299" s="471">
        <f t="shared" si="164"/>
        <v>0.05</v>
      </c>
      <c r="N3299" s="475">
        <f t="shared" si="165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63"/>
        <v>-94963955079.302765</v>
      </c>
      <c r="J3300" s="455">
        <f t="array" ref="J3300">IFERROR(INDEX('Retirement Calculator'!J:J,MATCH('Isaac 401k'!N3300,'Retirement Calculator'!A:A,0),0),0)</f>
        <v>0</v>
      </c>
      <c r="K3300" s="455">
        <f t="shared" ca="1" si="161"/>
        <v>-395683146.1637615</v>
      </c>
      <c r="L3300" s="455">
        <f t="shared" ca="1" si="162"/>
        <v>-95359638225.466522</v>
      </c>
      <c r="M3300" s="471">
        <f t="shared" si="164"/>
        <v>0.05</v>
      </c>
      <c r="N3300" s="475">
        <f t="shared" si="165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63"/>
        <v>-95359638225.466522</v>
      </c>
      <c r="J3301" s="455">
        <f t="array" ref="J3301">IFERROR(INDEX('Retirement Calculator'!J:J,MATCH('Isaac 401k'!N3301,'Retirement Calculator'!A:A,0),0),0)</f>
        <v>0</v>
      </c>
      <c r="K3301" s="455">
        <f t="shared" ca="1" si="161"/>
        <v>-397331825.93944383</v>
      </c>
      <c r="L3301" s="455">
        <f t="shared" ca="1" si="162"/>
        <v>-95756970051.40596</v>
      </c>
      <c r="M3301" s="471">
        <f t="shared" si="164"/>
        <v>0.05</v>
      </c>
      <c r="N3301" s="475">
        <f t="shared" si="165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63"/>
        <v>-95756970051.40596</v>
      </c>
      <c r="J3302" s="455">
        <f t="array" ref="J3302">IFERROR(INDEX('Retirement Calculator'!J:J,MATCH('Isaac 401k'!N3302,'Retirement Calculator'!A:A,0),0),0)</f>
        <v>0</v>
      </c>
      <c r="K3302" s="455">
        <f t="shared" ca="1" si="161"/>
        <v>-398987375.2141915</v>
      </c>
      <c r="L3302" s="455">
        <f t="shared" ca="1" si="162"/>
        <v>-96155957426.620148</v>
      </c>
      <c r="M3302" s="471">
        <f t="shared" si="164"/>
        <v>0.05</v>
      </c>
      <c r="N3302" s="475">
        <f t="shared" si="165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63"/>
        <v>-96155957426.620148</v>
      </c>
      <c r="J3303" s="455">
        <f t="array" ref="J3303">IFERROR(INDEX('Retirement Calculator'!J:J,MATCH('Isaac 401k'!N3303,'Retirement Calculator'!A:A,0),0),0)</f>
        <v>0</v>
      </c>
      <c r="K3303" s="455">
        <f t="shared" ca="1" si="161"/>
        <v>-400649822.61091727</v>
      </c>
      <c r="L3303" s="455">
        <f t="shared" ca="1" si="162"/>
        <v>-96556607249.231064</v>
      </c>
      <c r="M3303" s="471">
        <f t="shared" si="164"/>
        <v>0.05</v>
      </c>
      <c r="N3303" s="475">
        <f t="shared" si="165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63"/>
        <v>-96556607249.231064</v>
      </c>
      <c r="J3304" s="455">
        <f t="array" ref="J3304">IFERROR(INDEX('Retirement Calculator'!J:J,MATCH('Isaac 401k'!N3304,'Retirement Calculator'!A:A,0),0),0)</f>
        <v>0</v>
      </c>
      <c r="K3304" s="455">
        <f t="shared" ca="1" si="161"/>
        <v>-402319196.87179607</v>
      </c>
      <c r="L3304" s="455">
        <f t="shared" ca="1" si="162"/>
        <v>-96958926446.102859</v>
      </c>
      <c r="M3304" s="471">
        <f t="shared" si="164"/>
        <v>0.05</v>
      </c>
      <c r="N3304" s="475">
        <f t="shared" si="165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63"/>
        <v>-96958926446.102859</v>
      </c>
      <c r="J3305" s="455">
        <f t="array" ref="J3305">IFERROR(INDEX('Retirement Calculator'!J:J,MATCH('Isaac 401k'!N3305,'Retirement Calculator'!A:A,0),0),0)</f>
        <v>0</v>
      </c>
      <c r="K3305" s="455">
        <f t="shared" ca="1" si="161"/>
        <v>-403995526.85876191</v>
      </c>
      <c r="L3305" s="455">
        <f t="shared" ca="1" si="162"/>
        <v>-97362921972.961624</v>
      </c>
      <c r="M3305" s="471">
        <f t="shared" si="164"/>
        <v>0.05</v>
      </c>
      <c r="N3305" s="475">
        <f t="shared" si="165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63"/>
        <v>-97362921972.961624</v>
      </c>
      <c r="J3306" s="455">
        <f t="array" ref="J3306">IFERROR(INDEX('Retirement Calculator'!J:J,MATCH('Isaac 401k'!N3306,'Retirement Calculator'!A:A,0),0),0)</f>
        <v>0</v>
      </c>
      <c r="K3306" s="455">
        <f t="shared" ca="1" si="161"/>
        <v>-405678841.55400676</v>
      </c>
      <c r="L3306" s="455">
        <f t="shared" ca="1" si="162"/>
        <v>-97768600814.515625</v>
      </c>
      <c r="M3306" s="471">
        <f t="shared" si="164"/>
        <v>0.05</v>
      </c>
      <c r="N3306" s="475">
        <f t="shared" si="165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63"/>
        <v>-97768600814.515625</v>
      </c>
      <c r="J3307" s="455">
        <f t="array" ref="J3307">IFERROR(INDEX('Retirement Calculator'!J:J,MATCH('Isaac 401k'!N3307,'Retirement Calculator'!A:A,0),0),0)</f>
        <v>0</v>
      </c>
      <c r="K3307" s="455">
        <f t="shared" ca="1" si="161"/>
        <v>-407369170.06048179</v>
      </c>
      <c r="L3307" s="455">
        <f t="shared" ca="1" si="162"/>
        <v>-98175969984.576111</v>
      </c>
      <c r="M3307" s="471">
        <f t="shared" si="164"/>
        <v>0.05</v>
      </c>
      <c r="N3307" s="475">
        <f t="shared" si="165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63"/>
        <v>-98175969984.576111</v>
      </c>
      <c r="J3308" s="455">
        <f t="array" ref="J3308">IFERROR(INDEX('Retirement Calculator'!J:J,MATCH('Isaac 401k'!N3308,'Retirement Calculator'!A:A,0),0),0)</f>
        <v>0</v>
      </c>
      <c r="K3308" s="455">
        <f t="shared" ca="1" si="161"/>
        <v>-409066541.60240048</v>
      </c>
      <c r="L3308" s="455">
        <f t="shared" ca="1" si="162"/>
        <v>-98585036526.178513</v>
      </c>
      <c r="M3308" s="471">
        <f t="shared" si="164"/>
        <v>0.05</v>
      </c>
      <c r="N3308" s="475">
        <f t="shared" si="165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63"/>
        <v>-98585036526.178513</v>
      </c>
      <c r="J3309" s="455">
        <f t="array" ref="J3309">IFERROR(INDEX('Retirement Calculator'!J:J,MATCH('Isaac 401k'!N3309,'Retirement Calculator'!A:A,0),0),0)</f>
        <v>0</v>
      </c>
      <c r="K3309" s="455">
        <f t="shared" ca="1" si="161"/>
        <v>-410770985.52574378</v>
      </c>
      <c r="L3309" s="455">
        <f t="shared" ca="1" si="162"/>
        <v>-98995807511.704254</v>
      </c>
      <c r="M3309" s="471">
        <f t="shared" si="164"/>
        <v>0.05</v>
      </c>
      <c r="N3309" s="475">
        <f t="shared" si="165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63"/>
        <v>-98995807511.704254</v>
      </c>
      <c r="J3310" s="455">
        <f t="array" ref="J3310">IFERROR(INDEX('Retirement Calculator'!J:J,MATCH('Isaac 401k'!N3310,'Retirement Calculator'!A:A,0),0),0)</f>
        <v>0</v>
      </c>
      <c r="K3310" s="455">
        <f t="shared" ca="1" si="161"/>
        <v>-412482531.29876775</v>
      </c>
      <c r="L3310" s="455">
        <f t="shared" ca="1" si="162"/>
        <v>-99408290043.003021</v>
      </c>
      <c r="M3310" s="471">
        <f t="shared" si="164"/>
        <v>0.05</v>
      </c>
      <c r="N3310" s="475">
        <f t="shared" si="165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63"/>
        <v>-99408290043.003021</v>
      </c>
      <c r="J3311" s="455">
        <f t="array" ref="J3311">IFERROR(INDEX('Retirement Calculator'!J:J,MATCH('Isaac 401k'!N3311,'Retirement Calculator'!A:A,0),0),0)</f>
        <v>0</v>
      </c>
      <c r="K3311" s="455">
        <f t="shared" ca="1" si="161"/>
        <v>-414201208.51251256</v>
      </c>
      <c r="L3311" s="455">
        <f t="shared" ca="1" si="162"/>
        <v>-99822491251.515533</v>
      </c>
      <c r="M3311" s="471">
        <f t="shared" si="164"/>
        <v>0.05</v>
      </c>
      <c r="N3311" s="475">
        <f t="shared" si="165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63"/>
        <v>-99822491251.515533</v>
      </c>
      <c r="J3312" s="455">
        <f t="array" ref="J3312">IFERROR(INDEX('Retirement Calculator'!J:J,MATCH('Isaac 401k'!N3312,'Retirement Calculator'!A:A,0),0),0)</f>
        <v>0</v>
      </c>
      <c r="K3312" s="455">
        <f t="shared" ca="1" si="161"/>
        <v>-415927046.88131469</v>
      </c>
      <c r="L3312" s="455">
        <f t="shared" ca="1" si="162"/>
        <v>-100238418298.39685</v>
      </c>
      <c r="M3312" s="471">
        <f t="shared" si="164"/>
        <v>0.05</v>
      </c>
      <c r="N3312" s="475">
        <f t="shared" si="165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63"/>
        <v>-100238418298.39685</v>
      </c>
      <c r="J3313" s="455">
        <f t="array" ref="J3313">IFERROR(INDEX('Retirement Calculator'!J:J,MATCH('Isaac 401k'!N3313,'Retirement Calculator'!A:A,0),0),0)</f>
        <v>0</v>
      </c>
      <c r="K3313" s="455">
        <f t="shared" ca="1" si="161"/>
        <v>-417660076.24332023</v>
      </c>
      <c r="L3313" s="455">
        <f t="shared" ca="1" si="162"/>
        <v>-100656078374.64017</v>
      </c>
      <c r="M3313" s="471">
        <f t="shared" si="164"/>
        <v>0.05</v>
      </c>
      <c r="N3313" s="475">
        <f t="shared" si="165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63"/>
        <v>-100656078374.64017</v>
      </c>
      <c r="J3314" s="455">
        <f t="array" ref="J3314">IFERROR(INDEX('Retirement Calculator'!J:J,MATCH('Isaac 401k'!N3314,'Retirement Calculator'!A:A,0),0),0)</f>
        <v>0</v>
      </c>
      <c r="K3314" s="455">
        <f t="shared" ca="1" si="161"/>
        <v>-419400326.5610007</v>
      </c>
      <c r="L3314" s="455">
        <f t="shared" ca="1" si="162"/>
        <v>-101075478701.20117</v>
      </c>
      <c r="M3314" s="471">
        <f t="shared" si="164"/>
        <v>0.05</v>
      </c>
      <c r="N3314" s="475">
        <f t="shared" si="165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63"/>
        <v>-101075478701.20117</v>
      </c>
      <c r="J3315" s="455">
        <f t="array" ref="J3315">IFERROR(INDEX('Retirement Calculator'!J:J,MATCH('Isaac 401k'!N3315,'Retirement Calculator'!A:A,0),0),0)</f>
        <v>0</v>
      </c>
      <c r="K3315" s="455">
        <f t="shared" ca="1" si="161"/>
        <v>-421147827.92167157</v>
      </c>
      <c r="L3315" s="455">
        <f t="shared" ca="1" si="162"/>
        <v>-101496626529.12285</v>
      </c>
      <c r="M3315" s="471">
        <f t="shared" si="164"/>
        <v>0.05</v>
      </c>
      <c r="N3315" s="475">
        <f t="shared" si="165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63"/>
        <v>-101496626529.12285</v>
      </c>
      <c r="J3316" s="455">
        <f t="array" ref="J3316">IFERROR(INDEX('Retirement Calculator'!J:J,MATCH('Isaac 401k'!N3316,'Retirement Calculator'!A:A,0),0),0)</f>
        <v>0</v>
      </c>
      <c r="K3316" s="455">
        <f t="shared" ca="1" si="161"/>
        <v>-422902610.53801185</v>
      </c>
      <c r="L3316" s="455">
        <f t="shared" ca="1" si="162"/>
        <v>-101919529139.66086</v>
      </c>
      <c r="M3316" s="471">
        <f t="shared" si="164"/>
        <v>0.05</v>
      </c>
      <c r="N3316" s="475">
        <f t="shared" si="165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63"/>
        <v>-101919529139.66086</v>
      </c>
      <c r="J3317" s="455">
        <f t="array" ref="J3317">IFERROR(INDEX('Retirement Calculator'!J:J,MATCH('Isaac 401k'!N3317,'Retirement Calculator'!A:A,0),0),0)</f>
        <v>0</v>
      </c>
      <c r="K3317" s="455">
        <f t="shared" ca="1" si="161"/>
        <v>-424664704.74858689</v>
      </c>
      <c r="L3317" s="455">
        <f t="shared" ca="1" si="162"/>
        <v>-102344193844.40944</v>
      </c>
      <c r="M3317" s="471">
        <f t="shared" si="164"/>
        <v>0.05</v>
      </c>
      <c r="N3317" s="475">
        <f t="shared" si="165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63"/>
        <v>-102344193844.40944</v>
      </c>
      <c r="J3318" s="455">
        <f t="array" ref="J3318">IFERROR(INDEX('Retirement Calculator'!J:J,MATCH('Isaac 401k'!N3318,'Retirement Calculator'!A:A,0),0),0)</f>
        <v>0</v>
      </c>
      <c r="K3318" s="455">
        <f t="shared" ca="1" si="161"/>
        <v>-426434141.01837265</v>
      </c>
      <c r="L3318" s="455">
        <f t="shared" ca="1" si="162"/>
        <v>-102770627985.42781</v>
      </c>
      <c r="M3318" s="471">
        <f t="shared" si="164"/>
        <v>0.05</v>
      </c>
      <c r="N3318" s="475">
        <f t="shared" si="165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63"/>
        <v>-102770627985.42781</v>
      </c>
      <c r="J3319" s="455">
        <f t="array" ref="J3319">IFERROR(INDEX('Retirement Calculator'!J:J,MATCH('Isaac 401k'!N3319,'Retirement Calculator'!A:A,0),0),0)</f>
        <v>0</v>
      </c>
      <c r="K3319" s="455">
        <f t="shared" ca="1" si="161"/>
        <v>-428210949.93928254</v>
      </c>
      <c r="L3319" s="455">
        <f t="shared" ca="1" si="162"/>
        <v>-103198838935.3671</v>
      </c>
      <c r="M3319" s="471">
        <f t="shared" si="164"/>
        <v>0.05</v>
      </c>
      <c r="N3319" s="475">
        <f t="shared" si="165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63"/>
        <v>-103198838935.3671</v>
      </c>
      <c r="J3320" s="455">
        <f t="array" ref="J3320">IFERROR(INDEX('Retirement Calculator'!J:J,MATCH('Isaac 401k'!N3320,'Retirement Calculator'!A:A,0),0),0)</f>
        <v>0</v>
      </c>
      <c r="K3320" s="455">
        <f t="shared" ca="1" si="161"/>
        <v>-429995162.2306962</v>
      </c>
      <c r="L3320" s="455">
        <f t="shared" ca="1" si="162"/>
        <v>-103628834097.59779</v>
      </c>
      <c r="M3320" s="471">
        <f t="shared" si="164"/>
        <v>0.05</v>
      </c>
      <c r="N3320" s="475">
        <f t="shared" si="165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63"/>
        <v>-103628834097.59779</v>
      </c>
      <c r="J3321" s="455">
        <f t="array" ref="J3321">IFERROR(INDEX('Retirement Calculator'!J:J,MATCH('Isaac 401k'!N3321,'Retirement Calculator'!A:A,0),0),0)</f>
        <v>0</v>
      </c>
      <c r="K3321" s="455">
        <f t="shared" ca="1" si="161"/>
        <v>-431786808.73999077</v>
      </c>
      <c r="L3321" s="455">
        <f t="shared" ca="1" si="162"/>
        <v>-104060620906.33778</v>
      </c>
      <c r="M3321" s="471">
        <f t="shared" si="164"/>
        <v>0.05</v>
      </c>
      <c r="N3321" s="475">
        <f t="shared" si="165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63"/>
        <v>-104060620906.33778</v>
      </c>
      <c r="J3322" s="455">
        <f t="array" ref="J3322">IFERROR(INDEX('Retirement Calculator'!J:J,MATCH('Isaac 401k'!N3322,'Retirement Calculator'!A:A,0),0),0)</f>
        <v>0</v>
      </c>
      <c r="K3322" s="455">
        <f t="shared" ca="1" si="161"/>
        <v>-433585920.44307411</v>
      </c>
      <c r="L3322" s="455">
        <f t="shared" ca="1" si="162"/>
        <v>-104494206826.78085</v>
      </c>
      <c r="M3322" s="471">
        <f t="shared" si="164"/>
        <v>0.05</v>
      </c>
      <c r="N3322" s="475">
        <f t="shared" si="165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63"/>
        <v>-104494206826.78085</v>
      </c>
      <c r="J3323" s="455">
        <f t="array" ref="J3323">IFERROR(INDEX('Retirement Calculator'!J:J,MATCH('Isaac 401k'!N3323,'Retirement Calculator'!A:A,0),0),0)</f>
        <v>0</v>
      </c>
      <c r="K3323" s="455">
        <f t="shared" ref="K3323:K3577" ca="1" si="166">IPMT(M3323/12,1,12,-I3323+J3323,,0)</f>
        <v>-435392528.44492024</v>
      </c>
      <c r="L3323" s="455">
        <f t="shared" ref="L3323:L3577" ca="1" si="167">I3323-J3323+K3323</f>
        <v>-104929599355.22577</v>
      </c>
      <c r="M3323" s="471">
        <f t="shared" si="164"/>
        <v>0.05</v>
      </c>
      <c r="N3323" s="475">
        <f t="shared" si="165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68">L3323</f>
        <v>-104929599355.22577</v>
      </c>
      <c r="J3324" s="455">
        <f t="array" ref="J3324">IFERROR(INDEX('Retirement Calculator'!J:J,MATCH('Isaac 401k'!N3324,'Retirement Calculator'!A:A,0),0),0)</f>
        <v>0</v>
      </c>
      <c r="K3324" s="455">
        <f t="shared" ca="1" si="166"/>
        <v>-437206663.98010737</v>
      </c>
      <c r="L3324" s="455">
        <f t="shared" ca="1" si="167"/>
        <v>-105366806019.20587</v>
      </c>
      <c r="M3324" s="471">
        <f t="shared" ref="M3324:M3578" si="169">M3323</f>
        <v>0.05</v>
      </c>
      <c r="N3324" s="475">
        <f t="shared" ref="N3324:N3578" si="170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68"/>
        <v>-105366806019.20587</v>
      </c>
      <c r="J3325" s="455">
        <f t="array" ref="J3325">IFERROR(INDEX('Retirement Calculator'!J:J,MATCH('Isaac 401k'!N3325,'Retirement Calculator'!A:A,0),0),0)</f>
        <v>0</v>
      </c>
      <c r="K3325" s="455">
        <f t="shared" ca="1" si="166"/>
        <v>-439028358.41335779</v>
      </c>
      <c r="L3325" s="455">
        <f t="shared" ca="1" si="167"/>
        <v>-105805834377.61923</v>
      </c>
      <c r="M3325" s="471">
        <f t="shared" si="169"/>
        <v>0.05</v>
      </c>
      <c r="N3325" s="475">
        <f t="shared" si="170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68"/>
        <v>-105805834377.61923</v>
      </c>
      <c r="J3326" s="455">
        <f t="array" ref="J3326">IFERROR(INDEX('Retirement Calculator'!J:J,MATCH('Isaac 401k'!N3326,'Retirement Calculator'!A:A,0),0),0)</f>
        <v>0</v>
      </c>
      <c r="K3326" s="455">
        <f t="shared" ca="1" si="166"/>
        <v>-440857643.24008012</v>
      </c>
      <c r="L3326" s="455">
        <f t="shared" ca="1" si="167"/>
        <v>-106246692020.85931</v>
      </c>
      <c r="M3326" s="471">
        <f t="shared" si="169"/>
        <v>0.05</v>
      </c>
      <c r="N3326" s="475">
        <f t="shared" si="170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68"/>
        <v>-106246692020.85931</v>
      </c>
      <c r="J3327" s="455">
        <f t="array" ref="J3327">IFERROR(INDEX('Retirement Calculator'!J:J,MATCH('Isaac 401k'!N3327,'Retirement Calculator'!A:A,0),0),0)</f>
        <v>0</v>
      </c>
      <c r="K3327" s="455">
        <f t="shared" ca="1" si="166"/>
        <v>-442694550.08691382</v>
      </c>
      <c r="L3327" s="455">
        <f t="shared" ca="1" si="167"/>
        <v>-106689386570.94623</v>
      </c>
      <c r="M3327" s="471">
        <f t="shared" si="169"/>
        <v>0.05</v>
      </c>
      <c r="N3327" s="475">
        <f t="shared" si="170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68"/>
        <v>-106689386570.94623</v>
      </c>
      <c r="J3328" s="455">
        <f t="array" ref="J3328">IFERROR(INDEX('Retirement Calculator'!J:J,MATCH('Isaac 401k'!N3328,'Retirement Calculator'!A:A,0),0),0)</f>
        <v>0</v>
      </c>
      <c r="K3328" s="455">
        <f t="shared" ca="1" si="166"/>
        <v>-444539110.71227592</v>
      </c>
      <c r="L3328" s="455">
        <f t="shared" ca="1" si="167"/>
        <v>-107133925681.65851</v>
      </c>
      <c r="M3328" s="471">
        <f t="shared" si="169"/>
        <v>0.05</v>
      </c>
      <c r="N3328" s="475">
        <f t="shared" si="170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68"/>
        <v>-107133925681.65851</v>
      </c>
      <c r="J3329" s="455">
        <f t="array" ref="J3329">IFERROR(INDEX('Retirement Calculator'!J:J,MATCH('Isaac 401k'!N3329,'Retirement Calculator'!A:A,0),0),0)</f>
        <v>0</v>
      </c>
      <c r="K3329" s="455">
        <f t="shared" ca="1" si="166"/>
        <v>-446391357.00691044</v>
      </c>
      <c r="L3329" s="455">
        <f t="shared" ca="1" si="167"/>
        <v>-107580317038.66542</v>
      </c>
      <c r="M3329" s="471">
        <f t="shared" si="169"/>
        <v>0.05</v>
      </c>
      <c r="N3329" s="475">
        <f t="shared" si="170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68"/>
        <v>-107580317038.66542</v>
      </c>
      <c r="J3330" s="455">
        <f t="array" ref="J3330">IFERROR(INDEX('Retirement Calculator'!J:J,MATCH('Isaac 401k'!N3330,'Retirement Calculator'!A:A,0),0),0)</f>
        <v>0</v>
      </c>
      <c r="K3330" s="455">
        <f t="shared" ca="1" si="166"/>
        <v>-448251320.9944393</v>
      </c>
      <c r="L3330" s="455">
        <f t="shared" ca="1" si="167"/>
        <v>-108028568359.65987</v>
      </c>
      <c r="M3330" s="471">
        <f t="shared" si="169"/>
        <v>0.05</v>
      </c>
      <c r="N3330" s="475">
        <f t="shared" si="170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68"/>
        <v>-108028568359.65987</v>
      </c>
      <c r="J3331" s="455">
        <f t="array" ref="J3331">IFERROR(INDEX('Retirement Calculator'!J:J,MATCH('Isaac 401k'!N3331,'Retirement Calculator'!A:A,0),0),0)</f>
        <v>0</v>
      </c>
      <c r="K3331" s="455">
        <f t="shared" ca="1" si="166"/>
        <v>-450119034.83191609</v>
      </c>
      <c r="L3331" s="455">
        <f t="shared" ca="1" si="167"/>
        <v>-108478687394.49178</v>
      </c>
      <c r="M3331" s="471">
        <f t="shared" si="169"/>
        <v>0.05</v>
      </c>
      <c r="N3331" s="475">
        <f t="shared" si="170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68"/>
        <v>-108478687394.49178</v>
      </c>
      <c r="J3332" s="455">
        <f t="array" ref="J3332">IFERROR(INDEX('Retirement Calculator'!J:J,MATCH('Isaac 401k'!N3332,'Retirement Calculator'!A:A,0),0),0)</f>
        <v>0</v>
      </c>
      <c r="K3332" s="455">
        <f t="shared" ca="1" si="166"/>
        <v>-451994530.81038231</v>
      </c>
      <c r="L3332" s="455">
        <f t="shared" ca="1" si="167"/>
        <v>-108930681925.30215</v>
      </c>
      <c r="M3332" s="471">
        <f t="shared" si="169"/>
        <v>0.05</v>
      </c>
      <c r="N3332" s="475">
        <f t="shared" si="170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68"/>
        <v>-108930681925.30215</v>
      </c>
      <c r="J3333" s="455">
        <f t="array" ref="J3333">IFERROR(INDEX('Retirement Calculator'!J:J,MATCH('Isaac 401k'!N3333,'Retirement Calculator'!A:A,0),0),0)</f>
        <v>0</v>
      </c>
      <c r="K3333" s="455">
        <f t="shared" ca="1" si="166"/>
        <v>-453877841.35542566</v>
      </c>
      <c r="L3333" s="455">
        <f t="shared" ca="1" si="167"/>
        <v>-109384559766.65758</v>
      </c>
      <c r="M3333" s="471">
        <f t="shared" si="169"/>
        <v>0.05</v>
      </c>
      <c r="N3333" s="475">
        <f t="shared" si="170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68"/>
        <v>-109384559766.65758</v>
      </c>
      <c r="J3334" s="455">
        <f t="array" ref="J3334">IFERROR(INDEX('Retirement Calculator'!J:J,MATCH('Isaac 401k'!N3334,'Retirement Calculator'!A:A,0),0),0)</f>
        <v>0</v>
      </c>
      <c r="K3334" s="455">
        <f t="shared" ca="1" si="166"/>
        <v>-455768999.02773988</v>
      </c>
      <c r="L3334" s="455">
        <f t="shared" ca="1" si="167"/>
        <v>-109840328765.68532</v>
      </c>
      <c r="M3334" s="471">
        <f t="shared" si="169"/>
        <v>0.05</v>
      </c>
      <c r="N3334" s="475">
        <f t="shared" si="170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68"/>
        <v>-109840328765.68532</v>
      </c>
      <c r="J3335" s="455">
        <f t="array" ref="J3335">IFERROR(INDEX('Retirement Calculator'!J:J,MATCH('Isaac 401k'!N3335,'Retirement Calculator'!A:A,0),0),0)</f>
        <v>0</v>
      </c>
      <c r="K3335" s="455">
        <f t="shared" ca="1" si="166"/>
        <v>-457668036.52368879</v>
      </c>
      <c r="L3335" s="455">
        <f t="shared" ca="1" si="167"/>
        <v>-110297996802.209</v>
      </c>
      <c r="M3335" s="471">
        <f t="shared" si="169"/>
        <v>0.05</v>
      </c>
      <c r="N3335" s="475">
        <f t="shared" si="170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68"/>
        <v>-110297996802.209</v>
      </c>
      <c r="J3336" s="455">
        <f t="array" ref="J3336">IFERROR(INDEX('Retirement Calculator'!J:J,MATCH('Isaac 401k'!N3336,'Retirement Calculator'!A:A,0),0),0)</f>
        <v>0</v>
      </c>
      <c r="K3336" s="455">
        <f t="shared" ca="1" si="166"/>
        <v>-459574986.67587078</v>
      </c>
      <c r="L3336" s="455">
        <f t="shared" ca="1" si="167"/>
        <v>-110757571788.88487</v>
      </c>
      <c r="M3336" s="471">
        <f t="shared" si="169"/>
        <v>0.05</v>
      </c>
      <c r="N3336" s="475">
        <f t="shared" si="170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68"/>
        <v>-110757571788.88487</v>
      </c>
      <c r="J3337" s="455">
        <f t="array" ref="J3337">IFERROR(INDEX('Retirement Calculator'!J:J,MATCH('Isaac 401k'!N3337,'Retirement Calculator'!A:A,0),0),0)</f>
        <v>0</v>
      </c>
      <c r="K3337" s="455">
        <f t="shared" ca="1" si="166"/>
        <v>-461489882.45368695</v>
      </c>
      <c r="L3337" s="455">
        <f t="shared" ca="1" si="167"/>
        <v>-111219061671.33856</v>
      </c>
      <c r="M3337" s="471">
        <f t="shared" si="169"/>
        <v>0.05</v>
      </c>
      <c r="N3337" s="475">
        <f t="shared" si="170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68"/>
        <v>-111219061671.33856</v>
      </c>
      <c r="J3338" s="455">
        <f t="array" ref="J3338">IFERROR(INDEX('Retirement Calculator'!J:J,MATCH('Isaac 401k'!N3338,'Retirement Calculator'!A:A,0),0),0)</f>
        <v>0</v>
      </c>
      <c r="K3338" s="455">
        <f t="shared" ca="1" si="166"/>
        <v>-463412756.96391076</v>
      </c>
      <c r="L3338" s="455">
        <f t="shared" ca="1" si="167"/>
        <v>-111682474428.30247</v>
      </c>
      <c r="M3338" s="471">
        <f t="shared" si="169"/>
        <v>0.05</v>
      </c>
      <c r="N3338" s="475">
        <f t="shared" si="170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68"/>
        <v>-111682474428.30247</v>
      </c>
      <c r="J3339" s="455">
        <f t="array" ref="J3339">IFERROR(INDEX('Retirement Calculator'!J:J,MATCH('Isaac 401k'!N3339,'Retirement Calculator'!A:A,0),0),0)</f>
        <v>0</v>
      </c>
      <c r="K3339" s="455">
        <f t="shared" ca="1" si="166"/>
        <v>-465343643.45126039</v>
      </c>
      <c r="L3339" s="455">
        <f t="shared" ca="1" si="167"/>
        <v>-112147818071.75374</v>
      </c>
      <c r="M3339" s="471">
        <f t="shared" si="169"/>
        <v>0.05</v>
      </c>
      <c r="N3339" s="475">
        <f t="shared" si="170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68"/>
        <v>-112147818071.75374</v>
      </c>
      <c r="J3340" s="455">
        <f t="array" ref="J3340">IFERROR(INDEX('Retirement Calculator'!J:J,MATCH('Isaac 401k'!N3340,'Retirement Calculator'!A:A,0),0),0)</f>
        <v>0</v>
      </c>
      <c r="K3340" s="455">
        <f t="shared" ca="1" si="166"/>
        <v>-467282575.29897398</v>
      </c>
      <c r="L3340" s="455">
        <f t="shared" ca="1" si="167"/>
        <v>-112615100647.05272</v>
      </c>
      <c r="M3340" s="471">
        <f t="shared" si="169"/>
        <v>0.05</v>
      </c>
      <c r="N3340" s="475">
        <f t="shared" si="170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68"/>
        <v>-112615100647.05272</v>
      </c>
      <c r="J3341" s="455">
        <f t="array" ref="J3341">IFERROR(INDEX('Retirement Calculator'!J:J,MATCH('Isaac 401k'!N3341,'Retirement Calculator'!A:A,0),0),0)</f>
        <v>0</v>
      </c>
      <c r="K3341" s="455">
        <f t="shared" ca="1" si="166"/>
        <v>-469229586.02938634</v>
      </c>
      <c r="L3341" s="455">
        <f t="shared" ca="1" si="167"/>
        <v>-113084330233.08211</v>
      </c>
      <c r="M3341" s="471">
        <f t="shared" si="169"/>
        <v>0.05</v>
      </c>
      <c r="N3341" s="475">
        <f t="shared" si="170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68"/>
        <v>-113084330233.08211</v>
      </c>
      <c r="J3342" s="455">
        <f t="array" ref="J3342">IFERROR(INDEX('Retirement Calculator'!J:J,MATCH('Isaac 401k'!N3342,'Retirement Calculator'!A:A,0),0),0)</f>
        <v>0</v>
      </c>
      <c r="K3342" s="455">
        <f t="shared" ca="1" si="166"/>
        <v>-471184709.30450875</v>
      </c>
      <c r="L3342" s="455">
        <f t="shared" ca="1" si="167"/>
        <v>-113555514942.38661</v>
      </c>
      <c r="M3342" s="471">
        <f t="shared" si="169"/>
        <v>0.05</v>
      </c>
      <c r="N3342" s="475">
        <f t="shared" si="170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68"/>
        <v>-113555514942.38661</v>
      </c>
      <c r="J3343" s="455">
        <f t="array" ref="J3343">IFERROR(INDEX('Retirement Calculator'!J:J,MATCH('Isaac 401k'!N3343,'Retirement Calculator'!A:A,0),0),0)</f>
        <v>0</v>
      </c>
      <c r="K3343" s="455">
        <f t="shared" ca="1" si="166"/>
        <v>-473147978.92661095</v>
      </c>
      <c r="L3343" s="455">
        <f t="shared" ca="1" si="167"/>
        <v>-114028662921.31322</v>
      </c>
      <c r="M3343" s="471">
        <f t="shared" si="169"/>
        <v>0.05</v>
      </c>
      <c r="N3343" s="475">
        <f t="shared" si="170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68"/>
        <v>-114028662921.31322</v>
      </c>
      <c r="J3344" s="455">
        <f t="array" ref="J3344">IFERROR(INDEX('Retirement Calculator'!J:J,MATCH('Isaac 401k'!N3344,'Retirement Calculator'!A:A,0),0),0)</f>
        <v>0</v>
      </c>
      <c r="K3344" s="455">
        <f t="shared" ca="1" si="166"/>
        <v>-475119428.83880508</v>
      </c>
      <c r="L3344" s="455">
        <f t="shared" ca="1" si="167"/>
        <v>-114503782350.15202</v>
      </c>
      <c r="M3344" s="471">
        <f t="shared" si="169"/>
        <v>0.05</v>
      </c>
      <c r="N3344" s="475">
        <f t="shared" si="170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68"/>
        <v>-114503782350.15202</v>
      </c>
      <c r="J3345" s="455">
        <f t="array" ref="J3345">IFERROR(INDEX('Retirement Calculator'!J:J,MATCH('Isaac 401k'!N3345,'Retirement Calculator'!A:A,0),0),0)</f>
        <v>0</v>
      </c>
      <c r="K3345" s="455">
        <f t="shared" ca="1" si="166"/>
        <v>-477099093.12563342</v>
      </c>
      <c r="L3345" s="455">
        <f t="shared" ca="1" si="167"/>
        <v>-114980881443.27766</v>
      </c>
      <c r="M3345" s="471">
        <f t="shared" si="169"/>
        <v>0.05</v>
      </c>
      <c r="N3345" s="475">
        <f t="shared" si="170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68"/>
        <v>-114980881443.27766</v>
      </c>
      <c r="J3346" s="455">
        <f t="array" ref="J3346">IFERROR(INDEX('Retirement Calculator'!J:J,MATCH('Isaac 401k'!N3346,'Retirement Calculator'!A:A,0),0),0)</f>
        <v>0</v>
      </c>
      <c r="K3346" s="455">
        <f t="shared" ca="1" si="166"/>
        <v>-479087006.01365691</v>
      </c>
      <c r="L3346" s="455">
        <f t="shared" ca="1" si="167"/>
        <v>-115459968449.29132</v>
      </c>
      <c r="M3346" s="471">
        <f t="shared" si="169"/>
        <v>0.05</v>
      </c>
      <c r="N3346" s="475">
        <f t="shared" si="170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68"/>
        <v>-115459968449.29132</v>
      </c>
      <c r="J3347" s="455">
        <f t="array" ref="J3347">IFERROR(INDEX('Retirement Calculator'!J:J,MATCH('Isaac 401k'!N3347,'Retirement Calculator'!A:A,0),0),0)</f>
        <v>0</v>
      </c>
      <c r="K3347" s="455">
        <f t="shared" ca="1" si="166"/>
        <v>-481083201.87204719</v>
      </c>
      <c r="L3347" s="455">
        <f t="shared" ca="1" si="167"/>
        <v>-115941051651.16336</v>
      </c>
      <c r="M3347" s="471">
        <f t="shared" si="169"/>
        <v>0.05</v>
      </c>
      <c r="N3347" s="475">
        <f t="shared" si="170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68"/>
        <v>-115941051651.16336</v>
      </c>
      <c r="J3348" s="455">
        <f t="array" ref="J3348">IFERROR(INDEX('Retirement Calculator'!J:J,MATCH('Isaac 401k'!N3348,'Retirement Calculator'!A:A,0),0),0)</f>
        <v>0</v>
      </c>
      <c r="K3348" s="455">
        <f t="shared" ca="1" si="166"/>
        <v>-483087715.2131806</v>
      </c>
      <c r="L3348" s="455">
        <f t="shared" ca="1" si="167"/>
        <v>-116424139366.37654</v>
      </c>
      <c r="M3348" s="471">
        <f t="shared" si="169"/>
        <v>0.05</v>
      </c>
      <c r="N3348" s="475">
        <f t="shared" si="170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68"/>
        <v>-116424139366.37654</v>
      </c>
      <c r="J3349" s="455">
        <f t="array" ref="J3349">IFERROR(INDEX('Retirement Calculator'!J:J,MATCH('Isaac 401k'!N3349,'Retirement Calculator'!A:A,0),0),0)</f>
        <v>0</v>
      </c>
      <c r="K3349" s="455">
        <f t="shared" ca="1" si="166"/>
        <v>-485100580.69323552</v>
      </c>
      <c r="L3349" s="455">
        <f t="shared" ca="1" si="167"/>
        <v>-116909239947.06978</v>
      </c>
      <c r="M3349" s="471">
        <f t="shared" si="169"/>
        <v>0.05</v>
      </c>
      <c r="N3349" s="475">
        <f t="shared" si="170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68"/>
        <v>-116909239947.06978</v>
      </c>
      <c r="J3350" s="455">
        <f t="array" ref="J3350">IFERROR(INDEX('Retirement Calculator'!J:J,MATCH('Isaac 401k'!N3350,'Retirement Calculator'!A:A,0),0),0)</f>
        <v>0</v>
      </c>
      <c r="K3350" s="455">
        <f t="shared" ca="1" si="166"/>
        <v>-487121833.11279076</v>
      </c>
      <c r="L3350" s="455">
        <f t="shared" ca="1" si="167"/>
        <v>-117396361780.18257</v>
      </c>
      <c r="M3350" s="471">
        <f t="shared" si="169"/>
        <v>0.05</v>
      </c>
      <c r="N3350" s="475">
        <f t="shared" si="170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68"/>
        <v>-117396361780.18257</v>
      </c>
      <c r="J3351" s="455">
        <f t="array" ref="J3351">IFERROR(INDEX('Retirement Calculator'!J:J,MATCH('Isaac 401k'!N3351,'Retirement Calculator'!A:A,0),0),0)</f>
        <v>0</v>
      </c>
      <c r="K3351" s="455">
        <f t="shared" ca="1" si="166"/>
        <v>-489151507.41742736</v>
      </c>
      <c r="L3351" s="455">
        <f t="shared" ca="1" si="167"/>
        <v>-117885513287.60001</v>
      </c>
      <c r="M3351" s="471">
        <f t="shared" si="169"/>
        <v>0.05</v>
      </c>
      <c r="N3351" s="475">
        <f t="shared" si="170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68"/>
        <v>-117885513287.60001</v>
      </c>
      <c r="J3352" s="455">
        <f t="array" ref="J3352">IFERROR(INDEX('Retirement Calculator'!J:J,MATCH('Isaac 401k'!N3352,'Retirement Calculator'!A:A,0),0),0)</f>
        <v>0</v>
      </c>
      <c r="K3352" s="455">
        <f t="shared" ca="1" si="166"/>
        <v>-491189638.69833332</v>
      </c>
      <c r="L3352" s="455">
        <f t="shared" ca="1" si="167"/>
        <v>-118376702926.29834</v>
      </c>
      <c r="M3352" s="471">
        <f t="shared" si="169"/>
        <v>0.05</v>
      </c>
      <c r="N3352" s="475">
        <f t="shared" si="170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68"/>
        <v>-118376702926.29834</v>
      </c>
      <c r="J3353" s="455">
        <f t="array" ref="J3353">IFERROR(INDEX('Retirement Calculator'!J:J,MATCH('Isaac 401k'!N3353,'Retirement Calculator'!A:A,0),0),0)</f>
        <v>0</v>
      </c>
      <c r="K3353" s="455">
        <f t="shared" ca="1" si="166"/>
        <v>-493236262.19290972</v>
      </c>
      <c r="L3353" s="455">
        <f t="shared" ca="1" si="167"/>
        <v>-118869939188.49126</v>
      </c>
      <c r="M3353" s="471">
        <f t="shared" si="169"/>
        <v>0.05</v>
      </c>
      <c r="N3353" s="475">
        <f t="shared" si="170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68"/>
        <v>-118869939188.49126</v>
      </c>
      <c r="J3354" s="455">
        <f t="array" ref="J3354">IFERROR(INDEX('Retirement Calculator'!J:J,MATCH('Isaac 401k'!N3354,'Retirement Calculator'!A:A,0),0),0)</f>
        <v>0</v>
      </c>
      <c r="K3354" s="455">
        <f t="shared" ca="1" si="166"/>
        <v>-495291413.2853803</v>
      </c>
      <c r="L3354" s="455">
        <f t="shared" ca="1" si="167"/>
        <v>-119365230601.77664</v>
      </c>
      <c r="M3354" s="471">
        <f t="shared" si="169"/>
        <v>0.05</v>
      </c>
      <c r="N3354" s="475">
        <f t="shared" si="170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68"/>
        <v>-119365230601.77664</v>
      </c>
      <c r="J3355" s="455">
        <f t="array" ref="J3355">IFERROR(INDEX('Retirement Calculator'!J:J,MATCH('Isaac 401k'!N3355,'Retirement Calculator'!A:A,0),0),0)</f>
        <v>0</v>
      </c>
      <c r="K3355" s="455">
        <f t="shared" ca="1" si="166"/>
        <v>-497355127.50740266</v>
      </c>
      <c r="L3355" s="455">
        <f t="shared" ca="1" si="167"/>
        <v>-119862585729.28404</v>
      </c>
      <c r="M3355" s="471">
        <f t="shared" si="169"/>
        <v>0.05</v>
      </c>
      <c r="N3355" s="475">
        <f t="shared" si="170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68"/>
        <v>-119862585729.28404</v>
      </c>
      <c r="J3356" s="455">
        <f t="array" ref="J3356">IFERROR(INDEX('Retirement Calculator'!J:J,MATCH('Isaac 401k'!N3356,'Retirement Calculator'!A:A,0),0),0)</f>
        <v>0</v>
      </c>
      <c r="K3356" s="455">
        <f t="shared" ca="1" si="166"/>
        <v>-499427440.53868341</v>
      </c>
      <c r="L3356" s="455">
        <f t="shared" ca="1" si="167"/>
        <v>-120362013169.82272</v>
      </c>
      <c r="M3356" s="471">
        <f t="shared" si="169"/>
        <v>0.05</v>
      </c>
      <c r="N3356" s="475">
        <f t="shared" si="170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68"/>
        <v>-120362013169.82272</v>
      </c>
      <c r="J3357" s="455">
        <f t="array" ref="J3357">IFERROR(INDEX('Retirement Calculator'!J:J,MATCH('Isaac 401k'!N3357,'Retirement Calculator'!A:A,0),0),0)</f>
        <v>0</v>
      </c>
      <c r="K3357" s="455">
        <f t="shared" ca="1" si="166"/>
        <v>-501508388.20759469</v>
      </c>
      <c r="L3357" s="455">
        <f t="shared" ca="1" si="167"/>
        <v>-120863521558.03032</v>
      </c>
      <c r="M3357" s="471">
        <f t="shared" si="169"/>
        <v>0.05</v>
      </c>
      <c r="N3357" s="475">
        <f t="shared" si="170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68"/>
        <v>-120863521558.03032</v>
      </c>
      <c r="J3358" s="455">
        <f t="array" ref="J3358">IFERROR(INDEX('Retirement Calculator'!J:J,MATCH('Isaac 401k'!N3358,'Retirement Calculator'!A:A,0),0),0)</f>
        <v>0</v>
      </c>
      <c r="K3358" s="455">
        <f t="shared" ca="1" si="166"/>
        <v>-503598006.49179304</v>
      </c>
      <c r="L3358" s="455">
        <f t="shared" ca="1" si="167"/>
        <v>-121367119564.52211</v>
      </c>
      <c r="M3358" s="471">
        <f t="shared" si="169"/>
        <v>0.05</v>
      </c>
      <c r="N3358" s="475">
        <f t="shared" si="170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68"/>
        <v>-121367119564.52211</v>
      </c>
      <c r="J3359" s="455">
        <f t="array" ref="J3359">IFERROR(INDEX('Retirement Calculator'!J:J,MATCH('Isaac 401k'!N3359,'Retirement Calculator'!A:A,0),0),0)</f>
        <v>0</v>
      </c>
      <c r="K3359" s="455">
        <f t="shared" ca="1" si="166"/>
        <v>-505696331.5188421</v>
      </c>
      <c r="L3359" s="455">
        <f t="shared" ca="1" si="167"/>
        <v>-121872815896.04095</v>
      </c>
      <c r="M3359" s="471">
        <f t="shared" si="169"/>
        <v>0.05</v>
      </c>
      <c r="N3359" s="475">
        <f t="shared" si="170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68"/>
        <v>-121872815896.04095</v>
      </c>
      <c r="J3360" s="455">
        <f t="array" ref="J3360">IFERROR(INDEX('Retirement Calculator'!J:J,MATCH('Isaac 401k'!N3360,'Retirement Calculator'!A:A,0),0),0)</f>
        <v>0</v>
      </c>
      <c r="K3360" s="455">
        <f t="shared" ca="1" si="166"/>
        <v>-507803399.56683731</v>
      </c>
      <c r="L3360" s="455">
        <f t="shared" ca="1" si="167"/>
        <v>-122380619295.60779</v>
      </c>
      <c r="M3360" s="471">
        <f t="shared" si="169"/>
        <v>0.05</v>
      </c>
      <c r="N3360" s="475">
        <f t="shared" si="170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68"/>
        <v>-122380619295.60779</v>
      </c>
      <c r="J3361" s="455">
        <f t="array" ref="J3361">IFERROR(INDEX('Retirement Calculator'!J:J,MATCH('Isaac 401k'!N3361,'Retirement Calculator'!A:A,0),0),0)</f>
        <v>0</v>
      </c>
      <c r="K3361" s="455">
        <f t="shared" ca="1" si="166"/>
        <v>-509919247.06503242</v>
      </c>
      <c r="L3361" s="455">
        <f t="shared" ca="1" si="167"/>
        <v>-122890538542.67282</v>
      </c>
      <c r="M3361" s="471">
        <f t="shared" si="169"/>
        <v>0.05</v>
      </c>
      <c r="N3361" s="475">
        <f t="shared" si="170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68"/>
        <v>-122890538542.67282</v>
      </c>
      <c r="J3362" s="455">
        <f t="array" ref="J3362">IFERROR(INDEX('Retirement Calculator'!J:J,MATCH('Isaac 401k'!N3362,'Retirement Calculator'!A:A,0),0),0)</f>
        <v>0</v>
      </c>
      <c r="K3362" s="455">
        <f t="shared" ca="1" si="166"/>
        <v>-512043910.59447002</v>
      </c>
      <c r="L3362" s="455">
        <f t="shared" ca="1" si="167"/>
        <v>-123402582453.26729</v>
      </c>
      <c r="M3362" s="471">
        <f t="shared" si="169"/>
        <v>0.05</v>
      </c>
      <c r="N3362" s="475">
        <f t="shared" si="170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68"/>
        <v>-123402582453.26729</v>
      </c>
      <c r="J3363" s="455">
        <f t="array" ref="J3363">IFERROR(INDEX('Retirement Calculator'!J:J,MATCH('Isaac 401k'!N3363,'Retirement Calculator'!A:A,0),0),0)</f>
        <v>0</v>
      </c>
      <c r="K3363" s="455">
        <f t="shared" ca="1" si="166"/>
        <v>-514177426.88861376</v>
      </c>
      <c r="L3363" s="455">
        <f t="shared" ca="1" si="167"/>
        <v>-123916759880.1559</v>
      </c>
      <c r="M3363" s="471">
        <f t="shared" si="169"/>
        <v>0.05</v>
      </c>
      <c r="N3363" s="475">
        <f t="shared" si="170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68"/>
        <v>-123916759880.1559</v>
      </c>
      <c r="J3364" s="455">
        <f t="array" ref="J3364">IFERROR(INDEX('Retirement Calculator'!J:J,MATCH('Isaac 401k'!N3364,'Retirement Calculator'!A:A,0),0),0)</f>
        <v>0</v>
      </c>
      <c r="K3364" s="455">
        <f t="shared" ca="1" si="166"/>
        <v>-516319832.83398288</v>
      </c>
      <c r="L3364" s="455">
        <f t="shared" ca="1" si="167"/>
        <v>-124433079712.98988</v>
      </c>
      <c r="M3364" s="471">
        <f t="shared" si="169"/>
        <v>0.05</v>
      </c>
      <c r="N3364" s="475">
        <f t="shared" si="170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68"/>
        <v>-124433079712.98988</v>
      </c>
      <c r="J3365" s="455">
        <f t="array" ref="J3365">IFERROR(INDEX('Retirement Calculator'!J:J,MATCH('Isaac 401k'!N3365,'Retirement Calculator'!A:A,0),0),0)</f>
        <v>0</v>
      </c>
      <c r="K3365" s="455">
        <f t="shared" ca="1" si="166"/>
        <v>-518471165.47079122</v>
      </c>
      <c r="L3365" s="455">
        <f t="shared" ca="1" si="167"/>
        <v>-124951550878.46068</v>
      </c>
      <c r="M3365" s="471">
        <f t="shared" si="169"/>
        <v>0.05</v>
      </c>
      <c r="N3365" s="475">
        <f t="shared" si="170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68"/>
        <v>-124951550878.46068</v>
      </c>
      <c r="J3366" s="455">
        <f t="array" ref="J3366">IFERROR(INDEX('Retirement Calculator'!J:J,MATCH('Isaac 401k'!N3366,'Retirement Calculator'!A:A,0),0),0)</f>
        <v>0</v>
      </c>
      <c r="K3366" s="455">
        <f t="shared" ca="1" si="166"/>
        <v>-520631461.99358612</v>
      </c>
      <c r="L3366" s="455">
        <f t="shared" ca="1" si="167"/>
        <v>-125472182340.45427</v>
      </c>
      <c r="M3366" s="471">
        <f t="shared" si="169"/>
        <v>0.05</v>
      </c>
      <c r="N3366" s="475">
        <f t="shared" si="170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68"/>
        <v>-125472182340.45427</v>
      </c>
      <c r="J3367" s="455">
        <f t="array" ref="J3367">IFERROR(INDEX('Retirement Calculator'!J:J,MATCH('Isaac 401k'!N3367,'Retirement Calculator'!A:A,0),0),0)</f>
        <v>0</v>
      </c>
      <c r="K3367" s="455">
        <f t="shared" ca="1" si="166"/>
        <v>-522800759.75189281</v>
      </c>
      <c r="L3367" s="455">
        <f t="shared" ca="1" si="167"/>
        <v>-125994983100.20616</v>
      </c>
      <c r="M3367" s="471">
        <f t="shared" si="169"/>
        <v>0.05</v>
      </c>
      <c r="N3367" s="475">
        <f t="shared" si="170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68"/>
        <v>-125994983100.20616</v>
      </c>
      <c r="J3368" s="455">
        <f t="array" ref="J3368">IFERROR(INDEX('Retirement Calculator'!J:J,MATCH('Isaac 401k'!N3368,'Retirement Calculator'!A:A,0),0),0)</f>
        <v>0</v>
      </c>
      <c r="K3368" s="455">
        <f t="shared" ca="1" si="166"/>
        <v>-524979096.25085908</v>
      </c>
      <c r="L3368" s="455">
        <f t="shared" ca="1" si="167"/>
        <v>-126519962196.45702</v>
      </c>
      <c r="M3368" s="471">
        <f t="shared" si="169"/>
        <v>0.05</v>
      </c>
      <c r="N3368" s="475">
        <f t="shared" si="170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68"/>
        <v>-126519962196.45702</v>
      </c>
      <c r="J3369" s="455">
        <f t="array" ref="J3369">IFERROR(INDEX('Retirement Calculator'!J:J,MATCH('Isaac 401k'!N3369,'Retirement Calculator'!A:A,0),0),0)</f>
        <v>0</v>
      </c>
      <c r="K3369" s="455">
        <f t="shared" ca="1" si="166"/>
        <v>-527166509.15190423</v>
      </c>
      <c r="L3369" s="455">
        <f t="shared" ca="1" si="167"/>
        <v>-127047128705.60892</v>
      </c>
      <c r="M3369" s="471">
        <f t="shared" si="169"/>
        <v>0.05</v>
      </c>
      <c r="N3369" s="475">
        <f t="shared" si="170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68"/>
        <v>-127047128705.60892</v>
      </c>
      <c r="J3370" s="455">
        <f t="array" ref="J3370">IFERROR(INDEX('Retirement Calculator'!J:J,MATCH('Isaac 401k'!N3370,'Retirement Calculator'!A:A,0),0),0)</f>
        <v>0</v>
      </c>
      <c r="K3370" s="455">
        <f t="shared" ca="1" si="166"/>
        <v>-529363036.27337044</v>
      </c>
      <c r="L3370" s="455">
        <f t="shared" ca="1" si="167"/>
        <v>-127576491741.88229</v>
      </c>
      <c r="M3370" s="471">
        <f t="shared" si="169"/>
        <v>0.05</v>
      </c>
      <c r="N3370" s="475">
        <f t="shared" si="170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68"/>
        <v>-127576491741.88229</v>
      </c>
      <c r="J3371" s="455">
        <f t="array" ref="J3371">IFERROR(INDEX('Retirement Calculator'!J:J,MATCH('Isaac 401k'!N3371,'Retirement Calculator'!A:A,0),0),0)</f>
        <v>0</v>
      </c>
      <c r="K3371" s="455">
        <f t="shared" ca="1" si="166"/>
        <v>-531568715.59117621</v>
      </c>
      <c r="L3371" s="455">
        <f t="shared" ca="1" si="167"/>
        <v>-128108060457.47346</v>
      </c>
      <c r="M3371" s="471">
        <f t="shared" si="169"/>
        <v>0.05</v>
      </c>
      <c r="N3371" s="475">
        <f t="shared" si="170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68"/>
        <v>-128108060457.47346</v>
      </c>
      <c r="J3372" s="455">
        <f t="array" ref="J3372">IFERROR(INDEX('Retirement Calculator'!J:J,MATCH('Isaac 401k'!N3372,'Retirement Calculator'!A:A,0),0),0)</f>
        <v>0</v>
      </c>
      <c r="K3372" s="455">
        <f t="shared" ca="1" si="166"/>
        <v>-533783585.23947281</v>
      </c>
      <c r="L3372" s="455">
        <f t="shared" ca="1" si="167"/>
        <v>-128641844042.71294</v>
      </c>
      <c r="M3372" s="471">
        <f t="shared" si="169"/>
        <v>0.05</v>
      </c>
      <c r="N3372" s="475">
        <f t="shared" si="170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68"/>
        <v>-128641844042.71294</v>
      </c>
      <c r="J3373" s="455">
        <f t="array" ref="J3373">IFERROR(INDEX('Retirement Calculator'!J:J,MATCH('Isaac 401k'!N3373,'Retirement Calculator'!A:A,0),0),0)</f>
        <v>0</v>
      </c>
      <c r="K3373" s="455">
        <f t="shared" ca="1" si="166"/>
        <v>-536007683.5113039</v>
      </c>
      <c r="L3373" s="455">
        <f t="shared" ca="1" si="167"/>
        <v>-129177851726.22424</v>
      </c>
      <c r="M3373" s="471">
        <f t="shared" si="169"/>
        <v>0.05</v>
      </c>
      <c r="N3373" s="475">
        <f t="shared" si="170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68"/>
        <v>-129177851726.22424</v>
      </c>
      <c r="J3374" s="455">
        <f t="array" ref="J3374">IFERROR(INDEX('Retirement Calculator'!J:J,MATCH('Isaac 401k'!N3374,'Retirement Calculator'!A:A,0),0),0)</f>
        <v>0</v>
      </c>
      <c r="K3374" s="455">
        <f t="shared" ca="1" si="166"/>
        <v>-538241048.85926771</v>
      </c>
      <c r="L3374" s="455">
        <f t="shared" ca="1" si="167"/>
        <v>-129716092775.08351</v>
      </c>
      <c r="M3374" s="471">
        <f t="shared" si="169"/>
        <v>0.05</v>
      </c>
      <c r="N3374" s="475">
        <f t="shared" si="170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68"/>
        <v>-129716092775.08351</v>
      </c>
      <c r="J3375" s="455">
        <f t="array" ref="J3375">IFERROR(INDEX('Retirement Calculator'!J:J,MATCH('Isaac 401k'!N3375,'Retirement Calculator'!A:A,0),0),0)</f>
        <v>0</v>
      </c>
      <c r="K3375" s="455">
        <f t="shared" ca="1" si="166"/>
        <v>-540483719.89618134</v>
      </c>
      <c r="L3375" s="455">
        <f t="shared" ca="1" si="167"/>
        <v>-130256576494.97969</v>
      </c>
      <c r="M3375" s="471">
        <f t="shared" si="169"/>
        <v>0.05</v>
      </c>
      <c r="N3375" s="475">
        <f t="shared" si="170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68"/>
        <v>-130256576494.97969</v>
      </c>
      <c r="J3376" s="455">
        <f t="array" ref="J3376">IFERROR(INDEX('Retirement Calculator'!J:J,MATCH('Isaac 401k'!N3376,'Retirement Calculator'!A:A,0),0),0)</f>
        <v>0</v>
      </c>
      <c r="K3376" s="455">
        <f t="shared" ca="1" si="166"/>
        <v>-542735735.39574873</v>
      </c>
      <c r="L3376" s="455">
        <f t="shared" ca="1" si="167"/>
        <v>-130799312230.37544</v>
      </c>
      <c r="M3376" s="471">
        <f t="shared" si="169"/>
        <v>0.05</v>
      </c>
      <c r="N3376" s="475">
        <f t="shared" si="170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68"/>
        <v>-130799312230.37544</v>
      </c>
      <c r="J3377" s="455">
        <f t="array" ref="J3377">IFERROR(INDEX('Retirement Calculator'!J:J,MATCH('Isaac 401k'!N3377,'Retirement Calculator'!A:A,0),0),0)</f>
        <v>0</v>
      </c>
      <c r="K3377" s="455">
        <f t="shared" ca="1" si="166"/>
        <v>-544997134.29323101</v>
      </c>
      <c r="L3377" s="455">
        <f t="shared" ca="1" si="167"/>
        <v>-131344309364.66867</v>
      </c>
      <c r="M3377" s="471">
        <f t="shared" si="169"/>
        <v>0.05</v>
      </c>
      <c r="N3377" s="475">
        <f t="shared" si="170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68"/>
        <v>-131344309364.66867</v>
      </c>
      <c r="J3378" s="455">
        <f t="array" ref="J3378">IFERROR(INDEX('Retirement Calculator'!J:J,MATCH('Isaac 401k'!N3378,'Retirement Calculator'!A:A,0),0),0)</f>
        <v>0</v>
      </c>
      <c r="K3378" s="455">
        <f t="shared" ca="1" si="166"/>
        <v>-547267955.68611944</v>
      </c>
      <c r="L3378" s="455">
        <f t="shared" ca="1" si="167"/>
        <v>-131891577320.3548</v>
      </c>
      <c r="M3378" s="471">
        <f t="shared" si="169"/>
        <v>0.05</v>
      </c>
      <c r="N3378" s="475">
        <f t="shared" si="170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68"/>
        <v>-131891577320.3548</v>
      </c>
      <c r="J3379" s="455">
        <f t="array" ref="J3379">IFERROR(INDEX('Retirement Calculator'!J:J,MATCH('Isaac 401k'!N3379,'Retirement Calculator'!A:A,0),0),0)</f>
        <v>0</v>
      </c>
      <c r="K3379" s="455">
        <f t="shared" ca="1" si="166"/>
        <v>-549548238.83481169</v>
      </c>
      <c r="L3379" s="455">
        <f t="shared" ca="1" si="167"/>
        <v>-132441125559.18961</v>
      </c>
      <c r="M3379" s="471">
        <f t="shared" si="169"/>
        <v>0.05</v>
      </c>
      <c r="N3379" s="475">
        <f t="shared" si="170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68"/>
        <v>-132441125559.18961</v>
      </c>
      <c r="J3380" s="455">
        <f t="array" ref="J3380">IFERROR(INDEX('Retirement Calculator'!J:J,MATCH('Isaac 401k'!N3380,'Retirement Calculator'!A:A,0),0),0)</f>
        <v>0</v>
      </c>
      <c r="K3380" s="455">
        <f t="shared" ca="1" si="166"/>
        <v>-551838023.16329002</v>
      </c>
      <c r="L3380" s="455">
        <f t="shared" ca="1" si="167"/>
        <v>-132992963582.35289</v>
      </c>
      <c r="M3380" s="471">
        <f t="shared" si="169"/>
        <v>0.05</v>
      </c>
      <c r="N3380" s="475">
        <f t="shared" si="170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68"/>
        <v>-132992963582.35289</v>
      </c>
      <c r="J3381" s="455">
        <f t="array" ref="J3381">IFERROR(INDEX('Retirement Calculator'!J:J,MATCH('Isaac 401k'!N3381,'Retirement Calculator'!A:A,0),0),0)</f>
        <v>0</v>
      </c>
      <c r="K3381" s="455">
        <f t="shared" ca="1" si="166"/>
        <v>-554137348.25980365</v>
      </c>
      <c r="L3381" s="455">
        <f t="shared" ca="1" si="167"/>
        <v>-133547100930.61269</v>
      </c>
      <c r="M3381" s="471">
        <f t="shared" si="169"/>
        <v>0.05</v>
      </c>
      <c r="N3381" s="475">
        <f t="shared" si="170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68"/>
        <v>-133547100930.61269</v>
      </c>
      <c r="J3382" s="455">
        <f t="array" ref="J3382">IFERROR(INDEX('Retirement Calculator'!J:J,MATCH('Isaac 401k'!N3382,'Retirement Calculator'!A:A,0),0),0)</f>
        <v>0</v>
      </c>
      <c r="K3382" s="455">
        <f t="shared" ca="1" si="166"/>
        <v>-556446253.87755287</v>
      </c>
      <c r="L3382" s="455">
        <f t="shared" ca="1" si="167"/>
        <v>-134103547184.49023</v>
      </c>
      <c r="M3382" s="471">
        <f t="shared" si="169"/>
        <v>0.05</v>
      </c>
      <c r="N3382" s="475">
        <f t="shared" si="170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68"/>
        <v>-134103547184.49023</v>
      </c>
      <c r="J3383" s="455">
        <f t="array" ref="J3383">IFERROR(INDEX('Retirement Calculator'!J:J,MATCH('Isaac 401k'!N3383,'Retirement Calculator'!A:A,0),0),0)</f>
        <v>0</v>
      </c>
      <c r="K3383" s="455">
        <f t="shared" ca="1" si="166"/>
        <v>-558764779.93537593</v>
      </c>
      <c r="L3383" s="455">
        <f t="shared" ca="1" si="167"/>
        <v>-134662311964.42561</v>
      </c>
      <c r="M3383" s="471">
        <f t="shared" si="169"/>
        <v>0.05</v>
      </c>
      <c r="N3383" s="475">
        <f t="shared" si="170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68"/>
        <v>-134662311964.42561</v>
      </c>
      <c r="J3384" s="455">
        <f t="array" ref="J3384">IFERROR(INDEX('Retirement Calculator'!J:J,MATCH('Isaac 401k'!N3384,'Retirement Calculator'!A:A,0),0),0)</f>
        <v>0</v>
      </c>
      <c r="K3384" s="455">
        <f t="shared" ca="1" si="166"/>
        <v>-561092966.51844001</v>
      </c>
      <c r="L3384" s="455">
        <f t="shared" ca="1" si="167"/>
        <v>-135223404930.94405</v>
      </c>
      <c r="M3384" s="471">
        <f t="shared" si="169"/>
        <v>0.05</v>
      </c>
      <c r="N3384" s="475">
        <f t="shared" si="170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68"/>
        <v>-135223404930.94405</v>
      </c>
      <c r="J3385" s="455">
        <f t="array" ref="J3385">IFERROR(INDEX('Retirement Calculator'!J:J,MATCH('Isaac 401k'!N3385,'Retirement Calculator'!A:A,0),0),0)</f>
        <v>0</v>
      </c>
      <c r="K3385" s="455">
        <f t="shared" ca="1" si="166"/>
        <v>-563430853.87893355</v>
      </c>
      <c r="L3385" s="455">
        <f t="shared" ca="1" si="167"/>
        <v>-135786835784.82298</v>
      </c>
      <c r="M3385" s="471">
        <f t="shared" si="169"/>
        <v>0.05</v>
      </c>
      <c r="N3385" s="475">
        <f t="shared" si="170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68"/>
        <v>-135786835784.82298</v>
      </c>
      <c r="J3386" s="455">
        <f t="array" ref="J3386">IFERROR(INDEX('Retirement Calculator'!J:J,MATCH('Isaac 401k'!N3386,'Retirement Calculator'!A:A,0),0),0)</f>
        <v>0</v>
      </c>
      <c r="K3386" s="455">
        <f t="shared" ca="1" si="166"/>
        <v>-565778482.43676233</v>
      </c>
      <c r="L3386" s="455">
        <f t="shared" ca="1" si="167"/>
        <v>-136352614267.25975</v>
      </c>
      <c r="M3386" s="471">
        <f t="shared" si="169"/>
        <v>0.05</v>
      </c>
      <c r="N3386" s="475">
        <f t="shared" si="170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68"/>
        <v>-136352614267.25975</v>
      </c>
      <c r="J3387" s="455">
        <f t="array" ref="J3387">IFERROR(INDEX('Retirement Calculator'!J:J,MATCH('Isaac 401k'!N3387,'Retirement Calculator'!A:A,0),0),0)</f>
        <v>0</v>
      </c>
      <c r="K3387" s="455">
        <f t="shared" ca="1" si="166"/>
        <v>-568135892.78024888</v>
      </c>
      <c r="L3387" s="455">
        <f t="shared" ca="1" si="167"/>
        <v>-136920750160.03999</v>
      </c>
      <c r="M3387" s="471">
        <f t="shared" si="169"/>
        <v>0.05</v>
      </c>
      <c r="N3387" s="475">
        <f t="shared" si="170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68"/>
        <v>-136920750160.03999</v>
      </c>
      <c r="J3388" s="455">
        <f t="array" ref="J3388">IFERROR(INDEX('Retirement Calculator'!J:J,MATCH('Isaac 401k'!N3388,'Retirement Calculator'!A:A,0),0),0)</f>
        <v>0</v>
      </c>
      <c r="K3388" s="455">
        <f t="shared" ca="1" si="166"/>
        <v>-570503125.66683328</v>
      </c>
      <c r="L3388" s="455">
        <f t="shared" ca="1" si="167"/>
        <v>-137491253285.70682</v>
      </c>
      <c r="M3388" s="471">
        <f t="shared" si="169"/>
        <v>0.05</v>
      </c>
      <c r="N3388" s="475">
        <f t="shared" si="170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68"/>
        <v>-137491253285.70682</v>
      </c>
      <c r="J3389" s="455">
        <f t="array" ref="J3389">IFERROR(INDEX('Retirement Calculator'!J:J,MATCH('Isaac 401k'!N3389,'Retirement Calculator'!A:A,0),0),0)</f>
        <v>0</v>
      </c>
      <c r="K3389" s="455">
        <f t="shared" ca="1" si="166"/>
        <v>-572880222.02377844</v>
      </c>
      <c r="L3389" s="455">
        <f t="shared" ca="1" si="167"/>
        <v>-138064133507.73059</v>
      </c>
      <c r="M3389" s="471">
        <f t="shared" si="169"/>
        <v>0.05</v>
      </c>
      <c r="N3389" s="475">
        <f t="shared" si="170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68"/>
        <v>-138064133507.73059</v>
      </c>
      <c r="J3390" s="455">
        <f t="array" ref="J3390">IFERROR(INDEX('Retirement Calculator'!J:J,MATCH('Isaac 401k'!N3390,'Retirement Calculator'!A:A,0),0),0)</f>
        <v>0</v>
      </c>
      <c r="K3390" s="455">
        <f t="shared" ca="1" si="166"/>
        <v>-575267222.94887745</v>
      </c>
      <c r="L3390" s="455">
        <f t="shared" ca="1" si="167"/>
        <v>-138639400730.67947</v>
      </c>
      <c r="M3390" s="471">
        <f t="shared" si="169"/>
        <v>0.05</v>
      </c>
      <c r="N3390" s="475">
        <f t="shared" si="170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68"/>
        <v>-138639400730.67947</v>
      </c>
      <c r="J3391" s="455">
        <f t="array" ref="J3391">IFERROR(INDEX('Retirement Calculator'!J:J,MATCH('Isaac 401k'!N3391,'Retirement Calculator'!A:A,0),0),0)</f>
        <v>0</v>
      </c>
      <c r="K3391" s="455">
        <f t="shared" ca="1" si="166"/>
        <v>-577664169.71116447</v>
      </c>
      <c r="L3391" s="455">
        <f t="shared" ca="1" si="167"/>
        <v>-139217064900.39063</v>
      </c>
      <c r="M3391" s="471">
        <f t="shared" si="169"/>
        <v>0.05</v>
      </c>
      <c r="N3391" s="475">
        <f t="shared" si="170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68"/>
        <v>-139217064900.39063</v>
      </c>
      <c r="J3392" s="455">
        <f t="array" ref="J3392">IFERROR(INDEX('Retirement Calculator'!J:J,MATCH('Isaac 401k'!N3392,'Retirement Calculator'!A:A,0),0),0)</f>
        <v>0</v>
      </c>
      <c r="K3392" s="455">
        <f t="shared" ca="1" si="166"/>
        <v>-580071103.75162756</v>
      </c>
      <c r="L3392" s="455">
        <f t="shared" ca="1" si="167"/>
        <v>-139797136004.14224</v>
      </c>
      <c r="M3392" s="471">
        <f t="shared" si="169"/>
        <v>0.05</v>
      </c>
      <c r="N3392" s="475">
        <f t="shared" si="170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68"/>
        <v>-139797136004.14224</v>
      </c>
      <c r="J3393" s="455">
        <f t="array" ref="J3393">IFERROR(INDEX('Retirement Calculator'!J:J,MATCH('Isaac 401k'!N3393,'Retirement Calculator'!A:A,0),0),0)</f>
        <v>0</v>
      </c>
      <c r="K3393" s="455">
        <f t="shared" ca="1" si="166"/>
        <v>-582488066.68392599</v>
      </c>
      <c r="L3393" s="455">
        <f t="shared" ca="1" si="167"/>
        <v>-140379624070.82617</v>
      </c>
      <c r="M3393" s="471">
        <f t="shared" si="169"/>
        <v>0.05</v>
      </c>
      <c r="N3393" s="475">
        <f t="shared" si="170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68"/>
        <v>-140379624070.82617</v>
      </c>
      <c r="J3394" s="455">
        <f t="array" ref="J3394">IFERROR(INDEX('Retirement Calculator'!J:J,MATCH('Isaac 401k'!N3394,'Retirement Calculator'!A:A,0),0),0)</f>
        <v>0</v>
      </c>
      <c r="K3394" s="455">
        <f t="shared" ca="1" si="166"/>
        <v>-584915100.29510903</v>
      </c>
      <c r="L3394" s="455">
        <f t="shared" ca="1" si="167"/>
        <v>-140964539171.12128</v>
      </c>
      <c r="M3394" s="471">
        <f t="shared" si="169"/>
        <v>0.05</v>
      </c>
      <c r="N3394" s="475">
        <f t="shared" si="170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68"/>
        <v>-140964539171.12128</v>
      </c>
      <c r="J3395" s="455">
        <f t="array" ref="J3395">IFERROR(INDEX('Retirement Calculator'!J:J,MATCH('Isaac 401k'!N3395,'Retirement Calculator'!A:A,0),0),0)</f>
        <v>0</v>
      </c>
      <c r="K3395" s="455">
        <f t="shared" ca="1" si="166"/>
        <v>-587352246.54633868</v>
      </c>
      <c r="L3395" s="455">
        <f t="shared" ca="1" si="167"/>
        <v>-141551891417.6676</v>
      </c>
      <c r="M3395" s="471">
        <f t="shared" si="169"/>
        <v>0.05</v>
      </c>
      <c r="N3395" s="475">
        <f t="shared" si="170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68"/>
        <v>-141551891417.6676</v>
      </c>
      <c r="J3396" s="455">
        <f t="array" ref="J3396">IFERROR(INDEX('Retirement Calculator'!J:J,MATCH('Isaac 401k'!N3396,'Retirement Calculator'!A:A,0),0),0)</f>
        <v>0</v>
      </c>
      <c r="K3396" s="455">
        <f t="shared" ca="1" si="166"/>
        <v>-589799547.57361495</v>
      </c>
      <c r="L3396" s="455">
        <f t="shared" ca="1" si="167"/>
        <v>-142141690965.24121</v>
      </c>
      <c r="M3396" s="471">
        <f t="shared" si="169"/>
        <v>0.05</v>
      </c>
      <c r="N3396" s="475">
        <f t="shared" si="170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68"/>
        <v>-142141690965.24121</v>
      </c>
      <c r="J3397" s="455">
        <f t="array" ref="J3397">IFERROR(INDEX('Retirement Calculator'!J:J,MATCH('Isaac 401k'!N3397,'Retirement Calculator'!A:A,0),0),0)</f>
        <v>0</v>
      </c>
      <c r="K3397" s="455">
        <f t="shared" ca="1" si="166"/>
        <v>-592257045.68850505</v>
      </c>
      <c r="L3397" s="455">
        <f t="shared" ca="1" si="167"/>
        <v>-142733948010.92972</v>
      </c>
      <c r="M3397" s="471">
        <f t="shared" si="169"/>
        <v>0.05</v>
      </c>
      <c r="N3397" s="475">
        <f t="shared" si="170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68"/>
        <v>-142733948010.92972</v>
      </c>
      <c r="J3398" s="455">
        <f t="array" ref="J3398">IFERROR(INDEX('Retirement Calculator'!J:J,MATCH('Isaac 401k'!N3398,'Retirement Calculator'!A:A,0),0),0)</f>
        <v>0</v>
      </c>
      <c r="K3398" s="455">
        <f t="shared" ca="1" si="166"/>
        <v>-594724783.37887383</v>
      </c>
      <c r="L3398" s="455">
        <f t="shared" ca="1" si="167"/>
        <v>-143328672794.30859</v>
      </c>
      <c r="M3398" s="471">
        <f t="shared" si="169"/>
        <v>0.05</v>
      </c>
      <c r="N3398" s="475">
        <f t="shared" si="170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68"/>
        <v>-143328672794.30859</v>
      </c>
      <c r="J3399" s="455">
        <f t="array" ref="J3399">IFERROR(INDEX('Retirement Calculator'!J:J,MATCH('Isaac 401k'!N3399,'Retirement Calculator'!A:A,0),0),0)</f>
        <v>0</v>
      </c>
      <c r="K3399" s="455">
        <f t="shared" ca="1" si="166"/>
        <v>-597202803.30961919</v>
      </c>
      <c r="L3399" s="455">
        <f t="shared" ca="1" si="167"/>
        <v>-143925875597.61823</v>
      </c>
      <c r="M3399" s="471">
        <f t="shared" si="169"/>
        <v>0.05</v>
      </c>
      <c r="N3399" s="475">
        <f t="shared" si="170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68"/>
        <v>-143925875597.61823</v>
      </c>
      <c r="J3400" s="455">
        <f t="array" ref="J3400">IFERROR(INDEX('Retirement Calculator'!J:J,MATCH('Isaac 401k'!N3400,'Retirement Calculator'!A:A,0),0),0)</f>
        <v>0</v>
      </c>
      <c r="K3400" s="455">
        <f t="shared" ca="1" si="166"/>
        <v>-599691148.32340932</v>
      </c>
      <c r="L3400" s="455">
        <f t="shared" ca="1" si="167"/>
        <v>-144525566745.94162</v>
      </c>
      <c r="M3400" s="471">
        <f t="shared" si="169"/>
        <v>0.05</v>
      </c>
      <c r="N3400" s="475">
        <f t="shared" si="170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68"/>
        <v>-144525566745.94162</v>
      </c>
      <c r="J3401" s="455">
        <f t="array" ref="J3401">IFERROR(INDEX('Retirement Calculator'!J:J,MATCH('Isaac 401k'!N3401,'Retirement Calculator'!A:A,0),0),0)</f>
        <v>0</v>
      </c>
      <c r="K3401" s="455">
        <f t="shared" ca="1" si="166"/>
        <v>-602189861.44142342</v>
      </c>
      <c r="L3401" s="455">
        <f t="shared" ca="1" si="167"/>
        <v>-145127756607.38306</v>
      </c>
      <c r="M3401" s="471">
        <f t="shared" si="169"/>
        <v>0.05</v>
      </c>
      <c r="N3401" s="475">
        <f t="shared" si="170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68"/>
        <v>-145127756607.38306</v>
      </c>
      <c r="J3402" s="455">
        <f t="array" ref="J3402">IFERROR(INDEX('Retirement Calculator'!J:J,MATCH('Isaac 401k'!N3402,'Retirement Calculator'!A:A,0),0),0)</f>
        <v>0</v>
      </c>
      <c r="K3402" s="455">
        <f t="shared" ca="1" si="166"/>
        <v>-604698985.86409605</v>
      </c>
      <c r="L3402" s="455">
        <f t="shared" ca="1" si="167"/>
        <v>-145732455593.24716</v>
      </c>
      <c r="M3402" s="471">
        <f t="shared" si="169"/>
        <v>0.05</v>
      </c>
      <c r="N3402" s="475">
        <f t="shared" si="170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68"/>
        <v>-145732455593.24716</v>
      </c>
      <c r="J3403" s="455">
        <f t="array" ref="J3403">IFERROR(INDEX('Retirement Calculator'!J:J,MATCH('Isaac 401k'!N3403,'Retirement Calculator'!A:A,0),0),0)</f>
        <v>0</v>
      </c>
      <c r="K3403" s="455">
        <f t="shared" ca="1" si="166"/>
        <v>-607218564.97186315</v>
      </c>
      <c r="L3403" s="455">
        <f t="shared" ca="1" si="167"/>
        <v>-146339674158.21902</v>
      </c>
      <c r="M3403" s="471">
        <f t="shared" si="169"/>
        <v>0.05</v>
      </c>
      <c r="N3403" s="475">
        <f t="shared" si="170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68"/>
        <v>-146339674158.21902</v>
      </c>
      <c r="J3404" s="455">
        <f t="array" ref="J3404">IFERROR(INDEX('Retirement Calculator'!J:J,MATCH('Isaac 401k'!N3404,'Retirement Calculator'!A:A,0),0),0)</f>
        <v>0</v>
      </c>
      <c r="K3404" s="455">
        <f t="shared" ca="1" si="166"/>
        <v>-609748642.32591259</v>
      </c>
      <c r="L3404" s="455">
        <f t="shared" ca="1" si="167"/>
        <v>-146949422800.54495</v>
      </c>
      <c r="M3404" s="471">
        <f t="shared" si="169"/>
        <v>0.05</v>
      </c>
      <c r="N3404" s="475">
        <f t="shared" si="170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68"/>
        <v>-146949422800.54495</v>
      </c>
      <c r="J3405" s="455">
        <f t="array" ref="J3405">IFERROR(INDEX('Retirement Calculator'!J:J,MATCH('Isaac 401k'!N3405,'Retirement Calculator'!A:A,0),0),0)</f>
        <v>0</v>
      </c>
      <c r="K3405" s="455">
        <f t="shared" ca="1" si="166"/>
        <v>-612289261.66893733</v>
      </c>
      <c r="L3405" s="455">
        <f t="shared" ca="1" si="167"/>
        <v>-147561712062.2139</v>
      </c>
      <c r="M3405" s="471">
        <f t="shared" si="169"/>
        <v>0.05</v>
      </c>
      <c r="N3405" s="475">
        <f t="shared" si="170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68"/>
        <v>-147561712062.2139</v>
      </c>
      <c r="J3406" s="455">
        <f t="array" ref="J3406">IFERROR(INDEX('Retirement Calculator'!J:J,MATCH('Isaac 401k'!N3406,'Retirement Calculator'!A:A,0),0),0)</f>
        <v>0</v>
      </c>
      <c r="K3406" s="455">
        <f t="shared" ca="1" si="166"/>
        <v>-614840466.92589128</v>
      </c>
      <c r="L3406" s="455">
        <f t="shared" ca="1" si="167"/>
        <v>-148176552529.1398</v>
      </c>
      <c r="M3406" s="471">
        <f t="shared" si="169"/>
        <v>0.05</v>
      </c>
      <c r="N3406" s="475">
        <f t="shared" si="170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68"/>
        <v>-148176552529.1398</v>
      </c>
      <c r="J3407" s="455">
        <f t="array" ref="J3407">IFERROR(INDEX('Retirement Calculator'!J:J,MATCH('Isaac 401k'!N3407,'Retirement Calculator'!A:A,0),0),0)</f>
        <v>0</v>
      </c>
      <c r="K3407" s="455">
        <f t="shared" ca="1" si="166"/>
        <v>-617402302.20474911</v>
      </c>
      <c r="L3407" s="455">
        <f t="shared" ca="1" si="167"/>
        <v>-148793954831.34454</v>
      </c>
      <c r="M3407" s="471">
        <f t="shared" si="169"/>
        <v>0.05</v>
      </c>
      <c r="N3407" s="475">
        <f t="shared" si="170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68"/>
        <v>-148793954831.34454</v>
      </c>
      <c r="J3408" s="455">
        <f t="array" ref="J3408">IFERROR(INDEX('Retirement Calculator'!J:J,MATCH('Isaac 401k'!N3408,'Retirement Calculator'!A:A,0),0),0)</f>
        <v>0</v>
      </c>
      <c r="K3408" s="455">
        <f t="shared" ca="1" si="166"/>
        <v>-619974811.79726887</v>
      </c>
      <c r="L3408" s="455">
        <f t="shared" ca="1" si="167"/>
        <v>-149413929643.14182</v>
      </c>
      <c r="M3408" s="471">
        <f t="shared" si="169"/>
        <v>0.05</v>
      </c>
      <c r="N3408" s="475">
        <f t="shared" si="170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68"/>
        <v>-149413929643.14182</v>
      </c>
      <c r="J3409" s="455">
        <f t="array" ref="J3409">IFERROR(INDEX('Retirement Calculator'!J:J,MATCH('Isaac 401k'!N3409,'Retirement Calculator'!A:A,0),0),0)</f>
        <v>0</v>
      </c>
      <c r="K3409" s="455">
        <f t="shared" ca="1" si="166"/>
        <v>-622558040.1797576</v>
      </c>
      <c r="L3409" s="455">
        <f t="shared" ca="1" si="167"/>
        <v>-150036487683.32156</v>
      </c>
      <c r="M3409" s="471">
        <f t="shared" si="169"/>
        <v>0.05</v>
      </c>
      <c r="N3409" s="475">
        <f t="shared" si="170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68"/>
        <v>-150036487683.32156</v>
      </c>
      <c r="J3410" s="455">
        <f t="array" ref="J3410">IFERROR(INDEX('Retirement Calculator'!J:J,MATCH('Isaac 401k'!N3410,'Retirement Calculator'!A:A,0),0),0)</f>
        <v>0</v>
      </c>
      <c r="K3410" s="455">
        <f t="shared" ca="1" si="166"/>
        <v>-625152032.01383984</v>
      </c>
      <c r="L3410" s="455">
        <f t="shared" ca="1" si="167"/>
        <v>-150661639715.33542</v>
      </c>
      <c r="M3410" s="471">
        <f t="shared" si="169"/>
        <v>0.05</v>
      </c>
      <c r="N3410" s="475">
        <f t="shared" si="170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68"/>
        <v>-150661639715.33542</v>
      </c>
      <c r="J3411" s="455">
        <f t="array" ref="J3411">IFERROR(INDEX('Retirement Calculator'!J:J,MATCH('Isaac 401k'!N3411,'Retirement Calculator'!A:A,0),0),0)</f>
        <v>0</v>
      </c>
      <c r="K3411" s="455">
        <f t="shared" ca="1" si="166"/>
        <v>-627756832.14723086</v>
      </c>
      <c r="L3411" s="455">
        <f t="shared" ca="1" si="167"/>
        <v>-151289396547.48264</v>
      </c>
      <c r="M3411" s="471">
        <f t="shared" si="169"/>
        <v>0.05</v>
      </c>
      <c r="N3411" s="475">
        <f t="shared" si="170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68"/>
        <v>-151289396547.48264</v>
      </c>
      <c r="J3412" s="455">
        <f t="array" ref="J3412">IFERROR(INDEX('Retirement Calculator'!J:J,MATCH('Isaac 401k'!N3412,'Retirement Calculator'!A:A,0),0),0)</f>
        <v>0</v>
      </c>
      <c r="K3412" s="455">
        <f t="shared" ca="1" si="166"/>
        <v>-630372485.61451101</v>
      </c>
      <c r="L3412" s="455">
        <f t="shared" ca="1" si="167"/>
        <v>-151919769033.09714</v>
      </c>
      <c r="M3412" s="471">
        <f t="shared" si="169"/>
        <v>0.05</v>
      </c>
      <c r="N3412" s="475">
        <f t="shared" si="170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68"/>
        <v>-151919769033.09714</v>
      </c>
      <c r="J3413" s="455">
        <f t="array" ref="J3413">IFERROR(INDEX('Retirement Calculator'!J:J,MATCH('Isaac 401k'!N3413,'Retirement Calculator'!A:A,0),0),0)</f>
        <v>0</v>
      </c>
      <c r="K3413" s="455">
        <f t="shared" ca="1" si="166"/>
        <v>-632999037.63790476</v>
      </c>
      <c r="L3413" s="455">
        <f t="shared" ca="1" si="167"/>
        <v>-152552768070.73505</v>
      </c>
      <c r="M3413" s="471">
        <f t="shared" si="169"/>
        <v>0.05</v>
      </c>
      <c r="N3413" s="475">
        <f t="shared" si="170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68"/>
        <v>-152552768070.73505</v>
      </c>
      <c r="J3414" s="455">
        <f t="array" ref="J3414">IFERROR(INDEX('Retirement Calculator'!J:J,MATCH('Isaac 401k'!N3414,'Retirement Calculator'!A:A,0),0),0)</f>
        <v>0</v>
      </c>
      <c r="K3414" s="455">
        <f t="shared" ca="1" si="166"/>
        <v>-635636533.62806273</v>
      </c>
      <c r="L3414" s="455">
        <f t="shared" ca="1" si="167"/>
        <v>-153188404604.3631</v>
      </c>
      <c r="M3414" s="471">
        <f t="shared" si="169"/>
        <v>0.05</v>
      </c>
      <c r="N3414" s="475">
        <f t="shared" si="170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68"/>
        <v>-153188404604.3631</v>
      </c>
      <c r="J3415" s="455">
        <f t="array" ref="J3415">IFERROR(INDEX('Retirement Calculator'!J:J,MATCH('Isaac 401k'!N3415,'Retirement Calculator'!A:A,0),0),0)</f>
        <v>0</v>
      </c>
      <c r="K3415" s="455">
        <f t="shared" ca="1" si="166"/>
        <v>-638285019.18484628</v>
      </c>
      <c r="L3415" s="455">
        <f t="shared" ca="1" si="167"/>
        <v>-153826689623.54794</v>
      </c>
      <c r="M3415" s="471">
        <f t="shared" si="169"/>
        <v>0.05</v>
      </c>
      <c r="N3415" s="475">
        <f t="shared" si="170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68"/>
        <v>-153826689623.54794</v>
      </c>
      <c r="J3416" s="455">
        <f t="array" ref="J3416">IFERROR(INDEX('Retirement Calculator'!J:J,MATCH('Isaac 401k'!N3416,'Retirement Calculator'!A:A,0),0),0)</f>
        <v>0</v>
      </c>
      <c r="K3416" s="455">
        <f t="shared" ca="1" si="166"/>
        <v>-640944540.0981164</v>
      </c>
      <c r="L3416" s="455">
        <f t="shared" ca="1" si="167"/>
        <v>-154467634163.64606</v>
      </c>
      <c r="M3416" s="471">
        <f t="shared" si="169"/>
        <v>0.05</v>
      </c>
      <c r="N3416" s="475">
        <f t="shared" si="170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68"/>
        <v>-154467634163.64606</v>
      </c>
      <c r="J3417" s="455">
        <f t="array" ref="J3417">IFERROR(INDEX('Retirement Calculator'!J:J,MATCH('Isaac 401k'!N3417,'Retirement Calculator'!A:A,0),0),0)</f>
        <v>0</v>
      </c>
      <c r="K3417" s="455">
        <f t="shared" ca="1" si="166"/>
        <v>-643615142.34852529</v>
      </c>
      <c r="L3417" s="455">
        <f t="shared" ca="1" si="167"/>
        <v>-155111249305.99457</v>
      </c>
      <c r="M3417" s="471">
        <f t="shared" si="169"/>
        <v>0.05</v>
      </c>
      <c r="N3417" s="475">
        <f t="shared" si="170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68"/>
        <v>-155111249305.99457</v>
      </c>
      <c r="J3418" s="455">
        <f t="array" ref="J3418">IFERROR(INDEX('Retirement Calculator'!J:J,MATCH('Isaac 401k'!N3418,'Retirement Calculator'!A:A,0),0),0)</f>
        <v>0</v>
      </c>
      <c r="K3418" s="455">
        <f t="shared" ca="1" si="166"/>
        <v>-646296872.1083107</v>
      </c>
      <c r="L3418" s="455">
        <f t="shared" ca="1" si="167"/>
        <v>-155757546178.10287</v>
      </c>
      <c r="M3418" s="471">
        <f t="shared" si="169"/>
        <v>0.05</v>
      </c>
      <c r="N3418" s="475">
        <f t="shared" si="170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68"/>
        <v>-155757546178.10287</v>
      </c>
      <c r="J3419" s="455">
        <f t="array" ref="J3419">IFERROR(INDEX('Retirement Calculator'!J:J,MATCH('Isaac 401k'!N3419,'Retirement Calculator'!A:A,0),0),0)</f>
        <v>0</v>
      </c>
      <c r="K3419" s="455">
        <f t="shared" ca="1" si="166"/>
        <v>-648989775.74209535</v>
      </c>
      <c r="L3419" s="455">
        <f t="shared" ca="1" si="167"/>
        <v>-156406535953.84497</v>
      </c>
      <c r="M3419" s="471">
        <f t="shared" si="169"/>
        <v>0.05</v>
      </c>
      <c r="N3419" s="475">
        <f t="shared" si="170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68"/>
        <v>-156406535953.84497</v>
      </c>
      <c r="J3420" s="455">
        <f t="array" ref="J3420">IFERROR(INDEX('Retirement Calculator'!J:J,MATCH('Isaac 401k'!N3420,'Retirement Calculator'!A:A,0),0),0)</f>
        <v>0</v>
      </c>
      <c r="K3420" s="455">
        <f t="shared" ca="1" si="166"/>
        <v>-651693899.8076874</v>
      </c>
      <c r="L3420" s="455">
        <f t="shared" ca="1" si="167"/>
        <v>-157058229853.65265</v>
      </c>
      <c r="M3420" s="471">
        <f t="shared" si="169"/>
        <v>0.05</v>
      </c>
      <c r="N3420" s="475">
        <f t="shared" si="170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68"/>
        <v>-157058229853.65265</v>
      </c>
      <c r="J3421" s="455">
        <f t="array" ref="J3421">IFERROR(INDEX('Retirement Calculator'!J:J,MATCH('Isaac 401k'!N3421,'Retirement Calculator'!A:A,0),0),0)</f>
        <v>0</v>
      </c>
      <c r="K3421" s="455">
        <f t="shared" ca="1" si="166"/>
        <v>-654409291.05688608</v>
      </c>
      <c r="L3421" s="455">
        <f t="shared" ca="1" si="167"/>
        <v>-157712639144.70953</v>
      </c>
      <c r="M3421" s="471">
        <f t="shared" si="169"/>
        <v>0.05</v>
      </c>
      <c r="N3421" s="475">
        <f t="shared" si="170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68"/>
        <v>-157712639144.70953</v>
      </c>
      <c r="J3422" s="455">
        <f t="array" ref="J3422">IFERROR(INDEX('Retirement Calculator'!J:J,MATCH('Isaac 401k'!N3422,'Retirement Calculator'!A:A,0),0),0)</f>
        <v>0</v>
      </c>
      <c r="K3422" s="455">
        <f t="shared" ca="1" si="166"/>
        <v>-657135996.43628967</v>
      </c>
      <c r="L3422" s="455">
        <f t="shared" ca="1" si="167"/>
        <v>-158369775141.14581</v>
      </c>
      <c r="M3422" s="471">
        <f t="shared" si="169"/>
        <v>0.05</v>
      </c>
      <c r="N3422" s="475">
        <f t="shared" si="170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68"/>
        <v>-158369775141.14581</v>
      </c>
      <c r="J3423" s="455">
        <f t="array" ref="J3423">IFERROR(INDEX('Retirement Calculator'!J:J,MATCH('Isaac 401k'!N3423,'Retirement Calculator'!A:A,0),0),0)</f>
        <v>0</v>
      </c>
      <c r="K3423" s="455">
        <f t="shared" ca="1" si="166"/>
        <v>-659874063.08810759</v>
      </c>
      <c r="L3423" s="455">
        <f t="shared" ca="1" si="167"/>
        <v>-159029649204.23392</v>
      </c>
      <c r="M3423" s="471">
        <f t="shared" si="169"/>
        <v>0.05</v>
      </c>
      <c r="N3423" s="475">
        <f t="shared" si="170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68"/>
        <v>-159029649204.23392</v>
      </c>
      <c r="J3424" s="455">
        <f t="array" ref="J3424">IFERROR(INDEX('Retirement Calculator'!J:J,MATCH('Isaac 401k'!N3424,'Retirement Calculator'!A:A,0),0),0)</f>
        <v>0</v>
      </c>
      <c r="K3424" s="455">
        <f t="shared" ca="1" si="166"/>
        <v>-662623538.35097468</v>
      </c>
      <c r="L3424" s="455">
        <f t="shared" ca="1" si="167"/>
        <v>-159692272742.5849</v>
      </c>
      <c r="M3424" s="471">
        <f t="shared" si="169"/>
        <v>0.05</v>
      </c>
      <c r="N3424" s="475">
        <f t="shared" si="170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68"/>
        <v>-159692272742.5849</v>
      </c>
      <c r="J3425" s="455">
        <f t="array" ref="J3425">IFERROR(INDEX('Retirement Calculator'!J:J,MATCH('Isaac 401k'!N3425,'Retirement Calculator'!A:A,0),0),0)</f>
        <v>0</v>
      </c>
      <c r="K3425" s="455">
        <f t="shared" ca="1" si="166"/>
        <v>-665384469.76077044</v>
      </c>
      <c r="L3425" s="455">
        <f t="shared" ca="1" si="167"/>
        <v>-160357657212.34567</v>
      </c>
      <c r="M3425" s="471">
        <f t="shared" si="169"/>
        <v>0.05</v>
      </c>
      <c r="N3425" s="475">
        <f t="shared" si="170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68"/>
        <v>-160357657212.34567</v>
      </c>
      <c r="J3426" s="455">
        <f t="array" ref="J3426">IFERROR(INDEX('Retirement Calculator'!J:J,MATCH('Isaac 401k'!N3426,'Retirement Calculator'!A:A,0),0),0)</f>
        <v>0</v>
      </c>
      <c r="K3426" s="455">
        <f t="shared" ca="1" si="166"/>
        <v>-668156905.05144024</v>
      </c>
      <c r="L3426" s="455">
        <f t="shared" ca="1" si="167"/>
        <v>-161025814117.39713</v>
      </c>
      <c r="M3426" s="471">
        <f t="shared" si="169"/>
        <v>0.05</v>
      </c>
      <c r="N3426" s="475">
        <f t="shared" si="170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68"/>
        <v>-161025814117.39713</v>
      </c>
      <c r="J3427" s="455">
        <f t="array" ref="J3427">IFERROR(INDEX('Retirement Calculator'!J:J,MATCH('Isaac 401k'!N3427,'Retirement Calculator'!A:A,0),0),0)</f>
        <v>0</v>
      </c>
      <c r="K3427" s="455">
        <f t="shared" ca="1" si="166"/>
        <v>-670940892.15582132</v>
      </c>
      <c r="L3427" s="455">
        <f t="shared" ca="1" si="167"/>
        <v>-161696755009.55295</v>
      </c>
      <c r="M3427" s="471">
        <f t="shared" si="169"/>
        <v>0.05</v>
      </c>
      <c r="N3427" s="475">
        <f t="shared" si="170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68"/>
        <v>-161696755009.55295</v>
      </c>
      <c r="J3428" s="455">
        <f t="array" ref="J3428">IFERROR(INDEX('Retirement Calculator'!J:J,MATCH('Isaac 401k'!N3428,'Retirement Calculator'!A:A,0),0),0)</f>
        <v>0</v>
      </c>
      <c r="K3428" s="455">
        <f t="shared" ca="1" si="166"/>
        <v>-673736479.20647061</v>
      </c>
      <c r="L3428" s="455">
        <f t="shared" ca="1" si="167"/>
        <v>-162370491488.75943</v>
      </c>
      <c r="M3428" s="471">
        <f t="shared" si="169"/>
        <v>0.05</v>
      </c>
      <c r="N3428" s="475">
        <f t="shared" si="170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68"/>
        <v>-162370491488.75943</v>
      </c>
      <c r="J3429" s="455">
        <f t="array" ref="J3429">IFERROR(INDEX('Retirement Calculator'!J:J,MATCH('Isaac 401k'!N3429,'Retirement Calculator'!A:A,0),0),0)</f>
        <v>0</v>
      </c>
      <c r="K3429" s="455">
        <f t="shared" ca="1" si="166"/>
        <v>-676543714.53649759</v>
      </c>
      <c r="L3429" s="455">
        <f t="shared" ca="1" si="167"/>
        <v>-163047035203.29593</v>
      </c>
      <c r="M3429" s="471">
        <f t="shared" si="169"/>
        <v>0.05</v>
      </c>
      <c r="N3429" s="475">
        <f t="shared" si="170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68"/>
        <v>-163047035203.29593</v>
      </c>
      <c r="J3430" s="455">
        <f t="array" ref="J3430">IFERROR(INDEX('Retirement Calculator'!J:J,MATCH('Isaac 401k'!N3430,'Retirement Calculator'!A:A,0),0),0)</f>
        <v>0</v>
      </c>
      <c r="K3430" s="455">
        <f t="shared" ca="1" si="166"/>
        <v>-679362646.68039966</v>
      </c>
      <c r="L3430" s="455">
        <f t="shared" ca="1" si="167"/>
        <v>-163726397849.97632</v>
      </c>
      <c r="M3430" s="471">
        <f t="shared" si="169"/>
        <v>0.05</v>
      </c>
      <c r="N3430" s="475">
        <f t="shared" si="170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68"/>
        <v>-163726397849.97632</v>
      </c>
      <c r="J3431" s="455">
        <f t="array" ref="J3431">IFERROR(INDEX('Retirement Calculator'!J:J,MATCH('Isaac 401k'!N3431,'Retirement Calculator'!A:A,0),0),0)</f>
        <v>0</v>
      </c>
      <c r="K3431" s="455">
        <f t="shared" ca="1" si="166"/>
        <v>-682193324.37490129</v>
      </c>
      <c r="L3431" s="455">
        <f t="shared" ca="1" si="167"/>
        <v>-164408591174.35123</v>
      </c>
      <c r="M3431" s="471">
        <f t="shared" si="169"/>
        <v>0.05</v>
      </c>
      <c r="N3431" s="475">
        <f t="shared" si="170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68"/>
        <v>-164408591174.35123</v>
      </c>
      <c r="J3432" s="455">
        <f t="array" ref="J3432">IFERROR(INDEX('Retirement Calculator'!J:J,MATCH('Isaac 401k'!N3432,'Retirement Calculator'!A:A,0),0),0)</f>
        <v>0</v>
      </c>
      <c r="K3432" s="455">
        <f t="shared" ca="1" si="166"/>
        <v>-685035796.55979681</v>
      </c>
      <c r="L3432" s="455">
        <f t="shared" ca="1" si="167"/>
        <v>-165093626970.91101</v>
      </c>
      <c r="M3432" s="471">
        <f t="shared" si="169"/>
        <v>0.05</v>
      </c>
      <c r="N3432" s="475">
        <f t="shared" si="170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68"/>
        <v>-165093626970.91101</v>
      </c>
      <c r="J3433" s="455">
        <f t="array" ref="J3433">IFERROR(INDEX('Retirement Calculator'!J:J,MATCH('Isaac 401k'!N3433,'Retirement Calculator'!A:A,0),0),0)</f>
        <v>0</v>
      </c>
      <c r="K3433" s="455">
        <f t="shared" ca="1" si="166"/>
        <v>-687890112.37879586</v>
      </c>
      <c r="L3433" s="455">
        <f t="shared" ca="1" si="167"/>
        <v>-165781517083.28979</v>
      </c>
      <c r="M3433" s="471">
        <f t="shared" si="169"/>
        <v>0.05</v>
      </c>
      <c r="N3433" s="475">
        <f t="shared" si="170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68"/>
        <v>-165781517083.28979</v>
      </c>
      <c r="J3434" s="455">
        <f t="array" ref="J3434">IFERROR(INDEX('Retirement Calculator'!J:J,MATCH('Isaac 401k'!N3434,'Retirement Calculator'!A:A,0),0),0)</f>
        <v>0</v>
      </c>
      <c r="K3434" s="455">
        <f t="shared" ca="1" si="166"/>
        <v>-690756321.18037415</v>
      </c>
      <c r="L3434" s="455">
        <f t="shared" ca="1" si="167"/>
        <v>-166472273404.47015</v>
      </c>
      <c r="M3434" s="471">
        <f t="shared" si="169"/>
        <v>0.05</v>
      </c>
      <c r="N3434" s="475">
        <f t="shared" si="170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68"/>
        <v>-166472273404.47015</v>
      </c>
      <c r="J3435" s="455">
        <f t="array" ref="J3435">IFERROR(INDEX('Retirement Calculator'!J:J,MATCH('Isaac 401k'!N3435,'Retirement Calculator'!A:A,0),0),0)</f>
        <v>0</v>
      </c>
      <c r="K3435" s="455">
        <f t="shared" ca="1" si="166"/>
        <v>-693634472.51862562</v>
      </c>
      <c r="L3435" s="455">
        <f t="shared" ca="1" si="167"/>
        <v>-167165907876.98877</v>
      </c>
      <c r="M3435" s="471">
        <f t="shared" si="169"/>
        <v>0.05</v>
      </c>
      <c r="N3435" s="475">
        <f t="shared" si="170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68"/>
        <v>-167165907876.98877</v>
      </c>
      <c r="J3436" s="455">
        <f t="array" ref="J3436">IFERROR(INDEX('Retirement Calculator'!J:J,MATCH('Isaac 401k'!N3436,'Retirement Calculator'!A:A,0),0),0)</f>
        <v>0</v>
      </c>
      <c r="K3436" s="455">
        <f t="shared" ca="1" si="166"/>
        <v>-696524616.15411985</v>
      </c>
      <c r="L3436" s="455">
        <f t="shared" ca="1" si="167"/>
        <v>-167862432493.14288</v>
      </c>
      <c r="M3436" s="471">
        <f t="shared" si="169"/>
        <v>0.05</v>
      </c>
      <c r="N3436" s="475">
        <f t="shared" si="170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68"/>
        <v>-167862432493.14288</v>
      </c>
      <c r="J3437" s="455">
        <f t="array" ref="J3437">IFERROR(INDEX('Retirement Calculator'!J:J,MATCH('Isaac 401k'!N3437,'Retirement Calculator'!A:A,0),0),0)</f>
        <v>0</v>
      </c>
      <c r="K3437" s="455">
        <f t="shared" ca="1" si="166"/>
        <v>-699426802.05476201</v>
      </c>
      <c r="L3437" s="455">
        <f t="shared" ca="1" si="167"/>
        <v>-168561859295.19763</v>
      </c>
      <c r="M3437" s="471">
        <f t="shared" si="169"/>
        <v>0.05</v>
      </c>
      <c r="N3437" s="475">
        <f t="shared" si="170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68"/>
        <v>-168561859295.19763</v>
      </c>
      <c r="J3438" s="455">
        <f t="array" ref="J3438">IFERROR(INDEX('Retirement Calculator'!J:J,MATCH('Isaac 401k'!N3438,'Retirement Calculator'!A:A,0),0),0)</f>
        <v>0</v>
      </c>
      <c r="K3438" s="455">
        <f t="shared" ca="1" si="166"/>
        <v>-702341080.39665675</v>
      </c>
      <c r="L3438" s="455">
        <f t="shared" ca="1" si="167"/>
        <v>-169264200375.5943</v>
      </c>
      <c r="M3438" s="471">
        <f t="shared" si="169"/>
        <v>0.05</v>
      </c>
      <c r="N3438" s="475">
        <f t="shared" si="170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68"/>
        <v>-169264200375.5943</v>
      </c>
      <c r="J3439" s="455">
        <f t="array" ref="J3439">IFERROR(INDEX('Retirement Calculator'!J:J,MATCH('Isaac 401k'!N3439,'Retirement Calculator'!A:A,0),0),0)</f>
        <v>0</v>
      </c>
      <c r="K3439" s="455">
        <f t="shared" ca="1" si="166"/>
        <v>-705267501.56497622</v>
      </c>
      <c r="L3439" s="455">
        <f t="shared" ca="1" si="167"/>
        <v>-169969467877.15927</v>
      </c>
      <c r="M3439" s="471">
        <f t="shared" si="169"/>
        <v>0.05</v>
      </c>
      <c r="N3439" s="475">
        <f t="shared" si="170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68"/>
        <v>-169969467877.15927</v>
      </c>
      <c r="J3440" s="455">
        <f t="array" ref="J3440">IFERROR(INDEX('Retirement Calculator'!J:J,MATCH('Isaac 401k'!N3440,'Retirement Calculator'!A:A,0),0),0)</f>
        <v>0</v>
      </c>
      <c r="K3440" s="455">
        <f t="shared" ca="1" si="166"/>
        <v>-708206116.15483034</v>
      </c>
      <c r="L3440" s="455">
        <f t="shared" ca="1" si="167"/>
        <v>-170677673993.31409</v>
      </c>
      <c r="M3440" s="471">
        <f t="shared" si="169"/>
        <v>0.05</v>
      </c>
      <c r="N3440" s="475">
        <f t="shared" si="170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68"/>
        <v>-170677673993.31409</v>
      </c>
      <c r="J3441" s="455">
        <f t="array" ref="J3441">IFERROR(INDEX('Retirement Calculator'!J:J,MATCH('Isaac 401k'!N3441,'Retirement Calculator'!A:A,0),0),0)</f>
        <v>0</v>
      </c>
      <c r="K3441" s="455">
        <f t="shared" ca="1" si="166"/>
        <v>-711156974.97214198</v>
      </c>
      <c r="L3441" s="455">
        <f t="shared" ca="1" si="167"/>
        <v>-171388830968.28622</v>
      </c>
      <c r="M3441" s="471">
        <f t="shared" si="169"/>
        <v>0.05</v>
      </c>
      <c r="N3441" s="475">
        <f t="shared" si="170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68"/>
        <v>-171388830968.28622</v>
      </c>
      <c r="J3442" s="455">
        <f t="array" ref="J3442">IFERROR(INDEX('Retirement Calculator'!J:J,MATCH('Isaac 401k'!N3442,'Retirement Calculator'!A:A,0),0),0)</f>
        <v>0</v>
      </c>
      <c r="K3442" s="455">
        <f t="shared" ca="1" si="166"/>
        <v>-714120129.03452587</v>
      </c>
      <c r="L3442" s="455">
        <f t="shared" ca="1" si="167"/>
        <v>-172102951097.32074</v>
      </c>
      <c r="M3442" s="471">
        <f t="shared" si="169"/>
        <v>0.05</v>
      </c>
      <c r="N3442" s="475">
        <f t="shared" si="170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68"/>
        <v>-172102951097.32074</v>
      </c>
      <c r="J3443" s="455">
        <f t="array" ref="J3443">IFERROR(INDEX('Retirement Calculator'!J:J,MATCH('Isaac 401k'!N3443,'Retirement Calculator'!A:A,0),0),0)</f>
        <v>0</v>
      </c>
      <c r="K3443" s="455">
        <f t="shared" ca="1" si="166"/>
        <v>-717095629.57216978</v>
      </c>
      <c r="L3443" s="455">
        <f t="shared" ca="1" si="167"/>
        <v>-172820046726.89291</v>
      </c>
      <c r="M3443" s="471">
        <f t="shared" si="169"/>
        <v>0.05</v>
      </c>
      <c r="N3443" s="475">
        <f t="shared" si="170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68"/>
        <v>-172820046726.89291</v>
      </c>
      <c r="J3444" s="455">
        <f t="array" ref="J3444">IFERROR(INDEX('Retirement Calculator'!J:J,MATCH('Isaac 401k'!N3444,'Retirement Calculator'!A:A,0),0),0)</f>
        <v>0</v>
      </c>
      <c r="K3444" s="455">
        <f t="shared" ca="1" si="166"/>
        <v>-720083528.0287205</v>
      </c>
      <c r="L3444" s="455">
        <f t="shared" ca="1" si="167"/>
        <v>-173540130254.92163</v>
      </c>
      <c r="M3444" s="471">
        <f t="shared" si="169"/>
        <v>0.05</v>
      </c>
      <c r="N3444" s="475">
        <f t="shared" si="170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68"/>
        <v>-173540130254.92163</v>
      </c>
      <c r="J3445" s="455">
        <f t="array" ref="J3445">IFERROR(INDEX('Retirement Calculator'!J:J,MATCH('Isaac 401k'!N3445,'Retirement Calculator'!A:A,0),0),0)</f>
        <v>0</v>
      </c>
      <c r="K3445" s="455">
        <f t="shared" ca="1" si="166"/>
        <v>-723083876.06217349</v>
      </c>
      <c r="L3445" s="455">
        <f t="shared" ca="1" si="167"/>
        <v>-174263214130.9838</v>
      </c>
      <c r="M3445" s="471">
        <f t="shared" si="169"/>
        <v>0.05</v>
      </c>
      <c r="N3445" s="475">
        <f t="shared" si="170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68"/>
        <v>-174263214130.9838</v>
      </c>
      <c r="J3446" s="455">
        <f t="array" ref="J3446">IFERROR(INDEX('Retirement Calculator'!J:J,MATCH('Isaac 401k'!N3446,'Retirement Calculator'!A:A,0),0),0)</f>
        <v>0</v>
      </c>
      <c r="K3446" s="455">
        <f t="shared" ca="1" si="166"/>
        <v>-726096725.54576576</v>
      </c>
      <c r="L3446" s="455">
        <f t="shared" ca="1" si="167"/>
        <v>-174989310856.52957</v>
      </c>
      <c r="M3446" s="471">
        <f t="shared" si="169"/>
        <v>0.05</v>
      </c>
      <c r="N3446" s="475">
        <f t="shared" si="170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68"/>
        <v>-174989310856.52957</v>
      </c>
      <c r="J3447" s="455">
        <f t="array" ref="J3447">IFERROR(INDEX('Retirement Calculator'!J:J,MATCH('Isaac 401k'!N3447,'Retirement Calculator'!A:A,0),0),0)</f>
        <v>0</v>
      </c>
      <c r="K3447" s="455">
        <f t="shared" ca="1" si="166"/>
        <v>-729122128.56887317</v>
      </c>
      <c r="L3447" s="455">
        <f t="shared" ca="1" si="167"/>
        <v>-175718432985.09845</v>
      </c>
      <c r="M3447" s="471">
        <f t="shared" si="169"/>
        <v>0.05</v>
      </c>
      <c r="N3447" s="475">
        <f t="shared" si="170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68"/>
        <v>-175718432985.09845</v>
      </c>
      <c r="J3448" s="455">
        <f t="array" ref="J3448">IFERROR(INDEX('Retirement Calculator'!J:J,MATCH('Isaac 401k'!N3448,'Retirement Calculator'!A:A,0),0),0)</f>
        <v>0</v>
      </c>
      <c r="K3448" s="455">
        <f t="shared" ca="1" si="166"/>
        <v>-732160137.4379102</v>
      </c>
      <c r="L3448" s="455">
        <f t="shared" ca="1" si="167"/>
        <v>-176450593122.53635</v>
      </c>
      <c r="M3448" s="471">
        <f t="shared" si="169"/>
        <v>0.05</v>
      </c>
      <c r="N3448" s="475">
        <f t="shared" si="170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68"/>
        <v>-176450593122.53635</v>
      </c>
      <c r="J3449" s="455">
        <f t="array" ref="J3449">IFERROR(INDEX('Retirement Calculator'!J:J,MATCH('Isaac 401k'!N3449,'Retirement Calculator'!A:A,0),0),0)</f>
        <v>0</v>
      </c>
      <c r="K3449" s="455">
        <f t="shared" ca="1" si="166"/>
        <v>-735210804.67723477</v>
      </c>
      <c r="L3449" s="455">
        <f t="shared" ca="1" si="167"/>
        <v>-177185803927.21359</v>
      </c>
      <c r="M3449" s="471">
        <f t="shared" si="169"/>
        <v>0.05</v>
      </c>
      <c r="N3449" s="475">
        <f t="shared" si="170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68"/>
        <v>-177185803927.21359</v>
      </c>
      <c r="J3450" s="455">
        <f t="array" ref="J3450">IFERROR(INDEX('Retirement Calculator'!J:J,MATCH('Isaac 401k'!N3450,'Retirement Calculator'!A:A,0),0),0)</f>
        <v>0</v>
      </c>
      <c r="K3450" s="455">
        <f t="shared" ca="1" si="166"/>
        <v>-738274183.0300566</v>
      </c>
      <c r="L3450" s="455">
        <f t="shared" ca="1" si="167"/>
        <v>-177924078110.24365</v>
      </c>
      <c r="M3450" s="471">
        <f t="shared" si="169"/>
        <v>0.05</v>
      </c>
      <c r="N3450" s="475">
        <f t="shared" si="170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68"/>
        <v>-177924078110.24365</v>
      </c>
      <c r="J3451" s="455">
        <f t="array" ref="J3451">IFERROR(INDEX('Retirement Calculator'!J:J,MATCH('Isaac 401k'!N3451,'Retirement Calculator'!A:A,0),0),0)</f>
        <v>0</v>
      </c>
      <c r="K3451" s="455">
        <f t="shared" ca="1" si="166"/>
        <v>-741350325.45934856</v>
      </c>
      <c r="L3451" s="455">
        <f t="shared" ca="1" si="167"/>
        <v>-178665428435.703</v>
      </c>
      <c r="M3451" s="471">
        <f t="shared" si="169"/>
        <v>0.05</v>
      </c>
      <c r="N3451" s="475">
        <f t="shared" si="170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68"/>
        <v>-178665428435.703</v>
      </c>
      <c r="J3452" s="455">
        <f t="array" ref="J3452">IFERROR(INDEX('Retirement Calculator'!J:J,MATCH('Isaac 401k'!N3452,'Retirement Calculator'!A:A,0),0),0)</f>
        <v>0</v>
      </c>
      <c r="K3452" s="455">
        <f t="shared" ca="1" si="166"/>
        <v>-744439285.14876246</v>
      </c>
      <c r="L3452" s="455">
        <f t="shared" ca="1" si="167"/>
        <v>-179409867720.85178</v>
      </c>
      <c r="M3452" s="471">
        <f t="shared" si="169"/>
        <v>0.05</v>
      </c>
      <c r="N3452" s="475">
        <f t="shared" si="170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68"/>
        <v>-179409867720.85178</v>
      </c>
      <c r="J3453" s="455">
        <f t="array" ref="J3453">IFERROR(INDEX('Retirement Calculator'!J:J,MATCH('Isaac 401k'!N3453,'Retirement Calculator'!A:A,0),0),0)</f>
        <v>0</v>
      </c>
      <c r="K3453" s="455">
        <f t="shared" ca="1" si="166"/>
        <v>-747541115.5035491</v>
      </c>
      <c r="L3453" s="455">
        <f t="shared" ca="1" si="167"/>
        <v>-180157408836.35532</v>
      </c>
      <c r="M3453" s="471">
        <f t="shared" si="169"/>
        <v>0.05</v>
      </c>
      <c r="N3453" s="475">
        <f t="shared" si="170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68"/>
        <v>-180157408836.35532</v>
      </c>
      <c r="J3454" s="455">
        <f t="array" ref="J3454">IFERROR(INDEX('Retirement Calculator'!J:J,MATCH('Isaac 401k'!N3454,'Retirement Calculator'!A:A,0),0),0)</f>
        <v>0</v>
      </c>
      <c r="K3454" s="455">
        <f t="shared" ca="1" si="166"/>
        <v>-750655870.15148044</v>
      </c>
      <c r="L3454" s="455">
        <f t="shared" ca="1" si="167"/>
        <v>-180908064706.50681</v>
      </c>
      <c r="M3454" s="471">
        <f t="shared" si="169"/>
        <v>0.05</v>
      </c>
      <c r="N3454" s="475">
        <f t="shared" si="170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68"/>
        <v>-180908064706.50681</v>
      </c>
      <c r="J3455" s="455">
        <f t="array" ref="J3455">IFERROR(INDEX('Retirement Calculator'!J:J,MATCH('Isaac 401k'!N3455,'Retirement Calculator'!A:A,0),0),0)</f>
        <v>0</v>
      </c>
      <c r="K3455" s="455">
        <f t="shared" ca="1" si="166"/>
        <v>-753783602.9437784</v>
      </c>
      <c r="L3455" s="455">
        <f t="shared" ca="1" si="167"/>
        <v>-181661848309.45059</v>
      </c>
      <c r="M3455" s="471">
        <f t="shared" si="169"/>
        <v>0.05</v>
      </c>
      <c r="N3455" s="475">
        <f t="shared" si="170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68"/>
        <v>-181661848309.45059</v>
      </c>
      <c r="J3456" s="455">
        <f t="array" ref="J3456">IFERROR(INDEX('Retirement Calculator'!J:J,MATCH('Isaac 401k'!N3456,'Retirement Calculator'!A:A,0),0),0)</f>
        <v>0</v>
      </c>
      <c r="K3456" s="455">
        <f t="shared" ca="1" si="166"/>
        <v>-756924367.95604408</v>
      </c>
      <c r="L3456" s="455">
        <f t="shared" ca="1" si="167"/>
        <v>-182418772677.40665</v>
      </c>
      <c r="M3456" s="471">
        <f t="shared" si="169"/>
        <v>0.05</v>
      </c>
      <c r="N3456" s="475">
        <f t="shared" si="170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68"/>
        <v>-182418772677.40665</v>
      </c>
      <c r="J3457" s="455">
        <f t="array" ref="J3457">IFERROR(INDEX('Retirement Calculator'!J:J,MATCH('Isaac 401k'!N3457,'Retirement Calculator'!A:A,0),0),0)</f>
        <v>0</v>
      </c>
      <c r="K3457" s="455">
        <f t="shared" ca="1" si="166"/>
        <v>-760078219.48919439</v>
      </c>
      <c r="L3457" s="455">
        <f t="shared" ca="1" si="167"/>
        <v>-183178850896.89584</v>
      </c>
      <c r="M3457" s="471">
        <f t="shared" si="169"/>
        <v>0.05</v>
      </c>
      <c r="N3457" s="475">
        <f t="shared" si="170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68"/>
        <v>-183178850896.89584</v>
      </c>
      <c r="J3458" s="455">
        <f t="array" ref="J3458">IFERROR(INDEX('Retirement Calculator'!J:J,MATCH('Isaac 401k'!N3458,'Retirement Calculator'!A:A,0),0),0)</f>
        <v>0</v>
      </c>
      <c r="K3458" s="455">
        <f t="shared" ca="1" si="166"/>
        <v>-763245212.07039928</v>
      </c>
      <c r="L3458" s="455">
        <f t="shared" ca="1" si="167"/>
        <v>-183942096108.96625</v>
      </c>
      <c r="M3458" s="471">
        <f t="shared" si="169"/>
        <v>0.05</v>
      </c>
      <c r="N3458" s="475">
        <f t="shared" si="170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68"/>
        <v>-183942096108.96625</v>
      </c>
      <c r="J3459" s="455">
        <f t="array" ref="J3459">IFERROR(INDEX('Retirement Calculator'!J:J,MATCH('Isaac 401k'!N3459,'Retirement Calculator'!A:A,0),0),0)</f>
        <v>0</v>
      </c>
      <c r="K3459" s="455">
        <f t="shared" ca="1" si="166"/>
        <v>-766425400.45402598</v>
      </c>
      <c r="L3459" s="455">
        <f t="shared" ca="1" si="167"/>
        <v>-184708521509.42029</v>
      </c>
      <c r="M3459" s="471">
        <f t="shared" si="169"/>
        <v>0.05</v>
      </c>
      <c r="N3459" s="475">
        <f t="shared" si="170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68"/>
        <v>-184708521509.42029</v>
      </c>
      <c r="J3460" s="455">
        <f t="array" ref="J3460">IFERROR(INDEX('Retirement Calculator'!J:J,MATCH('Isaac 401k'!N3460,'Retirement Calculator'!A:A,0),0),0)</f>
        <v>0</v>
      </c>
      <c r="K3460" s="455">
        <f t="shared" ca="1" si="166"/>
        <v>-769618839.62258458</v>
      </c>
      <c r="L3460" s="455">
        <f t="shared" ca="1" si="167"/>
        <v>-185478140349.04288</v>
      </c>
      <c r="M3460" s="471">
        <f t="shared" si="169"/>
        <v>0.05</v>
      </c>
      <c r="N3460" s="475">
        <f t="shared" si="170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68"/>
        <v>-185478140349.04288</v>
      </c>
      <c r="J3461" s="455">
        <f t="array" ref="J3461">IFERROR(INDEX('Retirement Calculator'!J:J,MATCH('Isaac 401k'!N3461,'Retirement Calculator'!A:A,0),0),0)</f>
        <v>0</v>
      </c>
      <c r="K3461" s="455">
        <f t="shared" ca="1" si="166"/>
        <v>-772825584.7876786</v>
      </c>
      <c r="L3461" s="455">
        <f t="shared" ca="1" si="167"/>
        <v>-186250965933.83057</v>
      </c>
      <c r="M3461" s="471">
        <f t="shared" si="169"/>
        <v>0.05</v>
      </c>
      <c r="N3461" s="475">
        <f t="shared" si="170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68"/>
        <v>-186250965933.83057</v>
      </c>
      <c r="J3462" s="455">
        <f t="array" ref="J3462">IFERROR(INDEX('Retirement Calculator'!J:J,MATCH('Isaac 401k'!N3462,'Retirement Calculator'!A:A,0),0),0)</f>
        <v>0</v>
      </c>
      <c r="K3462" s="455">
        <f t="shared" ca="1" si="166"/>
        <v>-776045691.39096069</v>
      </c>
      <c r="L3462" s="455">
        <f t="shared" ca="1" si="167"/>
        <v>-187027011625.22153</v>
      </c>
      <c r="M3462" s="471">
        <f t="shared" si="169"/>
        <v>0.05</v>
      </c>
      <c r="N3462" s="475">
        <f t="shared" si="170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68"/>
        <v>-187027011625.22153</v>
      </c>
      <c r="J3463" s="455">
        <f t="array" ref="J3463">IFERROR(INDEX('Retirement Calculator'!J:J,MATCH('Isaac 401k'!N3463,'Retirement Calculator'!A:A,0),0),0)</f>
        <v>0</v>
      </c>
      <c r="K3463" s="455">
        <f t="shared" ca="1" si="166"/>
        <v>-779279215.10508966</v>
      </c>
      <c r="L3463" s="455">
        <f t="shared" ca="1" si="167"/>
        <v>-187806290840.32663</v>
      </c>
      <c r="M3463" s="471">
        <f t="shared" si="169"/>
        <v>0.05</v>
      </c>
      <c r="N3463" s="475">
        <f t="shared" si="170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68"/>
        <v>-187806290840.32663</v>
      </c>
      <c r="J3464" s="455">
        <f t="array" ref="J3464">IFERROR(INDEX('Retirement Calculator'!J:J,MATCH('Isaac 401k'!N3464,'Retirement Calculator'!A:A,0),0),0)</f>
        <v>0</v>
      </c>
      <c r="K3464" s="455">
        <f t="shared" ca="1" si="166"/>
        <v>-782526211.83469427</v>
      </c>
      <c r="L3464" s="455">
        <f t="shared" ca="1" si="167"/>
        <v>-188588817052.16132</v>
      </c>
      <c r="M3464" s="471">
        <f t="shared" si="169"/>
        <v>0.05</v>
      </c>
      <c r="N3464" s="475">
        <f t="shared" si="170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68"/>
        <v>-188588817052.16132</v>
      </c>
      <c r="J3465" s="455">
        <f t="array" ref="J3465">IFERROR(INDEX('Retirement Calculator'!J:J,MATCH('Isaac 401k'!N3465,'Retirement Calculator'!A:A,0),0),0)</f>
        <v>0</v>
      </c>
      <c r="K3465" s="455">
        <f t="shared" ca="1" si="166"/>
        <v>-785786737.7173388</v>
      </c>
      <c r="L3465" s="455">
        <f t="shared" ca="1" si="167"/>
        <v>-189374603789.87866</v>
      </c>
      <c r="M3465" s="471">
        <f t="shared" si="169"/>
        <v>0.05</v>
      </c>
      <c r="N3465" s="475">
        <f t="shared" si="170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68"/>
        <v>-189374603789.87866</v>
      </c>
      <c r="J3466" s="455">
        <f t="array" ref="J3466">IFERROR(INDEX('Retirement Calculator'!J:J,MATCH('Isaac 401k'!N3466,'Retirement Calculator'!A:A,0),0),0)</f>
        <v>0</v>
      </c>
      <c r="K3466" s="455">
        <f t="shared" ca="1" si="166"/>
        <v>-789060849.12449443</v>
      </c>
      <c r="L3466" s="455">
        <f t="shared" ca="1" si="167"/>
        <v>-190163664639.00314</v>
      </c>
      <c r="M3466" s="471">
        <f t="shared" si="169"/>
        <v>0.05</v>
      </c>
      <c r="N3466" s="475">
        <f t="shared" si="170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68"/>
        <v>-190163664639.00314</v>
      </c>
      <c r="J3467" s="455">
        <f t="array" ref="J3467">IFERROR(INDEX('Retirement Calculator'!J:J,MATCH('Isaac 401k'!N3467,'Retirement Calculator'!A:A,0),0),0)</f>
        <v>0</v>
      </c>
      <c r="K3467" s="455">
        <f t="shared" ca="1" si="166"/>
        <v>-792348602.66251314</v>
      </c>
      <c r="L3467" s="455">
        <f t="shared" ca="1" si="167"/>
        <v>-190956013241.66565</v>
      </c>
      <c r="M3467" s="471">
        <f t="shared" si="169"/>
        <v>0.05</v>
      </c>
      <c r="N3467" s="475">
        <f t="shared" si="170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68"/>
        <v>-190956013241.66565</v>
      </c>
      <c r="J3468" s="455">
        <f t="array" ref="J3468">IFERROR(INDEX('Retirement Calculator'!J:J,MATCH('Isaac 401k'!N3468,'Retirement Calculator'!A:A,0),0),0)</f>
        <v>0</v>
      </c>
      <c r="K3468" s="455">
        <f t="shared" ca="1" si="166"/>
        <v>-795650055.17360687</v>
      </c>
      <c r="L3468" s="455">
        <f t="shared" ca="1" si="167"/>
        <v>-191751663296.83926</v>
      </c>
      <c r="M3468" s="471">
        <f t="shared" si="169"/>
        <v>0.05</v>
      </c>
      <c r="N3468" s="475">
        <f t="shared" si="170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68"/>
        <v>-191751663296.83926</v>
      </c>
      <c r="J3469" s="455">
        <f t="array" ref="J3469">IFERROR(INDEX('Retirement Calculator'!J:J,MATCH('Isaac 401k'!N3469,'Retirement Calculator'!A:A,0),0),0)</f>
        <v>0</v>
      </c>
      <c r="K3469" s="455">
        <f t="shared" ca="1" si="166"/>
        <v>-798965263.73683023</v>
      </c>
      <c r="L3469" s="455">
        <f t="shared" ca="1" si="167"/>
        <v>-192550628560.57608</v>
      </c>
      <c r="M3469" s="471">
        <f t="shared" si="169"/>
        <v>0.05</v>
      </c>
      <c r="N3469" s="475">
        <f t="shared" si="170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68"/>
        <v>-192550628560.57608</v>
      </c>
      <c r="J3470" s="455">
        <f t="array" ref="J3470">IFERROR(INDEX('Retirement Calculator'!J:J,MATCH('Isaac 401k'!N3470,'Retirement Calculator'!A:A,0),0),0)</f>
        <v>0</v>
      </c>
      <c r="K3470" s="455">
        <f t="shared" ca="1" si="166"/>
        <v>-802294285.66906703</v>
      </c>
      <c r="L3470" s="455">
        <f t="shared" ca="1" si="167"/>
        <v>-193352922846.24515</v>
      </c>
      <c r="M3470" s="471">
        <f t="shared" si="169"/>
        <v>0.05</v>
      </c>
      <c r="N3470" s="475">
        <f t="shared" si="170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68"/>
        <v>-193352922846.24515</v>
      </c>
      <c r="J3471" s="455">
        <f t="array" ref="J3471">IFERROR(INDEX('Retirement Calculator'!J:J,MATCH('Isaac 401k'!N3471,'Retirement Calculator'!A:A,0),0),0)</f>
        <v>0</v>
      </c>
      <c r="K3471" s="455">
        <f t="shared" ca="1" si="166"/>
        <v>-805637178.52602148</v>
      </c>
      <c r="L3471" s="455">
        <f t="shared" ca="1" si="167"/>
        <v>-194158560024.77118</v>
      </c>
      <c r="M3471" s="471">
        <f t="shared" si="169"/>
        <v>0.05</v>
      </c>
      <c r="N3471" s="475">
        <f t="shared" si="170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68"/>
        <v>-194158560024.77118</v>
      </c>
      <c r="J3472" s="455">
        <f t="array" ref="J3472">IFERROR(INDEX('Retirement Calculator'!J:J,MATCH('Isaac 401k'!N3472,'Retirement Calculator'!A:A,0),0),0)</f>
        <v>0</v>
      </c>
      <c r="K3472" s="455">
        <f t="shared" ca="1" si="166"/>
        <v>-808994000.10321319</v>
      </c>
      <c r="L3472" s="455">
        <f t="shared" ca="1" si="167"/>
        <v>-194967554024.87439</v>
      </c>
      <c r="M3472" s="471">
        <f t="shared" si="169"/>
        <v>0.05</v>
      </c>
      <c r="N3472" s="475">
        <f t="shared" si="170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68"/>
        <v>-194967554024.87439</v>
      </c>
      <c r="J3473" s="455">
        <f t="array" ref="J3473">IFERROR(INDEX('Retirement Calculator'!J:J,MATCH('Isaac 401k'!N3473,'Retirement Calculator'!A:A,0),0),0)</f>
        <v>0</v>
      </c>
      <c r="K3473" s="455">
        <f t="shared" ca="1" si="166"/>
        <v>-812364808.43697667</v>
      </c>
      <c r="L3473" s="455">
        <f t="shared" ca="1" si="167"/>
        <v>-195779918833.31137</v>
      </c>
      <c r="M3473" s="471">
        <f t="shared" si="169"/>
        <v>0.05</v>
      </c>
      <c r="N3473" s="475">
        <f t="shared" si="170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68"/>
        <v>-195779918833.31137</v>
      </c>
      <c r="J3474" s="455">
        <f t="array" ref="J3474">IFERROR(INDEX('Retirement Calculator'!J:J,MATCH('Isaac 401k'!N3474,'Retirement Calculator'!A:A,0),0),0)</f>
        <v>0</v>
      </c>
      <c r="K3474" s="455">
        <f t="shared" ca="1" si="166"/>
        <v>-815749661.80546403</v>
      </c>
      <c r="L3474" s="455">
        <f t="shared" ca="1" si="167"/>
        <v>-196595668495.11682</v>
      </c>
      <c r="M3474" s="471">
        <f t="shared" si="169"/>
        <v>0.05</v>
      </c>
      <c r="N3474" s="475">
        <f t="shared" si="170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68"/>
        <v>-196595668495.11682</v>
      </c>
      <c r="J3475" s="455">
        <f t="array" ref="J3475">IFERROR(INDEX('Retirement Calculator'!J:J,MATCH('Isaac 401k'!N3475,'Retirement Calculator'!A:A,0),0),0)</f>
        <v>0</v>
      </c>
      <c r="K3475" s="455">
        <f t="shared" ca="1" si="166"/>
        <v>-819148618.72965336</v>
      </c>
      <c r="L3475" s="455">
        <f t="shared" ca="1" si="167"/>
        <v>-197414817113.84647</v>
      </c>
      <c r="M3475" s="471">
        <f t="shared" si="169"/>
        <v>0.05</v>
      </c>
      <c r="N3475" s="475">
        <f t="shared" si="170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68"/>
        <v>-197414817113.84647</v>
      </c>
      <c r="J3476" s="455">
        <f t="array" ref="J3476">IFERROR(INDEX('Retirement Calculator'!J:J,MATCH('Isaac 401k'!N3476,'Retirement Calculator'!A:A,0),0),0)</f>
        <v>0</v>
      </c>
      <c r="K3476" s="455">
        <f t="shared" ca="1" si="166"/>
        <v>-822561737.97436023</v>
      </c>
      <c r="L3476" s="455">
        <f t="shared" ca="1" si="167"/>
        <v>-198237378851.82083</v>
      </c>
      <c r="M3476" s="471">
        <f t="shared" si="169"/>
        <v>0.05</v>
      </c>
      <c r="N3476" s="475">
        <f t="shared" si="170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68"/>
        <v>-198237378851.82083</v>
      </c>
      <c r="J3477" s="455">
        <f t="array" ref="J3477">IFERROR(INDEX('Retirement Calculator'!J:J,MATCH('Isaac 401k'!N3477,'Retirement Calculator'!A:A,0),0),0)</f>
        <v>0</v>
      </c>
      <c r="K3477" s="455">
        <f t="shared" ca="1" si="166"/>
        <v>-825989078.54925346</v>
      </c>
      <c r="L3477" s="455">
        <f t="shared" ca="1" si="167"/>
        <v>-199063367930.37009</v>
      </c>
      <c r="M3477" s="471">
        <f t="shared" si="169"/>
        <v>0.05</v>
      </c>
      <c r="N3477" s="475">
        <f t="shared" si="170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68"/>
        <v>-199063367930.37009</v>
      </c>
      <c r="J3478" s="455">
        <f t="array" ref="J3478">IFERROR(INDEX('Retirement Calculator'!J:J,MATCH('Isaac 401k'!N3478,'Retirement Calculator'!A:A,0),0),0)</f>
        <v>0</v>
      </c>
      <c r="K3478" s="455">
        <f t="shared" ca="1" si="166"/>
        <v>-829430699.70987535</v>
      </c>
      <c r="L3478" s="455">
        <f t="shared" ca="1" si="167"/>
        <v>-199892798630.07996</v>
      </c>
      <c r="M3478" s="471">
        <f t="shared" si="169"/>
        <v>0.05</v>
      </c>
      <c r="N3478" s="475">
        <f t="shared" si="170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68"/>
        <v>-199892798630.07996</v>
      </c>
      <c r="J3479" s="455">
        <f t="array" ref="J3479">IFERROR(INDEX('Retirement Calculator'!J:J,MATCH('Isaac 401k'!N3479,'Retirement Calculator'!A:A,0),0),0)</f>
        <v>0</v>
      </c>
      <c r="K3479" s="455">
        <f t="shared" ca="1" si="166"/>
        <v>-832886660.95866644</v>
      </c>
      <c r="L3479" s="455">
        <f t="shared" ca="1" si="167"/>
        <v>-200725685291.03864</v>
      </c>
      <c r="M3479" s="471">
        <f t="shared" si="169"/>
        <v>0.05</v>
      </c>
      <c r="N3479" s="475">
        <f t="shared" si="170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68"/>
        <v>-200725685291.03864</v>
      </c>
      <c r="J3480" s="455">
        <f t="array" ref="J3480">IFERROR(INDEX('Retirement Calculator'!J:J,MATCH('Isaac 401k'!N3480,'Retirement Calculator'!A:A,0),0),0)</f>
        <v>0</v>
      </c>
      <c r="K3480" s="455">
        <f t="shared" ca="1" si="166"/>
        <v>-836357022.04599428</v>
      </c>
      <c r="L3480" s="455">
        <f t="shared" ca="1" si="167"/>
        <v>-201562042313.08463</v>
      </c>
      <c r="M3480" s="471">
        <f t="shared" si="169"/>
        <v>0.05</v>
      </c>
      <c r="N3480" s="475">
        <f t="shared" si="170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68"/>
        <v>-201562042313.08463</v>
      </c>
      <c r="J3481" s="455">
        <f t="array" ref="J3481">IFERROR(INDEX('Retirement Calculator'!J:J,MATCH('Isaac 401k'!N3481,'Retirement Calculator'!A:A,0),0),0)</f>
        <v>0</v>
      </c>
      <c r="K3481" s="455">
        <f t="shared" ca="1" si="166"/>
        <v>-839841842.97118592</v>
      </c>
      <c r="L3481" s="455">
        <f t="shared" ca="1" si="167"/>
        <v>-202401884156.05582</v>
      </c>
      <c r="M3481" s="471">
        <f t="shared" si="169"/>
        <v>0.05</v>
      </c>
      <c r="N3481" s="475">
        <f t="shared" si="170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68"/>
        <v>-202401884156.05582</v>
      </c>
      <c r="J3482" s="455">
        <f t="array" ref="J3482">IFERROR(INDEX('Retirement Calculator'!J:J,MATCH('Isaac 401k'!N3482,'Retirement Calculator'!A:A,0),0),0)</f>
        <v>0</v>
      </c>
      <c r="K3482" s="455">
        <f t="shared" ca="1" si="166"/>
        <v>-843341183.98356593</v>
      </c>
      <c r="L3482" s="455">
        <f t="shared" ca="1" si="167"/>
        <v>-203245225340.03937</v>
      </c>
      <c r="M3482" s="471">
        <f t="shared" si="169"/>
        <v>0.05</v>
      </c>
      <c r="N3482" s="475">
        <f t="shared" si="170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68"/>
        <v>-203245225340.03937</v>
      </c>
      <c r="J3483" s="455">
        <f t="array" ref="J3483">IFERROR(INDEX('Retirement Calculator'!J:J,MATCH('Isaac 401k'!N3483,'Retirement Calculator'!A:A,0),0),0)</f>
        <v>0</v>
      </c>
      <c r="K3483" s="455">
        <f t="shared" ca="1" si="166"/>
        <v>-846855105.58349741</v>
      </c>
      <c r="L3483" s="455">
        <f t="shared" ca="1" si="167"/>
        <v>-204092080445.62286</v>
      </c>
      <c r="M3483" s="471">
        <f t="shared" si="169"/>
        <v>0.05</v>
      </c>
      <c r="N3483" s="475">
        <f t="shared" si="170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68"/>
        <v>-204092080445.62286</v>
      </c>
      <c r="J3484" s="455">
        <f t="array" ref="J3484">IFERROR(INDEX('Retirement Calculator'!J:J,MATCH('Isaac 401k'!N3484,'Retirement Calculator'!A:A,0),0),0)</f>
        <v>0</v>
      </c>
      <c r="K3484" s="455">
        <f t="shared" ca="1" si="166"/>
        <v>-850383668.52342856</v>
      </c>
      <c r="L3484" s="455">
        <f t="shared" ca="1" si="167"/>
        <v>-204942464114.1463</v>
      </c>
      <c r="M3484" s="471">
        <f t="shared" si="169"/>
        <v>0.05</v>
      </c>
      <c r="N3484" s="475">
        <f t="shared" si="170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68"/>
        <v>-204942464114.1463</v>
      </c>
      <c r="J3485" s="455">
        <f t="array" ref="J3485">IFERROR(INDEX('Retirement Calculator'!J:J,MATCH('Isaac 401k'!N3485,'Retirement Calculator'!A:A,0),0),0)</f>
        <v>0</v>
      </c>
      <c r="K3485" s="455">
        <f t="shared" ca="1" si="166"/>
        <v>-853926933.80894291</v>
      </c>
      <c r="L3485" s="455">
        <f t="shared" ca="1" si="167"/>
        <v>-205796391047.95523</v>
      </c>
      <c r="M3485" s="471">
        <f t="shared" si="169"/>
        <v>0.05</v>
      </c>
      <c r="N3485" s="475">
        <f t="shared" si="170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68"/>
        <v>-205796391047.95523</v>
      </c>
      <c r="J3486" s="455">
        <f t="array" ref="J3486">IFERROR(INDEX('Retirement Calculator'!J:J,MATCH('Isaac 401k'!N3486,'Retirement Calculator'!A:A,0),0),0)</f>
        <v>0</v>
      </c>
      <c r="K3486" s="455">
        <f t="shared" ca="1" si="166"/>
        <v>-857484962.69981349</v>
      </c>
      <c r="L3486" s="455">
        <f t="shared" ca="1" si="167"/>
        <v>-206653876010.65503</v>
      </c>
      <c r="M3486" s="471">
        <f t="shared" si="169"/>
        <v>0.05</v>
      </c>
      <c r="N3486" s="475">
        <f t="shared" si="170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68"/>
        <v>-206653876010.65503</v>
      </c>
      <c r="J3487" s="455">
        <f t="array" ref="J3487">IFERROR(INDEX('Retirement Calculator'!J:J,MATCH('Isaac 401k'!N3487,'Retirement Calculator'!A:A,0),0),0)</f>
        <v>0</v>
      </c>
      <c r="K3487" s="455">
        <f t="shared" ca="1" si="166"/>
        <v>-861057816.71106267</v>
      </c>
      <c r="L3487" s="455">
        <f t="shared" ca="1" si="167"/>
        <v>-207514933827.36609</v>
      </c>
      <c r="M3487" s="471">
        <f t="shared" si="169"/>
        <v>0.05</v>
      </c>
      <c r="N3487" s="475">
        <f t="shared" si="170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68"/>
        <v>-207514933827.36609</v>
      </c>
      <c r="J3488" s="455">
        <f t="array" ref="J3488">IFERROR(INDEX('Retirement Calculator'!J:J,MATCH('Isaac 401k'!N3488,'Retirement Calculator'!A:A,0),0),0)</f>
        <v>0</v>
      </c>
      <c r="K3488" s="455">
        <f t="shared" ca="1" si="166"/>
        <v>-864645557.61402535</v>
      </c>
      <c r="L3488" s="455">
        <f t="shared" ca="1" si="167"/>
        <v>-208379579384.9801</v>
      </c>
      <c r="M3488" s="471">
        <f t="shared" si="169"/>
        <v>0.05</v>
      </c>
      <c r="N3488" s="475">
        <f t="shared" si="170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68"/>
        <v>-208379579384.9801</v>
      </c>
      <c r="J3489" s="455">
        <f t="array" ref="J3489">IFERROR(INDEX('Retirement Calculator'!J:J,MATCH('Isaac 401k'!N3489,'Retirement Calculator'!A:A,0),0),0)</f>
        <v>0</v>
      </c>
      <c r="K3489" s="455">
        <f t="shared" ca="1" si="166"/>
        <v>-868248247.43741703</v>
      </c>
      <c r="L3489" s="455">
        <f t="shared" ca="1" si="167"/>
        <v>-209247827632.41751</v>
      </c>
      <c r="M3489" s="471">
        <f t="shared" si="169"/>
        <v>0.05</v>
      </c>
      <c r="N3489" s="475">
        <f t="shared" si="170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68"/>
        <v>-209247827632.41751</v>
      </c>
      <c r="J3490" s="455">
        <f t="array" ref="J3490">IFERROR(INDEX('Retirement Calculator'!J:J,MATCH('Isaac 401k'!N3490,'Retirement Calculator'!A:A,0),0),0)</f>
        <v>0</v>
      </c>
      <c r="K3490" s="455">
        <f t="shared" ca="1" si="166"/>
        <v>-871865948.46840632</v>
      </c>
      <c r="L3490" s="455">
        <f t="shared" ca="1" si="167"/>
        <v>-210119693580.88593</v>
      </c>
      <c r="M3490" s="471">
        <f t="shared" si="169"/>
        <v>0.05</v>
      </c>
      <c r="N3490" s="475">
        <f t="shared" si="170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68"/>
        <v>-210119693580.88593</v>
      </c>
      <c r="J3491" s="455">
        <f t="array" ref="J3491">IFERROR(INDEX('Retirement Calculator'!J:J,MATCH('Isaac 401k'!N3491,'Retirement Calculator'!A:A,0),0),0)</f>
        <v>0</v>
      </c>
      <c r="K3491" s="455">
        <f t="shared" ca="1" si="166"/>
        <v>-875498723.25369132</v>
      </c>
      <c r="L3491" s="455">
        <f t="shared" ca="1" si="167"/>
        <v>-210995192304.13962</v>
      </c>
      <c r="M3491" s="471">
        <f t="shared" si="169"/>
        <v>0.05</v>
      </c>
      <c r="N3491" s="475">
        <f t="shared" si="170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68"/>
        <v>-210995192304.13962</v>
      </c>
      <c r="J3492" s="455">
        <f t="array" ref="J3492">IFERROR(INDEX('Retirement Calculator'!J:J,MATCH('Isaac 401k'!N3492,'Retirement Calculator'!A:A,0),0),0)</f>
        <v>0</v>
      </c>
      <c r="K3492" s="455">
        <f t="shared" ca="1" si="166"/>
        <v>-879146634.60058177</v>
      </c>
      <c r="L3492" s="455">
        <f t="shared" ca="1" si="167"/>
        <v>-211874338938.7402</v>
      </c>
      <c r="M3492" s="471">
        <f t="shared" si="169"/>
        <v>0.05</v>
      </c>
      <c r="N3492" s="475">
        <f t="shared" si="170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68"/>
        <v>-211874338938.7402</v>
      </c>
      <c r="J3493" s="455">
        <f t="array" ref="J3493">IFERROR(INDEX('Retirement Calculator'!J:J,MATCH('Isaac 401k'!N3493,'Retirement Calculator'!A:A,0),0),0)</f>
        <v>0</v>
      </c>
      <c r="K3493" s="455">
        <f t="shared" ca="1" si="166"/>
        <v>-882809745.57808411</v>
      </c>
      <c r="L3493" s="455">
        <f t="shared" ca="1" si="167"/>
        <v>-212757148684.3183</v>
      </c>
      <c r="M3493" s="471">
        <f t="shared" si="169"/>
        <v>0.05</v>
      </c>
      <c r="N3493" s="475">
        <f t="shared" si="170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68"/>
        <v>-212757148684.3183</v>
      </c>
      <c r="J3494" s="455">
        <f t="array" ref="J3494">IFERROR(INDEX('Retirement Calculator'!J:J,MATCH('Isaac 401k'!N3494,'Retirement Calculator'!A:A,0),0),0)</f>
        <v>0</v>
      </c>
      <c r="K3494" s="455">
        <f t="shared" ca="1" si="166"/>
        <v>-886488119.51799285</v>
      </c>
      <c r="L3494" s="455">
        <f t="shared" ca="1" si="167"/>
        <v>-213643636803.8363</v>
      </c>
      <c r="M3494" s="471">
        <f t="shared" si="169"/>
        <v>0.05</v>
      </c>
      <c r="N3494" s="475">
        <f t="shared" si="170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68"/>
        <v>-213643636803.8363</v>
      </c>
      <c r="J3495" s="455">
        <f t="array" ref="J3495">IFERROR(INDEX('Retirement Calculator'!J:J,MATCH('Isaac 401k'!N3495,'Retirement Calculator'!A:A,0),0),0)</f>
        <v>0</v>
      </c>
      <c r="K3495" s="455">
        <f t="shared" ca="1" si="166"/>
        <v>-890181820.01598454</v>
      </c>
      <c r="L3495" s="455">
        <f t="shared" ca="1" si="167"/>
        <v>-214533818623.85229</v>
      </c>
      <c r="M3495" s="471">
        <f t="shared" si="169"/>
        <v>0.05</v>
      </c>
      <c r="N3495" s="475">
        <f t="shared" si="170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68"/>
        <v>-214533818623.85229</v>
      </c>
      <c r="J3496" s="455">
        <f t="array" ref="J3496">IFERROR(INDEX('Retirement Calculator'!J:J,MATCH('Isaac 401k'!N3496,'Retirement Calculator'!A:A,0),0),0)</f>
        <v>0</v>
      </c>
      <c r="K3496" s="455">
        <f t="shared" ca="1" si="166"/>
        <v>-893890910.93271792</v>
      </c>
      <c r="L3496" s="455">
        <f t="shared" ca="1" si="167"/>
        <v>-215427709534.785</v>
      </c>
      <c r="M3496" s="471">
        <f t="shared" si="169"/>
        <v>0.05</v>
      </c>
      <c r="N3496" s="475">
        <f t="shared" si="170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68"/>
        <v>-215427709534.785</v>
      </c>
      <c r="J3497" s="455">
        <f t="array" ref="J3497">IFERROR(INDEX('Retirement Calculator'!J:J,MATCH('Isaac 401k'!N3497,'Retirement Calculator'!A:A,0),0),0)</f>
        <v>0</v>
      </c>
      <c r="K3497" s="455">
        <f t="shared" ca="1" si="166"/>
        <v>-897615456.39493752</v>
      </c>
      <c r="L3497" s="455">
        <f t="shared" ca="1" si="167"/>
        <v>-216325324991.17993</v>
      </c>
      <c r="M3497" s="471">
        <f t="shared" si="169"/>
        <v>0.05</v>
      </c>
      <c r="N3497" s="475">
        <f t="shared" si="170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68"/>
        <v>-216325324991.17993</v>
      </c>
      <c r="J3498" s="455">
        <f t="array" ref="J3498">IFERROR(INDEX('Retirement Calculator'!J:J,MATCH('Isaac 401k'!N3498,'Retirement Calculator'!A:A,0),0),0)</f>
        <v>0</v>
      </c>
      <c r="K3498" s="455">
        <f t="shared" ca="1" si="166"/>
        <v>-901355520.79658318</v>
      </c>
      <c r="L3498" s="455">
        <f t="shared" ca="1" si="167"/>
        <v>-217226680511.9765</v>
      </c>
      <c r="M3498" s="471">
        <f t="shared" si="169"/>
        <v>0.05</v>
      </c>
      <c r="N3498" s="475">
        <f t="shared" si="170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68"/>
        <v>-217226680511.9765</v>
      </c>
      <c r="J3499" s="455">
        <f t="array" ref="J3499">IFERROR(INDEX('Retirement Calculator'!J:J,MATCH('Isaac 401k'!N3499,'Retirement Calculator'!A:A,0),0),0)</f>
        <v>0</v>
      </c>
      <c r="K3499" s="455">
        <f t="shared" ca="1" si="166"/>
        <v>-905111168.7999022</v>
      </c>
      <c r="L3499" s="455">
        <f t="shared" ca="1" si="167"/>
        <v>-218131791680.7764</v>
      </c>
      <c r="M3499" s="471">
        <f t="shared" si="169"/>
        <v>0.05</v>
      </c>
      <c r="N3499" s="475">
        <f t="shared" si="170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68"/>
        <v>-218131791680.7764</v>
      </c>
      <c r="J3500" s="455">
        <f t="array" ref="J3500">IFERROR(INDEX('Retirement Calculator'!J:J,MATCH('Isaac 401k'!N3500,'Retirement Calculator'!A:A,0),0),0)</f>
        <v>0</v>
      </c>
      <c r="K3500" s="455">
        <f t="shared" ca="1" si="166"/>
        <v>-908882465.33656836</v>
      </c>
      <c r="L3500" s="455">
        <f t="shared" ca="1" si="167"/>
        <v>-219040674146.11298</v>
      </c>
      <c r="M3500" s="471">
        <f t="shared" si="169"/>
        <v>0.05</v>
      </c>
      <c r="N3500" s="475">
        <f t="shared" si="170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68"/>
        <v>-219040674146.11298</v>
      </c>
      <c r="J3501" s="455">
        <f t="array" ref="J3501">IFERROR(INDEX('Retirement Calculator'!J:J,MATCH('Isaac 401k'!N3501,'Retirement Calculator'!A:A,0),0),0)</f>
        <v>0</v>
      </c>
      <c r="K3501" s="455">
        <f t="shared" ca="1" si="166"/>
        <v>-912669475.60880387</v>
      </c>
      <c r="L3501" s="455">
        <f t="shared" ca="1" si="167"/>
        <v>-219953343621.72177</v>
      </c>
      <c r="M3501" s="471">
        <f t="shared" si="169"/>
        <v>0.05</v>
      </c>
      <c r="N3501" s="475">
        <f t="shared" si="170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68"/>
        <v>-219953343621.72177</v>
      </c>
      <c r="J3502" s="455">
        <f t="array" ref="J3502">IFERROR(INDEX('Retirement Calculator'!J:J,MATCH('Isaac 401k'!N3502,'Retirement Calculator'!A:A,0),0),0)</f>
        <v>0</v>
      </c>
      <c r="K3502" s="455">
        <f t="shared" ca="1" si="166"/>
        <v>-916472265.09050751</v>
      </c>
      <c r="L3502" s="455">
        <f t="shared" ca="1" si="167"/>
        <v>-220869815886.81229</v>
      </c>
      <c r="M3502" s="471">
        <f t="shared" si="169"/>
        <v>0.05</v>
      </c>
      <c r="N3502" s="475">
        <f t="shared" si="170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68"/>
        <v>-220869815886.81229</v>
      </c>
      <c r="J3503" s="455">
        <f t="array" ref="J3503">IFERROR(INDEX('Retirement Calculator'!J:J,MATCH('Isaac 401k'!N3503,'Retirement Calculator'!A:A,0),0),0)</f>
        <v>0</v>
      </c>
      <c r="K3503" s="455">
        <f t="shared" ca="1" si="166"/>
        <v>-920290899.52838469</v>
      </c>
      <c r="L3503" s="455">
        <f t="shared" ca="1" si="167"/>
        <v>-221790106786.34067</v>
      </c>
      <c r="M3503" s="471">
        <f t="shared" si="169"/>
        <v>0.05</v>
      </c>
      <c r="N3503" s="475">
        <f t="shared" si="170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68"/>
        <v>-221790106786.34067</v>
      </c>
      <c r="J3504" s="455">
        <f t="array" ref="J3504">IFERROR(INDEX('Retirement Calculator'!J:J,MATCH('Isaac 401k'!N3504,'Retirement Calculator'!A:A,0),0),0)</f>
        <v>0</v>
      </c>
      <c r="K3504" s="455">
        <f t="shared" ca="1" si="166"/>
        <v>-924125444.94308627</v>
      </c>
      <c r="L3504" s="455">
        <f t="shared" ca="1" si="167"/>
        <v>-222714232231.28375</v>
      </c>
      <c r="M3504" s="471">
        <f t="shared" si="169"/>
        <v>0.05</v>
      </c>
      <c r="N3504" s="475">
        <f t="shared" si="170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68"/>
        <v>-222714232231.28375</v>
      </c>
      <c r="J3505" s="455">
        <f t="array" ref="J3505">IFERROR(INDEX('Retirement Calculator'!J:J,MATCH('Isaac 401k'!N3505,'Retirement Calculator'!A:A,0),0),0)</f>
        <v>0</v>
      </c>
      <c r="K3505" s="455">
        <f t="shared" ca="1" si="166"/>
        <v>-927975967.63034892</v>
      </c>
      <c r="L3505" s="455">
        <f t="shared" ca="1" si="167"/>
        <v>-223642208198.91409</v>
      </c>
      <c r="M3505" s="471">
        <f t="shared" si="169"/>
        <v>0.05</v>
      </c>
      <c r="N3505" s="475">
        <f t="shared" si="170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68"/>
        <v>-223642208198.91409</v>
      </c>
      <c r="J3506" s="455">
        <f t="array" ref="J3506">IFERROR(INDEX('Retirement Calculator'!J:J,MATCH('Isaac 401k'!N3506,'Retirement Calculator'!A:A,0),0),0)</f>
        <v>0</v>
      </c>
      <c r="K3506" s="455">
        <f t="shared" ca="1" si="166"/>
        <v>-931842534.16214216</v>
      </c>
      <c r="L3506" s="455">
        <f t="shared" ca="1" si="167"/>
        <v>-224574050733.07623</v>
      </c>
      <c r="M3506" s="471">
        <f t="shared" si="169"/>
        <v>0.05</v>
      </c>
      <c r="N3506" s="475">
        <f t="shared" si="170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68"/>
        <v>-224574050733.07623</v>
      </c>
      <c r="J3507" s="455">
        <f t="array" ref="J3507">IFERROR(INDEX('Retirement Calculator'!J:J,MATCH('Isaac 401k'!N3507,'Retirement Calculator'!A:A,0),0),0)</f>
        <v>0</v>
      </c>
      <c r="K3507" s="455">
        <f t="shared" ca="1" si="166"/>
        <v>-935725211.38781762</v>
      </c>
      <c r="L3507" s="455">
        <f t="shared" ca="1" si="167"/>
        <v>-225509775944.46405</v>
      </c>
      <c r="M3507" s="471">
        <f t="shared" si="169"/>
        <v>0.05</v>
      </c>
      <c r="N3507" s="475">
        <f t="shared" si="170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68"/>
        <v>-225509775944.46405</v>
      </c>
      <c r="J3508" s="455">
        <f t="array" ref="J3508">IFERROR(INDEX('Retirement Calculator'!J:J,MATCH('Isaac 401k'!N3508,'Retirement Calculator'!A:A,0),0),0)</f>
        <v>0</v>
      </c>
      <c r="K3508" s="455">
        <f t="shared" ca="1" si="166"/>
        <v>-939624066.43526685</v>
      </c>
      <c r="L3508" s="455">
        <f t="shared" ca="1" si="167"/>
        <v>-226449400010.89932</v>
      </c>
      <c r="M3508" s="471">
        <f t="shared" si="169"/>
        <v>0.05</v>
      </c>
      <c r="N3508" s="475">
        <f t="shared" si="170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68"/>
        <v>-226449400010.89932</v>
      </c>
      <c r="J3509" s="455">
        <f t="array" ref="J3509">IFERROR(INDEX('Retirement Calculator'!J:J,MATCH('Isaac 401k'!N3509,'Retirement Calculator'!A:A,0),0),0)</f>
        <v>0</v>
      </c>
      <c r="K3509" s="455">
        <f t="shared" ca="1" si="166"/>
        <v>-943539166.71208036</v>
      </c>
      <c r="L3509" s="455">
        <f t="shared" ca="1" si="167"/>
        <v>-227392939177.61139</v>
      </c>
      <c r="M3509" s="471">
        <f t="shared" si="169"/>
        <v>0.05</v>
      </c>
      <c r="N3509" s="475">
        <f t="shared" si="170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68"/>
        <v>-227392939177.61139</v>
      </c>
      <c r="J3510" s="455">
        <f t="array" ref="J3510">IFERROR(INDEX('Retirement Calculator'!J:J,MATCH('Isaac 401k'!N3510,'Retirement Calculator'!A:A,0),0),0)</f>
        <v>0</v>
      </c>
      <c r="K3510" s="455">
        <f t="shared" ca="1" si="166"/>
        <v>-947470579.90671408</v>
      </c>
      <c r="L3510" s="455">
        <f t="shared" ca="1" si="167"/>
        <v>-228340409757.5181</v>
      </c>
      <c r="M3510" s="471">
        <f t="shared" si="169"/>
        <v>0.05</v>
      </c>
      <c r="N3510" s="475">
        <f t="shared" si="170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68"/>
        <v>-228340409757.5181</v>
      </c>
      <c r="J3511" s="455">
        <f t="array" ref="J3511">IFERROR(INDEX('Retirement Calculator'!J:J,MATCH('Isaac 401k'!N3511,'Retirement Calculator'!A:A,0),0),0)</f>
        <v>0</v>
      </c>
      <c r="K3511" s="455">
        <f t="shared" ca="1" si="166"/>
        <v>-951418373.98965883</v>
      </c>
      <c r="L3511" s="455">
        <f t="shared" ca="1" si="167"/>
        <v>-229291828131.50775</v>
      </c>
      <c r="M3511" s="471">
        <f t="shared" si="169"/>
        <v>0.05</v>
      </c>
      <c r="N3511" s="475">
        <f t="shared" si="170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68"/>
        <v>-229291828131.50775</v>
      </c>
      <c r="J3512" s="455">
        <f t="array" ref="J3512">IFERROR(INDEX('Retirement Calculator'!J:J,MATCH('Isaac 401k'!N3512,'Retirement Calculator'!A:A,0),0),0)</f>
        <v>0</v>
      </c>
      <c r="K3512" s="455">
        <f t="shared" ca="1" si="166"/>
        <v>-955382617.21461558</v>
      </c>
      <c r="L3512" s="455">
        <f t="shared" ca="1" si="167"/>
        <v>-230247210748.72238</v>
      </c>
      <c r="M3512" s="471">
        <f t="shared" si="169"/>
        <v>0.05</v>
      </c>
      <c r="N3512" s="475">
        <f t="shared" si="170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68"/>
        <v>-230247210748.72238</v>
      </c>
      <c r="J3513" s="455">
        <f t="array" ref="J3513">IFERROR(INDEX('Retirement Calculator'!J:J,MATCH('Isaac 401k'!N3513,'Retirement Calculator'!A:A,0),0),0)</f>
        <v>0</v>
      </c>
      <c r="K3513" s="455">
        <f t="shared" ca="1" si="166"/>
        <v>-959363378.11967659</v>
      </c>
      <c r="L3513" s="455">
        <f t="shared" ca="1" si="167"/>
        <v>-231206574126.84207</v>
      </c>
      <c r="M3513" s="471">
        <f t="shared" si="169"/>
        <v>0.05</v>
      </c>
      <c r="N3513" s="475">
        <f t="shared" si="170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68"/>
        <v>-231206574126.84207</v>
      </c>
      <c r="J3514" s="455">
        <f t="array" ref="J3514">IFERROR(INDEX('Retirement Calculator'!J:J,MATCH('Isaac 401k'!N3514,'Retirement Calculator'!A:A,0),0),0)</f>
        <v>0</v>
      </c>
      <c r="K3514" s="455">
        <f t="shared" ca="1" si="166"/>
        <v>-963360725.52850866</v>
      </c>
      <c r="L3514" s="455">
        <f t="shared" ca="1" si="167"/>
        <v>-232169934852.37057</v>
      </c>
      <c r="M3514" s="471">
        <f t="shared" si="169"/>
        <v>0.05</v>
      </c>
      <c r="N3514" s="475">
        <f t="shared" si="170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68"/>
        <v>-232169934852.37057</v>
      </c>
      <c r="J3515" s="455">
        <f t="array" ref="J3515">IFERROR(INDEX('Retirement Calculator'!J:J,MATCH('Isaac 401k'!N3515,'Retirement Calculator'!A:A,0),0),0)</f>
        <v>0</v>
      </c>
      <c r="K3515" s="455">
        <f t="shared" ca="1" si="166"/>
        <v>-967374728.55154407</v>
      </c>
      <c r="L3515" s="455">
        <f t="shared" ca="1" si="167"/>
        <v>-233137309580.92212</v>
      </c>
      <c r="M3515" s="471">
        <f t="shared" si="169"/>
        <v>0.05</v>
      </c>
      <c r="N3515" s="475">
        <f t="shared" si="170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68"/>
        <v>-233137309580.92212</v>
      </c>
      <c r="J3516" s="455">
        <f t="array" ref="J3516">IFERROR(INDEX('Retirement Calculator'!J:J,MATCH('Isaac 401k'!N3516,'Retirement Calculator'!A:A,0),0),0)</f>
        <v>0</v>
      </c>
      <c r="K3516" s="455">
        <f t="shared" ca="1" si="166"/>
        <v>-971405456.58717549</v>
      </c>
      <c r="L3516" s="455">
        <f t="shared" ca="1" si="167"/>
        <v>-234108715037.50931</v>
      </c>
      <c r="M3516" s="471">
        <f t="shared" si="169"/>
        <v>0.05</v>
      </c>
      <c r="N3516" s="475">
        <f t="shared" si="170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68"/>
        <v>-234108715037.50931</v>
      </c>
      <c r="J3517" s="455">
        <f t="array" ref="J3517">IFERROR(INDEX('Retirement Calculator'!J:J,MATCH('Isaac 401k'!N3517,'Retirement Calculator'!A:A,0),0),0)</f>
        <v>0</v>
      </c>
      <c r="K3517" s="455">
        <f t="shared" ca="1" si="166"/>
        <v>-975452979.32295549</v>
      </c>
      <c r="L3517" s="455">
        <f t="shared" ca="1" si="167"/>
        <v>-235084168016.83228</v>
      </c>
      <c r="M3517" s="471">
        <f t="shared" si="169"/>
        <v>0.05</v>
      </c>
      <c r="N3517" s="475">
        <f t="shared" si="170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68"/>
        <v>-235084168016.83228</v>
      </c>
      <c r="J3518" s="455">
        <f t="array" ref="J3518">IFERROR(INDEX('Retirement Calculator'!J:J,MATCH('Isaac 401k'!N3518,'Retirement Calculator'!A:A,0),0),0)</f>
        <v>0</v>
      </c>
      <c r="K3518" s="455">
        <f t="shared" ca="1" si="166"/>
        <v>-979517366.73680103</v>
      </c>
      <c r="L3518" s="455">
        <f t="shared" ca="1" si="167"/>
        <v>-236063685383.56906</v>
      </c>
      <c r="M3518" s="471">
        <f t="shared" si="169"/>
        <v>0.05</v>
      </c>
      <c r="N3518" s="475">
        <f t="shared" si="170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68"/>
        <v>-236063685383.56906</v>
      </c>
      <c r="J3519" s="455">
        <f t="array" ref="J3519">IFERROR(INDEX('Retirement Calculator'!J:J,MATCH('Isaac 401k'!N3519,'Retirement Calculator'!A:A,0),0),0)</f>
        <v>0</v>
      </c>
      <c r="K3519" s="455">
        <f t="shared" ca="1" si="166"/>
        <v>-983598689.09820437</v>
      </c>
      <c r="L3519" s="455">
        <f t="shared" ca="1" si="167"/>
        <v>-237047284072.66727</v>
      </c>
      <c r="M3519" s="471">
        <f t="shared" si="169"/>
        <v>0.05</v>
      </c>
      <c r="N3519" s="475">
        <f t="shared" si="170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68"/>
        <v>-237047284072.66727</v>
      </c>
      <c r="J3520" s="455">
        <f t="array" ref="J3520">IFERROR(INDEX('Retirement Calculator'!J:J,MATCH('Isaac 401k'!N3520,'Retirement Calculator'!A:A,0),0),0)</f>
        <v>0</v>
      </c>
      <c r="K3520" s="455">
        <f t="shared" ca="1" si="166"/>
        <v>-987697016.9694469</v>
      </c>
      <c r="L3520" s="455">
        <f t="shared" ca="1" si="167"/>
        <v>-238034981089.63672</v>
      </c>
      <c r="M3520" s="471">
        <f t="shared" si="169"/>
        <v>0.05</v>
      </c>
      <c r="N3520" s="475">
        <f t="shared" si="170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68"/>
        <v>-238034981089.63672</v>
      </c>
      <c r="J3521" s="455">
        <f t="array" ref="J3521">IFERROR(INDEX('Retirement Calculator'!J:J,MATCH('Isaac 401k'!N3521,'Retirement Calculator'!A:A,0),0),0)</f>
        <v>0</v>
      </c>
      <c r="K3521" s="455">
        <f t="shared" ca="1" si="166"/>
        <v>-991812421.20681977</v>
      </c>
      <c r="L3521" s="455">
        <f t="shared" ca="1" si="167"/>
        <v>-239026793510.84354</v>
      </c>
      <c r="M3521" s="471">
        <f t="shared" si="169"/>
        <v>0.05</v>
      </c>
      <c r="N3521" s="475">
        <f t="shared" si="170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68"/>
        <v>-239026793510.84354</v>
      </c>
      <c r="J3522" s="455">
        <f t="array" ref="J3522">IFERROR(INDEX('Retirement Calculator'!J:J,MATCH('Isaac 401k'!N3522,'Retirement Calculator'!A:A,0),0),0)</f>
        <v>0</v>
      </c>
      <c r="K3522" s="455">
        <f t="shared" ca="1" si="166"/>
        <v>-995944972.9618479</v>
      </c>
      <c r="L3522" s="455">
        <f t="shared" ca="1" si="167"/>
        <v>-240022738483.80539</v>
      </c>
      <c r="M3522" s="471">
        <f t="shared" si="169"/>
        <v>0.05</v>
      </c>
      <c r="N3522" s="475">
        <f t="shared" si="170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68"/>
        <v>-240022738483.80539</v>
      </c>
      <c r="J3523" s="455">
        <f t="array" ref="J3523">IFERROR(INDEX('Retirement Calculator'!J:J,MATCH('Isaac 401k'!N3523,'Retirement Calculator'!A:A,0),0),0)</f>
        <v>0</v>
      </c>
      <c r="K3523" s="455">
        <f t="shared" ca="1" si="166"/>
        <v>-1000094743.6825224</v>
      </c>
      <c r="L3523" s="455">
        <f t="shared" ca="1" si="167"/>
        <v>-241022833227.48792</v>
      </c>
      <c r="M3523" s="471">
        <f t="shared" si="169"/>
        <v>0.05</v>
      </c>
      <c r="N3523" s="475">
        <f t="shared" si="170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68"/>
        <v>-241022833227.48792</v>
      </c>
      <c r="J3524" s="455">
        <f t="array" ref="J3524">IFERROR(INDEX('Retirement Calculator'!J:J,MATCH('Isaac 401k'!N3524,'Retirement Calculator'!A:A,0),0),0)</f>
        <v>0</v>
      </c>
      <c r="K3524" s="455">
        <f t="shared" ca="1" si="166"/>
        <v>-1004261805.1145329</v>
      </c>
      <c r="L3524" s="455">
        <f t="shared" ca="1" si="167"/>
        <v>-242027095032.60245</v>
      </c>
      <c r="M3524" s="471">
        <f t="shared" si="169"/>
        <v>0.05</v>
      </c>
      <c r="N3524" s="475">
        <f t="shared" si="170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68"/>
        <v>-242027095032.60245</v>
      </c>
      <c r="J3525" s="455">
        <f t="array" ref="J3525">IFERROR(INDEX('Retirement Calculator'!J:J,MATCH('Isaac 401k'!N3525,'Retirement Calculator'!A:A,0),0),0)</f>
        <v>0</v>
      </c>
      <c r="K3525" s="455">
        <f t="shared" ca="1" si="166"/>
        <v>-1008446229.3025101</v>
      </c>
      <c r="L3525" s="455">
        <f t="shared" ca="1" si="167"/>
        <v>-243035541261.90497</v>
      </c>
      <c r="M3525" s="471">
        <f t="shared" si="169"/>
        <v>0.05</v>
      </c>
      <c r="N3525" s="475">
        <f t="shared" si="170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68"/>
        <v>-243035541261.90497</v>
      </c>
      <c r="J3526" s="455">
        <f t="array" ref="J3526">IFERROR(INDEX('Retirement Calculator'!J:J,MATCH('Isaac 401k'!N3526,'Retirement Calculator'!A:A,0),0),0)</f>
        <v>0</v>
      </c>
      <c r="K3526" s="455">
        <f t="shared" ca="1" si="166"/>
        <v>-1012648088.5912707</v>
      </c>
      <c r="L3526" s="455">
        <f t="shared" ca="1" si="167"/>
        <v>-244048189350.49625</v>
      </c>
      <c r="M3526" s="471">
        <f t="shared" si="169"/>
        <v>0.05</v>
      </c>
      <c r="N3526" s="475">
        <f t="shared" si="170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68"/>
        <v>-244048189350.49625</v>
      </c>
      <c r="J3527" s="455">
        <f t="array" ref="J3527">IFERROR(INDEX('Retirement Calculator'!J:J,MATCH('Isaac 401k'!N3527,'Retirement Calculator'!A:A,0),0),0)</f>
        <v>0</v>
      </c>
      <c r="K3527" s="455">
        <f t="shared" ca="1" si="166"/>
        <v>-1016867455.6270677</v>
      </c>
      <c r="L3527" s="455">
        <f t="shared" ca="1" si="167"/>
        <v>-245065056806.12332</v>
      </c>
      <c r="M3527" s="471">
        <f t="shared" si="169"/>
        <v>0.05</v>
      </c>
      <c r="N3527" s="475">
        <f t="shared" si="170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68"/>
        <v>-245065056806.12332</v>
      </c>
      <c r="J3528" s="455">
        <f t="array" ref="J3528">IFERROR(INDEX('Retirement Calculator'!J:J,MATCH('Isaac 401k'!N3528,'Retirement Calculator'!A:A,0),0),0)</f>
        <v>0</v>
      </c>
      <c r="K3528" s="455">
        <f t="shared" ca="1" si="166"/>
        <v>-1021104403.3588471</v>
      </c>
      <c r="L3528" s="455">
        <f t="shared" ca="1" si="167"/>
        <v>-246086161209.48218</v>
      </c>
      <c r="M3528" s="471">
        <f t="shared" si="169"/>
        <v>0.05</v>
      </c>
      <c r="N3528" s="475">
        <f t="shared" si="170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68"/>
        <v>-246086161209.48218</v>
      </c>
      <c r="J3529" s="455">
        <f t="array" ref="J3529">IFERROR(INDEX('Retirement Calculator'!J:J,MATCH('Isaac 401k'!N3529,'Retirement Calculator'!A:A,0),0),0)</f>
        <v>0</v>
      </c>
      <c r="K3529" s="455">
        <f t="shared" ca="1" si="166"/>
        <v>-1025359005.0395092</v>
      </c>
      <c r="L3529" s="455">
        <f t="shared" ca="1" si="167"/>
        <v>-247111520214.5217</v>
      </c>
      <c r="M3529" s="471">
        <f t="shared" si="169"/>
        <v>0.05</v>
      </c>
      <c r="N3529" s="475">
        <f t="shared" si="170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68"/>
        <v>-247111520214.5217</v>
      </c>
      <c r="J3530" s="455">
        <f t="array" ref="J3530">IFERROR(INDEX('Retirement Calculator'!J:J,MATCH('Isaac 401k'!N3530,'Retirement Calculator'!A:A,0),0),0)</f>
        <v>0</v>
      </c>
      <c r="K3530" s="455">
        <f t="shared" ca="1" si="166"/>
        <v>-1029631334.2271736</v>
      </c>
      <c r="L3530" s="455">
        <f t="shared" ca="1" si="167"/>
        <v>-248141151548.74887</v>
      </c>
      <c r="M3530" s="471">
        <f t="shared" si="169"/>
        <v>0.05</v>
      </c>
      <c r="N3530" s="475">
        <f t="shared" si="170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68"/>
        <v>-248141151548.74887</v>
      </c>
      <c r="J3531" s="455">
        <f t="array" ref="J3531">IFERROR(INDEX('Retirement Calculator'!J:J,MATCH('Isaac 401k'!N3531,'Retirement Calculator'!A:A,0),0),0)</f>
        <v>0</v>
      </c>
      <c r="K3531" s="455">
        <f t="shared" ca="1" si="166"/>
        <v>-1033921464.7864536</v>
      </c>
      <c r="L3531" s="455">
        <f t="shared" ca="1" si="167"/>
        <v>-249175073013.53534</v>
      </c>
      <c r="M3531" s="471">
        <f t="shared" si="169"/>
        <v>0.05</v>
      </c>
      <c r="N3531" s="475">
        <f t="shared" si="170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68"/>
        <v>-249175073013.53534</v>
      </c>
      <c r="J3532" s="455">
        <f t="array" ref="J3532">IFERROR(INDEX('Retirement Calculator'!J:J,MATCH('Isaac 401k'!N3532,'Retirement Calculator'!A:A,0),0),0)</f>
        <v>0</v>
      </c>
      <c r="K3532" s="455">
        <f t="shared" ca="1" si="166"/>
        <v>-1038229470.8897307</v>
      </c>
      <c r="L3532" s="455">
        <f t="shared" ca="1" si="167"/>
        <v>-250213302484.42508</v>
      </c>
      <c r="M3532" s="471">
        <f t="shared" si="169"/>
        <v>0.05</v>
      </c>
      <c r="N3532" s="475">
        <f t="shared" si="170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68"/>
        <v>-250213302484.42508</v>
      </c>
      <c r="J3533" s="455">
        <f t="array" ref="J3533">IFERROR(INDEX('Retirement Calculator'!J:J,MATCH('Isaac 401k'!N3533,'Retirement Calculator'!A:A,0),0),0)</f>
        <v>0</v>
      </c>
      <c r="K3533" s="455">
        <f t="shared" ca="1" si="166"/>
        <v>-1042555427.018438</v>
      </c>
      <c r="L3533" s="455">
        <f t="shared" ca="1" si="167"/>
        <v>-251255857911.44351</v>
      </c>
      <c r="M3533" s="471">
        <f t="shared" si="169"/>
        <v>0.05</v>
      </c>
      <c r="N3533" s="475">
        <f t="shared" si="170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68"/>
        <v>-251255857911.44351</v>
      </c>
      <c r="J3534" s="455">
        <f t="array" ref="J3534">IFERROR(INDEX('Retirement Calculator'!J:J,MATCH('Isaac 401k'!N3534,'Retirement Calculator'!A:A,0),0),0)</f>
        <v>0</v>
      </c>
      <c r="K3534" s="455">
        <f t="shared" ca="1" si="166"/>
        <v>-1046899407.964348</v>
      </c>
      <c r="L3534" s="455">
        <f t="shared" ca="1" si="167"/>
        <v>-252302757319.40787</v>
      </c>
      <c r="M3534" s="471">
        <f t="shared" si="169"/>
        <v>0.05</v>
      </c>
      <c r="N3534" s="475">
        <f t="shared" si="170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68"/>
        <v>-252302757319.40787</v>
      </c>
      <c r="J3535" s="455">
        <f t="array" ref="J3535">IFERROR(INDEX('Retirement Calculator'!J:J,MATCH('Isaac 401k'!N3535,'Retirement Calculator'!A:A,0),0),0)</f>
        <v>0</v>
      </c>
      <c r="K3535" s="455">
        <f t="shared" ca="1" si="166"/>
        <v>-1051261488.830866</v>
      </c>
      <c r="L3535" s="455">
        <f t="shared" ca="1" si="167"/>
        <v>-253354018808.23874</v>
      </c>
      <c r="M3535" s="471">
        <f t="shared" si="169"/>
        <v>0.05</v>
      </c>
      <c r="N3535" s="475">
        <f t="shared" si="170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68"/>
        <v>-253354018808.23874</v>
      </c>
      <c r="J3536" s="455">
        <f t="array" ref="J3536">IFERROR(INDEX('Retirement Calculator'!J:J,MATCH('Isaac 401k'!N3536,'Retirement Calculator'!A:A,0),0),0)</f>
        <v>0</v>
      </c>
      <c r="K3536" s="455">
        <f t="shared" ca="1" si="166"/>
        <v>-1055641745.034328</v>
      </c>
      <c r="L3536" s="455">
        <f t="shared" ca="1" si="167"/>
        <v>-254409660553.27307</v>
      </c>
      <c r="M3536" s="471">
        <f t="shared" si="169"/>
        <v>0.05</v>
      </c>
      <c r="N3536" s="475">
        <f t="shared" si="170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68"/>
        <v>-254409660553.27307</v>
      </c>
      <c r="J3537" s="455">
        <f t="array" ref="J3537">IFERROR(INDEX('Retirement Calculator'!J:J,MATCH('Isaac 401k'!N3537,'Retirement Calculator'!A:A,0),0),0)</f>
        <v>0</v>
      </c>
      <c r="K3537" s="455">
        <f t="shared" ca="1" si="166"/>
        <v>-1060040252.3053045</v>
      </c>
      <c r="L3537" s="455">
        <f t="shared" ca="1" si="167"/>
        <v>-255469700805.57837</v>
      </c>
      <c r="M3537" s="471">
        <f t="shared" si="169"/>
        <v>0.05</v>
      </c>
      <c r="N3537" s="475">
        <f t="shared" si="170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68"/>
        <v>-255469700805.57837</v>
      </c>
      <c r="J3538" s="455">
        <f t="array" ref="J3538">IFERROR(INDEX('Retirement Calculator'!J:J,MATCH('Isaac 401k'!N3538,'Retirement Calculator'!A:A,0),0),0)</f>
        <v>0</v>
      </c>
      <c r="K3538" s="455">
        <f t="shared" ca="1" si="166"/>
        <v>-1064457086.6899098</v>
      </c>
      <c r="L3538" s="455">
        <f t="shared" ca="1" si="167"/>
        <v>-256534157892.26828</v>
      </c>
      <c r="M3538" s="471">
        <f t="shared" si="169"/>
        <v>0.05</v>
      </c>
      <c r="N3538" s="475">
        <f t="shared" si="170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68"/>
        <v>-256534157892.26828</v>
      </c>
      <c r="J3539" s="455">
        <f t="array" ref="J3539">IFERROR(INDEX('Retirement Calculator'!J:J,MATCH('Isaac 401k'!N3539,'Retirement Calculator'!A:A,0),0),0)</f>
        <v>0</v>
      </c>
      <c r="K3539" s="455">
        <f t="shared" ca="1" si="166"/>
        <v>-1068892324.5511178</v>
      </c>
      <c r="L3539" s="455">
        <f t="shared" ca="1" si="167"/>
        <v>-257603050216.8194</v>
      </c>
      <c r="M3539" s="471">
        <f t="shared" si="169"/>
        <v>0.05</v>
      </c>
      <c r="N3539" s="475">
        <f t="shared" si="170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68"/>
        <v>-257603050216.8194</v>
      </c>
      <c r="J3540" s="455">
        <f t="array" ref="J3540">IFERROR(INDEX('Retirement Calculator'!J:J,MATCH('Isaac 401k'!N3540,'Retirement Calculator'!A:A,0),0),0)</f>
        <v>0</v>
      </c>
      <c r="K3540" s="455">
        <f t="shared" ca="1" si="166"/>
        <v>-1073346042.5700808</v>
      </c>
      <c r="L3540" s="455">
        <f t="shared" ca="1" si="167"/>
        <v>-258676396259.38947</v>
      </c>
      <c r="M3540" s="471">
        <f t="shared" si="169"/>
        <v>0.05</v>
      </c>
      <c r="N3540" s="475">
        <f t="shared" si="170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68"/>
        <v>-258676396259.38947</v>
      </c>
      <c r="J3541" s="455">
        <f t="array" ref="J3541">IFERROR(INDEX('Retirement Calculator'!J:J,MATCH('Isaac 401k'!N3541,'Retirement Calculator'!A:A,0),0),0)</f>
        <v>0</v>
      </c>
      <c r="K3541" s="455">
        <f t="shared" ca="1" si="166"/>
        <v>-1077818317.7474561</v>
      </c>
      <c r="L3541" s="455">
        <f t="shared" ca="1" si="167"/>
        <v>-259754214577.13693</v>
      </c>
      <c r="M3541" s="471">
        <f t="shared" si="169"/>
        <v>0.05</v>
      </c>
      <c r="N3541" s="475">
        <f t="shared" si="170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68"/>
        <v>-259754214577.13693</v>
      </c>
      <c r="J3542" s="455">
        <f t="array" ref="J3542">IFERROR(INDEX('Retirement Calculator'!J:J,MATCH('Isaac 401k'!N3542,'Retirement Calculator'!A:A,0),0),0)</f>
        <v>0</v>
      </c>
      <c r="K3542" s="455">
        <f t="shared" ca="1" si="166"/>
        <v>-1082309227.404737</v>
      </c>
      <c r="L3542" s="455">
        <f t="shared" ca="1" si="167"/>
        <v>-260836523804.54166</v>
      </c>
      <c r="M3542" s="471">
        <f t="shared" si="169"/>
        <v>0.05</v>
      </c>
      <c r="N3542" s="475">
        <f t="shared" si="170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68"/>
        <v>-260836523804.54166</v>
      </c>
      <c r="J3543" s="455">
        <f t="array" ref="J3543">IFERROR(INDEX('Retirement Calculator'!J:J,MATCH('Isaac 401k'!N3543,'Retirement Calculator'!A:A,0),0),0)</f>
        <v>0</v>
      </c>
      <c r="K3543" s="455">
        <f t="shared" ca="1" si="166"/>
        <v>-1086818849.1855903</v>
      </c>
      <c r="L3543" s="455">
        <f t="shared" ca="1" si="167"/>
        <v>-261923342653.72723</v>
      </c>
      <c r="M3543" s="471">
        <f t="shared" si="169"/>
        <v>0.05</v>
      </c>
      <c r="N3543" s="475">
        <f t="shared" si="170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68"/>
        <v>-261923342653.72723</v>
      </c>
      <c r="J3544" s="455">
        <f t="array" ref="J3544">IFERROR(INDEX('Retirement Calculator'!J:J,MATCH('Isaac 401k'!N3544,'Retirement Calculator'!A:A,0),0),0)</f>
        <v>0</v>
      </c>
      <c r="K3544" s="455">
        <f t="shared" ca="1" si="166"/>
        <v>-1091347261.0571969</v>
      </c>
      <c r="L3544" s="455">
        <f t="shared" ca="1" si="167"/>
        <v>-263014689914.78442</v>
      </c>
      <c r="M3544" s="471">
        <f t="shared" si="169"/>
        <v>0.05</v>
      </c>
      <c r="N3544" s="475">
        <f t="shared" si="170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68"/>
        <v>-263014689914.78442</v>
      </c>
      <c r="J3545" s="455">
        <f t="array" ref="J3545">IFERROR(INDEX('Retirement Calculator'!J:J,MATCH('Isaac 401k'!N3545,'Retirement Calculator'!A:A,0),0),0)</f>
        <v>0</v>
      </c>
      <c r="K3545" s="455">
        <f t="shared" ca="1" si="166"/>
        <v>-1095894541.3116016</v>
      </c>
      <c r="L3545" s="455">
        <f t="shared" ca="1" si="167"/>
        <v>-264110584456.09604</v>
      </c>
      <c r="M3545" s="471">
        <f t="shared" si="169"/>
        <v>0.05</v>
      </c>
      <c r="N3545" s="475">
        <f t="shared" si="170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68"/>
        <v>-264110584456.09604</v>
      </c>
      <c r="J3546" s="455">
        <f t="array" ref="J3546">IFERROR(INDEX('Retirement Calculator'!J:J,MATCH('Isaac 401k'!N3546,'Retirement Calculator'!A:A,0),0),0)</f>
        <v>0</v>
      </c>
      <c r="K3546" s="455">
        <f t="shared" ca="1" si="166"/>
        <v>-1100460768.5670669</v>
      </c>
      <c r="L3546" s="455">
        <f t="shared" ca="1" si="167"/>
        <v>-265211045224.66312</v>
      </c>
      <c r="M3546" s="471">
        <f t="shared" si="169"/>
        <v>0.05</v>
      </c>
      <c r="N3546" s="475">
        <f t="shared" si="170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68"/>
        <v>-265211045224.66312</v>
      </c>
      <c r="J3547" s="455">
        <f t="array" ref="J3547">IFERROR(INDEX('Retirement Calculator'!J:J,MATCH('Isaac 401k'!N3547,'Retirement Calculator'!A:A,0),0),0)</f>
        <v>0</v>
      </c>
      <c r="K3547" s="455">
        <f t="shared" ca="1" si="166"/>
        <v>-1105046021.7694297</v>
      </c>
      <c r="L3547" s="455">
        <f t="shared" ca="1" si="167"/>
        <v>-266316091246.43256</v>
      </c>
      <c r="M3547" s="471">
        <f t="shared" si="169"/>
        <v>0.05</v>
      </c>
      <c r="N3547" s="475">
        <f t="shared" si="170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68"/>
        <v>-266316091246.43256</v>
      </c>
      <c r="J3548" s="455">
        <f t="array" ref="J3548">IFERROR(INDEX('Retirement Calculator'!J:J,MATCH('Isaac 401k'!N3548,'Retirement Calculator'!A:A,0),0),0)</f>
        <v>0</v>
      </c>
      <c r="K3548" s="455">
        <f t="shared" ca="1" si="166"/>
        <v>-1109650380.193469</v>
      </c>
      <c r="L3548" s="455">
        <f t="shared" ca="1" si="167"/>
        <v>-267425741626.62604</v>
      </c>
      <c r="M3548" s="471">
        <f t="shared" si="169"/>
        <v>0.05</v>
      </c>
      <c r="N3548" s="475">
        <f t="shared" si="170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68"/>
        <v>-267425741626.62604</v>
      </c>
      <c r="J3549" s="455">
        <f t="array" ref="J3549">IFERROR(INDEX('Retirement Calculator'!J:J,MATCH('Isaac 401k'!N3549,'Retirement Calculator'!A:A,0),0),0)</f>
        <v>0</v>
      </c>
      <c r="K3549" s="455">
        <f t="shared" ca="1" si="166"/>
        <v>-1114273923.4442751</v>
      </c>
      <c r="L3549" s="455">
        <f t="shared" ca="1" si="167"/>
        <v>-268540015550.07031</v>
      </c>
      <c r="M3549" s="471">
        <f t="shared" si="169"/>
        <v>0.05</v>
      </c>
      <c r="N3549" s="475">
        <f t="shared" si="170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68"/>
        <v>-268540015550.07031</v>
      </c>
      <c r="J3550" s="455">
        <f t="array" ref="J3550">IFERROR(INDEX('Retirement Calculator'!J:J,MATCH('Isaac 401k'!N3550,'Retirement Calculator'!A:A,0),0),0)</f>
        <v>0</v>
      </c>
      <c r="K3550" s="455">
        <f t="shared" ca="1" si="166"/>
        <v>-1118916731.4586263</v>
      </c>
      <c r="L3550" s="455">
        <f t="shared" ca="1" si="167"/>
        <v>-269658932281.52893</v>
      </c>
      <c r="M3550" s="471">
        <f t="shared" si="169"/>
        <v>0.05</v>
      </c>
      <c r="N3550" s="475">
        <f t="shared" si="170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68"/>
        <v>-269658932281.52893</v>
      </c>
      <c r="J3551" s="455">
        <f t="array" ref="J3551">IFERROR(INDEX('Retirement Calculator'!J:J,MATCH('Isaac 401k'!N3551,'Retirement Calculator'!A:A,0),0),0)</f>
        <v>0</v>
      </c>
      <c r="K3551" s="455">
        <f t="shared" ca="1" si="166"/>
        <v>-1123578884.5063705</v>
      </c>
      <c r="L3551" s="455">
        <f t="shared" ca="1" si="167"/>
        <v>-270782511166.03531</v>
      </c>
      <c r="M3551" s="471">
        <f t="shared" si="169"/>
        <v>0.05</v>
      </c>
      <c r="N3551" s="475">
        <f t="shared" si="170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68"/>
        <v>-270782511166.03531</v>
      </c>
      <c r="J3552" s="455">
        <f t="array" ref="J3552">IFERROR(INDEX('Retirement Calculator'!J:J,MATCH('Isaac 401k'!N3552,'Retirement Calculator'!A:A,0),0),0)</f>
        <v>0</v>
      </c>
      <c r="K3552" s="455">
        <f t="shared" ca="1" si="166"/>
        <v>-1128260463.1918139</v>
      </c>
      <c r="L3552" s="455">
        <f t="shared" ca="1" si="167"/>
        <v>-271910771629.22711</v>
      </c>
      <c r="M3552" s="471">
        <f t="shared" si="169"/>
        <v>0.05</v>
      </c>
      <c r="N3552" s="475">
        <f t="shared" si="170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68"/>
        <v>-271910771629.22711</v>
      </c>
      <c r="J3553" s="455">
        <f t="array" ref="J3553">IFERROR(INDEX('Retirement Calculator'!J:J,MATCH('Isaac 401k'!N3553,'Retirement Calculator'!A:A,0),0),0)</f>
        <v>0</v>
      </c>
      <c r="K3553" s="455">
        <f t="shared" ca="1" si="166"/>
        <v>-1132961548.4551129</v>
      </c>
      <c r="L3553" s="455">
        <f t="shared" ca="1" si="167"/>
        <v>-273043733177.68222</v>
      </c>
      <c r="M3553" s="471">
        <f t="shared" si="169"/>
        <v>0.05</v>
      </c>
      <c r="N3553" s="475">
        <f t="shared" si="170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68"/>
        <v>-273043733177.68222</v>
      </c>
      <c r="J3554" s="455">
        <f t="array" ref="J3554">IFERROR(INDEX('Retirement Calculator'!J:J,MATCH('Isaac 401k'!N3554,'Retirement Calculator'!A:A,0),0),0)</f>
        <v>0</v>
      </c>
      <c r="K3554" s="455">
        <f t="shared" ca="1" si="166"/>
        <v>-1137682221.5736759</v>
      </c>
      <c r="L3554" s="455">
        <f t="shared" ca="1" si="167"/>
        <v>-274181415399.25589</v>
      </c>
      <c r="M3554" s="471">
        <f t="shared" si="169"/>
        <v>0.05</v>
      </c>
      <c r="N3554" s="475">
        <f t="shared" si="170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68"/>
        <v>-274181415399.25589</v>
      </c>
      <c r="J3555" s="455">
        <f t="array" ref="J3555">IFERROR(INDEX('Retirement Calculator'!J:J,MATCH('Isaac 401k'!N3555,'Retirement Calculator'!A:A,0),0),0)</f>
        <v>0</v>
      </c>
      <c r="K3555" s="455">
        <f t="shared" ca="1" si="166"/>
        <v>-1142422564.1635661</v>
      </c>
      <c r="L3555" s="455">
        <f t="shared" ca="1" si="167"/>
        <v>-275323837963.41943</v>
      </c>
      <c r="M3555" s="471">
        <f t="shared" si="169"/>
        <v>0.05</v>
      </c>
      <c r="N3555" s="475">
        <f t="shared" si="170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68"/>
        <v>-275323837963.41943</v>
      </c>
      <c r="J3556" s="455">
        <f t="array" ref="J3556">IFERROR(INDEX('Retirement Calculator'!J:J,MATCH('Isaac 401k'!N3556,'Retirement Calculator'!A:A,0),0),0)</f>
        <v>0</v>
      </c>
      <c r="K3556" s="455">
        <f t="shared" ca="1" si="166"/>
        <v>-1147182658.1809144</v>
      </c>
      <c r="L3556" s="455">
        <f t="shared" ca="1" si="167"/>
        <v>-276471020621.60034</v>
      </c>
      <c r="M3556" s="471">
        <f t="shared" si="169"/>
        <v>0.05</v>
      </c>
      <c r="N3556" s="475">
        <f t="shared" si="170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68"/>
        <v>-276471020621.60034</v>
      </c>
      <c r="J3557" s="455">
        <f t="array" ref="J3557">IFERROR(INDEX('Retirement Calculator'!J:J,MATCH('Isaac 401k'!N3557,'Retirement Calculator'!A:A,0),0),0)</f>
        <v>0</v>
      </c>
      <c r="K3557" s="455">
        <f t="shared" ca="1" si="166"/>
        <v>-1151962585.9233348</v>
      </c>
      <c r="L3557" s="455">
        <f t="shared" ca="1" si="167"/>
        <v>-277622983207.52368</v>
      </c>
      <c r="M3557" s="471">
        <f t="shared" si="169"/>
        <v>0.05</v>
      </c>
      <c r="N3557" s="475">
        <f t="shared" si="170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68"/>
        <v>-277622983207.52368</v>
      </c>
      <c r="J3558" s="455">
        <f t="array" ref="J3558">IFERROR(INDEX('Retirement Calculator'!J:J,MATCH('Isaac 401k'!N3558,'Retirement Calculator'!A:A,0),0),0)</f>
        <v>0</v>
      </c>
      <c r="K3558" s="455">
        <f t="shared" ca="1" si="166"/>
        <v>-1156762430.0313487</v>
      </c>
      <c r="L3558" s="455">
        <f t="shared" ca="1" si="167"/>
        <v>-278779745637.55505</v>
      </c>
      <c r="M3558" s="471">
        <f t="shared" si="169"/>
        <v>0.05</v>
      </c>
      <c r="N3558" s="475">
        <f t="shared" si="170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68"/>
        <v>-278779745637.55505</v>
      </c>
      <c r="J3559" s="455">
        <f t="array" ref="J3559">IFERROR(INDEX('Retirement Calculator'!J:J,MATCH('Isaac 401k'!N3559,'Retirement Calculator'!A:A,0),0),0)</f>
        <v>0</v>
      </c>
      <c r="K3559" s="455">
        <f t="shared" ca="1" si="166"/>
        <v>-1161582273.4898126</v>
      </c>
      <c r="L3559" s="455">
        <f t="shared" ca="1" si="167"/>
        <v>-279941327911.04486</v>
      </c>
      <c r="M3559" s="471">
        <f t="shared" si="169"/>
        <v>0.05</v>
      </c>
      <c r="N3559" s="475">
        <f t="shared" si="170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68"/>
        <v>-279941327911.04486</v>
      </c>
      <c r="J3560" s="455">
        <f t="array" ref="J3560">IFERROR(INDEX('Retirement Calculator'!J:J,MATCH('Isaac 401k'!N3560,'Retirement Calculator'!A:A,0),0),0)</f>
        <v>0</v>
      </c>
      <c r="K3560" s="455">
        <f t="shared" ca="1" si="166"/>
        <v>-1166422199.6293535</v>
      </c>
      <c r="L3560" s="455">
        <f t="shared" ca="1" si="167"/>
        <v>-281107750110.67419</v>
      </c>
      <c r="M3560" s="471">
        <f t="shared" si="169"/>
        <v>0.05</v>
      </c>
      <c r="N3560" s="475">
        <f t="shared" si="170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68"/>
        <v>-281107750110.67419</v>
      </c>
      <c r="J3561" s="455">
        <f t="array" ref="J3561">IFERROR(INDEX('Retirement Calculator'!J:J,MATCH('Isaac 401k'!N3561,'Retirement Calculator'!A:A,0),0),0)</f>
        <v>0</v>
      </c>
      <c r="K3561" s="455">
        <f t="shared" ca="1" si="166"/>
        <v>-1171282292.127809</v>
      </c>
      <c r="L3561" s="455">
        <f t="shared" ca="1" si="167"/>
        <v>-282279032402.802</v>
      </c>
      <c r="M3561" s="471">
        <f t="shared" si="169"/>
        <v>0.05</v>
      </c>
      <c r="N3561" s="475">
        <f t="shared" si="170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68"/>
        <v>-282279032402.802</v>
      </c>
      <c r="J3562" s="455">
        <f t="array" ref="J3562">IFERROR(INDEX('Retirement Calculator'!J:J,MATCH('Isaac 401k'!N3562,'Retirement Calculator'!A:A,0),0),0)</f>
        <v>0</v>
      </c>
      <c r="K3562" s="455">
        <f t="shared" ca="1" si="166"/>
        <v>-1176162635.0116749</v>
      </c>
      <c r="L3562" s="455">
        <f t="shared" ca="1" si="167"/>
        <v>-283455195037.81366</v>
      </c>
      <c r="M3562" s="471">
        <f t="shared" si="169"/>
        <v>0.05</v>
      </c>
      <c r="N3562" s="475">
        <f t="shared" si="170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68"/>
        <v>-283455195037.81366</v>
      </c>
      <c r="J3563" s="455">
        <f t="array" ref="J3563">IFERROR(INDEX('Retirement Calculator'!J:J,MATCH('Isaac 401k'!N3563,'Retirement Calculator'!A:A,0),0),0)</f>
        <v>0</v>
      </c>
      <c r="K3563" s="455">
        <f t="shared" ca="1" si="166"/>
        <v>-1181063312.657557</v>
      </c>
      <c r="L3563" s="455">
        <f t="shared" ca="1" si="167"/>
        <v>-284636258350.47119</v>
      </c>
      <c r="M3563" s="471">
        <f t="shared" si="169"/>
        <v>0.05</v>
      </c>
      <c r="N3563" s="475">
        <f t="shared" si="170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68"/>
        <v>-284636258350.47119</v>
      </c>
      <c r="J3564" s="455">
        <f t="array" ref="J3564">IFERROR(INDEX('Retirement Calculator'!J:J,MATCH('Isaac 401k'!N3564,'Retirement Calculator'!A:A,0),0),0)</f>
        <v>0</v>
      </c>
      <c r="K3564" s="455">
        <f t="shared" ca="1" si="166"/>
        <v>-1185984409.7936299</v>
      </c>
      <c r="L3564" s="455">
        <f t="shared" ca="1" si="167"/>
        <v>-285822242760.26483</v>
      </c>
      <c r="M3564" s="471">
        <f t="shared" si="169"/>
        <v>0.05</v>
      </c>
      <c r="N3564" s="475">
        <f t="shared" si="170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68"/>
        <v>-285822242760.26483</v>
      </c>
      <c r="J3565" s="455">
        <f t="array" ref="J3565">IFERROR(INDEX('Retirement Calculator'!J:J,MATCH('Isaac 401k'!N3565,'Retirement Calculator'!A:A,0),0),0)</f>
        <v>0</v>
      </c>
      <c r="K3565" s="455">
        <f t="shared" ca="1" si="166"/>
        <v>-1190926011.5011034</v>
      </c>
      <c r="L3565" s="455">
        <f t="shared" ca="1" si="167"/>
        <v>-287013168771.76593</v>
      </c>
      <c r="M3565" s="471">
        <f t="shared" si="169"/>
        <v>0.05</v>
      </c>
      <c r="N3565" s="475">
        <f t="shared" si="170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68"/>
        <v>-287013168771.76593</v>
      </c>
      <c r="J3566" s="455">
        <f t="array" ref="J3566">IFERROR(INDEX('Retirement Calculator'!J:J,MATCH('Isaac 401k'!N3566,'Retirement Calculator'!A:A,0),0),0)</f>
        <v>0</v>
      </c>
      <c r="K3566" s="455">
        <f t="shared" ca="1" si="166"/>
        <v>-1195888203.2156913</v>
      </c>
      <c r="L3566" s="455">
        <f t="shared" ca="1" si="167"/>
        <v>-288209056974.98163</v>
      </c>
      <c r="M3566" s="471">
        <f t="shared" si="169"/>
        <v>0.05</v>
      </c>
      <c r="N3566" s="475">
        <f t="shared" si="170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68"/>
        <v>-288209056974.98163</v>
      </c>
      <c r="J3567" s="455">
        <f t="array" ref="J3567">IFERROR(INDEX('Retirement Calculator'!J:J,MATCH('Isaac 401k'!N3567,'Retirement Calculator'!A:A,0),0),0)</f>
        <v>0</v>
      </c>
      <c r="K3567" s="455">
        <f t="shared" ca="1" si="166"/>
        <v>-1200871070.7290902</v>
      </c>
      <c r="L3567" s="455">
        <f t="shared" ca="1" si="167"/>
        <v>-289409928045.71069</v>
      </c>
      <c r="M3567" s="471">
        <f t="shared" si="169"/>
        <v>0.05</v>
      </c>
      <c r="N3567" s="475">
        <f t="shared" si="170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68"/>
        <v>-289409928045.71069</v>
      </c>
      <c r="J3568" s="455">
        <f t="array" ref="J3568">IFERROR(INDEX('Retirement Calculator'!J:J,MATCH('Isaac 401k'!N3568,'Retirement Calculator'!A:A,0),0),0)</f>
        <v>0</v>
      </c>
      <c r="K3568" s="455">
        <f t="shared" ca="1" si="166"/>
        <v>-1205874700.1904612</v>
      </c>
      <c r="L3568" s="455">
        <f t="shared" ca="1" si="167"/>
        <v>-290615802745.90118</v>
      </c>
      <c r="M3568" s="471">
        <f t="shared" si="169"/>
        <v>0.05</v>
      </c>
      <c r="N3568" s="475">
        <f t="shared" si="170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68"/>
        <v>-290615802745.90118</v>
      </c>
      <c r="J3569" s="455">
        <f t="array" ref="J3569">IFERROR(INDEX('Retirement Calculator'!J:J,MATCH('Isaac 401k'!N3569,'Retirement Calculator'!A:A,0),0),0)</f>
        <v>0</v>
      </c>
      <c r="K3569" s="455">
        <f t="shared" ca="1" si="166"/>
        <v>-1210899178.1079216</v>
      </c>
      <c r="L3569" s="455">
        <f t="shared" ca="1" si="167"/>
        <v>-291826701924.00909</v>
      </c>
      <c r="M3569" s="471">
        <f t="shared" si="169"/>
        <v>0.05</v>
      </c>
      <c r="N3569" s="475">
        <f t="shared" si="170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68"/>
        <v>-291826701924.00909</v>
      </c>
      <c r="J3570" s="455">
        <f t="array" ref="J3570">IFERROR(INDEX('Retirement Calculator'!J:J,MATCH('Isaac 401k'!N3570,'Retirement Calculator'!A:A,0),0),0)</f>
        <v>0</v>
      </c>
      <c r="K3570" s="455">
        <f t="shared" ca="1" si="166"/>
        <v>-1215944591.3500378</v>
      </c>
      <c r="L3570" s="455">
        <f t="shared" ca="1" si="167"/>
        <v>-293042646515.35913</v>
      </c>
      <c r="M3570" s="471">
        <f t="shared" si="169"/>
        <v>0.05</v>
      </c>
      <c r="N3570" s="475">
        <f t="shared" si="170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68"/>
        <v>-293042646515.35913</v>
      </c>
      <c r="J3571" s="455">
        <f t="array" ref="J3571">IFERROR(INDEX('Retirement Calculator'!J:J,MATCH('Isaac 401k'!N3571,'Retirement Calculator'!A:A,0),0),0)</f>
        <v>0</v>
      </c>
      <c r="K3571" s="455">
        <f t="shared" ca="1" si="166"/>
        <v>-1221011027.1473298</v>
      </c>
      <c r="L3571" s="455">
        <f t="shared" ca="1" si="167"/>
        <v>-294263657542.50647</v>
      </c>
      <c r="M3571" s="471">
        <f t="shared" si="169"/>
        <v>0.05</v>
      </c>
      <c r="N3571" s="475">
        <f t="shared" si="170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68"/>
        <v>-294263657542.50647</v>
      </c>
      <c r="J3572" s="455">
        <f t="array" ref="J3572">IFERROR(INDEX('Retirement Calculator'!J:J,MATCH('Isaac 401k'!N3572,'Retirement Calculator'!A:A,0),0),0)</f>
        <v>0</v>
      </c>
      <c r="K3572" s="455">
        <f t="shared" ca="1" si="166"/>
        <v>-1226098573.0937769</v>
      </c>
      <c r="L3572" s="455">
        <f t="shared" ca="1" si="167"/>
        <v>-295489756115.60022</v>
      </c>
      <c r="M3572" s="471">
        <f t="shared" si="169"/>
        <v>0.05</v>
      </c>
      <c r="N3572" s="475">
        <f t="shared" si="170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68"/>
        <v>-295489756115.60022</v>
      </c>
      <c r="J3573" s="455">
        <f t="array" ref="J3573">IFERROR(INDEX('Retirement Calculator'!J:J,MATCH('Isaac 401k'!N3573,'Retirement Calculator'!A:A,0),0),0)</f>
        <v>0</v>
      </c>
      <c r="K3573" s="455">
        <f t="shared" ca="1" si="166"/>
        <v>-1231207317.1483343</v>
      </c>
      <c r="L3573" s="455">
        <f t="shared" ca="1" si="167"/>
        <v>-296720963432.74854</v>
      </c>
      <c r="M3573" s="471">
        <f t="shared" si="169"/>
        <v>0.05</v>
      </c>
      <c r="N3573" s="475">
        <f t="shared" si="170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68"/>
        <v>-296720963432.74854</v>
      </c>
      <c r="J3574" s="455">
        <f t="array" ref="J3574">IFERROR(INDEX('Retirement Calculator'!J:J,MATCH('Isaac 401k'!N3574,'Retirement Calculator'!A:A,0),0),0)</f>
        <v>0</v>
      </c>
      <c r="K3574" s="455">
        <f t="shared" ca="1" si="166"/>
        <v>-1236337347.6364522</v>
      </c>
      <c r="L3574" s="455">
        <f t="shared" ca="1" si="167"/>
        <v>-297957300780.38501</v>
      </c>
      <c r="M3574" s="471">
        <f t="shared" si="169"/>
        <v>0.05</v>
      </c>
      <c r="N3574" s="475">
        <f t="shared" si="170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68"/>
        <v>-297957300780.38501</v>
      </c>
      <c r="J3575" s="455">
        <f t="array" ref="J3575">IFERROR(INDEX('Retirement Calculator'!J:J,MATCH('Isaac 401k'!N3575,'Retirement Calculator'!A:A,0),0),0)</f>
        <v>0</v>
      </c>
      <c r="K3575" s="455">
        <f t="shared" ca="1" si="166"/>
        <v>-1241488753.2516041</v>
      </c>
      <c r="L3575" s="455">
        <f t="shared" ca="1" si="167"/>
        <v>-299198789533.6366</v>
      </c>
      <c r="M3575" s="471">
        <f t="shared" si="169"/>
        <v>0.05</v>
      </c>
      <c r="N3575" s="475">
        <f t="shared" si="170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68"/>
        <v>-299198789533.6366</v>
      </c>
      <c r="J3576" s="455">
        <f t="array" ref="J3576">IFERROR(INDEX('Retirement Calculator'!J:J,MATCH('Isaac 401k'!N3576,'Retirement Calculator'!A:A,0),0),0)</f>
        <v>0</v>
      </c>
      <c r="K3576" s="455">
        <f t="shared" ca="1" si="166"/>
        <v>-1246661623.0568192</v>
      </c>
      <c r="L3576" s="455">
        <f t="shared" ca="1" si="167"/>
        <v>-300445451156.69342</v>
      </c>
      <c r="M3576" s="471">
        <f t="shared" si="169"/>
        <v>0.05</v>
      </c>
      <c r="N3576" s="475">
        <f t="shared" si="170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68"/>
        <v>-300445451156.69342</v>
      </c>
      <c r="J3577" s="455">
        <f t="array" ref="J3577">IFERROR(INDEX('Retirement Calculator'!J:J,MATCH('Isaac 401k'!N3577,'Retirement Calculator'!A:A,0),0),0)</f>
        <v>0</v>
      </c>
      <c r="K3577" s="455">
        <f t="shared" ca="1" si="166"/>
        <v>-1251856046.4862225</v>
      </c>
      <c r="L3577" s="455">
        <f t="shared" ca="1" si="167"/>
        <v>-301697307203.17963</v>
      </c>
      <c r="M3577" s="471">
        <f t="shared" si="169"/>
        <v>0.05</v>
      </c>
      <c r="N3577" s="475">
        <f t="shared" si="170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68"/>
        <v>-301697307203.17963</v>
      </c>
      <c r="J3578" s="455">
        <f t="array" ref="J3578">IFERROR(INDEX('Retirement Calculator'!J:J,MATCH('Isaac 401k'!N3578,'Retirement Calculator'!A:A,0),0),0)</f>
        <v>0</v>
      </c>
      <c r="K3578" s="455">
        <f t="shared" ref="K3578:K3832" ca="1" si="171">IPMT(M3578/12,1,12,-I3578+J3578,,0)</f>
        <v>-1257072113.3465817</v>
      </c>
      <c r="L3578" s="455">
        <f t="shared" ref="L3578:L3832" ca="1" si="172">I3578-J3578+K3578</f>
        <v>-302954379316.52618</v>
      </c>
      <c r="M3578" s="471">
        <f t="shared" si="169"/>
        <v>0.05</v>
      </c>
      <c r="N3578" s="475">
        <f t="shared" si="170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73">L3578</f>
        <v>-302954379316.52618</v>
      </c>
      <c r="J3579" s="455">
        <f t="array" ref="J3579">IFERROR(INDEX('Retirement Calculator'!J:J,MATCH('Isaac 401k'!N3579,'Retirement Calculator'!A:A,0),0),0)</f>
        <v>0</v>
      </c>
      <c r="K3579" s="455">
        <f t="shared" ca="1" si="171"/>
        <v>-1262309913.8188591</v>
      </c>
      <c r="L3579" s="455">
        <f t="shared" ca="1" si="172"/>
        <v>-304216689230.34503</v>
      </c>
      <c r="M3579" s="471">
        <f t="shared" ref="M3579:M3833" si="174">M3578</f>
        <v>0.05</v>
      </c>
      <c r="N3579" s="475">
        <f t="shared" ref="N3579:N3833" si="175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73"/>
        <v>-304216689230.34503</v>
      </c>
      <c r="J3580" s="455">
        <f t="array" ref="J3580">IFERROR(INDEX('Retirement Calculator'!J:J,MATCH('Isaac 401k'!N3580,'Retirement Calculator'!A:A,0),0),0)</f>
        <v>0</v>
      </c>
      <c r="K3580" s="455">
        <f t="shared" ca="1" si="171"/>
        <v>-1267569538.4597709</v>
      </c>
      <c r="L3580" s="455">
        <f t="shared" ca="1" si="172"/>
        <v>-305484258768.80481</v>
      </c>
      <c r="M3580" s="471">
        <f t="shared" si="174"/>
        <v>0.05</v>
      </c>
      <c r="N3580" s="475">
        <f t="shared" si="175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73"/>
        <v>-305484258768.80481</v>
      </c>
      <c r="J3581" s="455">
        <f t="array" ref="J3581">IFERROR(INDEX('Retirement Calculator'!J:J,MATCH('Isaac 401k'!N3581,'Retirement Calculator'!A:A,0),0),0)</f>
        <v>0</v>
      </c>
      <c r="K3581" s="455">
        <f t="shared" ca="1" si="171"/>
        <v>-1272851078.2033534</v>
      </c>
      <c r="L3581" s="455">
        <f t="shared" ca="1" si="172"/>
        <v>-306757109847.00818</v>
      </c>
      <c r="M3581" s="471">
        <f t="shared" si="174"/>
        <v>0.05</v>
      </c>
      <c r="N3581" s="475">
        <f t="shared" si="175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73"/>
        <v>-306757109847.00818</v>
      </c>
      <c r="J3582" s="455">
        <f t="array" ref="J3582">IFERROR(INDEX('Retirement Calculator'!J:J,MATCH('Isaac 401k'!N3582,'Retirement Calculator'!A:A,0),0),0)</f>
        <v>0</v>
      </c>
      <c r="K3582" s="455">
        <f t="shared" ca="1" si="171"/>
        <v>-1278154624.362534</v>
      </c>
      <c r="L3582" s="455">
        <f t="shared" ca="1" si="172"/>
        <v>-308035264471.37073</v>
      </c>
      <c r="M3582" s="471">
        <f t="shared" si="174"/>
        <v>0.05</v>
      </c>
      <c r="N3582" s="475">
        <f t="shared" si="175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73"/>
        <v>-308035264471.37073</v>
      </c>
      <c r="J3583" s="455">
        <f t="array" ref="J3583">IFERROR(INDEX('Retirement Calculator'!J:J,MATCH('Isaac 401k'!N3583,'Retirement Calculator'!A:A,0),0),0)</f>
        <v>0</v>
      </c>
      <c r="K3583" s="455">
        <f t="shared" ca="1" si="171"/>
        <v>-1283480268.6307113</v>
      </c>
      <c r="L3583" s="455">
        <f t="shared" ca="1" si="172"/>
        <v>-309318744740.00146</v>
      </c>
      <c r="M3583" s="471">
        <f t="shared" si="174"/>
        <v>0.05</v>
      </c>
      <c r="N3583" s="475">
        <f t="shared" si="175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73"/>
        <v>-309318744740.00146</v>
      </c>
      <c r="J3584" s="455">
        <f t="array" ref="J3584">IFERROR(INDEX('Retirement Calculator'!J:J,MATCH('Isaac 401k'!N3584,'Retirement Calculator'!A:A,0),0),0)</f>
        <v>0</v>
      </c>
      <c r="K3584" s="455">
        <f t="shared" ca="1" si="171"/>
        <v>-1288828103.0833395</v>
      </c>
      <c r="L3584" s="455">
        <f t="shared" ca="1" si="172"/>
        <v>-310607572843.08478</v>
      </c>
      <c r="M3584" s="471">
        <f t="shared" si="174"/>
        <v>0.05</v>
      </c>
      <c r="N3584" s="475">
        <f t="shared" si="175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73"/>
        <v>-310607572843.08478</v>
      </c>
      <c r="J3585" s="455">
        <f t="array" ref="J3585">IFERROR(INDEX('Retirement Calculator'!J:J,MATCH('Isaac 401k'!N3585,'Retirement Calculator'!A:A,0),0),0)</f>
        <v>0</v>
      </c>
      <c r="K3585" s="455">
        <f t="shared" ca="1" si="171"/>
        <v>-1294198220.1795199</v>
      </c>
      <c r="L3585" s="455">
        <f t="shared" ca="1" si="172"/>
        <v>-311901771063.26428</v>
      </c>
      <c r="M3585" s="471">
        <f t="shared" si="174"/>
        <v>0.05</v>
      </c>
      <c r="N3585" s="475">
        <f t="shared" si="175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73"/>
        <v>-311901771063.26428</v>
      </c>
      <c r="J3586" s="455">
        <f t="array" ref="J3586">IFERROR(INDEX('Retirement Calculator'!J:J,MATCH('Isaac 401k'!N3586,'Retirement Calculator'!A:A,0),0),0)</f>
        <v>0</v>
      </c>
      <c r="K3586" s="455">
        <f t="shared" ca="1" si="171"/>
        <v>-1299590712.7636011</v>
      </c>
      <c r="L3586" s="455">
        <f t="shared" ca="1" si="172"/>
        <v>-313201361776.02789</v>
      </c>
      <c r="M3586" s="471">
        <f t="shared" si="174"/>
        <v>0.05</v>
      </c>
      <c r="N3586" s="475">
        <f t="shared" si="175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73"/>
        <v>-313201361776.02789</v>
      </c>
      <c r="J3587" s="455">
        <f t="array" ref="J3587">IFERROR(INDEX('Retirement Calculator'!J:J,MATCH('Isaac 401k'!N3587,'Retirement Calculator'!A:A,0),0),0)</f>
        <v>0</v>
      </c>
      <c r="K3587" s="455">
        <f t="shared" ca="1" si="171"/>
        <v>-1305005674.066783</v>
      </c>
      <c r="L3587" s="455">
        <f t="shared" ca="1" si="172"/>
        <v>-314506367450.09467</v>
      </c>
      <c r="M3587" s="471">
        <f t="shared" si="174"/>
        <v>0.05</v>
      </c>
      <c r="N3587" s="475">
        <f t="shared" si="175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73"/>
        <v>-314506367450.09467</v>
      </c>
      <c r="J3588" s="455">
        <f t="array" ref="J3588">IFERROR(INDEX('Retirement Calculator'!J:J,MATCH('Isaac 401k'!N3588,'Retirement Calculator'!A:A,0),0),0)</f>
        <v>0</v>
      </c>
      <c r="K3588" s="455">
        <f t="shared" ca="1" si="171"/>
        <v>-1310443197.7087278</v>
      </c>
      <c r="L3588" s="455">
        <f t="shared" ca="1" si="172"/>
        <v>-315816810647.80341</v>
      </c>
      <c r="M3588" s="471">
        <f t="shared" si="174"/>
        <v>0.05</v>
      </c>
      <c r="N3588" s="475">
        <f t="shared" si="175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73"/>
        <v>-315816810647.80341</v>
      </c>
      <c r="J3589" s="455">
        <f t="array" ref="J3589">IFERROR(INDEX('Retirement Calculator'!J:J,MATCH('Isaac 401k'!N3589,'Retirement Calculator'!A:A,0),0),0)</f>
        <v>0</v>
      </c>
      <c r="K3589" s="455">
        <f t="shared" ca="1" si="171"/>
        <v>-1315903377.6991808</v>
      </c>
      <c r="L3589" s="455">
        <f t="shared" ca="1" si="172"/>
        <v>-317132714025.50256</v>
      </c>
      <c r="M3589" s="471">
        <f t="shared" si="174"/>
        <v>0.05</v>
      </c>
      <c r="N3589" s="475">
        <f t="shared" si="175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73"/>
        <v>-317132714025.50256</v>
      </c>
      <c r="J3590" s="455">
        <f t="array" ref="J3590">IFERROR(INDEX('Retirement Calculator'!J:J,MATCH('Isaac 401k'!N3590,'Retirement Calculator'!A:A,0),0),0)</f>
        <v>0</v>
      </c>
      <c r="K3590" s="455">
        <f t="shared" ca="1" si="171"/>
        <v>-1321386308.439594</v>
      </c>
      <c r="L3590" s="455">
        <f t="shared" ca="1" si="172"/>
        <v>-318454100333.94214</v>
      </c>
      <c r="M3590" s="471">
        <f t="shared" si="174"/>
        <v>0.05</v>
      </c>
      <c r="N3590" s="475">
        <f t="shared" si="175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73"/>
        <v>-318454100333.94214</v>
      </c>
      <c r="J3591" s="455">
        <f t="array" ref="J3591">IFERROR(INDEX('Retirement Calculator'!J:J,MATCH('Isaac 401k'!N3591,'Retirement Calculator'!A:A,0),0),0)</f>
        <v>0</v>
      </c>
      <c r="K3591" s="455">
        <f t="shared" ca="1" si="171"/>
        <v>-1326892084.7247589</v>
      </c>
      <c r="L3591" s="455">
        <f t="shared" ca="1" si="172"/>
        <v>-319780992418.66687</v>
      </c>
      <c r="M3591" s="471">
        <f t="shared" si="174"/>
        <v>0.05</v>
      </c>
      <c r="N3591" s="475">
        <f t="shared" si="175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73"/>
        <v>-319780992418.66687</v>
      </c>
      <c r="J3592" s="455">
        <f t="array" ref="J3592">IFERROR(INDEX('Retirement Calculator'!J:J,MATCH('Isaac 401k'!N3592,'Retirement Calculator'!A:A,0),0),0)</f>
        <v>0</v>
      </c>
      <c r="K3592" s="455">
        <f t="shared" ca="1" si="171"/>
        <v>-1332420801.7444453</v>
      </c>
      <c r="L3592" s="455">
        <f t="shared" ca="1" si="172"/>
        <v>-321113413220.41132</v>
      </c>
      <c r="M3592" s="471">
        <f t="shared" si="174"/>
        <v>0.05</v>
      </c>
      <c r="N3592" s="475">
        <f t="shared" si="175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73"/>
        <v>-321113413220.41132</v>
      </c>
      <c r="J3593" s="455">
        <f t="array" ref="J3593">IFERROR(INDEX('Retirement Calculator'!J:J,MATCH('Isaac 401k'!N3593,'Retirement Calculator'!A:A,0),0),0)</f>
        <v>0</v>
      </c>
      <c r="K3593" s="455">
        <f t="shared" ca="1" si="171"/>
        <v>-1337972555.0850472</v>
      </c>
      <c r="L3593" s="455">
        <f t="shared" ca="1" si="172"/>
        <v>-322451385775.49634</v>
      </c>
      <c r="M3593" s="471">
        <f t="shared" si="174"/>
        <v>0.05</v>
      </c>
      <c r="N3593" s="475">
        <f t="shared" si="175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73"/>
        <v>-322451385775.49634</v>
      </c>
      <c r="J3594" s="455">
        <f t="array" ref="J3594">IFERROR(INDEX('Retirement Calculator'!J:J,MATCH('Isaac 401k'!N3594,'Retirement Calculator'!A:A,0),0),0)</f>
        <v>0</v>
      </c>
      <c r="K3594" s="455">
        <f t="shared" ca="1" si="171"/>
        <v>-1343547440.7312348</v>
      </c>
      <c r="L3594" s="455">
        <f t="shared" ca="1" si="172"/>
        <v>-323794933216.2276</v>
      </c>
      <c r="M3594" s="471">
        <f t="shared" si="174"/>
        <v>0.05</v>
      </c>
      <c r="N3594" s="475">
        <f t="shared" si="175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73"/>
        <v>-323794933216.2276</v>
      </c>
      <c r="J3595" s="455">
        <f t="array" ref="J3595">IFERROR(INDEX('Retirement Calculator'!J:J,MATCH('Isaac 401k'!N3595,'Retirement Calculator'!A:A,0),0),0)</f>
        <v>0</v>
      </c>
      <c r="K3595" s="455">
        <f t="shared" ca="1" si="171"/>
        <v>-1349145555.067615</v>
      </c>
      <c r="L3595" s="455">
        <f t="shared" ca="1" si="172"/>
        <v>-325144078771.29523</v>
      </c>
      <c r="M3595" s="471">
        <f t="shared" si="174"/>
        <v>0.05</v>
      </c>
      <c r="N3595" s="475">
        <f t="shared" si="175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73"/>
        <v>-325144078771.29523</v>
      </c>
      <c r="J3596" s="455">
        <f t="array" ref="J3596">IFERROR(INDEX('Retirement Calculator'!J:J,MATCH('Isaac 401k'!N3596,'Retirement Calculator'!A:A,0),0),0)</f>
        <v>0</v>
      </c>
      <c r="K3596" s="455">
        <f t="shared" ca="1" si="171"/>
        <v>-1354766994.8803968</v>
      </c>
      <c r="L3596" s="455">
        <f t="shared" ca="1" si="172"/>
        <v>-326498845766.1756</v>
      </c>
      <c r="M3596" s="471">
        <f t="shared" si="174"/>
        <v>0.05</v>
      </c>
      <c r="N3596" s="475">
        <f t="shared" si="175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73"/>
        <v>-326498845766.1756</v>
      </c>
      <c r="J3597" s="455">
        <f t="array" ref="J3597">IFERROR(INDEX('Retirement Calculator'!J:J,MATCH('Isaac 401k'!N3597,'Retirement Calculator'!A:A,0),0),0)</f>
        <v>0</v>
      </c>
      <c r="K3597" s="455">
        <f t="shared" ca="1" si="171"/>
        <v>-1360411857.3590651</v>
      </c>
      <c r="L3597" s="455">
        <f t="shared" ca="1" si="172"/>
        <v>-327859257623.53467</v>
      </c>
      <c r="M3597" s="471">
        <f t="shared" si="174"/>
        <v>0.05</v>
      </c>
      <c r="N3597" s="475">
        <f t="shared" si="175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73"/>
        <v>-327859257623.53467</v>
      </c>
      <c r="J3598" s="455">
        <f t="array" ref="J3598">IFERROR(INDEX('Retirement Calculator'!J:J,MATCH('Isaac 401k'!N3598,'Retirement Calculator'!A:A,0),0),0)</f>
        <v>0</v>
      </c>
      <c r="K3598" s="455">
        <f t="shared" ca="1" si="171"/>
        <v>-1366080240.0980611</v>
      </c>
      <c r="L3598" s="455">
        <f t="shared" ca="1" si="172"/>
        <v>-329225337863.63275</v>
      </c>
      <c r="M3598" s="471">
        <f t="shared" si="174"/>
        <v>0.05</v>
      </c>
      <c r="N3598" s="475">
        <f t="shared" si="175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73"/>
        <v>-329225337863.63275</v>
      </c>
      <c r="J3599" s="455">
        <f t="array" ref="J3599">IFERROR(INDEX('Retirement Calculator'!J:J,MATCH('Isaac 401k'!N3599,'Retirement Calculator'!A:A,0),0),0)</f>
        <v>0</v>
      </c>
      <c r="K3599" s="455">
        <f t="shared" ca="1" si="171"/>
        <v>-1371772241.0984697</v>
      </c>
      <c r="L3599" s="455">
        <f t="shared" ca="1" si="172"/>
        <v>-330597110104.7312</v>
      </c>
      <c r="M3599" s="471">
        <f t="shared" si="174"/>
        <v>0.05</v>
      </c>
      <c r="N3599" s="475">
        <f t="shared" si="175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73"/>
        <v>-330597110104.7312</v>
      </c>
      <c r="J3600" s="455">
        <f t="array" ref="J3600">IFERROR(INDEX('Retirement Calculator'!J:J,MATCH('Isaac 401k'!N3600,'Retirement Calculator'!A:A,0),0),0)</f>
        <v>0</v>
      </c>
      <c r="K3600" s="455">
        <f t="shared" ca="1" si="171"/>
        <v>-1377487958.7697134</v>
      </c>
      <c r="L3600" s="455">
        <f t="shared" ca="1" si="172"/>
        <v>-331974598063.50092</v>
      </c>
      <c r="M3600" s="471">
        <f t="shared" si="174"/>
        <v>0.05</v>
      </c>
      <c r="N3600" s="475">
        <f t="shared" si="175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73"/>
        <v>-331974598063.50092</v>
      </c>
      <c r="J3601" s="455">
        <f t="array" ref="J3601">IFERROR(INDEX('Retirement Calculator'!J:J,MATCH('Isaac 401k'!N3601,'Retirement Calculator'!A:A,0),0),0)</f>
        <v>0</v>
      </c>
      <c r="K3601" s="455">
        <f t="shared" ca="1" si="171"/>
        <v>-1383227491.9312539</v>
      </c>
      <c r="L3601" s="455">
        <f t="shared" ca="1" si="172"/>
        <v>-333357825555.43219</v>
      </c>
      <c r="M3601" s="471">
        <f t="shared" si="174"/>
        <v>0.05</v>
      </c>
      <c r="N3601" s="475">
        <f t="shared" si="175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73"/>
        <v>-333357825555.43219</v>
      </c>
      <c r="J3602" s="455">
        <f t="array" ref="J3602">IFERROR(INDEX('Retirement Calculator'!J:J,MATCH('Isaac 401k'!N3602,'Retirement Calculator'!A:A,0),0),0)</f>
        <v>0</v>
      </c>
      <c r="K3602" s="455">
        <f t="shared" ca="1" si="171"/>
        <v>-1388990939.8143008</v>
      </c>
      <c r="L3602" s="455">
        <f t="shared" ca="1" si="172"/>
        <v>-334746816495.24652</v>
      </c>
      <c r="M3602" s="471">
        <f t="shared" si="174"/>
        <v>0.05</v>
      </c>
      <c r="N3602" s="475">
        <f t="shared" si="175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73"/>
        <v>-334746816495.24652</v>
      </c>
      <c r="J3603" s="455">
        <f t="array" ref="J3603">IFERROR(INDEX('Retirement Calculator'!J:J,MATCH('Isaac 401k'!N3603,'Retirement Calculator'!A:A,0),0),0)</f>
        <v>0</v>
      </c>
      <c r="K3603" s="455">
        <f t="shared" ca="1" si="171"/>
        <v>-1394778402.0635271</v>
      </c>
      <c r="L3603" s="455">
        <f t="shared" ca="1" si="172"/>
        <v>-336141594897.31006</v>
      </c>
      <c r="M3603" s="471">
        <f t="shared" si="174"/>
        <v>0.05</v>
      </c>
      <c r="N3603" s="475">
        <f t="shared" si="175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73"/>
        <v>-336141594897.31006</v>
      </c>
      <c r="J3604" s="455">
        <f t="array" ref="J3604">IFERROR(INDEX('Retirement Calculator'!J:J,MATCH('Isaac 401k'!N3604,'Retirement Calculator'!A:A,0),0),0)</f>
        <v>0</v>
      </c>
      <c r="K3604" s="455">
        <f t="shared" ca="1" si="171"/>
        <v>-1400589978.7387919</v>
      </c>
      <c r="L3604" s="455">
        <f t="shared" ca="1" si="172"/>
        <v>-337542184876.04883</v>
      </c>
      <c r="M3604" s="471">
        <f t="shared" si="174"/>
        <v>0.05</v>
      </c>
      <c r="N3604" s="475">
        <f t="shared" si="175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73"/>
        <v>-337542184876.04883</v>
      </c>
      <c r="J3605" s="455">
        <f t="array" ref="J3605">IFERROR(INDEX('Retirement Calculator'!J:J,MATCH('Isaac 401k'!N3605,'Retirement Calculator'!A:A,0),0),0)</f>
        <v>0</v>
      </c>
      <c r="K3605" s="455">
        <f t="shared" ca="1" si="171"/>
        <v>-1406425770.3168702</v>
      </c>
      <c r="L3605" s="455">
        <f t="shared" ca="1" si="172"/>
        <v>-338948610646.36572</v>
      </c>
      <c r="M3605" s="471">
        <f t="shared" si="174"/>
        <v>0.05</v>
      </c>
      <c r="N3605" s="475">
        <f t="shared" si="175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73"/>
        <v>-338948610646.36572</v>
      </c>
      <c r="J3606" s="455">
        <f t="array" ref="J3606">IFERROR(INDEX('Retirement Calculator'!J:J,MATCH('Isaac 401k'!N3606,'Retirement Calculator'!A:A,0),0),0)</f>
        <v>0</v>
      </c>
      <c r="K3606" s="455">
        <f t="shared" ca="1" si="171"/>
        <v>-1412285877.6931906</v>
      </c>
      <c r="L3606" s="455">
        <f t="shared" ca="1" si="172"/>
        <v>-340360896524.0589</v>
      </c>
      <c r="M3606" s="471">
        <f t="shared" si="174"/>
        <v>0.05</v>
      </c>
      <c r="N3606" s="475">
        <f t="shared" si="175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73"/>
        <v>-340360896524.0589</v>
      </c>
      <c r="J3607" s="455">
        <f t="array" ref="J3607">IFERROR(INDEX('Retirement Calculator'!J:J,MATCH('Isaac 401k'!N3607,'Retirement Calculator'!A:A,0),0),0)</f>
        <v>0</v>
      </c>
      <c r="K3607" s="455">
        <f t="shared" ca="1" si="171"/>
        <v>-1418170402.1835787</v>
      </c>
      <c r="L3607" s="455">
        <f t="shared" ca="1" si="172"/>
        <v>-341779066926.24249</v>
      </c>
      <c r="M3607" s="471">
        <f t="shared" si="174"/>
        <v>0.05</v>
      </c>
      <c r="N3607" s="475">
        <f t="shared" si="175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73"/>
        <v>-341779066926.24249</v>
      </c>
      <c r="J3608" s="455">
        <f t="array" ref="J3608">IFERROR(INDEX('Retirement Calculator'!J:J,MATCH('Isaac 401k'!N3608,'Retirement Calculator'!A:A,0),0),0)</f>
        <v>0</v>
      </c>
      <c r="K3608" s="455">
        <f t="shared" ca="1" si="171"/>
        <v>-1424079445.5260103</v>
      </c>
      <c r="L3608" s="455">
        <f t="shared" ca="1" si="172"/>
        <v>-343203146371.76849</v>
      </c>
      <c r="M3608" s="471">
        <f t="shared" si="174"/>
        <v>0.05</v>
      </c>
      <c r="N3608" s="475">
        <f t="shared" si="175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73"/>
        <v>-343203146371.76849</v>
      </c>
      <c r="J3609" s="455">
        <f t="array" ref="J3609">IFERROR(INDEX('Retirement Calculator'!J:J,MATCH('Isaac 401k'!N3609,'Retirement Calculator'!A:A,0),0),0)</f>
        <v>0</v>
      </c>
      <c r="K3609" s="455">
        <f t="shared" ca="1" si="171"/>
        <v>-1430013109.8823688</v>
      </c>
      <c r="L3609" s="455">
        <f t="shared" ca="1" si="172"/>
        <v>-344633159481.65088</v>
      </c>
      <c r="M3609" s="471">
        <f t="shared" si="174"/>
        <v>0.05</v>
      </c>
      <c r="N3609" s="475">
        <f t="shared" si="175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73"/>
        <v>-344633159481.65088</v>
      </c>
      <c r="J3610" s="455">
        <f t="array" ref="J3610">IFERROR(INDEX('Retirement Calculator'!J:J,MATCH('Isaac 401k'!N3610,'Retirement Calculator'!A:A,0),0),0)</f>
        <v>0</v>
      </c>
      <c r="K3610" s="455">
        <f t="shared" ca="1" si="171"/>
        <v>-1435971497.8402119</v>
      </c>
      <c r="L3610" s="455">
        <f t="shared" ca="1" si="172"/>
        <v>-346069130979.49109</v>
      </c>
      <c r="M3610" s="471">
        <f t="shared" si="174"/>
        <v>0.05</v>
      </c>
      <c r="N3610" s="475">
        <f t="shared" si="175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73"/>
        <v>-346069130979.49109</v>
      </c>
      <c r="J3611" s="455">
        <f t="array" ref="J3611">IFERROR(INDEX('Retirement Calculator'!J:J,MATCH('Isaac 401k'!N3611,'Retirement Calculator'!A:A,0),0),0)</f>
        <v>0</v>
      </c>
      <c r="K3611" s="455">
        <f t="shared" ca="1" si="171"/>
        <v>-1441954712.4145463</v>
      </c>
      <c r="L3611" s="455">
        <f t="shared" ca="1" si="172"/>
        <v>-347511085691.90564</v>
      </c>
      <c r="M3611" s="471">
        <f t="shared" si="174"/>
        <v>0.05</v>
      </c>
      <c r="N3611" s="475">
        <f t="shared" si="175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73"/>
        <v>-347511085691.90564</v>
      </c>
      <c r="J3612" s="455">
        <f t="array" ref="J3612">IFERROR(INDEX('Retirement Calculator'!J:J,MATCH('Isaac 401k'!N3612,'Retirement Calculator'!A:A,0),0),0)</f>
        <v>0</v>
      </c>
      <c r="K3612" s="455">
        <f t="shared" ca="1" si="171"/>
        <v>-1447962857.0496068</v>
      </c>
      <c r="L3612" s="455">
        <f t="shared" ca="1" si="172"/>
        <v>-348959048548.95526</v>
      </c>
      <c r="M3612" s="471">
        <f t="shared" si="174"/>
        <v>0.05</v>
      </c>
      <c r="N3612" s="475">
        <f t="shared" si="175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73"/>
        <v>-348959048548.95526</v>
      </c>
      <c r="J3613" s="455">
        <f t="array" ref="J3613">IFERROR(INDEX('Retirement Calculator'!J:J,MATCH('Isaac 401k'!N3613,'Retirement Calculator'!A:A,0),0),0)</f>
        <v>0</v>
      </c>
      <c r="K3613" s="455">
        <f t="shared" ca="1" si="171"/>
        <v>-1453996035.620647</v>
      </c>
      <c r="L3613" s="455">
        <f t="shared" ca="1" si="172"/>
        <v>-350413044584.57593</v>
      </c>
      <c r="M3613" s="471">
        <f t="shared" si="174"/>
        <v>0.05</v>
      </c>
      <c r="N3613" s="475">
        <f t="shared" si="175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73"/>
        <v>-350413044584.57593</v>
      </c>
      <c r="J3614" s="455">
        <f t="array" ref="J3614">IFERROR(INDEX('Retirement Calculator'!J:J,MATCH('Isaac 401k'!N3614,'Retirement Calculator'!A:A,0),0),0)</f>
        <v>0</v>
      </c>
      <c r="K3614" s="455">
        <f t="shared" ca="1" si="171"/>
        <v>-1460054352.4357331</v>
      </c>
      <c r="L3614" s="455">
        <f t="shared" ca="1" si="172"/>
        <v>-351873098937.01166</v>
      </c>
      <c r="M3614" s="471">
        <f t="shared" si="174"/>
        <v>0.05</v>
      </c>
      <c r="N3614" s="475">
        <f t="shared" si="175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73"/>
        <v>-351873098937.01166</v>
      </c>
      <c r="J3615" s="455">
        <f t="array" ref="J3615">IFERROR(INDEX('Retirement Calculator'!J:J,MATCH('Isaac 401k'!N3615,'Retirement Calculator'!A:A,0),0),0)</f>
        <v>0</v>
      </c>
      <c r="K3615" s="455">
        <f t="shared" ca="1" si="171"/>
        <v>-1466137912.2375486</v>
      </c>
      <c r="L3615" s="455">
        <f t="shared" ca="1" si="172"/>
        <v>-353339236849.24921</v>
      </c>
      <c r="M3615" s="471">
        <f t="shared" si="174"/>
        <v>0.05</v>
      </c>
      <c r="N3615" s="475">
        <f t="shared" si="175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73"/>
        <v>-353339236849.24921</v>
      </c>
      <c r="J3616" s="455">
        <f t="array" ref="J3616">IFERROR(INDEX('Retirement Calculator'!J:J,MATCH('Isaac 401k'!N3616,'Retirement Calculator'!A:A,0),0),0)</f>
        <v>0</v>
      </c>
      <c r="K3616" s="455">
        <f t="shared" ca="1" si="171"/>
        <v>-1472246820.205205</v>
      </c>
      <c r="L3616" s="455">
        <f t="shared" ca="1" si="172"/>
        <v>-354811483669.45441</v>
      </c>
      <c r="M3616" s="471">
        <f t="shared" si="174"/>
        <v>0.05</v>
      </c>
      <c r="N3616" s="475">
        <f t="shared" si="175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73"/>
        <v>-354811483669.45441</v>
      </c>
      <c r="J3617" s="455">
        <f t="array" ref="J3617">IFERROR(INDEX('Retirement Calculator'!J:J,MATCH('Isaac 401k'!N3617,'Retirement Calculator'!A:A,0),0),0)</f>
        <v>0</v>
      </c>
      <c r="K3617" s="455">
        <f t="shared" ca="1" si="171"/>
        <v>-1478381181.9560599</v>
      </c>
      <c r="L3617" s="455">
        <f t="shared" ca="1" si="172"/>
        <v>-356289864851.41046</v>
      </c>
      <c r="M3617" s="471">
        <f t="shared" si="174"/>
        <v>0.05</v>
      </c>
      <c r="N3617" s="475">
        <f t="shared" si="175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73"/>
        <v>-356289864851.41046</v>
      </c>
      <c r="J3618" s="455">
        <f t="array" ref="J3618">IFERROR(INDEX('Retirement Calculator'!J:J,MATCH('Isaac 401k'!N3618,'Retirement Calculator'!A:A,0),0),0)</f>
        <v>0</v>
      </c>
      <c r="K3618" s="455">
        <f t="shared" ca="1" si="171"/>
        <v>-1484541103.5475435</v>
      </c>
      <c r="L3618" s="455">
        <f t="shared" ca="1" si="172"/>
        <v>-357774405954.95801</v>
      </c>
      <c r="M3618" s="471">
        <f t="shared" si="174"/>
        <v>0.05</v>
      </c>
      <c r="N3618" s="475">
        <f t="shared" si="175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73"/>
        <v>-357774405954.95801</v>
      </c>
      <c r="J3619" s="455">
        <f t="array" ref="J3619">IFERROR(INDEX('Retirement Calculator'!J:J,MATCH('Isaac 401k'!N3619,'Retirement Calculator'!A:A,0),0),0)</f>
        <v>0</v>
      </c>
      <c r="K3619" s="455">
        <f t="shared" ca="1" si="171"/>
        <v>-1490726691.4789917</v>
      </c>
      <c r="L3619" s="455">
        <f t="shared" ca="1" si="172"/>
        <v>-359265132646.43701</v>
      </c>
      <c r="M3619" s="471">
        <f t="shared" si="174"/>
        <v>0.05</v>
      </c>
      <c r="N3619" s="475">
        <f t="shared" si="175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73"/>
        <v>-359265132646.43701</v>
      </c>
      <c r="J3620" s="455">
        <f t="array" ref="J3620">IFERROR(INDEX('Retirement Calculator'!J:J,MATCH('Isaac 401k'!N3620,'Retirement Calculator'!A:A,0),0),0)</f>
        <v>0</v>
      </c>
      <c r="K3620" s="455">
        <f t="shared" ca="1" si="171"/>
        <v>-1496938052.6934876</v>
      </c>
      <c r="L3620" s="455">
        <f t="shared" ca="1" si="172"/>
        <v>-360762070699.13049</v>
      </c>
      <c r="M3620" s="471">
        <f t="shared" si="174"/>
        <v>0.05</v>
      </c>
      <c r="N3620" s="475">
        <f t="shared" si="175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73"/>
        <v>-360762070699.13049</v>
      </c>
      <c r="J3621" s="455">
        <f t="array" ref="J3621">IFERROR(INDEX('Retirement Calculator'!J:J,MATCH('Isaac 401k'!N3621,'Retirement Calculator'!A:A,0),0),0)</f>
        <v>0</v>
      </c>
      <c r="K3621" s="455">
        <f t="shared" ca="1" si="171"/>
        <v>-1503175294.5797105</v>
      </c>
      <c r="L3621" s="455">
        <f t="shared" ca="1" si="172"/>
        <v>-362265245993.71021</v>
      </c>
      <c r="M3621" s="471">
        <f t="shared" si="174"/>
        <v>0.05</v>
      </c>
      <c r="N3621" s="475">
        <f t="shared" si="175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73"/>
        <v>-362265245993.71021</v>
      </c>
      <c r="J3622" s="455">
        <f t="array" ref="J3622">IFERROR(INDEX('Retirement Calculator'!J:J,MATCH('Isaac 401k'!N3622,'Retirement Calculator'!A:A,0),0),0)</f>
        <v>0</v>
      </c>
      <c r="K3622" s="455">
        <f t="shared" ca="1" si="171"/>
        <v>-1509438524.9737926</v>
      </c>
      <c r="L3622" s="455">
        <f t="shared" ca="1" si="172"/>
        <v>-363774684518.68402</v>
      </c>
      <c r="M3622" s="471">
        <f t="shared" si="174"/>
        <v>0.05</v>
      </c>
      <c r="N3622" s="475">
        <f t="shared" si="175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73"/>
        <v>-363774684518.68402</v>
      </c>
      <c r="J3623" s="455">
        <f t="array" ref="J3623">IFERROR(INDEX('Retirement Calculator'!J:J,MATCH('Isaac 401k'!N3623,'Retirement Calculator'!A:A,0),0),0)</f>
        <v>0</v>
      </c>
      <c r="K3623" s="455">
        <f t="shared" ca="1" si="171"/>
        <v>-1515727852.1611834</v>
      </c>
      <c r="L3623" s="455">
        <f t="shared" ca="1" si="172"/>
        <v>-365290412370.84521</v>
      </c>
      <c r="M3623" s="471">
        <f t="shared" si="174"/>
        <v>0.05</v>
      </c>
      <c r="N3623" s="475">
        <f t="shared" si="175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73"/>
        <v>-365290412370.84521</v>
      </c>
      <c r="J3624" s="455">
        <f t="array" ref="J3624">IFERROR(INDEX('Retirement Calculator'!J:J,MATCH('Isaac 401k'!N3624,'Retirement Calculator'!A:A,0),0),0)</f>
        <v>0</v>
      </c>
      <c r="K3624" s="455">
        <f t="shared" ca="1" si="171"/>
        <v>-1522043384.8785217</v>
      </c>
      <c r="L3624" s="455">
        <f t="shared" ca="1" si="172"/>
        <v>-366812455755.72375</v>
      </c>
      <c r="M3624" s="471">
        <f t="shared" si="174"/>
        <v>0.05</v>
      </c>
      <c r="N3624" s="475">
        <f t="shared" si="175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73"/>
        <v>-366812455755.72375</v>
      </c>
      <c r="J3625" s="455">
        <f t="array" ref="J3625">IFERROR(INDEX('Retirement Calculator'!J:J,MATCH('Isaac 401k'!N3625,'Retirement Calculator'!A:A,0),0),0)</f>
        <v>0</v>
      </c>
      <c r="K3625" s="455">
        <f t="shared" ca="1" si="171"/>
        <v>-1528385232.3155155</v>
      </c>
      <c r="L3625" s="455">
        <f t="shared" ca="1" si="172"/>
        <v>-368340840988.03925</v>
      </c>
      <c r="M3625" s="471">
        <f t="shared" si="174"/>
        <v>0.05</v>
      </c>
      <c r="N3625" s="475">
        <f t="shared" si="175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73"/>
        <v>-368340840988.03925</v>
      </c>
      <c r="J3626" s="455">
        <f t="array" ref="J3626">IFERROR(INDEX('Retirement Calculator'!J:J,MATCH('Isaac 401k'!N3626,'Retirement Calculator'!A:A,0),0),0)</f>
        <v>0</v>
      </c>
      <c r="K3626" s="455">
        <f t="shared" ca="1" si="171"/>
        <v>-1534753504.1168301</v>
      </c>
      <c r="L3626" s="455">
        <f t="shared" ca="1" si="172"/>
        <v>-369875594492.15607</v>
      </c>
      <c r="M3626" s="471">
        <f t="shared" si="174"/>
        <v>0.05</v>
      </c>
      <c r="N3626" s="475">
        <f t="shared" si="175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73"/>
        <v>-369875594492.15607</v>
      </c>
      <c r="J3627" s="455">
        <f t="array" ref="J3627">IFERROR(INDEX('Retirement Calculator'!J:J,MATCH('Isaac 401k'!N3627,'Retirement Calculator'!A:A,0),0),0)</f>
        <v>0</v>
      </c>
      <c r="K3627" s="455">
        <f t="shared" ca="1" si="171"/>
        <v>-1541148310.3839836</v>
      </c>
      <c r="L3627" s="455">
        <f t="shared" ca="1" si="172"/>
        <v>-371416742802.54004</v>
      </c>
      <c r="M3627" s="471">
        <f t="shared" si="174"/>
        <v>0.05</v>
      </c>
      <c r="N3627" s="475">
        <f t="shared" si="175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73"/>
        <v>-371416742802.54004</v>
      </c>
      <c r="J3628" s="455">
        <f t="array" ref="J3628">IFERROR(INDEX('Retirement Calculator'!J:J,MATCH('Isaac 401k'!N3628,'Retirement Calculator'!A:A,0),0),0)</f>
        <v>0</v>
      </c>
      <c r="K3628" s="455">
        <f t="shared" ca="1" si="171"/>
        <v>-1547569761.6772501</v>
      </c>
      <c r="L3628" s="455">
        <f t="shared" ca="1" si="172"/>
        <v>-372964312564.21729</v>
      </c>
      <c r="M3628" s="471">
        <f t="shared" si="174"/>
        <v>0.05</v>
      </c>
      <c r="N3628" s="475">
        <f t="shared" si="175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73"/>
        <v>-372964312564.21729</v>
      </c>
      <c r="J3629" s="455">
        <f t="array" ref="J3629">IFERROR(INDEX('Retirement Calculator'!J:J,MATCH('Isaac 401k'!N3629,'Retirement Calculator'!A:A,0),0),0)</f>
        <v>0</v>
      </c>
      <c r="K3629" s="455">
        <f t="shared" ca="1" si="171"/>
        <v>-1554017969.0175719</v>
      </c>
      <c r="L3629" s="455">
        <f t="shared" ca="1" si="172"/>
        <v>-374518330533.23486</v>
      </c>
      <c r="M3629" s="471">
        <f t="shared" si="174"/>
        <v>0.05</v>
      </c>
      <c r="N3629" s="475">
        <f t="shared" si="175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73"/>
        <v>-374518330533.23486</v>
      </c>
      <c r="J3630" s="455">
        <f t="array" ref="J3630">IFERROR(INDEX('Retirement Calculator'!J:J,MATCH('Isaac 401k'!N3630,'Retirement Calculator'!A:A,0),0),0)</f>
        <v>0</v>
      </c>
      <c r="K3630" s="455">
        <f t="shared" ca="1" si="171"/>
        <v>-1560493043.8884785</v>
      </c>
      <c r="L3630" s="455">
        <f t="shared" ca="1" si="172"/>
        <v>-376078823577.12335</v>
      </c>
      <c r="M3630" s="471">
        <f t="shared" si="174"/>
        <v>0.05</v>
      </c>
      <c r="N3630" s="475">
        <f t="shared" si="175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73"/>
        <v>-376078823577.12335</v>
      </c>
      <c r="J3631" s="455">
        <f t="array" ref="J3631">IFERROR(INDEX('Retirement Calculator'!J:J,MATCH('Isaac 401k'!N3631,'Retirement Calculator'!A:A,0),0),0)</f>
        <v>0</v>
      </c>
      <c r="K3631" s="455">
        <f t="shared" ca="1" si="171"/>
        <v>-1566995098.238014</v>
      </c>
      <c r="L3631" s="455">
        <f t="shared" ca="1" si="172"/>
        <v>-377645818675.36139</v>
      </c>
      <c r="M3631" s="471">
        <f t="shared" si="174"/>
        <v>0.05</v>
      </c>
      <c r="N3631" s="475">
        <f t="shared" si="175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73"/>
        <v>-377645818675.36139</v>
      </c>
      <c r="J3632" s="455">
        <f t="array" ref="J3632">IFERROR(INDEX('Retirement Calculator'!J:J,MATCH('Isaac 401k'!N3632,'Retirement Calculator'!A:A,0),0),0)</f>
        <v>0</v>
      </c>
      <c r="K3632" s="455">
        <f t="shared" ca="1" si="171"/>
        <v>-1573524244.4806724</v>
      </c>
      <c r="L3632" s="455">
        <f t="shared" ca="1" si="172"/>
        <v>-379219342919.84204</v>
      </c>
      <c r="M3632" s="471">
        <f t="shared" si="174"/>
        <v>0.05</v>
      </c>
      <c r="N3632" s="475">
        <f t="shared" si="175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73"/>
        <v>-379219342919.84204</v>
      </c>
      <c r="J3633" s="455">
        <f t="array" ref="J3633">IFERROR(INDEX('Retirement Calculator'!J:J,MATCH('Isaac 401k'!N3633,'Retirement Calculator'!A:A,0),0),0)</f>
        <v>0</v>
      </c>
      <c r="K3633" s="455">
        <f t="shared" ca="1" si="171"/>
        <v>-1580080595.4993417</v>
      </c>
      <c r="L3633" s="455">
        <f t="shared" ca="1" si="172"/>
        <v>-380799423515.34137</v>
      </c>
      <c r="M3633" s="471">
        <f t="shared" si="174"/>
        <v>0.05</v>
      </c>
      <c r="N3633" s="475">
        <f t="shared" si="175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73"/>
        <v>-380799423515.34137</v>
      </c>
      <c r="J3634" s="455">
        <f t="array" ref="J3634">IFERROR(INDEX('Retirement Calculator'!J:J,MATCH('Isaac 401k'!N3634,'Retirement Calculator'!A:A,0),0),0)</f>
        <v>0</v>
      </c>
      <c r="K3634" s="455">
        <f t="shared" ca="1" si="171"/>
        <v>-1586664264.6472557</v>
      </c>
      <c r="L3634" s="455">
        <f t="shared" ca="1" si="172"/>
        <v>-382386087779.98865</v>
      </c>
      <c r="M3634" s="471">
        <f t="shared" si="174"/>
        <v>0.05</v>
      </c>
      <c r="N3634" s="475">
        <f t="shared" si="175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73"/>
        <v>-382386087779.98865</v>
      </c>
      <c r="J3635" s="455">
        <f t="array" ref="J3635">IFERROR(INDEX('Retirement Calculator'!J:J,MATCH('Isaac 401k'!N3635,'Retirement Calculator'!A:A,0),0),0)</f>
        <v>0</v>
      </c>
      <c r="K3635" s="455">
        <f t="shared" ca="1" si="171"/>
        <v>-1593275365.7499528</v>
      </c>
      <c r="L3635" s="455">
        <f t="shared" ca="1" si="172"/>
        <v>-383979363145.73859</v>
      </c>
      <c r="M3635" s="471">
        <f t="shared" si="174"/>
        <v>0.05</v>
      </c>
      <c r="N3635" s="475">
        <f t="shared" si="175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73"/>
        <v>-383979363145.73859</v>
      </c>
      <c r="J3636" s="455">
        <f t="array" ref="J3636">IFERROR(INDEX('Retirement Calculator'!J:J,MATCH('Isaac 401k'!N3636,'Retirement Calculator'!A:A,0),0),0)</f>
        <v>0</v>
      </c>
      <c r="K3636" s="455">
        <f t="shared" ca="1" si="171"/>
        <v>-1599914013.107244</v>
      </c>
      <c r="L3636" s="455">
        <f t="shared" ca="1" si="172"/>
        <v>-385579277158.84583</v>
      </c>
      <c r="M3636" s="471">
        <f t="shared" si="174"/>
        <v>0.05</v>
      </c>
      <c r="N3636" s="475">
        <f t="shared" si="175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73"/>
        <v>-385579277158.84583</v>
      </c>
      <c r="J3637" s="455">
        <f t="array" ref="J3637">IFERROR(INDEX('Retirement Calculator'!J:J,MATCH('Isaac 401k'!N3637,'Retirement Calculator'!A:A,0),0),0)</f>
        <v>0</v>
      </c>
      <c r="K3637" s="455">
        <f t="shared" ca="1" si="171"/>
        <v>-1606580321.4951909</v>
      </c>
      <c r="L3637" s="455">
        <f t="shared" ca="1" si="172"/>
        <v>-387185857480.341</v>
      </c>
      <c r="M3637" s="471">
        <f t="shared" si="174"/>
        <v>0.05</v>
      </c>
      <c r="N3637" s="475">
        <f t="shared" si="175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73"/>
        <v>-387185857480.341</v>
      </c>
      <c r="J3638" s="455">
        <f t="array" ref="J3638">IFERROR(INDEX('Retirement Calculator'!J:J,MATCH('Isaac 401k'!N3638,'Retirement Calculator'!A:A,0),0),0)</f>
        <v>0</v>
      </c>
      <c r="K3638" s="455">
        <f t="shared" ca="1" si="171"/>
        <v>-1613274406.1680875</v>
      </c>
      <c r="L3638" s="455">
        <f t="shared" ca="1" si="172"/>
        <v>-388799131886.50909</v>
      </c>
      <c r="M3638" s="471">
        <f t="shared" si="174"/>
        <v>0.05</v>
      </c>
      <c r="N3638" s="475">
        <f t="shared" si="175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73"/>
        <v>-388799131886.50909</v>
      </c>
      <c r="J3639" s="455">
        <f t="array" ref="J3639">IFERROR(INDEX('Retirement Calculator'!J:J,MATCH('Isaac 401k'!N3639,'Retirement Calculator'!A:A,0),0),0)</f>
        <v>0</v>
      </c>
      <c r="K3639" s="455">
        <f t="shared" ca="1" si="171"/>
        <v>-1619996382.8604546</v>
      </c>
      <c r="L3639" s="455">
        <f t="shared" ca="1" si="172"/>
        <v>-390419128269.36957</v>
      </c>
      <c r="M3639" s="471">
        <f t="shared" si="174"/>
        <v>0.05</v>
      </c>
      <c r="N3639" s="475">
        <f t="shared" si="175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73"/>
        <v>-390419128269.36957</v>
      </c>
      <c r="J3640" s="455">
        <f t="array" ref="J3640">IFERROR(INDEX('Retirement Calculator'!J:J,MATCH('Isaac 401k'!N3640,'Retirement Calculator'!A:A,0),0),0)</f>
        <v>0</v>
      </c>
      <c r="K3640" s="455">
        <f t="shared" ca="1" si="171"/>
        <v>-1626746367.7890399</v>
      </c>
      <c r="L3640" s="455">
        <f t="shared" ca="1" si="172"/>
        <v>-392045874637.15863</v>
      </c>
      <c r="M3640" s="471">
        <f t="shared" si="174"/>
        <v>0.05</v>
      </c>
      <c r="N3640" s="475">
        <f t="shared" si="175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73"/>
        <v>-392045874637.15863</v>
      </c>
      <c r="J3641" s="455">
        <f t="array" ref="J3641">IFERROR(INDEX('Retirement Calculator'!J:J,MATCH('Isaac 401k'!N3641,'Retirement Calculator'!A:A,0),0),0)</f>
        <v>0</v>
      </c>
      <c r="K3641" s="455">
        <f t="shared" ca="1" si="171"/>
        <v>-1633524477.6548276</v>
      </c>
      <c r="L3641" s="455">
        <f t="shared" ca="1" si="172"/>
        <v>-393679399114.81348</v>
      </c>
      <c r="M3641" s="471">
        <f t="shared" si="174"/>
        <v>0.05</v>
      </c>
      <c r="N3641" s="475">
        <f t="shared" si="175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73"/>
        <v>-393679399114.81348</v>
      </c>
      <c r="J3642" s="455">
        <f t="array" ref="J3642">IFERROR(INDEX('Retirement Calculator'!J:J,MATCH('Isaac 401k'!N3642,'Retirement Calculator'!A:A,0),0),0)</f>
        <v>0</v>
      </c>
      <c r="K3642" s="455">
        <f t="shared" ca="1" si="171"/>
        <v>-1640330829.6450562</v>
      </c>
      <c r="L3642" s="455">
        <f t="shared" ca="1" si="172"/>
        <v>-395319729944.45856</v>
      </c>
      <c r="M3642" s="471">
        <f t="shared" si="174"/>
        <v>0.05</v>
      </c>
      <c r="N3642" s="475">
        <f t="shared" si="175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73"/>
        <v>-395319729944.45856</v>
      </c>
      <c r="J3643" s="455">
        <f t="array" ref="J3643">IFERROR(INDEX('Retirement Calculator'!J:J,MATCH('Isaac 401k'!N3643,'Retirement Calculator'!A:A,0),0),0)</f>
        <v>0</v>
      </c>
      <c r="K3643" s="455">
        <f t="shared" ca="1" si="171"/>
        <v>-1647165541.4352441</v>
      </c>
      <c r="L3643" s="455">
        <f t="shared" ca="1" si="172"/>
        <v>-396966895485.8938</v>
      </c>
      <c r="M3643" s="471">
        <f t="shared" si="174"/>
        <v>0.05</v>
      </c>
      <c r="N3643" s="475">
        <f t="shared" si="175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73"/>
        <v>-396966895485.8938</v>
      </c>
      <c r="J3644" s="455">
        <f t="array" ref="J3644">IFERROR(INDEX('Retirement Calculator'!J:J,MATCH('Isaac 401k'!N3644,'Retirement Calculator'!A:A,0),0),0)</f>
        <v>0</v>
      </c>
      <c r="K3644" s="455">
        <f t="shared" ca="1" si="171"/>
        <v>-1654028731.1912241</v>
      </c>
      <c r="L3644" s="455">
        <f t="shared" ca="1" si="172"/>
        <v>-398620924217.08502</v>
      </c>
      <c r="M3644" s="471">
        <f t="shared" si="174"/>
        <v>0.05</v>
      </c>
      <c r="N3644" s="475">
        <f t="shared" si="175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73"/>
        <v>-398620924217.08502</v>
      </c>
      <c r="J3645" s="455">
        <f t="array" ref="J3645">IFERROR(INDEX('Retirement Calculator'!J:J,MATCH('Isaac 401k'!N3645,'Retirement Calculator'!A:A,0),0),0)</f>
        <v>0</v>
      </c>
      <c r="K3645" s="455">
        <f t="shared" ca="1" si="171"/>
        <v>-1660920517.5711875</v>
      </c>
      <c r="L3645" s="455">
        <f t="shared" ca="1" si="172"/>
        <v>-400281844734.65619</v>
      </c>
      <c r="M3645" s="471">
        <f t="shared" si="174"/>
        <v>0.05</v>
      </c>
      <c r="N3645" s="475">
        <f t="shared" si="175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73"/>
        <v>-400281844734.65619</v>
      </c>
      <c r="J3646" s="455">
        <f t="array" ref="J3646">IFERROR(INDEX('Retirement Calculator'!J:J,MATCH('Isaac 401k'!N3646,'Retirement Calculator'!A:A,0),0),0)</f>
        <v>0</v>
      </c>
      <c r="K3646" s="455">
        <f t="shared" ca="1" si="171"/>
        <v>-1667841019.7277341</v>
      </c>
      <c r="L3646" s="455">
        <f t="shared" ca="1" si="172"/>
        <v>-401949685754.38391</v>
      </c>
      <c r="M3646" s="471">
        <f t="shared" si="174"/>
        <v>0.05</v>
      </c>
      <c r="N3646" s="475">
        <f t="shared" si="175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73"/>
        <v>-401949685754.38391</v>
      </c>
      <c r="J3647" s="455">
        <f t="array" ref="J3647">IFERROR(INDEX('Retirement Calculator'!J:J,MATCH('Isaac 401k'!N3647,'Retirement Calculator'!A:A,0),0),0)</f>
        <v>0</v>
      </c>
      <c r="K3647" s="455">
        <f t="shared" ca="1" si="171"/>
        <v>-1674790357.3099329</v>
      </c>
      <c r="L3647" s="455">
        <f t="shared" ca="1" si="172"/>
        <v>-403624476111.69385</v>
      </c>
      <c r="M3647" s="471">
        <f t="shared" si="174"/>
        <v>0.05</v>
      </c>
      <c r="N3647" s="475">
        <f t="shared" si="175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73"/>
        <v>-403624476111.69385</v>
      </c>
      <c r="J3648" s="455">
        <f t="array" ref="J3648">IFERROR(INDEX('Retirement Calculator'!J:J,MATCH('Isaac 401k'!N3648,'Retirement Calculator'!A:A,0),0),0)</f>
        <v>0</v>
      </c>
      <c r="K3648" s="455">
        <f t="shared" ca="1" si="171"/>
        <v>-1681768650.4653909</v>
      </c>
      <c r="L3648" s="455">
        <f t="shared" ca="1" si="172"/>
        <v>-405306244762.15924</v>
      </c>
      <c r="M3648" s="471">
        <f t="shared" si="174"/>
        <v>0.05</v>
      </c>
      <c r="N3648" s="475">
        <f t="shared" si="175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73"/>
        <v>-405306244762.15924</v>
      </c>
      <c r="J3649" s="455">
        <f t="array" ref="J3649">IFERROR(INDEX('Retirement Calculator'!J:J,MATCH('Isaac 401k'!N3649,'Retirement Calculator'!A:A,0),0),0)</f>
        <v>0</v>
      </c>
      <c r="K3649" s="455">
        <f t="shared" ca="1" si="171"/>
        <v>-1688776019.8423302</v>
      </c>
      <c r="L3649" s="455">
        <f t="shared" ca="1" si="172"/>
        <v>-406995020782.00159</v>
      </c>
      <c r="M3649" s="471">
        <f t="shared" si="174"/>
        <v>0.05</v>
      </c>
      <c r="N3649" s="475">
        <f t="shared" si="175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73"/>
        <v>-406995020782.00159</v>
      </c>
      <c r="J3650" s="455">
        <f t="array" ref="J3650">IFERROR(INDEX('Retirement Calculator'!J:J,MATCH('Isaac 401k'!N3650,'Retirement Calculator'!A:A,0),0),0)</f>
        <v>0</v>
      </c>
      <c r="K3650" s="455">
        <f t="shared" ca="1" si="171"/>
        <v>-1695812586.5916734</v>
      </c>
      <c r="L3650" s="455">
        <f t="shared" ca="1" si="172"/>
        <v>-408690833368.59326</v>
      </c>
      <c r="M3650" s="471">
        <f t="shared" si="174"/>
        <v>0.05</v>
      </c>
      <c r="N3650" s="475">
        <f t="shared" si="175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73"/>
        <v>-408690833368.59326</v>
      </c>
      <c r="J3651" s="455">
        <f t="array" ref="J3651">IFERROR(INDEX('Retirement Calculator'!J:J,MATCH('Isaac 401k'!N3651,'Retirement Calculator'!A:A,0),0),0)</f>
        <v>0</v>
      </c>
      <c r="K3651" s="455">
        <f t="shared" ca="1" si="171"/>
        <v>-1702878472.3691385</v>
      </c>
      <c r="L3651" s="455">
        <f t="shared" ca="1" si="172"/>
        <v>-410393711840.9624</v>
      </c>
      <c r="M3651" s="471">
        <f t="shared" si="174"/>
        <v>0.05</v>
      </c>
      <c r="N3651" s="475">
        <f t="shared" si="175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73"/>
        <v>-410393711840.9624</v>
      </c>
      <c r="J3652" s="455">
        <f t="array" ref="J3652">IFERROR(INDEX('Retirement Calculator'!J:J,MATCH('Isaac 401k'!N3652,'Retirement Calculator'!A:A,0),0),0)</f>
        <v>0</v>
      </c>
      <c r="K3652" s="455">
        <f t="shared" ca="1" si="171"/>
        <v>-1709973799.3373432</v>
      </c>
      <c r="L3652" s="455">
        <f t="shared" ca="1" si="172"/>
        <v>-412103685640.29974</v>
      </c>
      <c r="M3652" s="471">
        <f t="shared" si="174"/>
        <v>0.05</v>
      </c>
      <c r="N3652" s="475">
        <f t="shared" si="175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73"/>
        <v>-412103685640.29974</v>
      </c>
      <c r="J3653" s="455">
        <f t="array" ref="J3653">IFERROR(INDEX('Retirement Calculator'!J:J,MATCH('Isaac 401k'!N3653,'Retirement Calculator'!A:A,0),0),0)</f>
        <v>0</v>
      </c>
      <c r="K3653" s="455">
        <f t="shared" ca="1" si="171"/>
        <v>-1717098690.1679156</v>
      </c>
      <c r="L3653" s="455">
        <f t="shared" ca="1" si="172"/>
        <v>-413820784330.46765</v>
      </c>
      <c r="M3653" s="471">
        <f t="shared" si="174"/>
        <v>0.05</v>
      </c>
      <c r="N3653" s="475">
        <f t="shared" si="175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73"/>
        <v>-413820784330.46765</v>
      </c>
      <c r="J3654" s="455">
        <f t="array" ref="J3654">IFERROR(INDEX('Retirement Calculator'!J:J,MATCH('Isaac 401k'!N3654,'Retirement Calculator'!A:A,0),0),0)</f>
        <v>0</v>
      </c>
      <c r="K3654" s="455">
        <f t="shared" ca="1" si="171"/>
        <v>-1724253268.0436151</v>
      </c>
      <c r="L3654" s="455">
        <f t="shared" ca="1" si="172"/>
        <v>-415545037598.51129</v>
      </c>
      <c r="M3654" s="471">
        <f t="shared" si="174"/>
        <v>0.05</v>
      </c>
      <c r="N3654" s="475">
        <f t="shared" si="175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73"/>
        <v>-415545037598.51129</v>
      </c>
      <c r="J3655" s="455">
        <f t="array" ref="J3655">IFERROR(INDEX('Retirement Calculator'!J:J,MATCH('Isaac 401k'!N3655,'Retirement Calculator'!A:A,0),0),0)</f>
        <v>0</v>
      </c>
      <c r="K3655" s="455">
        <f t="shared" ca="1" si="171"/>
        <v>-1731437656.6604636</v>
      </c>
      <c r="L3655" s="455">
        <f t="shared" ca="1" si="172"/>
        <v>-417276475255.17175</v>
      </c>
      <c r="M3655" s="471">
        <f t="shared" si="174"/>
        <v>0.05</v>
      </c>
      <c r="N3655" s="475">
        <f t="shared" si="175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73"/>
        <v>-417276475255.17175</v>
      </c>
      <c r="J3656" s="455">
        <f t="array" ref="J3656">IFERROR(INDEX('Retirement Calculator'!J:J,MATCH('Isaac 401k'!N3656,'Retirement Calculator'!A:A,0),0),0)</f>
        <v>0</v>
      </c>
      <c r="K3656" s="455">
        <f t="shared" ca="1" si="171"/>
        <v>-1738651980.2298822</v>
      </c>
      <c r="L3656" s="455">
        <f t="shared" ca="1" si="172"/>
        <v>-419015127235.40161</v>
      </c>
      <c r="M3656" s="471">
        <f t="shared" si="174"/>
        <v>0.05</v>
      </c>
      <c r="N3656" s="475">
        <f t="shared" si="175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73"/>
        <v>-419015127235.40161</v>
      </c>
      <c r="J3657" s="455">
        <f t="array" ref="J3657">IFERROR(INDEX('Retirement Calculator'!J:J,MATCH('Isaac 401k'!N3657,'Retirement Calculator'!A:A,0),0),0)</f>
        <v>0</v>
      </c>
      <c r="K3657" s="455">
        <f t="shared" ca="1" si="171"/>
        <v>-1745896363.48084</v>
      </c>
      <c r="L3657" s="455">
        <f t="shared" ca="1" si="172"/>
        <v>-420761023598.88245</v>
      </c>
      <c r="M3657" s="471">
        <f t="shared" si="174"/>
        <v>0.05</v>
      </c>
      <c r="N3657" s="475">
        <f t="shared" si="175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73"/>
        <v>-420761023598.88245</v>
      </c>
      <c r="J3658" s="455">
        <f t="array" ref="J3658">IFERROR(INDEX('Retirement Calculator'!J:J,MATCH('Isaac 401k'!N3658,'Retirement Calculator'!A:A,0),0),0)</f>
        <v>0</v>
      </c>
      <c r="K3658" s="455">
        <f t="shared" ca="1" si="171"/>
        <v>-1753170931.6620102</v>
      </c>
      <c r="L3658" s="455">
        <f t="shared" ca="1" si="172"/>
        <v>-422514194530.54443</v>
      </c>
      <c r="M3658" s="471">
        <f t="shared" si="174"/>
        <v>0.05</v>
      </c>
      <c r="N3658" s="475">
        <f t="shared" si="175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73"/>
        <v>-422514194530.54443</v>
      </c>
      <c r="J3659" s="455">
        <f t="array" ref="J3659">IFERROR(INDEX('Retirement Calculator'!J:J,MATCH('Isaac 401k'!N3659,'Retirement Calculator'!A:A,0),0),0)</f>
        <v>0</v>
      </c>
      <c r="K3659" s="455">
        <f t="shared" ca="1" si="171"/>
        <v>-1760475810.5439351</v>
      </c>
      <c r="L3659" s="455">
        <f t="shared" ca="1" si="172"/>
        <v>-424274670341.08838</v>
      </c>
      <c r="M3659" s="471">
        <f t="shared" si="174"/>
        <v>0.05</v>
      </c>
      <c r="N3659" s="475">
        <f t="shared" si="175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73"/>
        <v>-424274670341.08838</v>
      </c>
      <c r="J3660" s="455">
        <f t="array" ref="J3660">IFERROR(INDEX('Retirement Calculator'!J:J,MATCH('Isaac 401k'!N3660,'Retirement Calculator'!A:A,0),0),0)</f>
        <v>0</v>
      </c>
      <c r="K3660" s="455">
        <f t="shared" ca="1" si="171"/>
        <v>-1767811126.4212015</v>
      </c>
      <c r="L3660" s="455">
        <f t="shared" ca="1" si="172"/>
        <v>-426042481467.50958</v>
      </c>
      <c r="M3660" s="471">
        <f t="shared" si="174"/>
        <v>0.05</v>
      </c>
      <c r="N3660" s="475">
        <f t="shared" si="175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73"/>
        <v>-426042481467.50958</v>
      </c>
      <c r="J3661" s="455">
        <f t="array" ref="J3661">IFERROR(INDEX('Retirement Calculator'!J:J,MATCH('Isaac 401k'!N3661,'Retirement Calculator'!A:A,0),0),0)</f>
        <v>0</v>
      </c>
      <c r="K3661" s="455">
        <f t="shared" ca="1" si="171"/>
        <v>-1775177006.1146233</v>
      </c>
      <c r="L3661" s="455">
        <f t="shared" ca="1" si="172"/>
        <v>-427817658473.62421</v>
      </c>
      <c r="M3661" s="471">
        <f t="shared" si="174"/>
        <v>0.05</v>
      </c>
      <c r="N3661" s="475">
        <f t="shared" si="175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73"/>
        <v>-427817658473.62421</v>
      </c>
      <c r="J3662" s="455">
        <f t="array" ref="J3662">IFERROR(INDEX('Retirement Calculator'!J:J,MATCH('Isaac 401k'!N3662,'Retirement Calculator'!A:A,0),0),0)</f>
        <v>0</v>
      </c>
      <c r="K3662" s="455">
        <f t="shared" ca="1" si="171"/>
        <v>-1782573576.9734342</v>
      </c>
      <c r="L3662" s="455">
        <f t="shared" ca="1" si="172"/>
        <v>-429600232050.59766</v>
      </c>
      <c r="M3662" s="471">
        <f t="shared" si="174"/>
        <v>0.05</v>
      </c>
      <c r="N3662" s="475">
        <f t="shared" si="175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73"/>
        <v>-429600232050.59766</v>
      </c>
      <c r="J3663" s="455">
        <f t="array" ref="J3663">IFERROR(INDEX('Retirement Calculator'!J:J,MATCH('Isaac 401k'!N3663,'Retirement Calculator'!A:A,0),0),0)</f>
        <v>0</v>
      </c>
      <c r="K3663" s="455">
        <f t="shared" ca="1" si="171"/>
        <v>-1790000966.8774903</v>
      </c>
      <c r="L3663" s="455">
        <f t="shared" ca="1" si="172"/>
        <v>-431390233017.47516</v>
      </c>
      <c r="M3663" s="471">
        <f t="shared" si="174"/>
        <v>0.05</v>
      </c>
      <c r="N3663" s="475">
        <f t="shared" si="175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73"/>
        <v>-431390233017.47516</v>
      </c>
      <c r="J3664" s="455">
        <f t="array" ref="J3664">IFERROR(INDEX('Retirement Calculator'!J:J,MATCH('Isaac 401k'!N3664,'Retirement Calculator'!A:A,0),0),0)</f>
        <v>0</v>
      </c>
      <c r="K3664" s="455">
        <f t="shared" ca="1" si="171"/>
        <v>-1797459304.2394798</v>
      </c>
      <c r="L3664" s="455">
        <f t="shared" ca="1" si="172"/>
        <v>-433187692321.71466</v>
      </c>
      <c r="M3664" s="471">
        <f t="shared" si="174"/>
        <v>0.05</v>
      </c>
      <c r="N3664" s="475">
        <f t="shared" si="175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73"/>
        <v>-433187692321.71466</v>
      </c>
      <c r="J3665" s="455">
        <f t="array" ref="J3665">IFERROR(INDEX('Retirement Calculator'!J:J,MATCH('Isaac 401k'!N3665,'Retirement Calculator'!A:A,0),0),0)</f>
        <v>0</v>
      </c>
      <c r="K3665" s="455">
        <f t="shared" ca="1" si="171"/>
        <v>-1804948718.0071442</v>
      </c>
      <c r="L3665" s="455">
        <f t="shared" ca="1" si="172"/>
        <v>-434992641039.7218</v>
      </c>
      <c r="M3665" s="471">
        <f t="shared" si="174"/>
        <v>0.05</v>
      </c>
      <c r="N3665" s="475">
        <f t="shared" si="175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73"/>
        <v>-434992641039.7218</v>
      </c>
      <c r="J3666" s="455">
        <f t="array" ref="J3666">IFERROR(INDEX('Retirement Calculator'!J:J,MATCH('Isaac 401k'!N3666,'Retirement Calculator'!A:A,0),0),0)</f>
        <v>0</v>
      </c>
      <c r="K3666" s="455">
        <f t="shared" ca="1" si="171"/>
        <v>-1812469337.6655076</v>
      </c>
      <c r="L3666" s="455">
        <f t="shared" ca="1" si="172"/>
        <v>-436805110377.38733</v>
      </c>
      <c r="M3666" s="471">
        <f t="shared" si="174"/>
        <v>0.05</v>
      </c>
      <c r="N3666" s="475">
        <f t="shared" si="175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73"/>
        <v>-436805110377.38733</v>
      </c>
      <c r="J3667" s="455">
        <f t="array" ref="J3667">IFERROR(INDEX('Retirement Calculator'!J:J,MATCH('Isaac 401k'!N3667,'Retirement Calculator'!A:A,0),0),0)</f>
        <v>0</v>
      </c>
      <c r="K3667" s="455">
        <f t="shared" ca="1" si="171"/>
        <v>-1820021293.2391138</v>
      </c>
      <c r="L3667" s="455">
        <f t="shared" ca="1" si="172"/>
        <v>-438625131670.62646</v>
      </c>
      <c r="M3667" s="471">
        <f t="shared" si="174"/>
        <v>0.05</v>
      </c>
      <c r="N3667" s="475">
        <f t="shared" si="175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73"/>
        <v>-438625131670.62646</v>
      </c>
      <c r="J3668" s="455">
        <f t="array" ref="J3668">IFERROR(INDEX('Retirement Calculator'!J:J,MATCH('Isaac 401k'!N3668,'Retirement Calculator'!A:A,0),0),0)</f>
        <v>0</v>
      </c>
      <c r="K3668" s="455">
        <f t="shared" ca="1" si="171"/>
        <v>-1827604715.294277</v>
      </c>
      <c r="L3668" s="455">
        <f t="shared" ca="1" si="172"/>
        <v>-440452736385.92072</v>
      </c>
      <c r="M3668" s="471">
        <f t="shared" si="174"/>
        <v>0.05</v>
      </c>
      <c r="N3668" s="475">
        <f t="shared" si="175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73"/>
        <v>-440452736385.92072</v>
      </c>
      <c r="J3669" s="455">
        <f t="array" ref="J3669">IFERROR(INDEX('Retirement Calculator'!J:J,MATCH('Isaac 401k'!N3669,'Retirement Calculator'!A:A,0),0),0)</f>
        <v>0</v>
      </c>
      <c r="K3669" s="455">
        <f t="shared" ca="1" si="171"/>
        <v>-1835219734.9413366</v>
      </c>
      <c r="L3669" s="455">
        <f t="shared" ca="1" si="172"/>
        <v>-442287956120.86206</v>
      </c>
      <c r="M3669" s="471">
        <f t="shared" si="174"/>
        <v>0.05</v>
      </c>
      <c r="N3669" s="475">
        <f t="shared" si="175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73"/>
        <v>-442287956120.86206</v>
      </c>
      <c r="J3670" s="455">
        <f t="array" ref="J3670">IFERROR(INDEX('Retirement Calculator'!J:J,MATCH('Isaac 401k'!N3670,'Retirement Calculator'!A:A,0),0),0)</f>
        <v>0</v>
      </c>
      <c r="K3670" s="455">
        <f t="shared" ca="1" si="171"/>
        <v>-1842866483.8369253</v>
      </c>
      <c r="L3670" s="455">
        <f t="shared" ca="1" si="172"/>
        <v>-444130822604.69897</v>
      </c>
      <c r="M3670" s="471">
        <f t="shared" si="174"/>
        <v>0.05</v>
      </c>
      <c r="N3670" s="475">
        <f t="shared" si="175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73"/>
        <v>-444130822604.69897</v>
      </c>
      <c r="J3671" s="455">
        <f t="array" ref="J3671">IFERROR(INDEX('Retirement Calculator'!J:J,MATCH('Isaac 401k'!N3671,'Retirement Calculator'!A:A,0),0),0)</f>
        <v>0</v>
      </c>
      <c r="K3671" s="455">
        <f t="shared" ca="1" si="171"/>
        <v>-1850545094.1862457</v>
      </c>
      <c r="L3671" s="455">
        <f t="shared" ca="1" si="172"/>
        <v>-445981367698.88519</v>
      </c>
      <c r="M3671" s="471">
        <f t="shared" si="174"/>
        <v>0.05</v>
      </c>
      <c r="N3671" s="475">
        <f t="shared" si="175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73"/>
        <v>-445981367698.88519</v>
      </c>
      <c r="J3672" s="455">
        <f t="array" ref="J3672">IFERROR(INDEX('Retirement Calculator'!J:J,MATCH('Isaac 401k'!N3672,'Retirement Calculator'!A:A,0),0),0)</f>
        <v>0</v>
      </c>
      <c r="K3672" s="455">
        <f t="shared" ca="1" si="171"/>
        <v>-1858255698.7453549</v>
      </c>
      <c r="L3672" s="455">
        <f t="shared" ca="1" si="172"/>
        <v>-447839623397.63055</v>
      </c>
      <c r="M3672" s="471">
        <f t="shared" si="174"/>
        <v>0.05</v>
      </c>
      <c r="N3672" s="475">
        <f t="shared" si="175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73"/>
        <v>-447839623397.63055</v>
      </c>
      <c r="J3673" s="455">
        <f t="array" ref="J3673">IFERROR(INDEX('Retirement Calculator'!J:J,MATCH('Isaac 401k'!N3673,'Retirement Calculator'!A:A,0),0),0)</f>
        <v>0</v>
      </c>
      <c r="K3673" s="455">
        <f t="shared" ca="1" si="171"/>
        <v>-1865998430.8234606</v>
      </c>
      <c r="L3673" s="455">
        <f t="shared" ca="1" si="172"/>
        <v>-449705621828.45404</v>
      </c>
      <c r="M3673" s="471">
        <f t="shared" si="174"/>
        <v>0.05</v>
      </c>
      <c r="N3673" s="475">
        <f t="shared" si="175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73"/>
        <v>-449705621828.45404</v>
      </c>
      <c r="J3674" s="455">
        <f t="array" ref="J3674">IFERROR(INDEX('Retirement Calculator'!J:J,MATCH('Isaac 401k'!N3674,'Retirement Calculator'!A:A,0),0),0)</f>
        <v>0</v>
      </c>
      <c r="K3674" s="455">
        <f t="shared" ca="1" si="171"/>
        <v>-1873773424.2852252</v>
      </c>
      <c r="L3674" s="455">
        <f t="shared" ca="1" si="172"/>
        <v>-451579395252.73926</v>
      </c>
      <c r="M3674" s="471">
        <f t="shared" si="174"/>
        <v>0.05</v>
      </c>
      <c r="N3674" s="475">
        <f t="shared" si="175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73"/>
        <v>-451579395252.73926</v>
      </c>
      <c r="J3675" s="455">
        <f t="array" ref="J3675">IFERROR(INDEX('Retirement Calculator'!J:J,MATCH('Isaac 401k'!N3675,'Retirement Calculator'!A:A,0),0),0)</f>
        <v>0</v>
      </c>
      <c r="K3675" s="455">
        <f t="shared" ca="1" si="171"/>
        <v>-1881580813.5530803</v>
      </c>
      <c r="L3675" s="455">
        <f t="shared" ca="1" si="172"/>
        <v>-453460976066.29236</v>
      </c>
      <c r="M3675" s="471">
        <f t="shared" si="174"/>
        <v>0.05</v>
      </c>
      <c r="N3675" s="475">
        <f t="shared" si="175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73"/>
        <v>-453460976066.29236</v>
      </c>
      <c r="J3676" s="455">
        <f t="array" ref="J3676">IFERROR(INDEX('Retirement Calculator'!J:J,MATCH('Isaac 401k'!N3676,'Retirement Calculator'!A:A,0),0),0)</f>
        <v>0</v>
      </c>
      <c r="K3676" s="455">
        <f t="shared" ca="1" si="171"/>
        <v>-1889420733.6095514</v>
      </c>
      <c r="L3676" s="455">
        <f t="shared" ca="1" si="172"/>
        <v>-455350396799.90192</v>
      </c>
      <c r="M3676" s="471">
        <f t="shared" si="174"/>
        <v>0.05</v>
      </c>
      <c r="N3676" s="475">
        <f t="shared" si="175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73"/>
        <v>-455350396799.90192</v>
      </c>
      <c r="J3677" s="455">
        <f t="array" ref="J3677">IFERROR(INDEX('Retirement Calculator'!J:J,MATCH('Isaac 401k'!N3677,'Retirement Calculator'!A:A,0),0),0)</f>
        <v>0</v>
      </c>
      <c r="K3677" s="455">
        <f t="shared" ca="1" si="171"/>
        <v>-1897293319.9995916</v>
      </c>
      <c r="L3677" s="455">
        <f t="shared" ca="1" si="172"/>
        <v>-457247690119.90149</v>
      </c>
      <c r="M3677" s="471">
        <f t="shared" si="174"/>
        <v>0.05</v>
      </c>
      <c r="N3677" s="475">
        <f t="shared" si="175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73"/>
        <v>-457247690119.90149</v>
      </c>
      <c r="J3678" s="455">
        <f t="array" ref="J3678">IFERROR(INDEX('Retirement Calculator'!J:J,MATCH('Isaac 401k'!N3678,'Retirement Calculator'!A:A,0),0),0)</f>
        <v>0</v>
      </c>
      <c r="K3678" s="455">
        <f t="shared" ca="1" si="171"/>
        <v>-1905198708.8329229</v>
      </c>
      <c r="L3678" s="455">
        <f t="shared" ca="1" si="172"/>
        <v>-459152888828.73444</v>
      </c>
      <c r="M3678" s="471">
        <f t="shared" si="174"/>
        <v>0.05</v>
      </c>
      <c r="N3678" s="475">
        <f t="shared" si="175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73"/>
        <v>-459152888828.73444</v>
      </c>
      <c r="J3679" s="455">
        <f t="array" ref="J3679">IFERROR(INDEX('Retirement Calculator'!J:J,MATCH('Isaac 401k'!N3679,'Retirement Calculator'!A:A,0),0),0)</f>
        <v>0</v>
      </c>
      <c r="K3679" s="455">
        <f t="shared" ca="1" si="171"/>
        <v>-1913137036.7863934</v>
      </c>
      <c r="L3679" s="455">
        <f t="shared" ca="1" si="172"/>
        <v>-461066025865.52081</v>
      </c>
      <c r="M3679" s="471">
        <f t="shared" si="174"/>
        <v>0.05</v>
      </c>
      <c r="N3679" s="475">
        <f t="shared" si="175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73"/>
        <v>-461066025865.52081</v>
      </c>
      <c r="J3680" s="455">
        <f t="array" ref="J3680">IFERROR(INDEX('Retirement Calculator'!J:J,MATCH('Isaac 401k'!N3680,'Retirement Calculator'!A:A,0),0),0)</f>
        <v>0</v>
      </c>
      <c r="K3680" s="455">
        <f t="shared" ca="1" si="171"/>
        <v>-1921108441.1063364</v>
      </c>
      <c r="L3680" s="455">
        <f t="shared" ca="1" si="172"/>
        <v>-462987134306.62714</v>
      </c>
      <c r="M3680" s="471">
        <f t="shared" si="174"/>
        <v>0.05</v>
      </c>
      <c r="N3680" s="475">
        <f t="shared" si="175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73"/>
        <v>-462987134306.62714</v>
      </c>
      <c r="J3681" s="455">
        <f t="array" ref="J3681">IFERROR(INDEX('Retirement Calculator'!J:J,MATCH('Isaac 401k'!N3681,'Retirement Calculator'!A:A,0),0),0)</f>
        <v>0</v>
      </c>
      <c r="K3681" s="455">
        <f t="shared" ca="1" si="171"/>
        <v>-1929113059.6109464</v>
      </c>
      <c r="L3681" s="455">
        <f t="shared" ca="1" si="172"/>
        <v>-464916247366.2381</v>
      </c>
      <c r="M3681" s="471">
        <f t="shared" si="174"/>
        <v>0.05</v>
      </c>
      <c r="N3681" s="475">
        <f t="shared" si="175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73"/>
        <v>-464916247366.2381</v>
      </c>
      <c r="J3682" s="455">
        <f t="array" ref="J3682">IFERROR(INDEX('Retirement Calculator'!J:J,MATCH('Isaac 401k'!N3682,'Retirement Calculator'!A:A,0),0),0)</f>
        <v>0</v>
      </c>
      <c r="K3682" s="455">
        <f t="shared" ca="1" si="171"/>
        <v>-1937151030.6926587</v>
      </c>
      <c r="L3682" s="455">
        <f t="shared" ca="1" si="172"/>
        <v>-466853398396.93079</v>
      </c>
      <c r="M3682" s="471">
        <f t="shared" si="174"/>
        <v>0.05</v>
      </c>
      <c r="N3682" s="475">
        <f t="shared" si="175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73"/>
        <v>-466853398396.93079</v>
      </c>
      <c r="J3683" s="455">
        <f t="array" ref="J3683">IFERROR(INDEX('Retirement Calculator'!J:J,MATCH('Isaac 401k'!N3683,'Retirement Calculator'!A:A,0),0),0)</f>
        <v>0</v>
      </c>
      <c r="K3683" s="455">
        <f t="shared" ca="1" si="171"/>
        <v>-1945222493.320545</v>
      </c>
      <c r="L3683" s="455">
        <f t="shared" ca="1" si="172"/>
        <v>-468798620890.25134</v>
      </c>
      <c r="M3683" s="471">
        <f t="shared" si="174"/>
        <v>0.05</v>
      </c>
      <c r="N3683" s="475">
        <f t="shared" si="175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73"/>
        <v>-468798620890.25134</v>
      </c>
      <c r="J3684" s="455">
        <f t="array" ref="J3684">IFERROR(INDEX('Retirement Calculator'!J:J,MATCH('Isaac 401k'!N3684,'Retirement Calculator'!A:A,0),0),0)</f>
        <v>0</v>
      </c>
      <c r="K3684" s="455">
        <f t="shared" ca="1" si="171"/>
        <v>-1953327587.0427136</v>
      </c>
      <c r="L3684" s="455">
        <f t="shared" ca="1" si="172"/>
        <v>-470751948477.29407</v>
      </c>
      <c r="M3684" s="471">
        <f t="shared" si="174"/>
        <v>0.05</v>
      </c>
      <c r="N3684" s="475">
        <f t="shared" si="175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73"/>
        <v>-470751948477.29407</v>
      </c>
      <c r="J3685" s="455">
        <f t="array" ref="J3685">IFERROR(INDEX('Retirement Calculator'!J:J,MATCH('Isaac 401k'!N3685,'Retirement Calculator'!A:A,0),0),0)</f>
        <v>0</v>
      </c>
      <c r="K3685" s="455">
        <f t="shared" ca="1" si="171"/>
        <v>-1961466451.9887254</v>
      </c>
      <c r="L3685" s="455">
        <f t="shared" ca="1" si="172"/>
        <v>-472713414929.28278</v>
      </c>
      <c r="M3685" s="471">
        <f t="shared" si="174"/>
        <v>0.05</v>
      </c>
      <c r="N3685" s="475">
        <f t="shared" si="175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73"/>
        <v>-472713414929.28278</v>
      </c>
      <c r="J3686" s="455">
        <f t="array" ref="J3686">IFERROR(INDEX('Retirement Calculator'!J:J,MATCH('Isaac 401k'!N3686,'Retirement Calculator'!A:A,0),0),0)</f>
        <v>0</v>
      </c>
      <c r="K3686" s="455">
        <f t="shared" ca="1" si="171"/>
        <v>-1969639228.8720114</v>
      </c>
      <c r="L3686" s="455">
        <f t="shared" ca="1" si="172"/>
        <v>-474683054158.15479</v>
      </c>
      <c r="M3686" s="471">
        <f t="shared" si="174"/>
        <v>0.05</v>
      </c>
      <c r="N3686" s="475">
        <f t="shared" si="175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73"/>
        <v>-474683054158.15479</v>
      </c>
      <c r="J3687" s="455">
        <f t="array" ref="J3687">IFERROR(INDEX('Retirement Calculator'!J:J,MATCH('Isaac 401k'!N3687,'Retirement Calculator'!A:A,0),0),0)</f>
        <v>0</v>
      </c>
      <c r="K3687" s="455">
        <f t="shared" ca="1" si="171"/>
        <v>-1977846058.9923115</v>
      </c>
      <c r="L3687" s="455">
        <f t="shared" ca="1" si="172"/>
        <v>-476660900217.14709</v>
      </c>
      <c r="M3687" s="471">
        <f t="shared" si="174"/>
        <v>0.05</v>
      </c>
      <c r="N3687" s="475">
        <f t="shared" si="175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73"/>
        <v>-476660900217.14709</v>
      </c>
      <c r="J3688" s="455">
        <f t="array" ref="J3688">IFERROR(INDEX('Retirement Calculator'!J:J,MATCH('Isaac 401k'!N3688,'Retirement Calculator'!A:A,0),0),0)</f>
        <v>0</v>
      </c>
      <c r="K3688" s="455">
        <f t="shared" ca="1" si="171"/>
        <v>-1986087084.2381129</v>
      </c>
      <c r="L3688" s="455">
        <f t="shared" ca="1" si="172"/>
        <v>-478646987301.38519</v>
      </c>
      <c r="M3688" s="471">
        <f t="shared" si="174"/>
        <v>0.05</v>
      </c>
      <c r="N3688" s="475">
        <f t="shared" si="175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73"/>
        <v>-478646987301.38519</v>
      </c>
      <c r="J3689" s="455">
        <f t="array" ref="J3689">IFERROR(INDEX('Retirement Calculator'!J:J,MATCH('Isaac 401k'!N3689,'Retirement Calculator'!A:A,0),0),0)</f>
        <v>0</v>
      </c>
      <c r="K3689" s="455">
        <f t="shared" ca="1" si="171"/>
        <v>-1994362447.0891049</v>
      </c>
      <c r="L3689" s="455">
        <f t="shared" ca="1" si="172"/>
        <v>-480641349748.4743</v>
      </c>
      <c r="M3689" s="471">
        <f t="shared" si="174"/>
        <v>0.05</v>
      </c>
      <c r="N3689" s="475">
        <f t="shared" si="175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73"/>
        <v>-480641349748.4743</v>
      </c>
      <c r="J3690" s="455">
        <f t="array" ref="J3690">IFERROR(INDEX('Retirement Calculator'!J:J,MATCH('Isaac 401k'!N3690,'Retirement Calculator'!A:A,0),0),0)</f>
        <v>0</v>
      </c>
      <c r="K3690" s="455">
        <f t="shared" ca="1" si="171"/>
        <v>-2002672290.6186428</v>
      </c>
      <c r="L3690" s="455">
        <f t="shared" ca="1" si="172"/>
        <v>-482644022039.09296</v>
      </c>
      <c r="M3690" s="471">
        <f t="shared" si="174"/>
        <v>0.05</v>
      </c>
      <c r="N3690" s="475">
        <f t="shared" si="175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73"/>
        <v>-482644022039.09296</v>
      </c>
      <c r="J3691" s="455">
        <f t="array" ref="J3691">IFERROR(INDEX('Retirement Calculator'!J:J,MATCH('Isaac 401k'!N3691,'Retirement Calculator'!A:A,0),0),0)</f>
        <v>0</v>
      </c>
      <c r="K3691" s="455">
        <f t="shared" ca="1" si="171"/>
        <v>-2011016758.4962206</v>
      </c>
      <c r="L3691" s="455">
        <f t="shared" ca="1" si="172"/>
        <v>-484655038797.58917</v>
      </c>
      <c r="M3691" s="471">
        <f t="shared" si="174"/>
        <v>0.05</v>
      </c>
      <c r="N3691" s="475">
        <f t="shared" si="175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73"/>
        <v>-484655038797.58917</v>
      </c>
      <c r="J3692" s="455">
        <f t="array" ref="J3692">IFERROR(INDEX('Retirement Calculator'!J:J,MATCH('Isaac 401k'!N3692,'Retirement Calculator'!A:A,0),0),0)</f>
        <v>0</v>
      </c>
      <c r="K3692" s="455">
        <f t="shared" ca="1" si="171"/>
        <v>-2019395994.9899547</v>
      </c>
      <c r="L3692" s="455">
        <f t="shared" ca="1" si="172"/>
        <v>-486674434792.5791</v>
      </c>
      <c r="M3692" s="471">
        <f t="shared" si="174"/>
        <v>0.05</v>
      </c>
      <c r="N3692" s="475">
        <f t="shared" si="175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73"/>
        <v>-486674434792.5791</v>
      </c>
      <c r="J3693" s="455">
        <f t="array" ref="J3693">IFERROR(INDEX('Retirement Calculator'!J:J,MATCH('Isaac 401k'!N3693,'Retirement Calculator'!A:A,0),0),0)</f>
        <v>0</v>
      </c>
      <c r="K3693" s="455">
        <f t="shared" ca="1" si="171"/>
        <v>-2027810144.9690793</v>
      </c>
      <c r="L3693" s="455">
        <f t="shared" ca="1" si="172"/>
        <v>-488702244937.54816</v>
      </c>
      <c r="M3693" s="471">
        <f t="shared" si="174"/>
        <v>0.05</v>
      </c>
      <c r="N3693" s="475">
        <f t="shared" si="175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73"/>
        <v>-488702244937.54816</v>
      </c>
      <c r="J3694" s="455">
        <f t="array" ref="J3694">IFERROR(INDEX('Retirement Calculator'!J:J,MATCH('Isaac 401k'!N3694,'Retirement Calculator'!A:A,0),0),0)</f>
        <v>0</v>
      </c>
      <c r="K3694" s="455">
        <f t="shared" ca="1" si="171"/>
        <v>-2036259353.9064505</v>
      </c>
      <c r="L3694" s="455">
        <f t="shared" ca="1" si="172"/>
        <v>-490738504291.45459</v>
      </c>
      <c r="M3694" s="471">
        <f t="shared" si="174"/>
        <v>0.05</v>
      </c>
      <c r="N3694" s="475">
        <f t="shared" si="175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73"/>
        <v>-490738504291.45459</v>
      </c>
      <c r="J3695" s="455">
        <f t="array" ref="J3695">IFERROR(INDEX('Retirement Calculator'!J:J,MATCH('Isaac 401k'!N3695,'Retirement Calculator'!A:A,0),0),0)</f>
        <v>0</v>
      </c>
      <c r="K3695" s="455">
        <f t="shared" ca="1" si="171"/>
        <v>-2044743767.8810608</v>
      </c>
      <c r="L3695" s="455">
        <f t="shared" ca="1" si="172"/>
        <v>-492783248059.33563</v>
      </c>
      <c r="M3695" s="471">
        <f t="shared" si="174"/>
        <v>0.05</v>
      </c>
      <c r="N3695" s="475">
        <f t="shared" si="175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73"/>
        <v>-492783248059.33563</v>
      </c>
      <c r="J3696" s="455">
        <f t="array" ref="J3696">IFERROR(INDEX('Retirement Calculator'!J:J,MATCH('Isaac 401k'!N3696,'Retirement Calculator'!A:A,0),0),0)</f>
        <v>0</v>
      </c>
      <c r="K3696" s="455">
        <f t="shared" ca="1" si="171"/>
        <v>-2053263533.5805652</v>
      </c>
      <c r="L3696" s="455">
        <f t="shared" ca="1" si="172"/>
        <v>-494836511592.9162</v>
      </c>
      <c r="M3696" s="471">
        <f t="shared" si="174"/>
        <v>0.05</v>
      </c>
      <c r="N3696" s="475">
        <f t="shared" si="175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73"/>
        <v>-494836511592.9162</v>
      </c>
      <c r="J3697" s="455">
        <f t="array" ref="J3697">IFERROR(INDEX('Retirement Calculator'!J:J,MATCH('Isaac 401k'!N3697,'Retirement Calculator'!A:A,0),0),0)</f>
        <v>0</v>
      </c>
      <c r="K3697" s="455">
        <f t="shared" ca="1" si="171"/>
        <v>-2061818798.3038177</v>
      </c>
      <c r="L3697" s="455">
        <f t="shared" ca="1" si="172"/>
        <v>-496898330391.22003</v>
      </c>
      <c r="M3697" s="471">
        <f t="shared" si="174"/>
        <v>0.05</v>
      </c>
      <c r="N3697" s="475">
        <f t="shared" si="175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73"/>
        <v>-496898330391.22003</v>
      </c>
      <c r="J3698" s="455">
        <f t="array" ref="J3698">IFERROR(INDEX('Retirement Calculator'!J:J,MATCH('Isaac 401k'!N3698,'Retirement Calculator'!A:A,0),0),0)</f>
        <v>0</v>
      </c>
      <c r="K3698" s="455">
        <f t="shared" ca="1" si="171"/>
        <v>-2070409709.9634168</v>
      </c>
      <c r="L3698" s="455">
        <f t="shared" ca="1" si="172"/>
        <v>-498968740101.18347</v>
      </c>
      <c r="M3698" s="471">
        <f t="shared" si="174"/>
        <v>0.05</v>
      </c>
      <c r="N3698" s="475">
        <f t="shared" si="175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73"/>
        <v>-498968740101.18347</v>
      </c>
      <c r="J3699" s="455">
        <f t="array" ref="J3699">IFERROR(INDEX('Retirement Calculator'!J:J,MATCH('Isaac 401k'!N3699,'Retirement Calculator'!A:A,0),0),0)</f>
        <v>0</v>
      </c>
      <c r="K3699" s="455">
        <f t="shared" ca="1" si="171"/>
        <v>-2079036417.0882642</v>
      </c>
      <c r="L3699" s="455">
        <f t="shared" ca="1" si="172"/>
        <v>-501047776518.27173</v>
      </c>
      <c r="M3699" s="471">
        <f t="shared" si="174"/>
        <v>0.05</v>
      </c>
      <c r="N3699" s="475">
        <f t="shared" si="175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73"/>
        <v>-501047776518.27173</v>
      </c>
      <c r="J3700" s="455">
        <f t="array" ref="J3700">IFERROR(INDEX('Retirement Calculator'!J:J,MATCH('Isaac 401k'!N3700,'Retirement Calculator'!A:A,0),0),0)</f>
        <v>0</v>
      </c>
      <c r="K3700" s="455">
        <f t="shared" ca="1" si="171"/>
        <v>-2087699068.8261318</v>
      </c>
      <c r="L3700" s="455">
        <f t="shared" ca="1" si="172"/>
        <v>-503135475587.09784</v>
      </c>
      <c r="M3700" s="471">
        <f t="shared" si="174"/>
        <v>0.05</v>
      </c>
      <c r="N3700" s="475">
        <f t="shared" si="175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73"/>
        <v>-503135475587.09784</v>
      </c>
      <c r="J3701" s="455">
        <f t="array" ref="J3701">IFERROR(INDEX('Retirement Calculator'!J:J,MATCH('Isaac 401k'!N3701,'Retirement Calculator'!A:A,0),0),0)</f>
        <v>0</v>
      </c>
      <c r="K3701" s="455">
        <f t="shared" ca="1" si="171"/>
        <v>-2096397814.9462407</v>
      </c>
      <c r="L3701" s="455">
        <f t="shared" ca="1" si="172"/>
        <v>-505231873402.04407</v>
      </c>
      <c r="M3701" s="471">
        <f t="shared" si="174"/>
        <v>0.05</v>
      </c>
      <c r="N3701" s="475">
        <f t="shared" si="175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73"/>
        <v>-505231873402.04407</v>
      </c>
      <c r="J3702" s="455">
        <f t="array" ref="J3702">IFERROR(INDEX('Retirement Calculator'!J:J,MATCH('Isaac 401k'!N3702,'Retirement Calculator'!A:A,0),0),0)</f>
        <v>0</v>
      </c>
      <c r="K3702" s="455">
        <f t="shared" ca="1" si="171"/>
        <v>-2105132805.8418503</v>
      </c>
      <c r="L3702" s="455">
        <f t="shared" ca="1" si="172"/>
        <v>-507337006207.88593</v>
      </c>
      <c r="M3702" s="471">
        <f t="shared" si="174"/>
        <v>0.05</v>
      </c>
      <c r="N3702" s="475">
        <f t="shared" si="175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73"/>
        <v>-507337006207.88593</v>
      </c>
      <c r="J3703" s="455">
        <f t="array" ref="J3703">IFERROR(INDEX('Retirement Calculator'!J:J,MATCH('Isaac 401k'!N3703,'Retirement Calculator'!A:A,0),0),0)</f>
        <v>0</v>
      </c>
      <c r="K3703" s="455">
        <f t="shared" ca="1" si="171"/>
        <v>-2113904192.5328579</v>
      </c>
      <c r="L3703" s="455">
        <f t="shared" ca="1" si="172"/>
        <v>-509450910400.41876</v>
      </c>
      <c r="M3703" s="471">
        <f t="shared" si="174"/>
        <v>0.05</v>
      </c>
      <c r="N3703" s="475">
        <f t="shared" si="175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73"/>
        <v>-509450910400.41876</v>
      </c>
      <c r="J3704" s="455">
        <f t="array" ref="J3704">IFERROR(INDEX('Retirement Calculator'!J:J,MATCH('Isaac 401k'!N3704,'Retirement Calculator'!A:A,0),0),0)</f>
        <v>0</v>
      </c>
      <c r="K3704" s="455">
        <f t="shared" ca="1" si="171"/>
        <v>-2122712126.6684115</v>
      </c>
      <c r="L3704" s="455">
        <f t="shared" ca="1" si="172"/>
        <v>-511573622527.08716</v>
      </c>
      <c r="M3704" s="471">
        <f t="shared" si="174"/>
        <v>0.05</v>
      </c>
      <c r="N3704" s="475">
        <f t="shared" si="175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73"/>
        <v>-511573622527.08716</v>
      </c>
      <c r="J3705" s="455">
        <f t="array" ref="J3705">IFERROR(INDEX('Retirement Calculator'!J:J,MATCH('Isaac 401k'!N3705,'Retirement Calculator'!A:A,0),0),0)</f>
        <v>0</v>
      </c>
      <c r="K3705" s="455">
        <f t="shared" ca="1" si="171"/>
        <v>-2131556760.5295298</v>
      </c>
      <c r="L3705" s="455">
        <f t="shared" ca="1" si="172"/>
        <v>-513705179287.6167</v>
      </c>
      <c r="M3705" s="471">
        <f t="shared" si="174"/>
        <v>0.05</v>
      </c>
      <c r="N3705" s="475">
        <f t="shared" si="175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73"/>
        <v>-513705179287.6167</v>
      </c>
      <c r="J3706" s="455">
        <f t="array" ref="J3706">IFERROR(INDEX('Retirement Calculator'!J:J,MATCH('Isaac 401k'!N3706,'Retirement Calculator'!A:A,0),0),0)</f>
        <v>0</v>
      </c>
      <c r="K3706" s="455">
        <f t="shared" ca="1" si="171"/>
        <v>-2140438247.0317364</v>
      </c>
      <c r="L3706" s="455">
        <f t="shared" ca="1" si="172"/>
        <v>-515845617534.64844</v>
      </c>
      <c r="M3706" s="471">
        <f t="shared" si="174"/>
        <v>0.05</v>
      </c>
      <c r="N3706" s="475">
        <f t="shared" si="175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73"/>
        <v>-515845617534.64844</v>
      </c>
      <c r="J3707" s="455">
        <f t="array" ref="J3707">IFERROR(INDEX('Retirement Calculator'!J:J,MATCH('Isaac 401k'!N3707,'Retirement Calculator'!A:A,0),0),0)</f>
        <v>0</v>
      </c>
      <c r="K3707" s="455">
        <f t="shared" ca="1" si="171"/>
        <v>-2149356739.7277021</v>
      </c>
      <c r="L3707" s="455">
        <f t="shared" ca="1" si="172"/>
        <v>-517994974274.37616</v>
      </c>
      <c r="M3707" s="471">
        <f t="shared" si="174"/>
        <v>0.05</v>
      </c>
      <c r="N3707" s="475">
        <f t="shared" si="175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73"/>
        <v>-517994974274.37616</v>
      </c>
      <c r="J3708" s="455">
        <f t="array" ref="J3708">IFERROR(INDEX('Retirement Calculator'!J:J,MATCH('Isaac 401k'!N3708,'Retirement Calculator'!A:A,0),0),0)</f>
        <v>0</v>
      </c>
      <c r="K3708" s="455">
        <f t="shared" ca="1" si="171"/>
        <v>-2158312392.8099008</v>
      </c>
      <c r="L3708" s="455">
        <f t="shared" ca="1" si="172"/>
        <v>-520153286667.18604</v>
      </c>
      <c r="M3708" s="471">
        <f t="shared" si="174"/>
        <v>0.05</v>
      </c>
      <c r="N3708" s="475">
        <f t="shared" si="175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73"/>
        <v>-520153286667.18604</v>
      </c>
      <c r="J3709" s="455">
        <f t="array" ref="J3709">IFERROR(INDEX('Retirement Calculator'!J:J,MATCH('Isaac 401k'!N3709,'Retirement Calculator'!A:A,0),0),0)</f>
        <v>0</v>
      </c>
      <c r="K3709" s="455">
        <f t="shared" ca="1" si="171"/>
        <v>-2167305361.1132751</v>
      </c>
      <c r="L3709" s="455">
        <f t="shared" ca="1" si="172"/>
        <v>-522320592028.29932</v>
      </c>
      <c r="M3709" s="471">
        <f t="shared" si="174"/>
        <v>0.05</v>
      </c>
      <c r="N3709" s="475">
        <f t="shared" si="175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73"/>
        <v>-522320592028.29932</v>
      </c>
      <c r="J3710" s="455">
        <f t="array" ref="J3710">IFERROR(INDEX('Retirement Calculator'!J:J,MATCH('Isaac 401k'!N3710,'Retirement Calculator'!A:A,0),0),0)</f>
        <v>0</v>
      </c>
      <c r="K3710" s="455">
        <f t="shared" ca="1" si="171"/>
        <v>-2176335800.1179137</v>
      </c>
      <c r="L3710" s="455">
        <f t="shared" ca="1" si="172"/>
        <v>-524496927828.41724</v>
      </c>
      <c r="M3710" s="471">
        <f t="shared" si="174"/>
        <v>0.05</v>
      </c>
      <c r="N3710" s="475">
        <f t="shared" si="175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73"/>
        <v>-524496927828.41724</v>
      </c>
      <c r="J3711" s="455">
        <f t="array" ref="J3711">IFERROR(INDEX('Retirement Calculator'!J:J,MATCH('Isaac 401k'!N3711,'Retirement Calculator'!A:A,0),0),0)</f>
        <v>0</v>
      </c>
      <c r="K3711" s="455">
        <f t="shared" ca="1" si="171"/>
        <v>-2185403865.9517388</v>
      </c>
      <c r="L3711" s="455">
        <f t="shared" ca="1" si="172"/>
        <v>-526682331694.36896</v>
      </c>
      <c r="M3711" s="471">
        <f t="shared" si="174"/>
        <v>0.05</v>
      </c>
      <c r="N3711" s="475">
        <f t="shared" si="175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73"/>
        <v>-526682331694.36896</v>
      </c>
      <c r="J3712" s="455">
        <f t="array" ref="J3712">IFERROR(INDEX('Retirement Calculator'!J:J,MATCH('Isaac 401k'!N3712,'Retirement Calculator'!A:A,0),0),0)</f>
        <v>0</v>
      </c>
      <c r="K3712" s="455">
        <f t="shared" ca="1" si="171"/>
        <v>-2194509715.3932042</v>
      </c>
      <c r="L3712" s="455">
        <f t="shared" ca="1" si="172"/>
        <v>-528876841409.76215</v>
      </c>
      <c r="M3712" s="471">
        <f t="shared" si="174"/>
        <v>0.05</v>
      </c>
      <c r="N3712" s="475">
        <f t="shared" si="175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73"/>
        <v>-528876841409.76215</v>
      </c>
      <c r="J3713" s="455">
        <f t="array" ref="J3713">IFERROR(INDEX('Retirement Calculator'!J:J,MATCH('Isaac 401k'!N3713,'Retirement Calculator'!A:A,0),0),0)</f>
        <v>0</v>
      </c>
      <c r="K3713" s="455">
        <f t="shared" ca="1" si="171"/>
        <v>-2203653505.8740091</v>
      </c>
      <c r="L3713" s="455">
        <f t="shared" ca="1" si="172"/>
        <v>-531080494915.63617</v>
      </c>
      <c r="M3713" s="471">
        <f t="shared" si="174"/>
        <v>0.05</v>
      </c>
      <c r="N3713" s="475">
        <f t="shared" si="175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73"/>
        <v>-531080494915.63617</v>
      </c>
      <c r="J3714" s="455">
        <f t="array" ref="J3714">IFERROR(INDEX('Retirement Calculator'!J:J,MATCH('Isaac 401k'!N3714,'Retirement Calculator'!A:A,0),0),0)</f>
        <v>0</v>
      </c>
      <c r="K3714" s="455">
        <f t="shared" ca="1" si="171"/>
        <v>-2212835395.4818172</v>
      </c>
      <c r="L3714" s="455">
        <f t="shared" ca="1" si="172"/>
        <v>-533293330311.11798</v>
      </c>
      <c r="M3714" s="471">
        <f t="shared" si="174"/>
        <v>0.05</v>
      </c>
      <c r="N3714" s="475">
        <f t="shared" si="175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73"/>
        <v>-533293330311.11798</v>
      </c>
      <c r="J3715" s="455">
        <f t="array" ref="J3715">IFERROR(INDEX('Retirement Calculator'!J:J,MATCH('Isaac 401k'!N3715,'Retirement Calculator'!A:A,0),0),0)</f>
        <v>0</v>
      </c>
      <c r="K3715" s="455">
        <f t="shared" ca="1" si="171"/>
        <v>-2222055542.9629917</v>
      </c>
      <c r="L3715" s="455">
        <f t="shared" ca="1" si="172"/>
        <v>-535515385854.08099</v>
      </c>
      <c r="M3715" s="471">
        <f t="shared" si="174"/>
        <v>0.05</v>
      </c>
      <c r="N3715" s="475">
        <f t="shared" si="175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73"/>
        <v>-535515385854.08099</v>
      </c>
      <c r="J3716" s="455">
        <f t="array" ref="J3716">IFERROR(INDEX('Retirement Calculator'!J:J,MATCH('Isaac 401k'!N3716,'Retirement Calculator'!A:A,0),0),0)</f>
        <v>0</v>
      </c>
      <c r="K3716" s="455">
        <f t="shared" ca="1" si="171"/>
        <v>-2231314107.7253375</v>
      </c>
      <c r="L3716" s="455">
        <f t="shared" ca="1" si="172"/>
        <v>-537746699961.80634</v>
      </c>
      <c r="M3716" s="471">
        <f t="shared" si="174"/>
        <v>0.05</v>
      </c>
      <c r="N3716" s="475">
        <f t="shared" si="175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73"/>
        <v>-537746699961.80634</v>
      </c>
      <c r="J3717" s="455">
        <f t="array" ref="J3717">IFERROR(INDEX('Retirement Calculator'!J:J,MATCH('Isaac 401k'!N3717,'Retirement Calculator'!A:A,0),0),0)</f>
        <v>0</v>
      </c>
      <c r="K3717" s="455">
        <f t="shared" ca="1" si="171"/>
        <v>-2240611249.8408599</v>
      </c>
      <c r="L3717" s="455">
        <f t="shared" ca="1" si="172"/>
        <v>-539987311211.64722</v>
      </c>
      <c r="M3717" s="471">
        <f t="shared" si="174"/>
        <v>0.05</v>
      </c>
      <c r="N3717" s="475">
        <f t="shared" si="175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73"/>
        <v>-539987311211.64722</v>
      </c>
      <c r="J3718" s="455">
        <f t="array" ref="J3718">IFERROR(INDEX('Retirement Calculator'!J:J,MATCH('Isaac 401k'!N3718,'Retirement Calculator'!A:A,0),0),0)</f>
        <v>0</v>
      </c>
      <c r="K3718" s="455">
        <f t="shared" ca="1" si="171"/>
        <v>-2249947130.0485301</v>
      </c>
      <c r="L3718" s="455">
        <f t="shared" ca="1" si="172"/>
        <v>-542237258341.69574</v>
      </c>
      <c r="M3718" s="471">
        <f t="shared" si="174"/>
        <v>0.05</v>
      </c>
      <c r="N3718" s="475">
        <f t="shared" si="175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73"/>
        <v>-542237258341.69574</v>
      </c>
      <c r="J3719" s="455">
        <f t="array" ref="J3719">IFERROR(INDEX('Retirement Calculator'!J:J,MATCH('Isaac 401k'!N3719,'Retirement Calculator'!A:A,0),0),0)</f>
        <v>0</v>
      </c>
      <c r="K3719" s="455">
        <f t="shared" ca="1" si="171"/>
        <v>-2259321909.7570658</v>
      </c>
      <c r="L3719" s="455">
        <f t="shared" ca="1" si="172"/>
        <v>-544496580251.45282</v>
      </c>
      <c r="M3719" s="471">
        <f t="shared" si="174"/>
        <v>0.05</v>
      </c>
      <c r="N3719" s="475">
        <f t="shared" si="175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73"/>
        <v>-544496580251.45282</v>
      </c>
      <c r="J3720" s="455">
        <f t="array" ref="J3720">IFERROR(INDEX('Retirement Calculator'!J:J,MATCH('Isaac 401k'!N3720,'Retirement Calculator'!A:A,0),0),0)</f>
        <v>0</v>
      </c>
      <c r="K3720" s="455">
        <f t="shared" ca="1" si="171"/>
        <v>-2268735751.04772</v>
      </c>
      <c r="L3720" s="455">
        <f t="shared" ca="1" si="172"/>
        <v>-546765316002.50055</v>
      </c>
      <c r="M3720" s="471">
        <f t="shared" si="174"/>
        <v>0.05</v>
      </c>
      <c r="N3720" s="475">
        <f t="shared" si="175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73"/>
        <v>-546765316002.50055</v>
      </c>
      <c r="J3721" s="455">
        <f t="array" ref="J3721">IFERROR(INDEX('Retirement Calculator'!J:J,MATCH('Isaac 401k'!N3721,'Retirement Calculator'!A:A,0),0),0)</f>
        <v>0</v>
      </c>
      <c r="K3721" s="455">
        <f t="shared" ca="1" si="171"/>
        <v>-2278188816.6770859</v>
      </c>
      <c r="L3721" s="455">
        <f t="shared" ca="1" si="172"/>
        <v>-549043504819.17761</v>
      </c>
      <c r="M3721" s="471">
        <f t="shared" si="174"/>
        <v>0.05</v>
      </c>
      <c r="N3721" s="475">
        <f t="shared" si="175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73"/>
        <v>-549043504819.17761</v>
      </c>
      <c r="J3722" s="455">
        <f t="array" ref="J3722">IFERROR(INDEX('Retirement Calculator'!J:J,MATCH('Isaac 401k'!N3722,'Retirement Calculator'!A:A,0),0),0)</f>
        <v>0</v>
      </c>
      <c r="K3722" s="455">
        <f t="shared" ca="1" si="171"/>
        <v>-2287681270.0799065</v>
      </c>
      <c r="L3722" s="455">
        <f t="shared" ca="1" si="172"/>
        <v>-551331186089.25757</v>
      </c>
      <c r="M3722" s="471">
        <f t="shared" si="174"/>
        <v>0.05</v>
      </c>
      <c r="N3722" s="475">
        <f t="shared" si="175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73"/>
        <v>-551331186089.25757</v>
      </c>
      <c r="J3723" s="455">
        <f t="array" ref="J3723">IFERROR(INDEX('Retirement Calculator'!J:J,MATCH('Isaac 401k'!N3723,'Retirement Calculator'!A:A,0),0),0)</f>
        <v>0</v>
      </c>
      <c r="K3723" s="455">
        <f t="shared" ca="1" si="171"/>
        <v>-2297213275.3719063</v>
      </c>
      <c r="L3723" s="455">
        <f t="shared" ca="1" si="172"/>
        <v>-553628399364.62952</v>
      </c>
      <c r="M3723" s="471">
        <f t="shared" si="174"/>
        <v>0.05</v>
      </c>
      <c r="N3723" s="475">
        <f t="shared" si="175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73"/>
        <v>-553628399364.62952</v>
      </c>
      <c r="J3724" s="455">
        <f t="array" ref="J3724">IFERROR(INDEX('Retirement Calculator'!J:J,MATCH('Isaac 401k'!N3724,'Retirement Calculator'!A:A,0),0),0)</f>
        <v>0</v>
      </c>
      <c r="K3724" s="455">
        <f t="shared" ca="1" si="171"/>
        <v>-2306784997.352623</v>
      </c>
      <c r="L3724" s="455">
        <f t="shared" ca="1" si="172"/>
        <v>-555935184361.98218</v>
      </c>
      <c r="M3724" s="471">
        <f t="shared" si="174"/>
        <v>0.05</v>
      </c>
      <c r="N3724" s="475">
        <f t="shared" si="175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73"/>
        <v>-555935184361.98218</v>
      </c>
      <c r="J3725" s="455">
        <f t="array" ref="J3725">IFERROR(INDEX('Retirement Calculator'!J:J,MATCH('Isaac 401k'!N3725,'Retirement Calculator'!A:A,0),0),0)</f>
        <v>0</v>
      </c>
      <c r="K3725" s="455">
        <f t="shared" ca="1" si="171"/>
        <v>-2316396601.5082588</v>
      </c>
      <c r="L3725" s="455">
        <f t="shared" ca="1" si="172"/>
        <v>-558251580963.49048</v>
      </c>
      <c r="M3725" s="471">
        <f t="shared" si="174"/>
        <v>0.05</v>
      </c>
      <c r="N3725" s="475">
        <f t="shared" si="175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73"/>
        <v>-558251580963.49048</v>
      </c>
      <c r="J3726" s="455">
        <f t="array" ref="J3726">IFERROR(INDEX('Retirement Calculator'!J:J,MATCH('Isaac 401k'!N3726,'Retirement Calculator'!A:A,0),0),0)</f>
        <v>0</v>
      </c>
      <c r="K3726" s="455">
        <f t="shared" ca="1" si="171"/>
        <v>-2326048254.0145435</v>
      </c>
      <c r="L3726" s="455">
        <f t="shared" ca="1" si="172"/>
        <v>-560577629217.505</v>
      </c>
      <c r="M3726" s="471">
        <f t="shared" si="174"/>
        <v>0.05</v>
      </c>
      <c r="N3726" s="475">
        <f t="shared" si="175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73"/>
        <v>-560577629217.505</v>
      </c>
      <c r="J3727" s="455">
        <f t="array" ref="J3727">IFERROR(INDEX('Retirement Calculator'!J:J,MATCH('Isaac 401k'!N3727,'Retirement Calculator'!A:A,0),0),0)</f>
        <v>0</v>
      </c>
      <c r="K3727" s="455">
        <f t="shared" ca="1" si="171"/>
        <v>-2335740121.739604</v>
      </c>
      <c r="L3727" s="455">
        <f t="shared" ca="1" si="172"/>
        <v>-562913369339.24463</v>
      </c>
      <c r="M3727" s="471">
        <f t="shared" si="174"/>
        <v>0.05</v>
      </c>
      <c r="N3727" s="475">
        <f t="shared" si="175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73"/>
        <v>-562913369339.24463</v>
      </c>
      <c r="J3728" s="455">
        <f t="array" ref="J3728">IFERROR(INDEX('Retirement Calculator'!J:J,MATCH('Isaac 401k'!N3728,'Retirement Calculator'!A:A,0),0),0)</f>
        <v>0</v>
      </c>
      <c r="K3728" s="455">
        <f t="shared" ca="1" si="171"/>
        <v>-2345472372.2468524</v>
      </c>
      <c r="L3728" s="455">
        <f t="shared" ca="1" si="172"/>
        <v>-565258841711.49146</v>
      </c>
      <c r="M3728" s="471">
        <f t="shared" si="174"/>
        <v>0.05</v>
      </c>
      <c r="N3728" s="475">
        <f t="shared" si="175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73"/>
        <v>-565258841711.49146</v>
      </c>
      <c r="J3729" s="455">
        <f t="array" ref="J3729">IFERROR(INDEX('Retirement Calculator'!J:J,MATCH('Isaac 401k'!N3729,'Retirement Calculator'!A:A,0),0),0)</f>
        <v>0</v>
      </c>
      <c r="K3729" s="455">
        <f t="shared" ca="1" si="171"/>
        <v>-2355245173.7978811</v>
      </c>
      <c r="L3729" s="455">
        <f t="shared" ca="1" si="172"/>
        <v>-567614086885.28931</v>
      </c>
      <c r="M3729" s="471">
        <f t="shared" si="174"/>
        <v>0.05</v>
      </c>
      <c r="N3729" s="475">
        <f t="shared" si="175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73"/>
        <v>-567614086885.28931</v>
      </c>
      <c r="J3730" s="455">
        <f t="array" ref="J3730">IFERROR(INDEX('Retirement Calculator'!J:J,MATCH('Isaac 401k'!N3730,'Retirement Calculator'!A:A,0),0),0)</f>
        <v>0</v>
      </c>
      <c r="K3730" s="455">
        <f t="shared" ca="1" si="171"/>
        <v>-2365058695.355372</v>
      </c>
      <c r="L3730" s="455">
        <f t="shared" ca="1" si="172"/>
        <v>-569979145580.64465</v>
      </c>
      <c r="M3730" s="471">
        <f t="shared" si="174"/>
        <v>0.05</v>
      </c>
      <c r="N3730" s="475">
        <f t="shared" si="175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73"/>
        <v>-569979145580.64465</v>
      </c>
      <c r="J3731" s="455">
        <f t="array" ref="J3731">IFERROR(INDEX('Retirement Calculator'!J:J,MATCH('Isaac 401k'!N3731,'Retirement Calculator'!A:A,0),0),0)</f>
        <v>0</v>
      </c>
      <c r="K3731" s="455">
        <f t="shared" ca="1" si="171"/>
        <v>-2374913106.5860195</v>
      </c>
      <c r="L3731" s="455">
        <f t="shared" ca="1" si="172"/>
        <v>-572354058687.23071</v>
      </c>
      <c r="M3731" s="471">
        <f t="shared" si="174"/>
        <v>0.05</v>
      </c>
      <c r="N3731" s="475">
        <f t="shared" si="175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73"/>
        <v>-572354058687.23071</v>
      </c>
      <c r="J3732" s="455">
        <f t="array" ref="J3732">IFERROR(INDEX('Retirement Calculator'!J:J,MATCH('Isaac 401k'!N3732,'Retirement Calculator'!A:A,0),0),0)</f>
        <v>0</v>
      </c>
      <c r="K3732" s="455">
        <f t="shared" ca="1" si="171"/>
        <v>-2384808577.8634615</v>
      </c>
      <c r="L3732" s="455">
        <f t="shared" ca="1" si="172"/>
        <v>-574738867265.09412</v>
      </c>
      <c r="M3732" s="471">
        <f t="shared" si="174"/>
        <v>0.05</v>
      </c>
      <c r="N3732" s="475">
        <f t="shared" si="175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73"/>
        <v>-574738867265.09412</v>
      </c>
      <c r="J3733" s="455">
        <f t="array" ref="J3733">IFERROR(INDEX('Retirement Calculator'!J:J,MATCH('Isaac 401k'!N3733,'Retirement Calculator'!A:A,0),0),0)</f>
        <v>0</v>
      </c>
      <c r="K3733" s="455">
        <f t="shared" ca="1" si="171"/>
        <v>-2394745280.2712255</v>
      </c>
      <c r="L3733" s="455">
        <f t="shared" ca="1" si="172"/>
        <v>-577133612545.36536</v>
      </c>
      <c r="M3733" s="471">
        <f t="shared" si="174"/>
        <v>0.05</v>
      </c>
      <c r="N3733" s="475">
        <f t="shared" si="175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73"/>
        <v>-577133612545.36536</v>
      </c>
      <c r="J3734" s="455">
        <f t="array" ref="J3734">IFERROR(INDEX('Retirement Calculator'!J:J,MATCH('Isaac 401k'!N3734,'Retirement Calculator'!A:A,0),0),0)</f>
        <v>0</v>
      </c>
      <c r="K3734" s="455">
        <f t="shared" ca="1" si="171"/>
        <v>-2404723385.605689</v>
      </c>
      <c r="L3734" s="455">
        <f t="shared" ca="1" si="172"/>
        <v>-579538335930.97107</v>
      </c>
      <c r="M3734" s="471">
        <f t="shared" si="174"/>
        <v>0.05</v>
      </c>
      <c r="N3734" s="475">
        <f t="shared" si="175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73"/>
        <v>-579538335930.97107</v>
      </c>
      <c r="J3735" s="455">
        <f t="array" ref="J3735">IFERROR(INDEX('Retirement Calculator'!J:J,MATCH('Isaac 401k'!N3735,'Retirement Calculator'!A:A,0),0),0)</f>
        <v>0</v>
      </c>
      <c r="K3735" s="455">
        <f t="shared" ca="1" si="171"/>
        <v>-2414743066.379046</v>
      </c>
      <c r="L3735" s="455">
        <f t="shared" ca="1" si="172"/>
        <v>-581953078997.3501</v>
      </c>
      <c r="M3735" s="471">
        <f t="shared" si="174"/>
        <v>0.05</v>
      </c>
      <c r="N3735" s="475">
        <f t="shared" si="175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73"/>
        <v>-581953078997.3501</v>
      </c>
      <c r="J3736" s="455">
        <f t="array" ref="J3736">IFERROR(INDEX('Retirement Calculator'!J:J,MATCH('Isaac 401k'!N3736,'Retirement Calculator'!A:A,0),0),0)</f>
        <v>0</v>
      </c>
      <c r="K3736" s="455">
        <f t="shared" ca="1" si="171"/>
        <v>-2424804495.8222919</v>
      </c>
      <c r="L3736" s="455">
        <f t="shared" ca="1" si="172"/>
        <v>-584377883493.17236</v>
      </c>
      <c r="M3736" s="471">
        <f t="shared" si="174"/>
        <v>0.05</v>
      </c>
      <c r="N3736" s="475">
        <f t="shared" si="175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73"/>
        <v>-584377883493.17236</v>
      </c>
      <c r="J3737" s="455">
        <f t="array" ref="J3737">IFERROR(INDEX('Retirement Calculator'!J:J,MATCH('Isaac 401k'!N3737,'Retirement Calculator'!A:A,0),0),0)</f>
        <v>0</v>
      </c>
      <c r="K3737" s="455">
        <f t="shared" ca="1" si="171"/>
        <v>-2434907847.8882179</v>
      </c>
      <c r="L3737" s="455">
        <f t="shared" ca="1" si="172"/>
        <v>-586812791341.06055</v>
      </c>
      <c r="M3737" s="471">
        <f t="shared" si="174"/>
        <v>0.05</v>
      </c>
      <c r="N3737" s="475">
        <f t="shared" si="175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73"/>
        <v>-586812791341.06055</v>
      </c>
      <c r="J3738" s="455">
        <f t="array" ref="J3738">IFERROR(INDEX('Retirement Calculator'!J:J,MATCH('Isaac 401k'!N3738,'Retirement Calculator'!A:A,0),0),0)</f>
        <v>0</v>
      </c>
      <c r="K3738" s="455">
        <f t="shared" ca="1" si="171"/>
        <v>-2445053297.2544188</v>
      </c>
      <c r="L3738" s="455">
        <f t="shared" ca="1" si="172"/>
        <v>-589257844638.31494</v>
      </c>
      <c r="M3738" s="471">
        <f t="shared" si="174"/>
        <v>0.05</v>
      </c>
      <c r="N3738" s="475">
        <f t="shared" si="175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73"/>
        <v>-589257844638.31494</v>
      </c>
      <c r="J3739" s="455">
        <f t="array" ref="J3739">IFERROR(INDEX('Retirement Calculator'!J:J,MATCH('Isaac 401k'!N3739,'Retirement Calculator'!A:A,0),0),0)</f>
        <v>0</v>
      </c>
      <c r="K3739" s="455">
        <f t="shared" ca="1" si="171"/>
        <v>-2455241019.3263121</v>
      </c>
      <c r="L3739" s="455">
        <f t="shared" ca="1" si="172"/>
        <v>-591713085657.64124</v>
      </c>
      <c r="M3739" s="471">
        <f t="shared" si="174"/>
        <v>0.05</v>
      </c>
      <c r="N3739" s="475">
        <f t="shared" si="175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73"/>
        <v>-591713085657.64124</v>
      </c>
      <c r="J3740" s="455">
        <f t="array" ref="J3740">IFERROR(INDEX('Retirement Calculator'!J:J,MATCH('Isaac 401k'!N3740,'Retirement Calculator'!A:A,0),0),0)</f>
        <v>0</v>
      </c>
      <c r="K3740" s="455">
        <f t="shared" ca="1" si="171"/>
        <v>-2465471190.2401719</v>
      </c>
      <c r="L3740" s="455">
        <f t="shared" ca="1" si="172"/>
        <v>-594178556847.88135</v>
      </c>
      <c r="M3740" s="471">
        <f t="shared" si="174"/>
        <v>0.05</v>
      </c>
      <c r="N3740" s="475">
        <f t="shared" si="175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73"/>
        <v>-594178556847.88135</v>
      </c>
      <c r="J3741" s="455">
        <f t="array" ref="J3741">IFERROR(INDEX('Retirement Calculator'!J:J,MATCH('Isaac 401k'!N3741,'Retirement Calculator'!A:A,0),0),0)</f>
        <v>0</v>
      </c>
      <c r="K3741" s="455">
        <f t="shared" ca="1" si="171"/>
        <v>-2475743986.8661723</v>
      </c>
      <c r="L3741" s="455">
        <f t="shared" ca="1" si="172"/>
        <v>-596654300834.74756</v>
      </c>
      <c r="M3741" s="471">
        <f t="shared" si="174"/>
        <v>0.05</v>
      </c>
      <c r="N3741" s="475">
        <f t="shared" si="175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73"/>
        <v>-596654300834.74756</v>
      </c>
      <c r="J3742" s="455">
        <f t="array" ref="J3742">IFERROR(INDEX('Retirement Calculator'!J:J,MATCH('Isaac 401k'!N3742,'Retirement Calculator'!A:A,0),0),0)</f>
        <v>0</v>
      </c>
      <c r="K3742" s="455">
        <f t="shared" ca="1" si="171"/>
        <v>-2486059586.8114481</v>
      </c>
      <c r="L3742" s="455">
        <f t="shared" ca="1" si="172"/>
        <v>-599140360421.55896</v>
      </c>
      <c r="M3742" s="471">
        <f t="shared" si="174"/>
        <v>0.05</v>
      </c>
      <c r="N3742" s="475">
        <f t="shared" si="175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73"/>
        <v>-599140360421.55896</v>
      </c>
      <c r="J3743" s="455">
        <f t="array" ref="J3743">IFERROR(INDEX('Retirement Calculator'!J:J,MATCH('Isaac 401k'!N3743,'Retirement Calculator'!A:A,0),0),0)</f>
        <v>0</v>
      </c>
      <c r="K3743" s="455">
        <f t="shared" ca="1" si="171"/>
        <v>-2496418168.4231625</v>
      </c>
      <c r="L3743" s="455">
        <f t="shared" ca="1" si="172"/>
        <v>-601636778589.98218</v>
      </c>
      <c r="M3743" s="471">
        <f t="shared" si="174"/>
        <v>0.05</v>
      </c>
      <c r="N3743" s="475">
        <f t="shared" si="175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73"/>
        <v>-601636778589.98218</v>
      </c>
      <c r="J3744" s="455">
        <f t="array" ref="J3744">IFERROR(INDEX('Retirement Calculator'!J:J,MATCH('Isaac 401k'!N3744,'Retirement Calculator'!A:A,0),0),0)</f>
        <v>0</v>
      </c>
      <c r="K3744" s="455">
        <f t="shared" ca="1" si="171"/>
        <v>-2506819910.7915926</v>
      </c>
      <c r="L3744" s="455">
        <f t="shared" ca="1" si="172"/>
        <v>-604143598500.7738</v>
      </c>
      <c r="M3744" s="471">
        <f t="shared" si="174"/>
        <v>0.05</v>
      </c>
      <c r="N3744" s="475">
        <f t="shared" si="175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73"/>
        <v>-604143598500.7738</v>
      </c>
      <c r="J3745" s="455">
        <f t="array" ref="J3745">IFERROR(INDEX('Retirement Calculator'!J:J,MATCH('Isaac 401k'!N3745,'Retirement Calculator'!A:A,0),0),0)</f>
        <v>0</v>
      </c>
      <c r="K3745" s="455">
        <f t="shared" ca="1" si="171"/>
        <v>-2517264993.7532244</v>
      </c>
      <c r="L3745" s="455">
        <f t="shared" ca="1" si="172"/>
        <v>-606660863494.52698</v>
      </c>
      <c r="M3745" s="471">
        <f t="shared" si="174"/>
        <v>0.05</v>
      </c>
      <c r="N3745" s="475">
        <f t="shared" si="175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73"/>
        <v>-606660863494.52698</v>
      </c>
      <c r="J3746" s="455">
        <f t="array" ref="J3746">IFERROR(INDEX('Retirement Calculator'!J:J,MATCH('Isaac 401k'!N3746,'Retirement Calculator'!A:A,0),0),0)</f>
        <v>0</v>
      </c>
      <c r="K3746" s="455">
        <f t="shared" ca="1" si="171"/>
        <v>-2527753597.8938622</v>
      </c>
      <c r="L3746" s="455">
        <f t="shared" ca="1" si="172"/>
        <v>-609188617092.4209</v>
      </c>
      <c r="M3746" s="471">
        <f t="shared" si="174"/>
        <v>0.05</v>
      </c>
      <c r="N3746" s="475">
        <f t="shared" si="175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73"/>
        <v>-609188617092.4209</v>
      </c>
      <c r="J3747" s="455">
        <f t="array" ref="J3747">IFERROR(INDEX('Retirement Calculator'!J:J,MATCH('Isaac 401k'!N3747,'Retirement Calculator'!A:A,0),0),0)</f>
        <v>0</v>
      </c>
      <c r="K3747" s="455">
        <f t="shared" ca="1" si="171"/>
        <v>-2538285904.5517535</v>
      </c>
      <c r="L3747" s="455">
        <f t="shared" ca="1" si="172"/>
        <v>-611726902996.97266</v>
      </c>
      <c r="M3747" s="471">
        <f t="shared" si="174"/>
        <v>0.05</v>
      </c>
      <c r="N3747" s="475">
        <f t="shared" si="175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73"/>
        <v>-611726902996.97266</v>
      </c>
      <c r="J3748" s="455">
        <f t="array" ref="J3748">IFERROR(INDEX('Retirement Calculator'!J:J,MATCH('Isaac 401k'!N3748,'Retirement Calculator'!A:A,0),0),0)</f>
        <v>0</v>
      </c>
      <c r="K3748" s="455">
        <f t="shared" ca="1" si="171"/>
        <v>-2548862095.8207192</v>
      </c>
      <c r="L3748" s="455">
        <f t="shared" ca="1" si="172"/>
        <v>-614275765092.79333</v>
      </c>
      <c r="M3748" s="471">
        <f t="shared" si="174"/>
        <v>0.05</v>
      </c>
      <c r="N3748" s="475">
        <f t="shared" si="175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73"/>
        <v>-614275765092.79333</v>
      </c>
      <c r="J3749" s="455">
        <f t="array" ref="J3749">IFERROR(INDEX('Retirement Calculator'!J:J,MATCH('Isaac 401k'!N3749,'Retirement Calculator'!A:A,0),0),0)</f>
        <v>0</v>
      </c>
      <c r="K3749" s="455">
        <f t="shared" ca="1" si="171"/>
        <v>-2559482354.5533056</v>
      </c>
      <c r="L3749" s="455">
        <f t="shared" ca="1" si="172"/>
        <v>-616835247447.34668</v>
      </c>
      <c r="M3749" s="471">
        <f t="shared" si="174"/>
        <v>0.05</v>
      </c>
      <c r="N3749" s="475">
        <f t="shared" si="175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73"/>
        <v>-616835247447.34668</v>
      </c>
      <c r="J3750" s="455">
        <f t="array" ref="J3750">IFERROR(INDEX('Retirement Calculator'!J:J,MATCH('Isaac 401k'!N3750,'Retirement Calculator'!A:A,0),0),0)</f>
        <v>0</v>
      </c>
      <c r="K3750" s="455">
        <f t="shared" ca="1" si="171"/>
        <v>-2570146864.3639445</v>
      </c>
      <c r="L3750" s="455">
        <f t="shared" ca="1" si="172"/>
        <v>-619405394311.71057</v>
      </c>
      <c r="M3750" s="471">
        <f t="shared" si="174"/>
        <v>0.05</v>
      </c>
      <c r="N3750" s="475">
        <f t="shared" si="175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73"/>
        <v>-619405394311.71057</v>
      </c>
      <c r="J3751" s="455">
        <f t="array" ref="J3751">IFERROR(INDEX('Retirement Calculator'!J:J,MATCH('Isaac 401k'!N3751,'Retirement Calculator'!A:A,0),0),0)</f>
        <v>0</v>
      </c>
      <c r="K3751" s="455">
        <f t="shared" ca="1" si="171"/>
        <v>-2580855809.6321273</v>
      </c>
      <c r="L3751" s="455">
        <f t="shared" ca="1" si="172"/>
        <v>-621986250121.34265</v>
      </c>
      <c r="M3751" s="471">
        <f t="shared" si="174"/>
        <v>0.05</v>
      </c>
      <c r="N3751" s="475">
        <f t="shared" si="175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73"/>
        <v>-621986250121.34265</v>
      </c>
      <c r="J3752" s="455">
        <f t="array" ref="J3752">IFERROR(INDEX('Retirement Calculator'!J:J,MATCH('Isaac 401k'!N3752,'Retirement Calculator'!A:A,0),0),0)</f>
        <v>0</v>
      </c>
      <c r="K3752" s="455">
        <f t="shared" ca="1" si="171"/>
        <v>-2591609375.5055943</v>
      </c>
      <c r="L3752" s="455">
        <f t="shared" ca="1" si="172"/>
        <v>-624577859496.84827</v>
      </c>
      <c r="M3752" s="471">
        <f t="shared" si="174"/>
        <v>0.05</v>
      </c>
      <c r="N3752" s="475">
        <f t="shared" si="175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73"/>
        <v>-624577859496.84827</v>
      </c>
      <c r="J3753" s="455">
        <f t="array" ref="J3753">IFERROR(INDEX('Retirement Calculator'!J:J,MATCH('Isaac 401k'!N3753,'Retirement Calculator'!A:A,0),0),0)</f>
        <v>0</v>
      </c>
      <c r="K3753" s="455">
        <f t="shared" ca="1" si="171"/>
        <v>-2602407747.9035344</v>
      </c>
      <c r="L3753" s="455">
        <f t="shared" ca="1" si="172"/>
        <v>-627180267244.75183</v>
      </c>
      <c r="M3753" s="471">
        <f t="shared" si="174"/>
        <v>0.05</v>
      </c>
      <c r="N3753" s="475">
        <f t="shared" si="175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73"/>
        <v>-627180267244.75183</v>
      </c>
      <c r="J3754" s="455">
        <f t="array" ref="J3754">IFERROR(INDEX('Retirement Calculator'!J:J,MATCH('Isaac 401k'!N3754,'Retirement Calculator'!A:A,0),0),0)</f>
        <v>0</v>
      </c>
      <c r="K3754" s="455">
        <f t="shared" ca="1" si="171"/>
        <v>-2613251113.5197992</v>
      </c>
      <c r="L3754" s="455">
        <f t="shared" ca="1" si="172"/>
        <v>-629793518358.27161</v>
      </c>
      <c r="M3754" s="471">
        <f t="shared" si="174"/>
        <v>0.05</v>
      </c>
      <c r="N3754" s="475">
        <f t="shared" si="175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73"/>
        <v>-629793518358.27161</v>
      </c>
      <c r="J3755" s="455">
        <f t="array" ref="J3755">IFERROR(INDEX('Retirement Calculator'!J:J,MATCH('Isaac 401k'!N3755,'Retirement Calculator'!A:A,0),0),0)</f>
        <v>0</v>
      </c>
      <c r="K3755" s="455">
        <f t="shared" ca="1" si="171"/>
        <v>-2624139659.8261318</v>
      </c>
      <c r="L3755" s="455">
        <f t="shared" ca="1" si="172"/>
        <v>-632417658018.09778</v>
      </c>
      <c r="M3755" s="471">
        <f t="shared" si="174"/>
        <v>0.05</v>
      </c>
      <c r="N3755" s="475">
        <f t="shared" si="175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73"/>
        <v>-632417658018.09778</v>
      </c>
      <c r="J3756" s="455">
        <f t="array" ref="J3756">IFERROR(INDEX('Retirement Calculator'!J:J,MATCH('Isaac 401k'!N3756,'Retirement Calculator'!A:A,0),0),0)</f>
        <v>0</v>
      </c>
      <c r="K3756" s="455">
        <f t="shared" ca="1" si="171"/>
        <v>-2635073575.0754075</v>
      </c>
      <c r="L3756" s="455">
        <f t="shared" ca="1" si="172"/>
        <v>-635052731593.17322</v>
      </c>
      <c r="M3756" s="471">
        <f t="shared" si="174"/>
        <v>0.05</v>
      </c>
      <c r="N3756" s="475">
        <f t="shared" si="175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73"/>
        <v>-635052731593.17322</v>
      </c>
      <c r="J3757" s="455">
        <f t="array" ref="J3757">IFERROR(INDEX('Retirement Calculator'!J:J,MATCH('Isaac 401k'!N3757,'Retirement Calculator'!A:A,0),0),0)</f>
        <v>0</v>
      </c>
      <c r="K3757" s="455">
        <f t="shared" ca="1" si="171"/>
        <v>-2646053048.3048882</v>
      </c>
      <c r="L3757" s="455">
        <f t="shared" ca="1" si="172"/>
        <v>-637698784641.47815</v>
      </c>
      <c r="M3757" s="471">
        <f t="shared" si="174"/>
        <v>0.05</v>
      </c>
      <c r="N3757" s="475">
        <f t="shared" si="175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73"/>
        <v>-637698784641.47815</v>
      </c>
      <c r="J3758" s="455">
        <f t="array" ref="J3758">IFERROR(INDEX('Retirement Calculator'!J:J,MATCH('Isaac 401k'!N3758,'Retirement Calculator'!A:A,0),0),0)</f>
        <v>0</v>
      </c>
      <c r="K3758" s="455">
        <f t="shared" ca="1" si="171"/>
        <v>-2657078269.3394923</v>
      </c>
      <c r="L3758" s="455">
        <f t="shared" ca="1" si="172"/>
        <v>-640355862910.81763</v>
      </c>
      <c r="M3758" s="471">
        <f t="shared" si="174"/>
        <v>0.05</v>
      </c>
      <c r="N3758" s="475">
        <f t="shared" si="175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73"/>
        <v>-640355862910.81763</v>
      </c>
      <c r="J3759" s="455">
        <f t="array" ref="J3759">IFERROR(INDEX('Retirement Calculator'!J:J,MATCH('Isaac 401k'!N3759,'Retirement Calculator'!A:A,0),0),0)</f>
        <v>0</v>
      </c>
      <c r="K3759" s="455">
        <f t="shared" ca="1" si="171"/>
        <v>-2668149428.7950735</v>
      </c>
      <c r="L3759" s="455">
        <f t="shared" ca="1" si="172"/>
        <v>-643024012339.61267</v>
      </c>
      <c r="M3759" s="471">
        <f t="shared" si="174"/>
        <v>0.05</v>
      </c>
      <c r="N3759" s="475">
        <f t="shared" si="175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73"/>
        <v>-643024012339.61267</v>
      </c>
      <c r="J3760" s="455">
        <f t="array" ref="J3760">IFERROR(INDEX('Retirement Calculator'!J:J,MATCH('Isaac 401k'!N3760,'Retirement Calculator'!A:A,0),0),0)</f>
        <v>0</v>
      </c>
      <c r="K3760" s="455">
        <f t="shared" ca="1" si="171"/>
        <v>-2679266718.0817194</v>
      </c>
      <c r="L3760" s="455">
        <f t="shared" ca="1" si="172"/>
        <v>-645703279057.69434</v>
      </c>
      <c r="M3760" s="471">
        <f t="shared" si="174"/>
        <v>0.05</v>
      </c>
      <c r="N3760" s="475">
        <f t="shared" si="175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73"/>
        <v>-645703279057.69434</v>
      </c>
      <c r="J3761" s="455">
        <f t="array" ref="J3761">IFERROR(INDEX('Retirement Calculator'!J:J,MATCH('Isaac 401k'!N3761,'Retirement Calculator'!A:A,0),0),0)</f>
        <v>0</v>
      </c>
      <c r="K3761" s="455">
        <f t="shared" ca="1" si="171"/>
        <v>-2690430329.4070597</v>
      </c>
      <c r="L3761" s="455">
        <f t="shared" ca="1" si="172"/>
        <v>-648393709387.10144</v>
      </c>
      <c r="M3761" s="471">
        <f t="shared" si="174"/>
        <v>0.05</v>
      </c>
      <c r="N3761" s="475">
        <f t="shared" si="175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73"/>
        <v>-648393709387.10144</v>
      </c>
      <c r="J3762" s="455">
        <f t="array" ref="J3762">IFERROR(INDEX('Retirement Calculator'!J:J,MATCH('Isaac 401k'!N3762,'Retirement Calculator'!A:A,0),0),0)</f>
        <v>0</v>
      </c>
      <c r="K3762" s="455">
        <f t="shared" ca="1" si="171"/>
        <v>-2701640455.7795892</v>
      </c>
      <c r="L3762" s="455">
        <f t="shared" ca="1" si="172"/>
        <v>-651095349842.88098</v>
      </c>
      <c r="M3762" s="471">
        <f t="shared" si="174"/>
        <v>0.05</v>
      </c>
      <c r="N3762" s="475">
        <f t="shared" si="175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73"/>
        <v>-651095349842.88098</v>
      </c>
      <c r="J3763" s="455">
        <f t="array" ref="J3763">IFERROR(INDEX('Retirement Calculator'!J:J,MATCH('Isaac 401k'!N3763,'Retirement Calculator'!A:A,0),0),0)</f>
        <v>0</v>
      </c>
      <c r="K3763" s="455">
        <f t="shared" ca="1" si="171"/>
        <v>-2712897291.0120039</v>
      </c>
      <c r="L3763" s="455">
        <f t="shared" ca="1" si="172"/>
        <v>-653808247133.89294</v>
      </c>
      <c r="M3763" s="471">
        <f t="shared" si="174"/>
        <v>0.05</v>
      </c>
      <c r="N3763" s="475">
        <f t="shared" si="175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73"/>
        <v>-653808247133.89294</v>
      </c>
      <c r="J3764" s="455">
        <f t="array" ref="J3764">IFERROR(INDEX('Retirement Calculator'!J:J,MATCH('Isaac 401k'!N3764,'Retirement Calculator'!A:A,0),0),0)</f>
        <v>0</v>
      </c>
      <c r="K3764" s="455">
        <f t="shared" ca="1" si="171"/>
        <v>-2724201029.7245541</v>
      </c>
      <c r="L3764" s="455">
        <f t="shared" ca="1" si="172"/>
        <v>-656532448163.61755</v>
      </c>
      <c r="M3764" s="471">
        <f t="shared" si="174"/>
        <v>0.05</v>
      </c>
      <c r="N3764" s="475">
        <f t="shared" si="175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73"/>
        <v>-656532448163.61755</v>
      </c>
      <c r="J3765" s="455">
        <f t="array" ref="J3765">IFERROR(INDEX('Retirement Calculator'!J:J,MATCH('Isaac 401k'!N3765,'Retirement Calculator'!A:A,0),0),0)</f>
        <v>0</v>
      </c>
      <c r="K3765" s="455">
        <f t="shared" ca="1" si="171"/>
        <v>-2735551867.3484063</v>
      </c>
      <c r="L3765" s="455">
        <f t="shared" ca="1" si="172"/>
        <v>-659268000030.96594</v>
      </c>
      <c r="M3765" s="471">
        <f t="shared" si="174"/>
        <v>0.05</v>
      </c>
      <c r="N3765" s="475">
        <f t="shared" si="175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73"/>
        <v>-659268000030.96594</v>
      </c>
      <c r="J3766" s="455">
        <f t="array" ref="J3766">IFERROR(INDEX('Retirement Calculator'!J:J,MATCH('Isaac 401k'!N3766,'Retirement Calculator'!A:A,0),0),0)</f>
        <v>0</v>
      </c>
      <c r="K3766" s="455">
        <f t="shared" ca="1" si="171"/>
        <v>-2746950000.1290245</v>
      </c>
      <c r="L3766" s="455">
        <f t="shared" ca="1" si="172"/>
        <v>-662014950031.09497</v>
      </c>
      <c r="M3766" s="471">
        <f t="shared" si="174"/>
        <v>0.05</v>
      </c>
      <c r="N3766" s="475">
        <f t="shared" si="175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73"/>
        <v>-662014950031.09497</v>
      </c>
      <c r="J3767" s="455">
        <f t="array" ref="J3767">IFERROR(INDEX('Retirement Calculator'!J:J,MATCH('Isaac 401k'!N3767,'Retirement Calculator'!A:A,0),0),0)</f>
        <v>0</v>
      </c>
      <c r="K3767" s="455">
        <f t="shared" ca="1" si="171"/>
        <v>-2758395625.1295624</v>
      </c>
      <c r="L3767" s="455">
        <f t="shared" ca="1" si="172"/>
        <v>-664773345656.22449</v>
      </c>
      <c r="M3767" s="471">
        <f t="shared" si="174"/>
        <v>0.05</v>
      </c>
      <c r="N3767" s="475">
        <f t="shared" si="175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73"/>
        <v>-664773345656.22449</v>
      </c>
      <c r="J3768" s="455">
        <f t="array" ref="J3768">IFERROR(INDEX('Retirement Calculator'!J:J,MATCH('Isaac 401k'!N3768,'Retirement Calculator'!A:A,0),0),0)</f>
        <v>0</v>
      </c>
      <c r="K3768" s="455">
        <f t="shared" ca="1" si="171"/>
        <v>-2769888940.2342687</v>
      </c>
      <c r="L3768" s="455">
        <f t="shared" ca="1" si="172"/>
        <v>-667543234596.45874</v>
      </c>
      <c r="M3768" s="471">
        <f t="shared" si="174"/>
        <v>0.05</v>
      </c>
      <c r="N3768" s="475">
        <f t="shared" si="175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73"/>
        <v>-667543234596.45874</v>
      </c>
      <c r="J3769" s="455">
        <f t="array" ref="J3769">IFERROR(INDEX('Retirement Calculator'!J:J,MATCH('Isaac 401k'!N3769,'Retirement Calculator'!A:A,0),0),0)</f>
        <v>0</v>
      </c>
      <c r="K3769" s="455">
        <f t="shared" ca="1" si="171"/>
        <v>-2781430144.1519113</v>
      </c>
      <c r="L3769" s="455">
        <f t="shared" ca="1" si="172"/>
        <v>-670324664740.6106</v>
      </c>
      <c r="M3769" s="471">
        <f t="shared" si="174"/>
        <v>0.05</v>
      </c>
      <c r="N3769" s="475">
        <f t="shared" si="175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73"/>
        <v>-670324664740.6106</v>
      </c>
      <c r="J3770" s="455">
        <f t="array" ref="J3770">IFERROR(INDEX('Retirement Calculator'!J:J,MATCH('Isaac 401k'!N3770,'Retirement Calculator'!A:A,0),0),0)</f>
        <v>0</v>
      </c>
      <c r="K3770" s="455">
        <f t="shared" ca="1" si="171"/>
        <v>-2793019436.4192109</v>
      </c>
      <c r="L3770" s="455">
        <f t="shared" ca="1" si="172"/>
        <v>-673117684177.02979</v>
      </c>
      <c r="M3770" s="471">
        <f t="shared" si="174"/>
        <v>0.05</v>
      </c>
      <c r="N3770" s="475">
        <f t="shared" si="175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73"/>
        <v>-673117684177.02979</v>
      </c>
      <c r="J3771" s="455">
        <f t="array" ref="J3771">IFERROR(INDEX('Retirement Calculator'!J:J,MATCH('Isaac 401k'!N3771,'Retirement Calculator'!A:A,0),0),0)</f>
        <v>0</v>
      </c>
      <c r="K3771" s="455">
        <f t="shared" ca="1" si="171"/>
        <v>-2804657017.4042907</v>
      </c>
      <c r="L3771" s="455">
        <f t="shared" ca="1" si="172"/>
        <v>-675922341194.43408</v>
      </c>
      <c r="M3771" s="471">
        <f t="shared" si="174"/>
        <v>0.05</v>
      </c>
      <c r="N3771" s="475">
        <f t="shared" si="175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73"/>
        <v>-675922341194.43408</v>
      </c>
      <c r="J3772" s="455">
        <f t="array" ref="J3772">IFERROR(INDEX('Retirement Calculator'!J:J,MATCH('Isaac 401k'!N3772,'Retirement Calculator'!A:A,0),0),0)</f>
        <v>0</v>
      </c>
      <c r="K3772" s="455">
        <f t="shared" ca="1" si="171"/>
        <v>-2816343088.310142</v>
      </c>
      <c r="L3772" s="455">
        <f t="shared" ca="1" si="172"/>
        <v>-678738684282.74426</v>
      </c>
      <c r="M3772" s="471">
        <f t="shared" si="174"/>
        <v>0.05</v>
      </c>
      <c r="N3772" s="475">
        <f t="shared" si="175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73"/>
        <v>-678738684282.74426</v>
      </c>
      <c r="J3773" s="455">
        <f t="array" ref="J3773">IFERROR(INDEX('Retirement Calculator'!J:J,MATCH('Isaac 401k'!N3773,'Retirement Calculator'!A:A,0),0),0)</f>
        <v>0</v>
      </c>
      <c r="K3773" s="455">
        <f t="shared" ca="1" si="171"/>
        <v>-2828077851.1781011</v>
      </c>
      <c r="L3773" s="455">
        <f t="shared" ca="1" si="172"/>
        <v>-681566762133.92236</v>
      </c>
      <c r="M3773" s="471">
        <f t="shared" si="174"/>
        <v>0.05</v>
      </c>
      <c r="N3773" s="475">
        <f t="shared" si="175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73"/>
        <v>-681566762133.92236</v>
      </c>
      <c r="J3774" s="455">
        <f t="array" ref="J3774">IFERROR(INDEX('Retirement Calculator'!J:J,MATCH('Isaac 401k'!N3774,'Retirement Calculator'!A:A,0),0),0)</f>
        <v>0</v>
      </c>
      <c r="K3774" s="455">
        <f t="shared" ca="1" si="171"/>
        <v>-2839861508.8913431</v>
      </c>
      <c r="L3774" s="455">
        <f t="shared" ca="1" si="172"/>
        <v>-684406623642.81372</v>
      </c>
      <c r="M3774" s="471">
        <f t="shared" si="174"/>
        <v>0.05</v>
      </c>
      <c r="N3774" s="475">
        <f t="shared" si="175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73"/>
        <v>-684406623642.81372</v>
      </c>
      <c r="J3775" s="455">
        <f t="array" ref="J3775">IFERROR(INDEX('Retirement Calculator'!J:J,MATCH('Isaac 401k'!N3775,'Retirement Calculator'!A:A,0),0),0)</f>
        <v>0</v>
      </c>
      <c r="K3775" s="455">
        <f t="shared" ca="1" si="171"/>
        <v>-2851694265.1783905</v>
      </c>
      <c r="L3775" s="455">
        <f t="shared" ca="1" si="172"/>
        <v>-687258317907.99207</v>
      </c>
      <c r="M3775" s="471">
        <f t="shared" si="174"/>
        <v>0.05</v>
      </c>
      <c r="N3775" s="475">
        <f t="shared" si="175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73"/>
        <v>-687258317907.99207</v>
      </c>
      <c r="J3776" s="455">
        <f t="array" ref="J3776">IFERROR(INDEX('Retirement Calculator'!J:J,MATCH('Isaac 401k'!N3776,'Retirement Calculator'!A:A,0),0),0)</f>
        <v>0</v>
      </c>
      <c r="K3776" s="455">
        <f t="shared" ca="1" si="171"/>
        <v>-2863576324.6166334</v>
      </c>
      <c r="L3776" s="455">
        <f t="shared" ca="1" si="172"/>
        <v>-690121894232.60864</v>
      </c>
      <c r="M3776" s="471">
        <f t="shared" si="174"/>
        <v>0.05</v>
      </c>
      <c r="N3776" s="475">
        <f t="shared" si="175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73"/>
        <v>-690121894232.60864</v>
      </c>
      <c r="J3777" s="455">
        <f t="array" ref="J3777">IFERROR(INDEX('Retirement Calculator'!J:J,MATCH('Isaac 401k'!N3777,'Retirement Calculator'!A:A,0),0),0)</f>
        <v>0</v>
      </c>
      <c r="K3777" s="455">
        <f t="shared" ca="1" si="171"/>
        <v>-2875507892.6358695</v>
      </c>
      <c r="L3777" s="455">
        <f t="shared" ca="1" si="172"/>
        <v>-692997402125.24451</v>
      </c>
      <c r="M3777" s="471">
        <f t="shared" si="174"/>
        <v>0.05</v>
      </c>
      <c r="N3777" s="475">
        <f t="shared" si="175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73"/>
        <v>-692997402125.24451</v>
      </c>
      <c r="J3778" s="455">
        <f t="array" ref="J3778">IFERROR(INDEX('Retirement Calculator'!J:J,MATCH('Isaac 401k'!N3778,'Retirement Calculator'!A:A,0),0),0)</f>
        <v>0</v>
      </c>
      <c r="K3778" s="455">
        <f t="shared" ca="1" si="171"/>
        <v>-2887489175.521852</v>
      </c>
      <c r="L3778" s="455">
        <f t="shared" ca="1" si="172"/>
        <v>-695884891300.76636</v>
      </c>
      <c r="M3778" s="471">
        <f t="shared" si="174"/>
        <v>0.05</v>
      </c>
      <c r="N3778" s="475">
        <f t="shared" si="175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73"/>
        <v>-695884891300.76636</v>
      </c>
      <c r="J3779" s="455">
        <f t="array" ref="J3779">IFERROR(INDEX('Retirement Calculator'!J:J,MATCH('Isaac 401k'!N3779,'Retirement Calculator'!A:A,0),0),0)</f>
        <v>0</v>
      </c>
      <c r="K3779" s="455">
        <f t="shared" ca="1" si="171"/>
        <v>-2899520380.4198599</v>
      </c>
      <c r="L3779" s="455">
        <f t="shared" ca="1" si="172"/>
        <v>-698784411681.18616</v>
      </c>
      <c r="M3779" s="471">
        <f t="shared" si="174"/>
        <v>0.05</v>
      </c>
      <c r="N3779" s="475">
        <f t="shared" si="175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73"/>
        <v>-698784411681.18616</v>
      </c>
      <c r="J3780" s="455">
        <f t="array" ref="J3780">IFERROR(INDEX('Retirement Calculator'!J:J,MATCH('Isaac 401k'!N3780,'Retirement Calculator'!A:A,0),0),0)</f>
        <v>0</v>
      </c>
      <c r="K3780" s="455">
        <f t="shared" ca="1" si="171"/>
        <v>-2911601715.3382754</v>
      </c>
      <c r="L3780" s="455">
        <f t="shared" ca="1" si="172"/>
        <v>-701696013396.52441</v>
      </c>
      <c r="M3780" s="471">
        <f t="shared" si="174"/>
        <v>0.05</v>
      </c>
      <c r="N3780" s="475">
        <f t="shared" si="175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73"/>
        <v>-701696013396.52441</v>
      </c>
      <c r="J3781" s="455">
        <f t="array" ref="J3781">IFERROR(INDEX('Retirement Calculator'!J:J,MATCH('Isaac 401k'!N3781,'Retirement Calculator'!A:A,0),0),0)</f>
        <v>0</v>
      </c>
      <c r="K3781" s="455">
        <f t="shared" ca="1" si="171"/>
        <v>-2923733389.152185</v>
      </c>
      <c r="L3781" s="455">
        <f t="shared" ca="1" si="172"/>
        <v>-704619746785.67664</v>
      </c>
      <c r="M3781" s="471">
        <f t="shared" si="174"/>
        <v>0.05</v>
      </c>
      <c r="N3781" s="475">
        <f t="shared" si="175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73"/>
        <v>-704619746785.67664</v>
      </c>
      <c r="J3782" s="455">
        <f t="array" ref="J3782">IFERROR(INDEX('Retirement Calculator'!J:J,MATCH('Isaac 401k'!N3782,'Retirement Calculator'!A:A,0),0),0)</f>
        <v>0</v>
      </c>
      <c r="K3782" s="455">
        <f t="shared" ca="1" si="171"/>
        <v>-2935915611.606986</v>
      </c>
      <c r="L3782" s="455">
        <f t="shared" ca="1" si="172"/>
        <v>-707555662397.28357</v>
      </c>
      <c r="M3782" s="471">
        <f t="shared" si="174"/>
        <v>0.05</v>
      </c>
      <c r="N3782" s="475">
        <f t="shared" si="175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73"/>
        <v>-707555662397.28357</v>
      </c>
      <c r="J3783" s="455">
        <f t="array" ref="J3783">IFERROR(INDEX('Retirement Calculator'!J:J,MATCH('Isaac 401k'!N3783,'Retirement Calculator'!A:A,0),0),0)</f>
        <v>0</v>
      </c>
      <c r="K3783" s="455">
        <f t="shared" ca="1" si="171"/>
        <v>-2948148593.3220148</v>
      </c>
      <c r="L3783" s="455">
        <f t="shared" ca="1" si="172"/>
        <v>-710503810990.60559</v>
      </c>
      <c r="M3783" s="471">
        <f t="shared" si="174"/>
        <v>0.05</v>
      </c>
      <c r="N3783" s="475">
        <f t="shared" si="175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73"/>
        <v>-710503810990.60559</v>
      </c>
      <c r="J3784" s="455">
        <f t="array" ref="J3784">IFERROR(INDEX('Retirement Calculator'!J:J,MATCH('Isaac 401k'!N3784,'Retirement Calculator'!A:A,0),0),0)</f>
        <v>0</v>
      </c>
      <c r="K3784" s="455">
        <f t="shared" ca="1" si="171"/>
        <v>-2960432545.7941899</v>
      </c>
      <c r="L3784" s="455">
        <f t="shared" ca="1" si="172"/>
        <v>-713464243536.39978</v>
      </c>
      <c r="M3784" s="471">
        <f t="shared" si="174"/>
        <v>0.05</v>
      </c>
      <c r="N3784" s="475">
        <f t="shared" si="175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73"/>
        <v>-713464243536.39978</v>
      </c>
      <c r="J3785" s="455">
        <f t="array" ref="J3785">IFERROR(INDEX('Retirement Calculator'!J:J,MATCH('Isaac 401k'!N3785,'Retirement Calculator'!A:A,0),0),0)</f>
        <v>0</v>
      </c>
      <c r="K3785" s="455">
        <f t="shared" ca="1" si="171"/>
        <v>-2972767681.4016657</v>
      </c>
      <c r="L3785" s="455">
        <f t="shared" ca="1" si="172"/>
        <v>-716437011217.80139</v>
      </c>
      <c r="M3785" s="471">
        <f t="shared" si="174"/>
        <v>0.05</v>
      </c>
      <c r="N3785" s="475">
        <f t="shared" si="175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73"/>
        <v>-716437011217.80139</v>
      </c>
      <c r="J3786" s="455">
        <f t="array" ref="J3786">IFERROR(INDEX('Retirement Calculator'!J:J,MATCH('Isaac 401k'!N3786,'Retirement Calculator'!A:A,0),0),0)</f>
        <v>0</v>
      </c>
      <c r="K3786" s="455">
        <f t="shared" ca="1" si="171"/>
        <v>-2985154213.407506</v>
      </c>
      <c r="L3786" s="455">
        <f t="shared" ca="1" si="172"/>
        <v>-719422165431.20886</v>
      </c>
      <c r="M3786" s="471">
        <f t="shared" si="174"/>
        <v>0.05</v>
      </c>
      <c r="N3786" s="475">
        <f t="shared" si="175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73"/>
        <v>-719422165431.20886</v>
      </c>
      <c r="J3787" s="455">
        <f t="array" ref="J3787">IFERROR(INDEX('Retirement Calculator'!J:J,MATCH('Isaac 401k'!N3787,'Retirement Calculator'!A:A,0),0),0)</f>
        <v>0</v>
      </c>
      <c r="K3787" s="455">
        <f t="shared" ca="1" si="171"/>
        <v>-2997592355.9633703</v>
      </c>
      <c r="L3787" s="455">
        <f t="shared" ca="1" si="172"/>
        <v>-722419757787.17224</v>
      </c>
      <c r="M3787" s="471">
        <f t="shared" si="174"/>
        <v>0.05</v>
      </c>
      <c r="N3787" s="475">
        <f t="shared" si="175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73"/>
        <v>-722419757787.17224</v>
      </c>
      <c r="J3788" s="455">
        <f t="array" ref="J3788">IFERROR(INDEX('Retirement Calculator'!J:J,MATCH('Isaac 401k'!N3788,'Retirement Calculator'!A:A,0),0),0)</f>
        <v>0</v>
      </c>
      <c r="K3788" s="455">
        <f t="shared" ca="1" si="171"/>
        <v>-3010082324.1132178</v>
      </c>
      <c r="L3788" s="455">
        <f t="shared" ca="1" si="172"/>
        <v>-725429840111.2854</v>
      </c>
      <c r="M3788" s="471">
        <f t="shared" si="174"/>
        <v>0.05</v>
      </c>
      <c r="N3788" s="475">
        <f t="shared" si="175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73"/>
        <v>-725429840111.2854</v>
      </c>
      <c r="J3789" s="455">
        <f t="array" ref="J3789">IFERROR(INDEX('Retirement Calculator'!J:J,MATCH('Isaac 401k'!N3789,'Retirement Calculator'!A:A,0),0),0)</f>
        <v>0</v>
      </c>
      <c r="K3789" s="455">
        <f t="shared" ca="1" si="171"/>
        <v>-3022624333.7970223</v>
      </c>
      <c r="L3789" s="455">
        <f t="shared" ca="1" si="172"/>
        <v>-728452464445.0824</v>
      </c>
      <c r="M3789" s="471">
        <f t="shared" si="174"/>
        <v>0.05</v>
      </c>
      <c r="N3789" s="475">
        <f t="shared" si="175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73"/>
        <v>-728452464445.0824</v>
      </c>
      <c r="J3790" s="455">
        <f t="array" ref="J3790">IFERROR(INDEX('Retirement Calculator'!J:J,MATCH('Isaac 401k'!N3790,'Retirement Calculator'!A:A,0),0),0)</f>
        <v>0</v>
      </c>
      <c r="K3790" s="455">
        <f t="shared" ca="1" si="171"/>
        <v>-3035218601.8545098</v>
      </c>
      <c r="L3790" s="455">
        <f t="shared" ca="1" si="172"/>
        <v>-731487683046.93689</v>
      </c>
      <c r="M3790" s="471">
        <f t="shared" si="174"/>
        <v>0.05</v>
      </c>
      <c r="N3790" s="475">
        <f t="shared" si="175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73"/>
        <v>-731487683046.93689</v>
      </c>
      <c r="J3791" s="455">
        <f t="array" ref="J3791">IFERROR(INDEX('Retirement Calculator'!J:J,MATCH('Isaac 401k'!N3791,'Retirement Calculator'!A:A,0),0),0)</f>
        <v>0</v>
      </c>
      <c r="K3791" s="455">
        <f t="shared" ca="1" si="171"/>
        <v>-3047865346.0289035</v>
      </c>
      <c r="L3791" s="455">
        <f t="shared" ca="1" si="172"/>
        <v>-734535548392.96582</v>
      </c>
      <c r="M3791" s="471">
        <f t="shared" si="174"/>
        <v>0.05</v>
      </c>
      <c r="N3791" s="475">
        <f t="shared" si="175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73"/>
        <v>-734535548392.96582</v>
      </c>
      <c r="J3792" s="455">
        <f t="array" ref="J3792">IFERROR(INDEX('Retirement Calculator'!J:J,MATCH('Isaac 401k'!N3792,'Retirement Calculator'!A:A,0),0),0)</f>
        <v>0</v>
      </c>
      <c r="K3792" s="455">
        <f t="shared" ca="1" si="171"/>
        <v>-3060564784.9706907</v>
      </c>
      <c r="L3792" s="455">
        <f t="shared" ca="1" si="172"/>
        <v>-737596113177.93652</v>
      </c>
      <c r="M3792" s="471">
        <f t="shared" si="174"/>
        <v>0.05</v>
      </c>
      <c r="N3792" s="475">
        <f t="shared" si="175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73"/>
        <v>-737596113177.93652</v>
      </c>
      <c r="J3793" s="455">
        <f t="array" ref="J3793">IFERROR(INDEX('Retirement Calculator'!J:J,MATCH('Isaac 401k'!N3793,'Retirement Calculator'!A:A,0),0),0)</f>
        <v>0</v>
      </c>
      <c r="K3793" s="455">
        <f t="shared" ca="1" si="171"/>
        <v>-3073317138.2414021</v>
      </c>
      <c r="L3793" s="455">
        <f t="shared" ca="1" si="172"/>
        <v>-740669430316.17798</v>
      </c>
      <c r="M3793" s="471">
        <f t="shared" si="174"/>
        <v>0.05</v>
      </c>
      <c r="N3793" s="475">
        <f t="shared" si="175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73"/>
        <v>-740669430316.17798</v>
      </c>
      <c r="J3794" s="455">
        <f t="array" ref="J3794">IFERROR(INDEX('Retirement Calculator'!J:J,MATCH('Isaac 401k'!N3794,'Retirement Calculator'!A:A,0),0),0)</f>
        <v>0</v>
      </c>
      <c r="K3794" s="455">
        <f t="shared" ca="1" si="171"/>
        <v>-3086122626.3174081</v>
      </c>
      <c r="L3794" s="455">
        <f t="shared" ca="1" si="172"/>
        <v>-743755552942.49536</v>
      </c>
      <c r="M3794" s="471">
        <f t="shared" si="174"/>
        <v>0.05</v>
      </c>
      <c r="N3794" s="475">
        <f t="shared" si="175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73"/>
        <v>-743755552942.49536</v>
      </c>
      <c r="J3795" s="455">
        <f t="array" ref="J3795">IFERROR(INDEX('Retirement Calculator'!J:J,MATCH('Isaac 401k'!N3795,'Retirement Calculator'!A:A,0),0),0)</f>
        <v>0</v>
      </c>
      <c r="K3795" s="455">
        <f t="shared" ca="1" si="171"/>
        <v>-3098981470.5937304</v>
      </c>
      <c r="L3795" s="455">
        <f t="shared" ca="1" si="172"/>
        <v>-746854534413.08911</v>
      </c>
      <c r="M3795" s="471">
        <f t="shared" si="174"/>
        <v>0.05</v>
      </c>
      <c r="N3795" s="475">
        <f t="shared" si="175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73"/>
        <v>-746854534413.08911</v>
      </c>
      <c r="J3796" s="455">
        <f t="array" ref="J3796">IFERROR(INDEX('Retirement Calculator'!J:J,MATCH('Isaac 401k'!N3796,'Retirement Calculator'!A:A,0),0),0)</f>
        <v>0</v>
      </c>
      <c r="K3796" s="455">
        <f t="shared" ca="1" si="171"/>
        <v>-3111893893.3878713</v>
      </c>
      <c r="L3796" s="455">
        <f t="shared" ca="1" si="172"/>
        <v>-749966428306.47693</v>
      </c>
      <c r="M3796" s="471">
        <f t="shared" si="174"/>
        <v>0.05</v>
      </c>
      <c r="N3796" s="475">
        <f t="shared" si="175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73"/>
        <v>-749966428306.47693</v>
      </c>
      <c r="J3797" s="455">
        <f t="array" ref="J3797">IFERROR(INDEX('Retirement Calculator'!J:J,MATCH('Isaac 401k'!N3797,'Retirement Calculator'!A:A,0),0),0)</f>
        <v>0</v>
      </c>
      <c r="K3797" s="455">
        <f t="shared" ca="1" si="171"/>
        <v>-3124860117.9436541</v>
      </c>
      <c r="L3797" s="455">
        <f t="shared" ca="1" si="172"/>
        <v>-753091288424.42053</v>
      </c>
      <c r="M3797" s="471">
        <f t="shared" si="174"/>
        <v>0.05</v>
      </c>
      <c r="N3797" s="475">
        <f t="shared" si="175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73"/>
        <v>-753091288424.42053</v>
      </c>
      <c r="J3798" s="455">
        <f t="array" ref="J3798">IFERROR(INDEX('Retirement Calculator'!J:J,MATCH('Isaac 401k'!N3798,'Retirement Calculator'!A:A,0),0),0)</f>
        <v>0</v>
      </c>
      <c r="K3798" s="455">
        <f t="shared" ca="1" si="171"/>
        <v>-3137880368.4350853</v>
      </c>
      <c r="L3798" s="455">
        <f t="shared" ca="1" si="172"/>
        <v>-756229168792.85559</v>
      </c>
      <c r="M3798" s="471">
        <f t="shared" si="174"/>
        <v>0.05</v>
      </c>
      <c r="N3798" s="475">
        <f t="shared" si="175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73"/>
        <v>-756229168792.85559</v>
      </c>
      <c r="J3799" s="455">
        <f t="array" ref="J3799">IFERROR(INDEX('Retirement Calculator'!J:J,MATCH('Isaac 401k'!N3799,'Retirement Calculator'!A:A,0),0),0)</f>
        <v>0</v>
      </c>
      <c r="K3799" s="455">
        <f t="shared" ca="1" si="171"/>
        <v>-3150954869.9702315</v>
      </c>
      <c r="L3799" s="455">
        <f t="shared" ca="1" si="172"/>
        <v>-759380123662.82581</v>
      </c>
      <c r="M3799" s="471">
        <f t="shared" si="174"/>
        <v>0.05</v>
      </c>
      <c r="N3799" s="475">
        <f t="shared" si="175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73"/>
        <v>-759380123662.82581</v>
      </c>
      <c r="J3800" s="455">
        <f t="array" ref="J3800">IFERROR(INDEX('Retirement Calculator'!J:J,MATCH('Isaac 401k'!N3800,'Retirement Calculator'!A:A,0),0),0)</f>
        <v>0</v>
      </c>
      <c r="K3800" s="455">
        <f t="shared" ca="1" si="171"/>
        <v>-3164083848.5951076</v>
      </c>
      <c r="L3800" s="455">
        <f t="shared" ca="1" si="172"/>
        <v>-762544207511.4209</v>
      </c>
      <c r="M3800" s="471">
        <f t="shared" si="174"/>
        <v>0.05</v>
      </c>
      <c r="N3800" s="475">
        <f t="shared" si="175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73"/>
        <v>-762544207511.4209</v>
      </c>
      <c r="J3801" s="455">
        <f t="array" ref="J3801">IFERROR(INDEX('Retirement Calculator'!J:J,MATCH('Isaac 401k'!N3801,'Retirement Calculator'!A:A,0),0),0)</f>
        <v>0</v>
      </c>
      <c r="K3801" s="455">
        <f t="shared" ca="1" si="171"/>
        <v>-3177267531.2975869</v>
      </c>
      <c r="L3801" s="455">
        <f t="shared" ca="1" si="172"/>
        <v>-765721475042.71851</v>
      </c>
      <c r="M3801" s="471">
        <f t="shared" si="174"/>
        <v>0.05</v>
      </c>
      <c r="N3801" s="475">
        <f t="shared" si="175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73"/>
        <v>-765721475042.71851</v>
      </c>
      <c r="J3802" s="455">
        <f t="array" ref="J3802">IFERROR(INDEX('Retirement Calculator'!J:J,MATCH('Isaac 401k'!N3802,'Retirement Calculator'!A:A,0),0),0)</f>
        <v>0</v>
      </c>
      <c r="K3802" s="455">
        <f t="shared" ca="1" si="171"/>
        <v>-3190506146.0113273</v>
      </c>
      <c r="L3802" s="455">
        <f t="shared" ca="1" si="172"/>
        <v>-768911981188.72986</v>
      </c>
      <c r="M3802" s="471">
        <f t="shared" si="174"/>
        <v>0.05</v>
      </c>
      <c r="N3802" s="475">
        <f t="shared" si="175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73"/>
        <v>-768911981188.72986</v>
      </c>
      <c r="J3803" s="455">
        <f t="array" ref="J3803">IFERROR(INDEX('Retirement Calculator'!J:J,MATCH('Isaac 401k'!N3803,'Retirement Calculator'!A:A,0),0),0)</f>
        <v>0</v>
      </c>
      <c r="K3803" s="455">
        <f t="shared" ca="1" si="171"/>
        <v>-3203799921.6197076</v>
      </c>
      <c r="L3803" s="455">
        <f t="shared" ca="1" si="172"/>
        <v>-772115781110.34961</v>
      </c>
      <c r="M3803" s="471">
        <f t="shared" si="174"/>
        <v>0.05</v>
      </c>
      <c r="N3803" s="475">
        <f t="shared" si="175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73"/>
        <v>-772115781110.34961</v>
      </c>
      <c r="J3804" s="455">
        <f t="array" ref="J3804">IFERROR(INDEX('Retirement Calculator'!J:J,MATCH('Isaac 401k'!N3804,'Retirement Calculator'!A:A,0),0),0)</f>
        <v>0</v>
      </c>
      <c r="K3804" s="455">
        <f t="shared" ca="1" si="171"/>
        <v>-3217149087.9597902</v>
      </c>
      <c r="L3804" s="455">
        <f t="shared" ca="1" si="172"/>
        <v>-775332930198.30945</v>
      </c>
      <c r="M3804" s="471">
        <f t="shared" si="174"/>
        <v>0.05</v>
      </c>
      <c r="N3804" s="475">
        <f t="shared" si="175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73"/>
        <v>-775332930198.30945</v>
      </c>
      <c r="J3805" s="455">
        <f t="array" ref="J3805">IFERROR(INDEX('Retirement Calculator'!J:J,MATCH('Isaac 401k'!N3805,'Retirement Calculator'!A:A,0),0),0)</f>
        <v>0</v>
      </c>
      <c r="K3805" s="455">
        <f t="shared" ca="1" si="171"/>
        <v>-3230553875.8262892</v>
      </c>
      <c r="L3805" s="455">
        <f t="shared" ca="1" si="172"/>
        <v>-778563484074.13574</v>
      </c>
      <c r="M3805" s="471">
        <f t="shared" si="174"/>
        <v>0.05</v>
      </c>
      <c r="N3805" s="475">
        <f t="shared" si="175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73"/>
        <v>-778563484074.13574</v>
      </c>
      <c r="J3806" s="455">
        <f t="array" ref="J3806">IFERROR(INDEX('Retirement Calculator'!J:J,MATCH('Isaac 401k'!N3806,'Retirement Calculator'!A:A,0),0),0)</f>
        <v>0</v>
      </c>
      <c r="K3806" s="455">
        <f t="shared" ca="1" si="171"/>
        <v>-3244014516.9755654</v>
      </c>
      <c r="L3806" s="455">
        <f t="shared" ca="1" si="172"/>
        <v>-781807498591.11133</v>
      </c>
      <c r="M3806" s="471">
        <f t="shared" si="174"/>
        <v>0.05</v>
      </c>
      <c r="N3806" s="475">
        <f t="shared" si="175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73"/>
        <v>-781807498591.11133</v>
      </c>
      <c r="J3807" s="455">
        <f t="array" ref="J3807">IFERROR(INDEX('Retirement Calculator'!J:J,MATCH('Isaac 401k'!N3807,'Retirement Calculator'!A:A,0),0),0)</f>
        <v>0</v>
      </c>
      <c r="K3807" s="455">
        <f t="shared" ca="1" si="171"/>
        <v>-3257531244.1296306</v>
      </c>
      <c r="L3807" s="455">
        <f t="shared" ca="1" si="172"/>
        <v>-785065029835.24097</v>
      </c>
      <c r="M3807" s="471">
        <f t="shared" si="174"/>
        <v>0.05</v>
      </c>
      <c r="N3807" s="475">
        <f t="shared" si="175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73"/>
        <v>-785065029835.24097</v>
      </c>
      <c r="J3808" s="455">
        <f t="array" ref="J3808">IFERROR(INDEX('Retirement Calculator'!J:J,MATCH('Isaac 401k'!N3808,'Retirement Calculator'!A:A,0),0),0)</f>
        <v>0</v>
      </c>
      <c r="K3808" s="455">
        <f t="shared" ca="1" si="171"/>
        <v>-3271104290.9801707</v>
      </c>
      <c r="L3808" s="455">
        <f t="shared" ca="1" si="172"/>
        <v>-788336134126.22119</v>
      </c>
      <c r="M3808" s="471">
        <f t="shared" si="174"/>
        <v>0.05</v>
      </c>
      <c r="N3808" s="475">
        <f t="shared" si="175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73"/>
        <v>-788336134126.22119</v>
      </c>
      <c r="J3809" s="455">
        <f t="array" ref="J3809">IFERROR(INDEX('Retirement Calculator'!J:J,MATCH('Isaac 401k'!N3809,'Retirement Calculator'!A:A,0),0),0)</f>
        <v>0</v>
      </c>
      <c r="K3809" s="455">
        <f t="shared" ca="1" si="171"/>
        <v>-3284733892.1925883</v>
      </c>
      <c r="L3809" s="455">
        <f t="shared" ca="1" si="172"/>
        <v>-791620868018.41382</v>
      </c>
      <c r="M3809" s="471">
        <f t="shared" si="174"/>
        <v>0.05</v>
      </c>
      <c r="N3809" s="475">
        <f t="shared" si="175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73"/>
        <v>-791620868018.41382</v>
      </c>
      <c r="J3810" s="455">
        <f t="array" ref="J3810">IFERROR(INDEX('Retirement Calculator'!J:J,MATCH('Isaac 401k'!N3810,'Retirement Calculator'!A:A,0),0),0)</f>
        <v>0</v>
      </c>
      <c r="K3810" s="455">
        <f t="shared" ca="1" si="171"/>
        <v>-3298420283.4100575</v>
      </c>
      <c r="L3810" s="455">
        <f t="shared" ca="1" si="172"/>
        <v>-794919288301.82385</v>
      </c>
      <c r="M3810" s="471">
        <f t="shared" si="174"/>
        <v>0.05</v>
      </c>
      <c r="N3810" s="475">
        <f t="shared" si="175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73"/>
        <v>-794919288301.82385</v>
      </c>
      <c r="J3811" s="455">
        <f t="array" ref="J3811">IFERROR(INDEX('Retirement Calculator'!J:J,MATCH('Isaac 401k'!N3811,'Retirement Calculator'!A:A,0),0),0)</f>
        <v>0</v>
      </c>
      <c r="K3811" s="455">
        <f t="shared" ca="1" si="171"/>
        <v>-3312163701.2575994</v>
      </c>
      <c r="L3811" s="455">
        <f t="shared" ca="1" si="172"/>
        <v>-798231452003.08142</v>
      </c>
      <c r="M3811" s="471">
        <f t="shared" si="174"/>
        <v>0.05</v>
      </c>
      <c r="N3811" s="475">
        <f t="shared" si="175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73"/>
        <v>-798231452003.08142</v>
      </c>
      <c r="J3812" s="455">
        <f t="array" ref="J3812">IFERROR(INDEX('Retirement Calculator'!J:J,MATCH('Isaac 401k'!N3812,'Retirement Calculator'!A:A,0),0),0)</f>
        <v>0</v>
      </c>
      <c r="K3812" s="455">
        <f t="shared" ca="1" si="171"/>
        <v>-3325964383.3461723</v>
      </c>
      <c r="L3812" s="455">
        <f t="shared" ca="1" si="172"/>
        <v>-801557416386.42761</v>
      </c>
      <c r="M3812" s="471">
        <f t="shared" si="174"/>
        <v>0.05</v>
      </c>
      <c r="N3812" s="475">
        <f t="shared" si="175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73"/>
        <v>-801557416386.42761</v>
      </c>
      <c r="J3813" s="455">
        <f t="array" ref="J3813">IFERROR(INDEX('Retirement Calculator'!J:J,MATCH('Isaac 401k'!N3813,'Retirement Calculator'!A:A,0),0),0)</f>
        <v>0</v>
      </c>
      <c r="K3813" s="455">
        <f t="shared" ca="1" si="171"/>
        <v>-3339822568.2767816</v>
      </c>
      <c r="L3813" s="455">
        <f t="shared" ca="1" si="172"/>
        <v>-804897238954.70435</v>
      </c>
      <c r="M3813" s="471">
        <f t="shared" si="174"/>
        <v>0.05</v>
      </c>
      <c r="N3813" s="475">
        <f t="shared" si="175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73"/>
        <v>-804897238954.70435</v>
      </c>
      <c r="J3814" s="455">
        <f t="array" ref="J3814">IFERROR(INDEX('Retirement Calculator'!J:J,MATCH('Isaac 401k'!N3814,'Retirement Calculator'!A:A,0),0),0)</f>
        <v>0</v>
      </c>
      <c r="K3814" s="455">
        <f t="shared" ca="1" si="171"/>
        <v>-3353738495.6446013</v>
      </c>
      <c r="L3814" s="455">
        <f t="shared" ca="1" si="172"/>
        <v>-808250977450.349</v>
      </c>
      <c r="M3814" s="471">
        <f t="shared" si="174"/>
        <v>0.05</v>
      </c>
      <c r="N3814" s="475">
        <f t="shared" si="175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73"/>
        <v>-808250977450.349</v>
      </c>
      <c r="J3815" s="455">
        <f t="array" ref="J3815">IFERROR(INDEX('Retirement Calculator'!J:J,MATCH('Isaac 401k'!N3815,'Retirement Calculator'!A:A,0),0),0)</f>
        <v>0</v>
      </c>
      <c r="K3815" s="455">
        <f t="shared" ca="1" si="171"/>
        <v>-3367712406.0431209</v>
      </c>
      <c r="L3815" s="455">
        <f t="shared" ca="1" si="172"/>
        <v>-811618689856.39209</v>
      </c>
      <c r="M3815" s="471">
        <f t="shared" si="174"/>
        <v>0.05</v>
      </c>
      <c r="N3815" s="475">
        <f t="shared" si="175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73"/>
        <v>-811618689856.39209</v>
      </c>
      <c r="J3816" s="455">
        <f t="array" ref="J3816">IFERROR(INDEX('Retirement Calculator'!J:J,MATCH('Isaac 401k'!N3816,'Retirement Calculator'!A:A,0),0),0)</f>
        <v>0</v>
      </c>
      <c r="K3816" s="455">
        <f t="shared" ca="1" si="171"/>
        <v>-3381744541.0683002</v>
      </c>
      <c r="L3816" s="455">
        <f t="shared" ca="1" si="172"/>
        <v>-815000434397.46045</v>
      </c>
      <c r="M3816" s="471">
        <f t="shared" si="174"/>
        <v>0.05</v>
      </c>
      <c r="N3816" s="475">
        <f t="shared" si="175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73"/>
        <v>-815000434397.46045</v>
      </c>
      <c r="J3817" s="455">
        <f t="array" ref="J3817">IFERROR(INDEX('Retirement Calculator'!J:J,MATCH('Isaac 401k'!N3817,'Retirement Calculator'!A:A,0),0),0)</f>
        <v>0</v>
      </c>
      <c r="K3817" s="455">
        <f t="shared" ca="1" si="171"/>
        <v>-3395835143.322752</v>
      </c>
      <c r="L3817" s="455">
        <f t="shared" ca="1" si="172"/>
        <v>-818396269540.7832</v>
      </c>
      <c r="M3817" s="471">
        <f t="shared" si="174"/>
        <v>0.05</v>
      </c>
      <c r="N3817" s="475">
        <f t="shared" si="175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73"/>
        <v>-818396269540.7832</v>
      </c>
      <c r="J3818" s="455">
        <f t="array" ref="J3818">IFERROR(INDEX('Retirement Calculator'!J:J,MATCH('Isaac 401k'!N3818,'Retirement Calculator'!A:A,0),0),0)</f>
        <v>0</v>
      </c>
      <c r="K3818" s="455">
        <f t="shared" ca="1" si="171"/>
        <v>-3409984456.41993</v>
      </c>
      <c r="L3818" s="455">
        <f t="shared" ca="1" si="172"/>
        <v>-821806253997.20313</v>
      </c>
      <c r="M3818" s="471">
        <f t="shared" si="174"/>
        <v>0.05</v>
      </c>
      <c r="N3818" s="475">
        <f t="shared" si="175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73"/>
        <v>-821806253997.20313</v>
      </c>
      <c r="J3819" s="455">
        <f t="array" ref="J3819">IFERROR(INDEX('Retirement Calculator'!J:J,MATCH('Isaac 401k'!N3819,'Retirement Calculator'!A:A,0),0),0)</f>
        <v>0</v>
      </c>
      <c r="K3819" s="455">
        <f t="shared" ca="1" si="171"/>
        <v>-3424192724.9883461</v>
      </c>
      <c r="L3819" s="455">
        <f t="shared" ca="1" si="172"/>
        <v>-825230446722.19153</v>
      </c>
      <c r="M3819" s="471">
        <f t="shared" si="174"/>
        <v>0.05</v>
      </c>
      <c r="N3819" s="475">
        <f t="shared" si="175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73"/>
        <v>-825230446722.19153</v>
      </c>
      <c r="J3820" s="455">
        <f t="array" ref="J3820">IFERROR(INDEX('Retirement Calculator'!J:J,MATCH('Isaac 401k'!N3820,'Retirement Calculator'!A:A,0),0),0)</f>
        <v>0</v>
      </c>
      <c r="K3820" s="455">
        <f t="shared" ca="1" si="171"/>
        <v>-3438460194.6757979</v>
      </c>
      <c r="L3820" s="455">
        <f t="shared" ca="1" si="172"/>
        <v>-828668906916.86731</v>
      </c>
      <c r="M3820" s="471">
        <f t="shared" si="174"/>
        <v>0.05</v>
      </c>
      <c r="N3820" s="475">
        <f t="shared" si="175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73"/>
        <v>-828668906916.86731</v>
      </c>
      <c r="J3821" s="455">
        <f t="array" ref="J3821">IFERROR(INDEX('Retirement Calculator'!J:J,MATCH('Isaac 401k'!N3821,'Retirement Calculator'!A:A,0),0),0)</f>
        <v>0</v>
      </c>
      <c r="K3821" s="455">
        <f t="shared" ca="1" si="171"/>
        <v>-3452787112.1536136</v>
      </c>
      <c r="L3821" s="455">
        <f t="shared" ca="1" si="172"/>
        <v>-832121694029.02087</v>
      </c>
      <c r="M3821" s="471">
        <f t="shared" si="174"/>
        <v>0.05</v>
      </c>
      <c r="N3821" s="475">
        <f t="shared" si="175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73"/>
        <v>-832121694029.02087</v>
      </c>
      <c r="J3822" s="455">
        <f t="array" ref="J3822">IFERROR(INDEX('Retirement Calculator'!J:J,MATCH('Isaac 401k'!N3822,'Retirement Calculator'!A:A,0),0),0)</f>
        <v>0</v>
      </c>
      <c r="K3822" s="455">
        <f t="shared" ca="1" si="171"/>
        <v>-3467173725.1209202</v>
      </c>
      <c r="L3822" s="455">
        <f t="shared" ca="1" si="172"/>
        <v>-835588867754.14185</v>
      </c>
      <c r="M3822" s="471">
        <f t="shared" si="174"/>
        <v>0.05</v>
      </c>
      <c r="N3822" s="475">
        <f t="shared" si="175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73"/>
        <v>-835588867754.14185</v>
      </c>
      <c r="J3823" s="455">
        <f t="array" ref="J3823">IFERROR(INDEX('Retirement Calculator'!J:J,MATCH('Isaac 401k'!N3823,'Retirement Calculator'!A:A,0),0),0)</f>
        <v>0</v>
      </c>
      <c r="K3823" s="455">
        <f t="shared" ca="1" si="171"/>
        <v>-3481620282.3089242</v>
      </c>
      <c r="L3823" s="455">
        <f t="shared" ca="1" si="172"/>
        <v>-839070488036.45081</v>
      </c>
      <c r="M3823" s="471">
        <f t="shared" si="174"/>
        <v>0.05</v>
      </c>
      <c r="N3823" s="475">
        <f t="shared" si="175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73"/>
        <v>-839070488036.45081</v>
      </c>
      <c r="J3824" s="455">
        <f t="array" ref="J3824">IFERROR(INDEX('Retirement Calculator'!J:J,MATCH('Isaac 401k'!N3824,'Retirement Calculator'!A:A,0),0),0)</f>
        <v>0</v>
      </c>
      <c r="K3824" s="455">
        <f t="shared" ca="1" si="171"/>
        <v>-3496127033.4852118</v>
      </c>
      <c r="L3824" s="455">
        <f t="shared" ca="1" si="172"/>
        <v>-842566615069.93604</v>
      </c>
      <c r="M3824" s="471">
        <f t="shared" si="174"/>
        <v>0.05</v>
      </c>
      <c r="N3824" s="475">
        <f t="shared" si="175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73"/>
        <v>-842566615069.93604</v>
      </c>
      <c r="J3825" s="455">
        <f t="array" ref="J3825">IFERROR(INDEX('Retirement Calculator'!J:J,MATCH('Isaac 401k'!N3825,'Retirement Calculator'!A:A,0),0),0)</f>
        <v>0</v>
      </c>
      <c r="K3825" s="455">
        <f t="shared" ca="1" si="171"/>
        <v>-3510694229.4580669</v>
      </c>
      <c r="L3825" s="455">
        <f t="shared" ca="1" si="172"/>
        <v>-846077309299.39404</v>
      </c>
      <c r="M3825" s="471">
        <f t="shared" si="174"/>
        <v>0.05</v>
      </c>
      <c r="N3825" s="475">
        <f t="shared" si="175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73"/>
        <v>-846077309299.39404</v>
      </c>
      <c r="J3826" s="455">
        <f t="array" ref="J3826">IFERROR(INDEX('Retirement Calculator'!J:J,MATCH('Isaac 401k'!N3826,'Retirement Calculator'!A:A,0),0),0)</f>
        <v>0</v>
      </c>
      <c r="K3826" s="455">
        <f t="shared" ca="1" si="171"/>
        <v>-3525322122.0808086</v>
      </c>
      <c r="L3826" s="455">
        <f t="shared" ca="1" si="172"/>
        <v>-849602631421.47485</v>
      </c>
      <c r="M3826" s="471">
        <f t="shared" si="174"/>
        <v>0.05</v>
      </c>
      <c r="N3826" s="475">
        <f t="shared" si="175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73"/>
        <v>-849602631421.47485</v>
      </c>
      <c r="J3827" s="455">
        <f t="array" ref="J3827">IFERROR(INDEX('Retirement Calculator'!J:J,MATCH('Isaac 401k'!N3827,'Retirement Calculator'!A:A,0),0),0)</f>
        <v>0</v>
      </c>
      <c r="K3827" s="455">
        <f t="shared" ca="1" si="171"/>
        <v>-3540010964.256145</v>
      </c>
      <c r="L3827" s="455">
        <f t="shared" ca="1" si="172"/>
        <v>-853142642385.73096</v>
      </c>
      <c r="M3827" s="471">
        <f t="shared" si="174"/>
        <v>0.05</v>
      </c>
      <c r="N3827" s="475">
        <f t="shared" si="175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73"/>
        <v>-853142642385.73096</v>
      </c>
      <c r="J3828" s="455">
        <f t="array" ref="J3828">IFERROR(INDEX('Retirement Calculator'!J:J,MATCH('Isaac 401k'!N3828,'Retirement Calculator'!A:A,0),0),0)</f>
        <v>0</v>
      </c>
      <c r="K3828" s="455">
        <f t="shared" ca="1" si="171"/>
        <v>-3554761009.9405456</v>
      </c>
      <c r="L3828" s="455">
        <f t="shared" ca="1" si="172"/>
        <v>-856697403395.67151</v>
      </c>
      <c r="M3828" s="471">
        <f t="shared" si="174"/>
        <v>0.05</v>
      </c>
      <c r="N3828" s="475">
        <f t="shared" si="175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73"/>
        <v>-856697403395.67151</v>
      </c>
      <c r="J3829" s="455">
        <f t="array" ref="J3829">IFERROR(INDEX('Retirement Calculator'!J:J,MATCH('Isaac 401k'!N3829,'Retirement Calculator'!A:A,0),0),0)</f>
        <v>0</v>
      </c>
      <c r="K3829" s="455">
        <f t="shared" ca="1" si="171"/>
        <v>-3569572514.1486311</v>
      </c>
      <c r="L3829" s="455">
        <f t="shared" ca="1" si="172"/>
        <v>-860266975909.82019</v>
      </c>
      <c r="M3829" s="471">
        <f t="shared" si="174"/>
        <v>0.05</v>
      </c>
      <c r="N3829" s="475">
        <f t="shared" si="175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73"/>
        <v>-860266975909.82019</v>
      </c>
      <c r="J3830" s="455">
        <f t="array" ref="J3830">IFERROR(INDEX('Retirement Calculator'!J:J,MATCH('Isaac 401k'!N3830,'Retirement Calculator'!A:A,0),0),0)</f>
        <v>0</v>
      </c>
      <c r="K3830" s="455">
        <f t="shared" ca="1" si="171"/>
        <v>-3584445732.9575844</v>
      </c>
      <c r="L3830" s="455">
        <f t="shared" ca="1" si="172"/>
        <v>-863851421642.77783</v>
      </c>
      <c r="M3830" s="471">
        <f t="shared" si="174"/>
        <v>0.05</v>
      </c>
      <c r="N3830" s="475">
        <f t="shared" si="175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73"/>
        <v>-863851421642.77783</v>
      </c>
      <c r="J3831" s="455">
        <f t="array" ref="J3831">IFERROR(INDEX('Retirement Calculator'!J:J,MATCH('Isaac 401k'!N3831,'Retirement Calculator'!A:A,0),0),0)</f>
        <v>0</v>
      </c>
      <c r="K3831" s="455">
        <f t="shared" ca="1" si="171"/>
        <v>-3599380923.5115738</v>
      </c>
      <c r="L3831" s="455">
        <f t="shared" ca="1" si="172"/>
        <v>-867450802566.28943</v>
      </c>
      <c r="M3831" s="471">
        <f t="shared" si="174"/>
        <v>0.05</v>
      </c>
      <c r="N3831" s="475">
        <f t="shared" si="175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73"/>
        <v>-867450802566.28943</v>
      </c>
      <c r="J3832" s="455">
        <f t="array" ref="J3832">IFERROR(INDEX('Retirement Calculator'!J:J,MATCH('Isaac 401k'!N3832,'Retirement Calculator'!A:A,0),0),0)</f>
        <v>0</v>
      </c>
      <c r="K3832" s="455">
        <f t="shared" ca="1" si="171"/>
        <v>-3614378344.026206</v>
      </c>
      <c r="L3832" s="455">
        <f t="shared" ca="1" si="172"/>
        <v>-871065180910.31567</v>
      </c>
      <c r="M3832" s="471">
        <f t="shared" si="174"/>
        <v>0.05</v>
      </c>
      <c r="N3832" s="475">
        <f t="shared" si="175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73"/>
        <v>-871065180910.31567</v>
      </c>
      <c r="J3833" s="455">
        <f t="array" ref="J3833">IFERROR(INDEX('Retirement Calculator'!J:J,MATCH('Isaac 401k'!N3833,'Retirement Calculator'!A:A,0),0),0)</f>
        <v>0</v>
      </c>
      <c r="K3833" s="455">
        <f t="shared" ref="K3833:K4087" ca="1" si="176">IPMT(M3833/12,1,12,-I3833+J3833,,0)</f>
        <v>-3629438253.7929821</v>
      </c>
      <c r="L3833" s="455">
        <f t="shared" ref="L3833:L4087" ca="1" si="177">I3833-J3833+K3833</f>
        <v>-874694619164.10864</v>
      </c>
      <c r="M3833" s="471">
        <f t="shared" si="174"/>
        <v>0.05</v>
      </c>
      <c r="N3833" s="475">
        <f t="shared" si="175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78">L3833</f>
        <v>-874694619164.10864</v>
      </c>
      <c r="J3834" s="455">
        <f t="array" ref="J3834">IFERROR(INDEX('Retirement Calculator'!J:J,MATCH('Isaac 401k'!N3834,'Retirement Calculator'!A:A,0),0),0)</f>
        <v>0</v>
      </c>
      <c r="K3834" s="455">
        <f t="shared" ca="1" si="176"/>
        <v>-3644560913.1837859</v>
      </c>
      <c r="L3834" s="455">
        <f t="shared" ca="1" si="177"/>
        <v>-878339180077.29248</v>
      </c>
      <c r="M3834" s="471">
        <f t="shared" ref="M3834:M4088" si="179">M3833</f>
        <v>0.05</v>
      </c>
      <c r="N3834" s="475">
        <f t="shared" ref="N3834:N4088" si="180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78"/>
        <v>-878339180077.29248</v>
      </c>
      <c r="J3835" s="455">
        <f t="array" ref="J3835">IFERROR(INDEX('Retirement Calculator'!J:J,MATCH('Isaac 401k'!N3835,'Retirement Calculator'!A:A,0),0),0)</f>
        <v>0</v>
      </c>
      <c r="K3835" s="455">
        <f t="shared" ca="1" si="176"/>
        <v>-3659746583.6553855</v>
      </c>
      <c r="L3835" s="455">
        <f t="shared" ca="1" si="177"/>
        <v>-881998926660.94788</v>
      </c>
      <c r="M3835" s="471">
        <f t="shared" si="179"/>
        <v>0.05</v>
      </c>
      <c r="N3835" s="475">
        <f t="shared" si="180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78"/>
        <v>-881998926660.94788</v>
      </c>
      <c r="J3836" s="455">
        <f t="array" ref="J3836">IFERROR(INDEX('Retirement Calculator'!J:J,MATCH('Isaac 401k'!N3836,'Retirement Calculator'!A:A,0),0),0)</f>
        <v>0</v>
      </c>
      <c r="K3836" s="455">
        <f t="shared" ca="1" si="176"/>
        <v>-3674995527.7539501</v>
      </c>
      <c r="L3836" s="455">
        <f t="shared" ca="1" si="177"/>
        <v>-885673922188.70178</v>
      </c>
      <c r="M3836" s="471">
        <f t="shared" si="179"/>
        <v>0.05</v>
      </c>
      <c r="N3836" s="475">
        <f t="shared" si="180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78"/>
        <v>-885673922188.70178</v>
      </c>
      <c r="J3837" s="455">
        <f t="array" ref="J3837">IFERROR(INDEX('Retirement Calculator'!J:J,MATCH('Isaac 401k'!N3837,'Retirement Calculator'!A:A,0),0),0)</f>
        <v>0</v>
      </c>
      <c r="K3837" s="455">
        <f t="shared" ca="1" si="176"/>
        <v>-3690308009.1195903</v>
      </c>
      <c r="L3837" s="455">
        <f t="shared" ca="1" si="177"/>
        <v>-889364230197.82141</v>
      </c>
      <c r="M3837" s="471">
        <f t="shared" si="179"/>
        <v>0.05</v>
      </c>
      <c r="N3837" s="475">
        <f t="shared" si="180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78"/>
        <v>-889364230197.82141</v>
      </c>
      <c r="J3838" s="455">
        <f t="array" ref="J3838">IFERROR(INDEX('Retirement Calculator'!J:J,MATCH('Isaac 401k'!N3838,'Retirement Calculator'!A:A,0),0),0)</f>
        <v>0</v>
      </c>
      <c r="K3838" s="455">
        <f t="shared" ca="1" si="176"/>
        <v>-3705684292.4909225</v>
      </c>
      <c r="L3838" s="455">
        <f t="shared" ca="1" si="177"/>
        <v>-893069914490.31238</v>
      </c>
      <c r="M3838" s="471">
        <f t="shared" si="179"/>
        <v>0.05</v>
      </c>
      <c r="N3838" s="475">
        <f t="shared" si="180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78"/>
        <v>-893069914490.31238</v>
      </c>
      <c r="J3839" s="455">
        <f t="array" ref="J3839">IFERROR(INDEX('Retirement Calculator'!J:J,MATCH('Isaac 401k'!N3839,'Retirement Calculator'!A:A,0),0),0)</f>
        <v>0</v>
      </c>
      <c r="K3839" s="455">
        <f t="shared" ca="1" si="176"/>
        <v>-3721124643.7096343</v>
      </c>
      <c r="L3839" s="455">
        <f t="shared" ca="1" si="177"/>
        <v>-896791039134.02197</v>
      </c>
      <c r="M3839" s="471">
        <f t="shared" si="179"/>
        <v>0.05</v>
      </c>
      <c r="N3839" s="475">
        <f t="shared" si="180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78"/>
        <v>-896791039134.02197</v>
      </c>
      <c r="J3840" s="455">
        <f t="array" ref="J3840">IFERROR(INDEX('Retirement Calculator'!J:J,MATCH('Isaac 401k'!N3840,'Retirement Calculator'!A:A,0),0),0)</f>
        <v>0</v>
      </c>
      <c r="K3840" s="455">
        <f t="shared" ca="1" si="176"/>
        <v>-3736629329.7250915</v>
      </c>
      <c r="L3840" s="455">
        <f t="shared" ca="1" si="177"/>
        <v>-900527668463.74707</v>
      </c>
      <c r="M3840" s="471">
        <f t="shared" si="179"/>
        <v>0.05</v>
      </c>
      <c r="N3840" s="475">
        <f t="shared" si="180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78"/>
        <v>-900527668463.74707</v>
      </c>
      <c r="J3841" s="455">
        <f t="array" ref="J3841">IFERROR(INDEX('Retirement Calculator'!J:J,MATCH('Isaac 401k'!N3841,'Retirement Calculator'!A:A,0),0),0)</f>
        <v>0</v>
      </c>
      <c r="K3841" s="455">
        <f t="shared" ca="1" si="176"/>
        <v>-3752198618.5989461</v>
      </c>
      <c r="L3841" s="455">
        <f t="shared" ca="1" si="177"/>
        <v>-904279867082.34607</v>
      </c>
      <c r="M3841" s="471">
        <f t="shared" si="179"/>
        <v>0.05</v>
      </c>
      <c r="N3841" s="475">
        <f t="shared" si="180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78"/>
        <v>-904279867082.34607</v>
      </c>
      <c r="J3842" s="455">
        <f t="array" ref="J3842">IFERROR(INDEX('Retirement Calculator'!J:J,MATCH('Isaac 401k'!N3842,'Retirement Calculator'!A:A,0),0),0)</f>
        <v>0</v>
      </c>
      <c r="K3842" s="455">
        <f t="shared" ca="1" si="176"/>
        <v>-3767832779.5097747</v>
      </c>
      <c r="L3842" s="455">
        <f t="shared" ca="1" si="177"/>
        <v>-908047699861.85583</v>
      </c>
      <c r="M3842" s="471">
        <f t="shared" si="179"/>
        <v>0.05</v>
      </c>
      <c r="N3842" s="475">
        <f t="shared" si="180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78"/>
        <v>-908047699861.85583</v>
      </c>
      <c r="J3843" s="455">
        <f t="array" ref="J3843">IFERROR(INDEX('Retirement Calculator'!J:J,MATCH('Isaac 401k'!N3843,'Retirement Calculator'!A:A,0),0),0)</f>
        <v>0</v>
      </c>
      <c r="K3843" s="455">
        <f t="shared" ca="1" si="176"/>
        <v>-3783532082.7577324</v>
      </c>
      <c r="L3843" s="455">
        <f t="shared" ca="1" si="177"/>
        <v>-911831231944.61353</v>
      </c>
      <c r="M3843" s="471">
        <f t="shared" si="179"/>
        <v>0.05</v>
      </c>
      <c r="N3843" s="475">
        <f t="shared" si="180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78"/>
        <v>-911831231944.61353</v>
      </c>
      <c r="J3844" s="455">
        <f t="array" ref="J3844">IFERROR(INDEX('Retirement Calculator'!J:J,MATCH('Isaac 401k'!N3844,'Retirement Calculator'!A:A,0),0),0)</f>
        <v>0</v>
      </c>
      <c r="K3844" s="455">
        <f t="shared" ca="1" si="176"/>
        <v>-3799296799.7692227</v>
      </c>
      <c r="L3844" s="455">
        <f t="shared" ca="1" si="177"/>
        <v>-915630528744.38269</v>
      </c>
      <c r="M3844" s="471">
        <f t="shared" si="179"/>
        <v>0.05</v>
      </c>
      <c r="N3844" s="475">
        <f t="shared" si="180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78"/>
        <v>-915630528744.38269</v>
      </c>
      <c r="J3845" s="455">
        <f t="array" ref="J3845">IFERROR(INDEX('Retirement Calculator'!J:J,MATCH('Isaac 401k'!N3845,'Retirement Calculator'!A:A,0),0),0)</f>
        <v>0</v>
      </c>
      <c r="K3845" s="455">
        <f t="shared" ca="1" si="176"/>
        <v>-3815127203.1015944</v>
      </c>
      <c r="L3845" s="455">
        <f t="shared" ca="1" si="177"/>
        <v>-919445655947.48425</v>
      </c>
      <c r="M3845" s="471">
        <f t="shared" si="179"/>
        <v>0.05</v>
      </c>
      <c r="N3845" s="475">
        <f t="shared" si="180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78"/>
        <v>-919445655947.48425</v>
      </c>
      <c r="J3846" s="455">
        <f t="array" ref="J3846">IFERROR(INDEX('Retirement Calculator'!J:J,MATCH('Isaac 401k'!N3846,'Retirement Calculator'!A:A,0),0),0)</f>
        <v>0</v>
      </c>
      <c r="K3846" s="455">
        <f t="shared" ca="1" si="176"/>
        <v>-3831023566.4478512</v>
      </c>
      <c r="L3846" s="455">
        <f t="shared" ca="1" si="177"/>
        <v>-923276679513.93213</v>
      </c>
      <c r="M3846" s="471">
        <f t="shared" si="179"/>
        <v>0.05</v>
      </c>
      <c r="N3846" s="475">
        <f t="shared" si="180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78"/>
        <v>-923276679513.93213</v>
      </c>
      <c r="J3847" s="455">
        <f t="array" ref="J3847">IFERROR(INDEX('Retirement Calculator'!J:J,MATCH('Isaac 401k'!N3847,'Retirement Calculator'!A:A,0),0),0)</f>
        <v>0</v>
      </c>
      <c r="K3847" s="455">
        <f t="shared" ca="1" si="176"/>
        <v>-3846986164.6413841</v>
      </c>
      <c r="L3847" s="455">
        <f t="shared" ca="1" si="177"/>
        <v>-927123665678.57349</v>
      </c>
      <c r="M3847" s="471">
        <f t="shared" si="179"/>
        <v>0.05</v>
      </c>
      <c r="N3847" s="475">
        <f t="shared" si="180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78"/>
        <v>-927123665678.57349</v>
      </c>
      <c r="J3848" s="455">
        <f t="array" ref="J3848">IFERROR(INDEX('Retirement Calculator'!J:J,MATCH('Isaac 401k'!N3848,'Retirement Calculator'!A:A,0),0),0)</f>
        <v>0</v>
      </c>
      <c r="K3848" s="455">
        <f t="shared" ca="1" si="176"/>
        <v>-3863015273.6607227</v>
      </c>
      <c r="L3848" s="455">
        <f t="shared" ca="1" si="177"/>
        <v>-930986680952.23425</v>
      </c>
      <c r="M3848" s="471">
        <f t="shared" si="179"/>
        <v>0.05</v>
      </c>
      <c r="N3848" s="475">
        <f t="shared" si="180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78"/>
        <v>-930986680952.23425</v>
      </c>
      <c r="J3849" s="455">
        <f t="array" ref="J3849">IFERROR(INDEX('Retirement Calculator'!J:J,MATCH('Isaac 401k'!N3849,'Retirement Calculator'!A:A,0),0),0)</f>
        <v>0</v>
      </c>
      <c r="K3849" s="455">
        <f t="shared" ca="1" si="176"/>
        <v>-3879111170.6343088</v>
      </c>
      <c r="L3849" s="455">
        <f t="shared" ca="1" si="177"/>
        <v>-934865792122.86853</v>
      </c>
      <c r="M3849" s="471">
        <f t="shared" si="179"/>
        <v>0.05</v>
      </c>
      <c r="N3849" s="475">
        <f t="shared" si="180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78"/>
        <v>-934865792122.86853</v>
      </c>
      <c r="J3850" s="455">
        <f t="array" ref="J3850">IFERROR(INDEX('Retirement Calculator'!J:J,MATCH('Isaac 401k'!N3850,'Retirement Calculator'!A:A,0),0),0)</f>
        <v>0</v>
      </c>
      <c r="K3850" s="455">
        <f t="shared" ca="1" si="176"/>
        <v>-3895274133.8452854</v>
      </c>
      <c r="L3850" s="455">
        <f t="shared" ca="1" si="177"/>
        <v>-938761066256.71387</v>
      </c>
      <c r="M3850" s="471">
        <f t="shared" si="179"/>
        <v>0.05</v>
      </c>
      <c r="N3850" s="475">
        <f t="shared" si="180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78"/>
        <v>-938761066256.71387</v>
      </c>
      <c r="J3851" s="455">
        <f t="array" ref="J3851">IFERROR(INDEX('Retirement Calculator'!J:J,MATCH('Isaac 401k'!N3851,'Retirement Calculator'!A:A,0),0),0)</f>
        <v>0</v>
      </c>
      <c r="K3851" s="455">
        <f t="shared" ca="1" si="176"/>
        <v>-3911504442.7363076</v>
      </c>
      <c r="L3851" s="455">
        <f t="shared" ca="1" si="177"/>
        <v>-942672570699.4502</v>
      </c>
      <c r="M3851" s="471">
        <f t="shared" si="179"/>
        <v>0.05</v>
      </c>
      <c r="N3851" s="475">
        <f t="shared" si="180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78"/>
        <v>-942672570699.4502</v>
      </c>
      <c r="J3852" s="455">
        <f t="array" ref="J3852">IFERROR(INDEX('Retirement Calculator'!J:J,MATCH('Isaac 401k'!N3852,'Retirement Calculator'!A:A,0),0),0)</f>
        <v>0</v>
      </c>
      <c r="K3852" s="455">
        <f t="shared" ca="1" si="176"/>
        <v>-3927802377.9143758</v>
      </c>
      <c r="L3852" s="455">
        <f t="shared" ca="1" si="177"/>
        <v>-946600373077.36462</v>
      </c>
      <c r="M3852" s="471">
        <f t="shared" si="179"/>
        <v>0.05</v>
      </c>
      <c r="N3852" s="475">
        <f t="shared" si="180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78"/>
        <v>-946600373077.36462</v>
      </c>
      <c r="J3853" s="455">
        <f t="array" ref="J3853">IFERROR(INDEX('Retirement Calculator'!J:J,MATCH('Isaac 401k'!N3853,'Retirement Calculator'!A:A,0),0),0)</f>
        <v>0</v>
      </c>
      <c r="K3853" s="455">
        <f t="shared" ca="1" si="176"/>
        <v>-3944168221.1556854</v>
      </c>
      <c r="L3853" s="455">
        <f t="shared" ca="1" si="177"/>
        <v>-950544541298.52026</v>
      </c>
      <c r="M3853" s="471">
        <f t="shared" si="179"/>
        <v>0.05</v>
      </c>
      <c r="N3853" s="475">
        <f t="shared" si="180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78"/>
        <v>-950544541298.52026</v>
      </c>
      <c r="J3854" s="455">
        <f t="array" ref="J3854">IFERROR(INDEX('Retirement Calculator'!J:J,MATCH('Isaac 401k'!N3854,'Retirement Calculator'!A:A,0),0),0)</f>
        <v>0</v>
      </c>
      <c r="K3854" s="455">
        <f t="shared" ca="1" si="176"/>
        <v>-3960602255.4105005</v>
      </c>
      <c r="L3854" s="455">
        <f t="shared" ca="1" si="177"/>
        <v>-954505143553.93079</v>
      </c>
      <c r="M3854" s="471">
        <f t="shared" si="179"/>
        <v>0.05</v>
      </c>
      <c r="N3854" s="475">
        <f t="shared" si="180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78"/>
        <v>-954505143553.93079</v>
      </c>
      <c r="J3855" s="455">
        <f t="array" ref="J3855">IFERROR(INDEX('Retirement Calculator'!J:J,MATCH('Isaac 401k'!N3855,'Retirement Calculator'!A:A,0),0),0)</f>
        <v>0</v>
      </c>
      <c r="K3855" s="455">
        <f t="shared" ca="1" si="176"/>
        <v>-3977104764.8080444</v>
      </c>
      <c r="L3855" s="455">
        <f t="shared" ca="1" si="177"/>
        <v>-958482248318.73877</v>
      </c>
      <c r="M3855" s="471">
        <f t="shared" si="179"/>
        <v>0.05</v>
      </c>
      <c r="N3855" s="475">
        <f t="shared" si="180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78"/>
        <v>-958482248318.73877</v>
      </c>
      <c r="J3856" s="455">
        <f t="array" ref="J3856">IFERROR(INDEX('Retirement Calculator'!J:J,MATCH('Isaac 401k'!N3856,'Retirement Calculator'!A:A,0),0),0)</f>
        <v>0</v>
      </c>
      <c r="K3856" s="455">
        <f t="shared" ca="1" si="176"/>
        <v>-3993676034.6614113</v>
      </c>
      <c r="L3856" s="455">
        <f t="shared" ca="1" si="177"/>
        <v>-962475924353.40015</v>
      </c>
      <c r="M3856" s="471">
        <f t="shared" si="179"/>
        <v>0.05</v>
      </c>
      <c r="N3856" s="475">
        <f t="shared" si="180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78"/>
        <v>-962475924353.40015</v>
      </c>
      <c r="J3857" s="455">
        <f t="array" ref="J3857">IFERROR(INDEX('Retirement Calculator'!J:J,MATCH('Isaac 401k'!N3857,'Retirement Calculator'!A:A,0),0),0)</f>
        <v>0</v>
      </c>
      <c r="K3857" s="455">
        <f t="shared" ca="1" si="176"/>
        <v>-4010316351.4725013</v>
      </c>
      <c r="L3857" s="455">
        <f t="shared" ca="1" si="177"/>
        <v>-966486240704.87268</v>
      </c>
      <c r="M3857" s="471">
        <f t="shared" si="179"/>
        <v>0.05</v>
      </c>
      <c r="N3857" s="475">
        <f t="shared" si="180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78"/>
        <v>-966486240704.87268</v>
      </c>
      <c r="J3858" s="455">
        <f t="array" ref="J3858">IFERROR(INDEX('Retirement Calculator'!J:J,MATCH('Isaac 401k'!N3858,'Retirement Calculator'!A:A,0),0),0)</f>
        <v>0</v>
      </c>
      <c r="K3858" s="455">
        <f t="shared" ca="1" si="176"/>
        <v>-4027026002.9369698</v>
      </c>
      <c r="L3858" s="455">
        <f t="shared" ca="1" si="177"/>
        <v>-970513266707.80969</v>
      </c>
      <c r="M3858" s="471">
        <f t="shared" si="179"/>
        <v>0.05</v>
      </c>
      <c r="N3858" s="475">
        <f t="shared" si="180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78"/>
        <v>-970513266707.80969</v>
      </c>
      <c r="J3859" s="455">
        <f t="array" ref="J3859">IFERROR(INDEX('Retirement Calculator'!J:J,MATCH('Isaac 401k'!N3859,'Retirement Calculator'!A:A,0),0),0)</f>
        <v>0</v>
      </c>
      <c r="K3859" s="455">
        <f t="shared" ca="1" si="176"/>
        <v>-4043805277.9492068</v>
      </c>
      <c r="L3859" s="455">
        <f t="shared" ca="1" si="177"/>
        <v>-974557071985.75891</v>
      </c>
      <c r="M3859" s="471">
        <f t="shared" si="179"/>
        <v>0.05</v>
      </c>
      <c r="N3859" s="475">
        <f t="shared" si="180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78"/>
        <v>-974557071985.75891</v>
      </c>
      <c r="J3860" s="455">
        <f t="array" ref="J3860">IFERROR(INDEX('Retirement Calculator'!J:J,MATCH('Isaac 401k'!N3860,'Retirement Calculator'!A:A,0),0),0)</f>
        <v>0</v>
      </c>
      <c r="K3860" s="455">
        <f t="shared" ca="1" si="176"/>
        <v>-4060654466.6073289</v>
      </c>
      <c r="L3860" s="455">
        <f t="shared" ca="1" si="177"/>
        <v>-978617726452.36621</v>
      </c>
      <c r="M3860" s="471">
        <f t="shared" si="179"/>
        <v>0.05</v>
      </c>
      <c r="N3860" s="475">
        <f t="shared" si="180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78"/>
        <v>-978617726452.36621</v>
      </c>
      <c r="J3861" s="455">
        <f t="array" ref="J3861">IFERROR(INDEX('Retirement Calculator'!J:J,MATCH('Isaac 401k'!N3861,'Retirement Calculator'!A:A,0),0),0)</f>
        <v>0</v>
      </c>
      <c r="K3861" s="455">
        <f t="shared" ca="1" si="176"/>
        <v>-4077573860.2181921</v>
      </c>
      <c r="L3861" s="455">
        <f t="shared" ca="1" si="177"/>
        <v>-982695300312.58435</v>
      </c>
      <c r="M3861" s="471">
        <f t="shared" si="179"/>
        <v>0.05</v>
      </c>
      <c r="N3861" s="475">
        <f t="shared" si="180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78"/>
        <v>-982695300312.58435</v>
      </c>
      <c r="J3862" s="455">
        <f t="array" ref="J3862">IFERROR(INDEX('Retirement Calculator'!J:J,MATCH('Isaac 401k'!N3862,'Retirement Calculator'!A:A,0),0),0)</f>
        <v>0</v>
      </c>
      <c r="K3862" s="455">
        <f t="shared" ca="1" si="176"/>
        <v>-4094563751.3024344</v>
      </c>
      <c r="L3862" s="455">
        <f t="shared" ca="1" si="177"/>
        <v>-986789864063.88684</v>
      </c>
      <c r="M3862" s="471">
        <f t="shared" si="179"/>
        <v>0.05</v>
      </c>
      <c r="N3862" s="475">
        <f t="shared" si="180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78"/>
        <v>-986789864063.88684</v>
      </c>
      <c r="J3863" s="455">
        <f t="array" ref="J3863">IFERROR(INDEX('Retirement Calculator'!J:J,MATCH('Isaac 401k'!N3863,'Retirement Calculator'!A:A,0),0),0)</f>
        <v>0</v>
      </c>
      <c r="K3863" s="455">
        <f t="shared" ca="1" si="176"/>
        <v>-4111624433.5995283</v>
      </c>
      <c r="L3863" s="455">
        <f t="shared" ca="1" si="177"/>
        <v>-990901488497.48633</v>
      </c>
      <c r="M3863" s="471">
        <f t="shared" si="179"/>
        <v>0.05</v>
      </c>
      <c r="N3863" s="475">
        <f t="shared" si="180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78"/>
        <v>-990901488497.48633</v>
      </c>
      <c r="J3864" s="455">
        <f t="array" ref="J3864">IFERROR(INDEX('Retirement Calculator'!J:J,MATCH('Isaac 401k'!N3864,'Retirement Calculator'!A:A,0),0),0)</f>
        <v>0</v>
      </c>
      <c r="K3864" s="455">
        <f t="shared" ca="1" si="176"/>
        <v>-4128756202.0728593</v>
      </c>
      <c r="L3864" s="455">
        <f t="shared" ca="1" si="177"/>
        <v>-995030244699.5592</v>
      </c>
      <c r="M3864" s="471">
        <f t="shared" si="179"/>
        <v>0.05</v>
      </c>
      <c r="N3864" s="475">
        <f t="shared" si="180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78"/>
        <v>-995030244699.5592</v>
      </c>
      <c r="J3865" s="455">
        <f t="array" ref="J3865">IFERROR(INDEX('Retirement Calculator'!J:J,MATCH('Isaac 401k'!N3865,'Retirement Calculator'!A:A,0),0),0)</f>
        <v>0</v>
      </c>
      <c r="K3865" s="455">
        <f t="shared" ca="1" si="176"/>
        <v>-4145959352.9148297</v>
      </c>
      <c r="L3865" s="455">
        <f t="shared" ca="1" si="177"/>
        <v>-999176204052.474</v>
      </c>
      <c r="M3865" s="471">
        <f t="shared" si="179"/>
        <v>0.05</v>
      </c>
      <c r="N3865" s="475">
        <f t="shared" si="180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78"/>
        <v>-999176204052.474</v>
      </c>
      <c r="J3866" s="455">
        <f t="array" ref="J3866">IFERROR(INDEX('Retirement Calculator'!J:J,MATCH('Isaac 401k'!N3866,'Retirement Calculator'!A:A,0),0),0)</f>
        <v>0</v>
      </c>
      <c r="K3866" s="455">
        <f t="shared" ca="1" si="176"/>
        <v>-4163234183.5519743</v>
      </c>
      <c r="L3866" s="455">
        <f t="shared" ca="1" si="177"/>
        <v>-1003339438236.026</v>
      </c>
      <c r="M3866" s="471">
        <f t="shared" si="179"/>
        <v>0.05</v>
      </c>
      <c r="N3866" s="475">
        <f t="shared" si="180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78"/>
        <v>-1003339438236.026</v>
      </c>
      <c r="J3867" s="455">
        <f t="array" ref="J3867">IFERROR(INDEX('Retirement Calculator'!J:J,MATCH('Isaac 401k'!N3867,'Retirement Calculator'!A:A,0),0),0)</f>
        <v>0</v>
      </c>
      <c r="K3867" s="455">
        <f t="shared" ca="1" si="176"/>
        <v>-4180580992.6501083</v>
      </c>
      <c r="L3867" s="455">
        <f t="shared" ca="1" si="177"/>
        <v>-1007520019228.6761</v>
      </c>
      <c r="M3867" s="471">
        <f t="shared" si="179"/>
        <v>0.05</v>
      </c>
      <c r="N3867" s="475">
        <f t="shared" si="180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78"/>
        <v>-1007520019228.6761</v>
      </c>
      <c r="J3868" s="455">
        <f t="array" ref="J3868">IFERROR(INDEX('Retirement Calculator'!J:J,MATCH('Isaac 401k'!N3868,'Retirement Calculator'!A:A,0),0),0)</f>
        <v>0</v>
      </c>
      <c r="K3868" s="455">
        <f t="shared" ca="1" si="176"/>
        <v>-4198000080.1194839</v>
      </c>
      <c r="L3868" s="455">
        <f t="shared" ca="1" si="177"/>
        <v>-1011718019308.7957</v>
      </c>
      <c r="M3868" s="471">
        <f t="shared" si="179"/>
        <v>0.05</v>
      </c>
      <c r="N3868" s="475">
        <f t="shared" si="180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78"/>
        <v>-1011718019308.7957</v>
      </c>
      <c r="J3869" s="455">
        <f t="array" ref="J3869">IFERROR(INDEX('Retirement Calculator'!J:J,MATCH('Isaac 401k'!N3869,'Retirement Calculator'!A:A,0),0),0)</f>
        <v>0</v>
      </c>
      <c r="K3869" s="455">
        <f t="shared" ca="1" si="176"/>
        <v>-4215491747.1199818</v>
      </c>
      <c r="L3869" s="455">
        <f t="shared" ca="1" si="177"/>
        <v>-1015933511055.9156</v>
      </c>
      <c r="M3869" s="471">
        <f t="shared" si="179"/>
        <v>0.05</v>
      </c>
      <c r="N3869" s="475">
        <f t="shared" si="180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78"/>
        <v>-1015933511055.9156</v>
      </c>
      <c r="J3870" s="455">
        <f t="array" ref="J3870">IFERROR(INDEX('Retirement Calculator'!J:J,MATCH('Isaac 401k'!N3870,'Retirement Calculator'!A:A,0),0),0)</f>
        <v>0</v>
      </c>
      <c r="K3870" s="455">
        <f t="shared" ca="1" si="176"/>
        <v>-4233056296.0663147</v>
      </c>
      <c r="L3870" s="455">
        <f t="shared" ca="1" si="177"/>
        <v>-1020166567351.9819</v>
      </c>
      <c r="M3870" s="471">
        <f t="shared" si="179"/>
        <v>0.05</v>
      </c>
      <c r="N3870" s="475">
        <f t="shared" si="180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78"/>
        <v>-1020166567351.9819</v>
      </c>
      <c r="J3871" s="455">
        <f t="array" ref="J3871">IFERROR(INDEX('Retirement Calculator'!J:J,MATCH('Isaac 401k'!N3871,'Retirement Calculator'!A:A,0),0),0)</f>
        <v>0</v>
      </c>
      <c r="K3871" s="455">
        <f t="shared" ca="1" si="176"/>
        <v>-4250694030.6332583</v>
      </c>
      <c r="L3871" s="455">
        <f t="shared" ca="1" si="177"/>
        <v>-1024417261382.6152</v>
      </c>
      <c r="M3871" s="471">
        <f t="shared" si="179"/>
        <v>0.05</v>
      </c>
      <c r="N3871" s="475">
        <f t="shared" si="180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78"/>
        <v>-1024417261382.6152</v>
      </c>
      <c r="J3872" s="455">
        <f t="array" ref="J3872">IFERROR(INDEX('Retirement Calculator'!J:J,MATCH('Isaac 401k'!N3872,'Retirement Calculator'!A:A,0),0),0)</f>
        <v>0</v>
      </c>
      <c r="K3872" s="455">
        <f t="shared" ca="1" si="176"/>
        <v>-4268405255.7608962</v>
      </c>
      <c r="L3872" s="455">
        <f t="shared" ca="1" si="177"/>
        <v>-1028685666638.3761</v>
      </c>
      <c r="M3872" s="471">
        <f t="shared" si="179"/>
        <v>0.05</v>
      </c>
      <c r="N3872" s="475">
        <f t="shared" si="180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78"/>
        <v>-1028685666638.3761</v>
      </c>
      <c r="J3873" s="455">
        <f t="array" ref="J3873">IFERROR(INDEX('Retirement Calculator'!J:J,MATCH('Isaac 401k'!N3873,'Retirement Calculator'!A:A,0),0),0)</f>
        <v>0</v>
      </c>
      <c r="K3873" s="455">
        <f t="shared" ca="1" si="176"/>
        <v>-4286190277.6599002</v>
      </c>
      <c r="L3873" s="455">
        <f t="shared" ca="1" si="177"/>
        <v>-1032971856916.036</v>
      </c>
      <c r="M3873" s="471">
        <f t="shared" si="179"/>
        <v>0.05</v>
      </c>
      <c r="N3873" s="475">
        <f t="shared" si="180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78"/>
        <v>-1032971856916.036</v>
      </c>
      <c r="J3874" s="455">
        <f t="array" ref="J3874">IFERROR(INDEX('Retirement Calculator'!J:J,MATCH('Isaac 401k'!N3874,'Retirement Calculator'!A:A,0),0),0)</f>
        <v>0</v>
      </c>
      <c r="K3874" s="455">
        <f t="shared" ca="1" si="176"/>
        <v>-4304049403.8168163</v>
      </c>
      <c r="L3874" s="455">
        <f t="shared" ca="1" si="177"/>
        <v>-1037275906319.8528</v>
      </c>
      <c r="M3874" s="471">
        <f t="shared" si="179"/>
        <v>0.05</v>
      </c>
      <c r="N3874" s="475">
        <f t="shared" si="180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78"/>
        <v>-1037275906319.8528</v>
      </c>
      <c r="J3875" s="455">
        <f t="array" ref="J3875">IFERROR(INDEX('Retirement Calculator'!J:J,MATCH('Isaac 401k'!N3875,'Retirement Calculator'!A:A,0),0),0)</f>
        <v>0</v>
      </c>
      <c r="K3875" s="455">
        <f t="shared" ca="1" si="176"/>
        <v>-4321982942.9993868</v>
      </c>
      <c r="L3875" s="455">
        <f t="shared" ca="1" si="177"/>
        <v>-1041597889262.8522</v>
      </c>
      <c r="M3875" s="471">
        <f t="shared" si="179"/>
        <v>0.05</v>
      </c>
      <c r="N3875" s="475">
        <f t="shared" si="180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78"/>
        <v>-1041597889262.8522</v>
      </c>
      <c r="J3876" s="455">
        <f t="array" ref="J3876">IFERROR(INDEX('Retirement Calculator'!J:J,MATCH('Isaac 401k'!N3876,'Retirement Calculator'!A:A,0),0),0)</f>
        <v>0</v>
      </c>
      <c r="K3876" s="455">
        <f t="shared" ca="1" si="176"/>
        <v>-4339991205.2618837</v>
      </c>
      <c r="L3876" s="455">
        <f t="shared" ca="1" si="177"/>
        <v>-1045937880468.114</v>
      </c>
      <c r="M3876" s="471">
        <f t="shared" si="179"/>
        <v>0.05</v>
      </c>
      <c r="N3876" s="475">
        <f t="shared" si="180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78"/>
        <v>-1045937880468.114</v>
      </c>
      <c r="J3877" s="455">
        <f t="array" ref="J3877">IFERROR(INDEX('Retirement Calculator'!J:J,MATCH('Isaac 401k'!N3877,'Retirement Calculator'!A:A,0),0),0)</f>
        <v>0</v>
      </c>
      <c r="K3877" s="455">
        <f t="shared" ca="1" si="176"/>
        <v>-4358074501.9504747</v>
      </c>
      <c r="L3877" s="455">
        <f t="shared" ca="1" si="177"/>
        <v>-1050295954970.0645</v>
      </c>
      <c r="M3877" s="471">
        <f t="shared" si="179"/>
        <v>0.05</v>
      </c>
      <c r="N3877" s="475">
        <f t="shared" si="180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78"/>
        <v>-1050295954970.0645</v>
      </c>
      <c r="J3878" s="455">
        <f t="array" ref="J3878">IFERROR(INDEX('Retirement Calculator'!J:J,MATCH('Isaac 401k'!N3878,'Retirement Calculator'!A:A,0),0),0)</f>
        <v>0</v>
      </c>
      <c r="K3878" s="455">
        <f t="shared" ca="1" si="176"/>
        <v>-4376233145.708602</v>
      </c>
      <c r="L3878" s="455">
        <f t="shared" ca="1" si="177"/>
        <v>-1054672188115.7731</v>
      </c>
      <c r="M3878" s="471">
        <f t="shared" si="179"/>
        <v>0.05</v>
      </c>
      <c r="N3878" s="475">
        <f t="shared" si="180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78"/>
        <v>-1054672188115.7731</v>
      </c>
      <c r="J3879" s="455">
        <f t="array" ref="J3879">IFERROR(INDEX('Retirement Calculator'!J:J,MATCH('Isaac 401k'!N3879,'Retirement Calculator'!A:A,0),0),0)</f>
        <v>0</v>
      </c>
      <c r="K3879" s="455">
        <f t="shared" ca="1" si="176"/>
        <v>-4394467450.4823885</v>
      </c>
      <c r="L3879" s="455">
        <f t="shared" ca="1" si="177"/>
        <v>-1059066655566.2555</v>
      </c>
      <c r="M3879" s="471">
        <f t="shared" si="179"/>
        <v>0.05</v>
      </c>
      <c r="N3879" s="475">
        <f t="shared" si="180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78"/>
        <v>-1059066655566.2555</v>
      </c>
      <c r="J3880" s="455">
        <f t="array" ref="J3880">IFERROR(INDEX('Retirement Calculator'!J:J,MATCH('Isaac 401k'!N3880,'Retirement Calculator'!A:A,0),0),0)</f>
        <v>0</v>
      </c>
      <c r="K3880" s="455">
        <f t="shared" ca="1" si="176"/>
        <v>-4412777731.5260649</v>
      </c>
      <c r="L3880" s="455">
        <f t="shared" ca="1" si="177"/>
        <v>-1063479433297.7816</v>
      </c>
      <c r="M3880" s="471">
        <f t="shared" si="179"/>
        <v>0.05</v>
      </c>
      <c r="N3880" s="475">
        <f t="shared" si="180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78"/>
        <v>-1063479433297.7816</v>
      </c>
      <c r="J3881" s="455">
        <f t="array" ref="J3881">IFERROR(INDEX('Retirement Calculator'!J:J,MATCH('Isaac 401k'!N3881,'Retirement Calculator'!A:A,0),0),0)</f>
        <v>0</v>
      </c>
      <c r="K3881" s="455">
        <f t="shared" ca="1" si="176"/>
        <v>-4431164305.407423</v>
      </c>
      <c r="L3881" s="455">
        <f t="shared" ca="1" si="177"/>
        <v>-1067910597603.1891</v>
      </c>
      <c r="M3881" s="471">
        <f t="shared" si="179"/>
        <v>0.05</v>
      </c>
      <c r="N3881" s="475">
        <f t="shared" si="180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78"/>
        <v>-1067910597603.1891</v>
      </c>
      <c r="J3882" s="455">
        <f t="array" ref="J3882">IFERROR(INDEX('Retirement Calculator'!J:J,MATCH('Isaac 401k'!N3882,'Retirement Calculator'!A:A,0),0),0)</f>
        <v>0</v>
      </c>
      <c r="K3882" s="455">
        <f t="shared" ca="1" si="176"/>
        <v>-4449627490.0132875</v>
      </c>
      <c r="L3882" s="455">
        <f t="shared" ca="1" si="177"/>
        <v>-1072360225093.2024</v>
      </c>
      <c r="M3882" s="471">
        <f t="shared" si="179"/>
        <v>0.05</v>
      </c>
      <c r="N3882" s="475">
        <f t="shared" si="180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78"/>
        <v>-1072360225093.2024</v>
      </c>
      <c r="J3883" s="455">
        <f t="array" ref="J3883">IFERROR(INDEX('Retirement Calculator'!J:J,MATCH('Isaac 401k'!N3883,'Retirement Calculator'!A:A,0),0),0)</f>
        <v>0</v>
      </c>
      <c r="K3883" s="455">
        <f t="shared" ca="1" si="176"/>
        <v>-4468167604.5550098</v>
      </c>
      <c r="L3883" s="455">
        <f t="shared" ca="1" si="177"/>
        <v>-1076828392697.7574</v>
      </c>
      <c r="M3883" s="471">
        <f t="shared" si="179"/>
        <v>0.05</v>
      </c>
      <c r="N3883" s="475">
        <f t="shared" si="180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78"/>
        <v>-1076828392697.7574</v>
      </c>
      <c r="J3884" s="455">
        <f t="array" ref="J3884">IFERROR(INDEX('Retirement Calculator'!J:J,MATCH('Isaac 401k'!N3884,'Retirement Calculator'!A:A,0),0),0)</f>
        <v>0</v>
      </c>
      <c r="K3884" s="455">
        <f t="shared" ca="1" si="176"/>
        <v>-4486784969.5739889</v>
      </c>
      <c r="L3884" s="455">
        <f t="shared" ca="1" si="177"/>
        <v>-1081315177667.3314</v>
      </c>
      <c r="M3884" s="471">
        <f t="shared" si="179"/>
        <v>0.05</v>
      </c>
      <c r="N3884" s="475">
        <f t="shared" si="180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78"/>
        <v>-1081315177667.3314</v>
      </c>
      <c r="J3885" s="455">
        <f t="array" ref="J3885">IFERROR(INDEX('Retirement Calculator'!J:J,MATCH('Isaac 401k'!N3885,'Retirement Calculator'!A:A,0),0),0)</f>
        <v>0</v>
      </c>
      <c r="K3885" s="455">
        <f t="shared" ca="1" si="176"/>
        <v>-4505479906.9472141</v>
      </c>
      <c r="L3885" s="455">
        <f t="shared" ca="1" si="177"/>
        <v>-1085820657574.2787</v>
      </c>
      <c r="M3885" s="471">
        <f t="shared" si="179"/>
        <v>0.05</v>
      </c>
      <c r="N3885" s="475">
        <f t="shared" si="180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78"/>
        <v>-1085820657574.2787</v>
      </c>
      <c r="J3886" s="455">
        <f t="array" ref="J3886">IFERROR(INDEX('Retirement Calculator'!J:J,MATCH('Isaac 401k'!N3886,'Retirement Calculator'!A:A,0),0),0)</f>
        <v>0</v>
      </c>
      <c r="K3886" s="455">
        <f t="shared" ca="1" si="176"/>
        <v>-4524252739.892828</v>
      </c>
      <c r="L3886" s="455">
        <f t="shared" ca="1" si="177"/>
        <v>-1090344910314.1715</v>
      </c>
      <c r="M3886" s="471">
        <f t="shared" si="179"/>
        <v>0.05</v>
      </c>
      <c r="N3886" s="475">
        <f t="shared" si="180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78"/>
        <v>-1090344910314.1715</v>
      </c>
      <c r="J3887" s="455">
        <f t="array" ref="J3887">IFERROR(INDEX('Retirement Calculator'!J:J,MATCH('Isaac 401k'!N3887,'Retirement Calculator'!A:A,0),0),0)</f>
        <v>0</v>
      </c>
      <c r="K3887" s="455">
        <f t="shared" ca="1" si="176"/>
        <v>-4543103792.9757147</v>
      </c>
      <c r="L3887" s="455">
        <f t="shared" ca="1" si="177"/>
        <v>-1094888014107.1472</v>
      </c>
      <c r="M3887" s="471">
        <f t="shared" si="179"/>
        <v>0.05</v>
      </c>
      <c r="N3887" s="475">
        <f t="shared" si="180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78"/>
        <v>-1094888014107.1472</v>
      </c>
      <c r="J3888" s="455">
        <f t="array" ref="J3888">IFERROR(INDEX('Retirement Calculator'!J:J,MATCH('Isaac 401k'!N3888,'Retirement Calculator'!A:A,0),0),0)</f>
        <v>0</v>
      </c>
      <c r="K3888" s="455">
        <f t="shared" ca="1" si="176"/>
        <v>-4562033392.1131134</v>
      </c>
      <c r="L3888" s="455">
        <f t="shared" ca="1" si="177"/>
        <v>-1099450047499.2604</v>
      </c>
      <c r="M3888" s="471">
        <f t="shared" si="179"/>
        <v>0.05</v>
      </c>
      <c r="N3888" s="475">
        <f t="shared" si="180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78"/>
        <v>-1099450047499.2604</v>
      </c>
      <c r="J3889" s="455">
        <f t="array" ref="J3889">IFERROR(INDEX('Retirement Calculator'!J:J,MATCH('Isaac 401k'!N3889,'Retirement Calculator'!A:A,0),0),0)</f>
        <v>0</v>
      </c>
      <c r="K3889" s="455">
        <f t="shared" ca="1" si="176"/>
        <v>-4581041864.5802517</v>
      </c>
      <c r="L3889" s="455">
        <f t="shared" ca="1" si="177"/>
        <v>-1104031089363.8406</v>
      </c>
      <c r="M3889" s="471">
        <f t="shared" si="179"/>
        <v>0.05</v>
      </c>
      <c r="N3889" s="475">
        <f t="shared" si="180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78"/>
        <v>-1104031089363.8406</v>
      </c>
      <c r="J3890" s="455">
        <f t="array" ref="J3890">IFERROR(INDEX('Retirement Calculator'!J:J,MATCH('Isaac 401k'!N3890,'Retirement Calculator'!A:A,0),0),0)</f>
        <v>0</v>
      </c>
      <c r="K3890" s="455">
        <f t="shared" ca="1" si="176"/>
        <v>-4600129539.0160027</v>
      </c>
      <c r="L3890" s="455">
        <f t="shared" ca="1" si="177"/>
        <v>-1108631218902.8567</v>
      </c>
      <c r="M3890" s="471">
        <f t="shared" si="179"/>
        <v>0.05</v>
      </c>
      <c r="N3890" s="475">
        <f t="shared" si="180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78"/>
        <v>-1108631218902.8567</v>
      </c>
      <c r="J3891" s="455">
        <f t="array" ref="J3891">IFERROR(INDEX('Retirement Calculator'!J:J,MATCH('Isaac 401k'!N3891,'Retirement Calculator'!A:A,0),0),0)</f>
        <v>0</v>
      </c>
      <c r="K3891" s="455">
        <f t="shared" ca="1" si="176"/>
        <v>-4619296745.4285698</v>
      </c>
      <c r="L3891" s="455">
        <f t="shared" ca="1" si="177"/>
        <v>-1113250515648.2852</v>
      </c>
      <c r="M3891" s="471">
        <f t="shared" si="179"/>
        <v>0.05</v>
      </c>
      <c r="N3891" s="475">
        <f t="shared" si="180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78"/>
        <v>-1113250515648.2852</v>
      </c>
      <c r="J3892" s="455">
        <f t="array" ref="J3892">IFERROR(INDEX('Retirement Calculator'!J:J,MATCH('Isaac 401k'!N3892,'Retirement Calculator'!A:A,0),0),0)</f>
        <v>0</v>
      </c>
      <c r="K3892" s="455">
        <f t="shared" ca="1" si="176"/>
        <v>-4638543815.2011881</v>
      </c>
      <c r="L3892" s="455">
        <f t="shared" ca="1" si="177"/>
        <v>-1117889059463.4863</v>
      </c>
      <c r="M3892" s="471">
        <f t="shared" si="179"/>
        <v>0.05</v>
      </c>
      <c r="N3892" s="475">
        <f t="shared" si="180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78"/>
        <v>-1117889059463.4863</v>
      </c>
      <c r="J3893" s="455">
        <f t="array" ref="J3893">IFERROR(INDEX('Retirement Calculator'!J:J,MATCH('Isaac 401k'!N3893,'Retirement Calculator'!A:A,0),0),0)</f>
        <v>0</v>
      </c>
      <c r="K3893" s="455">
        <f t="shared" ca="1" si="176"/>
        <v>-4657871081.0978594</v>
      </c>
      <c r="L3893" s="455">
        <f t="shared" ca="1" si="177"/>
        <v>-1122546930544.5842</v>
      </c>
      <c r="M3893" s="471">
        <f t="shared" si="179"/>
        <v>0.05</v>
      </c>
      <c r="N3893" s="475">
        <f t="shared" si="180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78"/>
        <v>-1122546930544.5842</v>
      </c>
      <c r="J3894" s="455">
        <f t="array" ref="J3894">IFERROR(INDEX('Retirement Calculator'!J:J,MATCH('Isaac 401k'!N3894,'Retirement Calculator'!A:A,0),0),0)</f>
        <v>0</v>
      </c>
      <c r="K3894" s="455">
        <f t="shared" ca="1" si="176"/>
        <v>-4677278877.2691011</v>
      </c>
      <c r="L3894" s="455">
        <f t="shared" ca="1" si="177"/>
        <v>-1127224209421.8533</v>
      </c>
      <c r="M3894" s="471">
        <f t="shared" si="179"/>
        <v>0.05</v>
      </c>
      <c r="N3894" s="475">
        <f t="shared" si="180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78"/>
        <v>-1127224209421.8533</v>
      </c>
      <c r="J3895" s="455">
        <f t="array" ref="J3895">IFERROR(INDEX('Retirement Calculator'!J:J,MATCH('Isaac 401k'!N3895,'Retirement Calculator'!A:A,0),0),0)</f>
        <v>0</v>
      </c>
      <c r="K3895" s="455">
        <f t="shared" ca="1" si="176"/>
        <v>-4696767539.2577219</v>
      </c>
      <c r="L3895" s="455">
        <f t="shared" ca="1" si="177"/>
        <v>-1131920976961.1111</v>
      </c>
      <c r="M3895" s="471">
        <f t="shared" si="179"/>
        <v>0.05</v>
      </c>
      <c r="N3895" s="475">
        <f t="shared" si="180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78"/>
        <v>-1131920976961.1111</v>
      </c>
      <c r="J3896" s="455">
        <f t="array" ref="J3896">IFERROR(INDEX('Retirement Calculator'!J:J,MATCH('Isaac 401k'!N3896,'Retirement Calculator'!A:A,0),0),0)</f>
        <v>0</v>
      </c>
      <c r="K3896" s="455">
        <f t="shared" ca="1" si="176"/>
        <v>-4716337404.0046291</v>
      </c>
      <c r="L3896" s="455">
        <f t="shared" ca="1" si="177"/>
        <v>-1136637314365.1157</v>
      </c>
      <c r="M3896" s="471">
        <f t="shared" si="179"/>
        <v>0.05</v>
      </c>
      <c r="N3896" s="475">
        <f t="shared" si="180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78"/>
        <v>-1136637314365.1157</v>
      </c>
      <c r="J3897" s="455">
        <f t="array" ref="J3897">IFERROR(INDEX('Retirement Calculator'!J:J,MATCH('Isaac 401k'!N3897,'Retirement Calculator'!A:A,0),0),0)</f>
        <v>0</v>
      </c>
      <c r="K3897" s="455">
        <f t="shared" ca="1" si="176"/>
        <v>-4735988809.8546486</v>
      </c>
      <c r="L3897" s="455">
        <f t="shared" ca="1" si="177"/>
        <v>-1141373303174.9705</v>
      </c>
      <c r="M3897" s="471">
        <f t="shared" si="179"/>
        <v>0.05</v>
      </c>
      <c r="N3897" s="475">
        <f t="shared" si="180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78"/>
        <v>-1141373303174.9705</v>
      </c>
      <c r="J3898" s="455">
        <f t="array" ref="J3898">IFERROR(INDEX('Retirement Calculator'!J:J,MATCH('Isaac 401k'!N3898,'Retirement Calculator'!A:A,0),0),0)</f>
        <v>0</v>
      </c>
      <c r="K3898" s="455">
        <f t="shared" ca="1" si="176"/>
        <v>-4755722096.562377</v>
      </c>
      <c r="L3898" s="455">
        <f t="shared" ca="1" si="177"/>
        <v>-1146129025271.5327</v>
      </c>
      <c r="M3898" s="471">
        <f t="shared" si="179"/>
        <v>0.05</v>
      </c>
      <c r="N3898" s="475">
        <f t="shared" si="180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78"/>
        <v>-1146129025271.5327</v>
      </c>
      <c r="J3899" s="455">
        <f t="array" ref="J3899">IFERROR(INDEX('Retirement Calculator'!J:J,MATCH('Isaac 401k'!N3899,'Retirement Calculator'!A:A,0),0),0)</f>
        <v>0</v>
      </c>
      <c r="K3899" s="455">
        <f t="shared" ca="1" si="176"/>
        <v>-4775537605.2980528</v>
      </c>
      <c r="L3899" s="455">
        <f t="shared" ca="1" si="177"/>
        <v>-1150904562876.8308</v>
      </c>
      <c r="M3899" s="471">
        <f t="shared" si="179"/>
        <v>0.05</v>
      </c>
      <c r="N3899" s="475">
        <f t="shared" si="180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78"/>
        <v>-1150904562876.8308</v>
      </c>
      <c r="J3900" s="455">
        <f t="array" ref="J3900">IFERROR(INDEX('Retirement Calculator'!J:J,MATCH('Isaac 401k'!N3900,'Retirement Calculator'!A:A,0),0),0)</f>
        <v>0</v>
      </c>
      <c r="K3900" s="455">
        <f t="shared" ca="1" si="176"/>
        <v>-4795435678.6534615</v>
      </c>
      <c r="L3900" s="455">
        <f t="shared" ca="1" si="177"/>
        <v>-1155699998555.4844</v>
      </c>
      <c r="M3900" s="471">
        <f t="shared" si="179"/>
        <v>0.05</v>
      </c>
      <c r="N3900" s="475">
        <f t="shared" si="180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78"/>
        <v>-1155699998555.4844</v>
      </c>
      <c r="J3901" s="455">
        <f t="array" ref="J3901">IFERROR(INDEX('Retirement Calculator'!J:J,MATCH('Isaac 401k'!N3901,'Retirement Calculator'!A:A,0),0),0)</f>
        <v>0</v>
      </c>
      <c r="K3901" s="455">
        <f t="shared" ca="1" si="176"/>
        <v>-4815416660.6478519</v>
      </c>
      <c r="L3901" s="455">
        <f t="shared" ca="1" si="177"/>
        <v>-1160515415216.1323</v>
      </c>
      <c r="M3901" s="471">
        <f t="shared" si="179"/>
        <v>0.05</v>
      </c>
      <c r="N3901" s="475">
        <f t="shared" si="180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78"/>
        <v>-1160515415216.1323</v>
      </c>
      <c r="J3902" s="455">
        <f t="array" ref="J3902">IFERROR(INDEX('Retirement Calculator'!J:J,MATCH('Isaac 401k'!N3902,'Retirement Calculator'!A:A,0),0),0)</f>
        <v>0</v>
      </c>
      <c r="K3902" s="455">
        <f t="shared" ca="1" si="176"/>
        <v>-4835480896.7338848</v>
      </c>
      <c r="L3902" s="455">
        <f t="shared" ca="1" si="177"/>
        <v>-1165350896112.8662</v>
      </c>
      <c r="M3902" s="471">
        <f t="shared" si="179"/>
        <v>0.05</v>
      </c>
      <c r="N3902" s="475">
        <f t="shared" si="180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78"/>
        <v>-1165350896112.8662</v>
      </c>
      <c r="J3903" s="455">
        <f t="array" ref="J3903">IFERROR(INDEX('Retirement Calculator'!J:J,MATCH('Isaac 401k'!N3903,'Retirement Calculator'!A:A,0),0),0)</f>
        <v>0</v>
      </c>
      <c r="K3903" s="455">
        <f t="shared" ca="1" si="176"/>
        <v>-4855628733.8036089</v>
      </c>
      <c r="L3903" s="455">
        <f t="shared" ca="1" si="177"/>
        <v>-1170206524846.6699</v>
      </c>
      <c r="M3903" s="471">
        <f t="shared" si="179"/>
        <v>0.05</v>
      </c>
      <c r="N3903" s="475">
        <f t="shared" si="180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78"/>
        <v>-1170206524846.6699</v>
      </c>
      <c r="J3904" s="455">
        <f t="array" ref="J3904">IFERROR(INDEX('Retirement Calculator'!J:J,MATCH('Isaac 401k'!N3904,'Retirement Calculator'!A:A,0),0),0)</f>
        <v>0</v>
      </c>
      <c r="K3904" s="455">
        <f t="shared" ca="1" si="176"/>
        <v>-4875860520.194458</v>
      </c>
      <c r="L3904" s="455">
        <f t="shared" ca="1" si="177"/>
        <v>-1175082385366.8643</v>
      </c>
      <c r="M3904" s="471">
        <f t="shared" si="179"/>
        <v>0.05</v>
      </c>
      <c r="N3904" s="475">
        <f t="shared" si="180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78"/>
        <v>-1175082385366.8643</v>
      </c>
      <c r="J3905" s="455">
        <f t="array" ref="J3905">IFERROR(INDEX('Retirement Calculator'!J:J,MATCH('Isaac 401k'!N3905,'Retirement Calculator'!A:A,0),0),0)</f>
        <v>0</v>
      </c>
      <c r="K3905" s="455">
        <f t="shared" ca="1" si="176"/>
        <v>-4896176605.6952677</v>
      </c>
      <c r="L3905" s="455">
        <f t="shared" ca="1" si="177"/>
        <v>-1179978561972.5596</v>
      </c>
      <c r="M3905" s="471">
        <f t="shared" si="179"/>
        <v>0.05</v>
      </c>
      <c r="N3905" s="475">
        <f t="shared" si="180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78"/>
        <v>-1179978561972.5596</v>
      </c>
      <c r="J3906" s="455">
        <f t="array" ref="J3906">IFERROR(INDEX('Retirement Calculator'!J:J,MATCH('Isaac 401k'!N3906,'Retirement Calculator'!A:A,0),0),0)</f>
        <v>0</v>
      </c>
      <c r="K3906" s="455">
        <f t="shared" ca="1" si="176"/>
        <v>-4916577341.5523319</v>
      </c>
      <c r="L3906" s="455">
        <f t="shared" ca="1" si="177"/>
        <v>-1184895139314.1118</v>
      </c>
      <c r="M3906" s="471">
        <f t="shared" si="179"/>
        <v>0.05</v>
      </c>
      <c r="N3906" s="475">
        <f t="shared" si="180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78"/>
        <v>-1184895139314.1118</v>
      </c>
      <c r="J3907" s="455">
        <f t="array" ref="J3907">IFERROR(INDEX('Retirement Calculator'!J:J,MATCH('Isaac 401k'!N3907,'Retirement Calculator'!A:A,0),0),0)</f>
        <v>0</v>
      </c>
      <c r="K3907" s="455">
        <f t="shared" ca="1" si="176"/>
        <v>-4937063080.4754658</v>
      </c>
      <c r="L3907" s="455">
        <f t="shared" ca="1" si="177"/>
        <v>-1189832202394.5874</v>
      </c>
      <c r="M3907" s="471">
        <f t="shared" si="179"/>
        <v>0.05</v>
      </c>
      <c r="N3907" s="475">
        <f t="shared" si="180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78"/>
        <v>-1189832202394.5874</v>
      </c>
      <c r="J3908" s="455">
        <f t="array" ref="J3908">IFERROR(INDEX('Retirement Calculator'!J:J,MATCH('Isaac 401k'!N3908,'Retirement Calculator'!A:A,0),0),0)</f>
        <v>0</v>
      </c>
      <c r="K3908" s="455">
        <f t="shared" ca="1" si="176"/>
        <v>-4957634176.6441145</v>
      </c>
      <c r="L3908" s="455">
        <f t="shared" ca="1" si="177"/>
        <v>-1194789836571.2314</v>
      </c>
      <c r="M3908" s="471">
        <f t="shared" si="179"/>
        <v>0.05</v>
      </c>
      <c r="N3908" s="475">
        <f t="shared" si="180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78"/>
        <v>-1194789836571.2314</v>
      </c>
      <c r="J3909" s="455">
        <f t="array" ref="J3909">IFERROR(INDEX('Retirement Calculator'!J:J,MATCH('Isaac 401k'!N3909,'Retirement Calculator'!A:A,0),0),0)</f>
        <v>0</v>
      </c>
      <c r="K3909" s="455">
        <f t="shared" ca="1" si="176"/>
        <v>-4978290985.7134647</v>
      </c>
      <c r="L3909" s="455">
        <f t="shared" ca="1" si="177"/>
        <v>-1199768127556.9448</v>
      </c>
      <c r="M3909" s="471">
        <f t="shared" si="179"/>
        <v>0.05</v>
      </c>
      <c r="N3909" s="475">
        <f t="shared" si="180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78"/>
        <v>-1199768127556.9448</v>
      </c>
      <c r="J3910" s="455">
        <f t="array" ref="J3910">IFERROR(INDEX('Retirement Calculator'!J:J,MATCH('Isaac 401k'!N3910,'Retirement Calculator'!A:A,0),0),0)</f>
        <v>0</v>
      </c>
      <c r="K3910" s="455">
        <f t="shared" ca="1" si="176"/>
        <v>-4999033864.8206034</v>
      </c>
      <c r="L3910" s="455">
        <f t="shared" ca="1" si="177"/>
        <v>-1204767161421.7654</v>
      </c>
      <c r="M3910" s="471">
        <f t="shared" si="179"/>
        <v>0.05</v>
      </c>
      <c r="N3910" s="475">
        <f t="shared" si="180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78"/>
        <v>-1204767161421.7654</v>
      </c>
      <c r="J3911" s="455">
        <f t="array" ref="J3911">IFERROR(INDEX('Retirement Calculator'!J:J,MATCH('Isaac 401k'!N3911,'Retirement Calculator'!A:A,0),0),0)</f>
        <v>0</v>
      </c>
      <c r="K3911" s="455">
        <f t="shared" ca="1" si="176"/>
        <v>-5019863172.5906887</v>
      </c>
      <c r="L3911" s="455">
        <f t="shared" ca="1" si="177"/>
        <v>-1209787024594.356</v>
      </c>
      <c r="M3911" s="471">
        <f t="shared" si="179"/>
        <v>0.05</v>
      </c>
      <c r="N3911" s="475">
        <f t="shared" si="180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78"/>
        <v>-1209787024594.356</v>
      </c>
      <c r="J3912" s="455">
        <f t="array" ref="J3912">IFERROR(INDEX('Retirement Calculator'!J:J,MATCH('Isaac 401k'!N3912,'Retirement Calculator'!A:A,0),0),0)</f>
        <v>0</v>
      </c>
      <c r="K3912" s="455">
        <f t="shared" ca="1" si="176"/>
        <v>-5040779269.1431494</v>
      </c>
      <c r="L3912" s="455">
        <f t="shared" ca="1" si="177"/>
        <v>-1214827803863.499</v>
      </c>
      <c r="M3912" s="471">
        <f t="shared" si="179"/>
        <v>0.05</v>
      </c>
      <c r="N3912" s="475">
        <f t="shared" si="180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78"/>
        <v>-1214827803863.499</v>
      </c>
      <c r="J3913" s="455">
        <f t="array" ref="J3913">IFERROR(INDEX('Retirement Calculator'!J:J,MATCH('Isaac 401k'!N3913,'Retirement Calculator'!A:A,0),0),0)</f>
        <v>0</v>
      </c>
      <c r="K3913" s="455">
        <f t="shared" ca="1" si="176"/>
        <v>-5061782516.0979128</v>
      </c>
      <c r="L3913" s="455">
        <f t="shared" ca="1" si="177"/>
        <v>-1219889586379.5969</v>
      </c>
      <c r="M3913" s="471">
        <f t="shared" si="179"/>
        <v>0.05</v>
      </c>
      <c r="N3913" s="475">
        <f t="shared" si="180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78"/>
        <v>-1219889586379.5969</v>
      </c>
      <c r="J3914" s="455">
        <f t="array" ref="J3914">IFERROR(INDEX('Retirement Calculator'!J:J,MATCH('Isaac 401k'!N3914,'Retirement Calculator'!A:A,0),0),0)</f>
        <v>0</v>
      </c>
      <c r="K3914" s="455">
        <f t="shared" ca="1" si="176"/>
        <v>-5082873276.5816536</v>
      </c>
      <c r="L3914" s="455">
        <f t="shared" ca="1" si="177"/>
        <v>-1224972459656.1785</v>
      </c>
      <c r="M3914" s="471">
        <f t="shared" si="179"/>
        <v>0.05</v>
      </c>
      <c r="N3914" s="475">
        <f t="shared" si="180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78"/>
        <v>-1224972459656.1785</v>
      </c>
      <c r="J3915" s="455">
        <f t="array" ref="J3915">IFERROR(INDEX('Retirement Calculator'!J:J,MATCH('Isaac 401k'!N3915,'Retirement Calculator'!A:A,0),0),0)</f>
        <v>0</v>
      </c>
      <c r="K3915" s="455">
        <f t="shared" ca="1" si="176"/>
        <v>-5104051915.2340765</v>
      </c>
      <c r="L3915" s="455">
        <f t="shared" ca="1" si="177"/>
        <v>-1230076511571.4126</v>
      </c>
      <c r="M3915" s="471">
        <f t="shared" si="179"/>
        <v>0.05</v>
      </c>
      <c r="N3915" s="475">
        <f t="shared" si="180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78"/>
        <v>-1230076511571.4126</v>
      </c>
      <c r="J3916" s="455">
        <f t="array" ref="J3916">IFERROR(INDEX('Retirement Calculator'!J:J,MATCH('Isaac 401k'!N3916,'Retirement Calculator'!A:A,0),0),0)</f>
        <v>0</v>
      </c>
      <c r="K3916" s="455">
        <f t="shared" ca="1" si="176"/>
        <v>-5125318798.2142191</v>
      </c>
      <c r="L3916" s="455">
        <f t="shared" ca="1" si="177"/>
        <v>-1235201830369.6267</v>
      </c>
      <c r="M3916" s="471">
        <f t="shared" si="179"/>
        <v>0.05</v>
      </c>
      <c r="N3916" s="475">
        <f t="shared" si="180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78"/>
        <v>-1235201830369.6267</v>
      </c>
      <c r="J3917" s="455">
        <f t="array" ref="J3917">IFERROR(INDEX('Retirement Calculator'!J:J,MATCH('Isaac 401k'!N3917,'Retirement Calculator'!A:A,0),0),0)</f>
        <v>0</v>
      </c>
      <c r="K3917" s="455">
        <f t="shared" ca="1" si="176"/>
        <v>-5146674293.2067776</v>
      </c>
      <c r="L3917" s="455">
        <f t="shared" ca="1" si="177"/>
        <v>-1240348504662.8335</v>
      </c>
      <c r="M3917" s="471">
        <f t="shared" si="179"/>
        <v>0.05</v>
      </c>
      <c r="N3917" s="475">
        <f t="shared" si="180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78"/>
        <v>-1240348504662.8335</v>
      </c>
      <c r="J3918" s="455">
        <f t="array" ref="J3918">IFERROR(INDEX('Retirement Calculator'!J:J,MATCH('Isaac 401k'!N3918,'Retirement Calculator'!A:A,0),0),0)</f>
        <v>0</v>
      </c>
      <c r="K3918" s="455">
        <f t="shared" ca="1" si="176"/>
        <v>-5168118769.4284725</v>
      </c>
      <c r="L3918" s="455">
        <f t="shared" ca="1" si="177"/>
        <v>-1245516623432.262</v>
      </c>
      <c r="M3918" s="471">
        <f t="shared" si="179"/>
        <v>0.05</v>
      </c>
      <c r="N3918" s="475">
        <f t="shared" si="180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78"/>
        <v>-1245516623432.262</v>
      </c>
      <c r="J3919" s="455">
        <f t="array" ref="J3919">IFERROR(INDEX('Retirement Calculator'!J:J,MATCH('Isaac 401k'!N3919,'Retirement Calculator'!A:A,0),0),0)</f>
        <v>0</v>
      </c>
      <c r="K3919" s="455">
        <f t="shared" ca="1" si="176"/>
        <v>-5189652597.6344252</v>
      </c>
      <c r="L3919" s="455">
        <f t="shared" ca="1" si="177"/>
        <v>-1250706276029.8965</v>
      </c>
      <c r="M3919" s="471">
        <f t="shared" si="179"/>
        <v>0.05</v>
      </c>
      <c r="N3919" s="475">
        <f t="shared" si="180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78"/>
        <v>-1250706276029.8965</v>
      </c>
      <c r="J3920" s="455">
        <f t="array" ref="J3920">IFERROR(INDEX('Retirement Calculator'!J:J,MATCH('Isaac 401k'!N3920,'Retirement Calculator'!A:A,0),0),0)</f>
        <v>0</v>
      </c>
      <c r="K3920" s="455">
        <f t="shared" ca="1" si="176"/>
        <v>-5211276150.1245689</v>
      </c>
      <c r="L3920" s="455">
        <f t="shared" ca="1" si="177"/>
        <v>-1255917552180.021</v>
      </c>
      <c r="M3920" s="471">
        <f t="shared" si="179"/>
        <v>0.05</v>
      </c>
      <c r="N3920" s="475">
        <f t="shared" si="180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78"/>
        <v>-1255917552180.021</v>
      </c>
      <c r="J3921" s="455">
        <f t="array" ref="J3921">IFERROR(INDEX('Retirement Calculator'!J:J,MATCH('Isaac 401k'!N3921,'Retirement Calculator'!A:A,0),0),0)</f>
        <v>0</v>
      </c>
      <c r="K3921" s="455">
        <f t="shared" ca="1" si="176"/>
        <v>-5232989800.7500877</v>
      </c>
      <c r="L3921" s="455">
        <f t="shared" ca="1" si="177"/>
        <v>-1261150541980.771</v>
      </c>
      <c r="M3921" s="471">
        <f t="shared" si="179"/>
        <v>0.05</v>
      </c>
      <c r="N3921" s="475">
        <f t="shared" si="180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78"/>
        <v>-1261150541980.771</v>
      </c>
      <c r="J3922" s="455">
        <f t="array" ref="J3922">IFERROR(INDEX('Retirement Calculator'!J:J,MATCH('Isaac 401k'!N3922,'Retirement Calculator'!A:A,0),0),0)</f>
        <v>0</v>
      </c>
      <c r="K3922" s="455">
        <f t="shared" ca="1" si="176"/>
        <v>-5254793924.919879</v>
      </c>
      <c r="L3922" s="455">
        <f t="shared" ca="1" si="177"/>
        <v>-1266405335905.6909</v>
      </c>
      <c r="M3922" s="471">
        <f t="shared" si="179"/>
        <v>0.05</v>
      </c>
      <c r="N3922" s="475">
        <f t="shared" si="180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78"/>
        <v>-1266405335905.6909</v>
      </c>
      <c r="J3923" s="455">
        <f t="array" ref="J3923">IFERROR(INDEX('Retirement Calculator'!J:J,MATCH('Isaac 401k'!N3923,'Retirement Calculator'!A:A,0),0),0)</f>
        <v>0</v>
      </c>
      <c r="K3923" s="455">
        <f t="shared" ca="1" si="176"/>
        <v>-5276688899.6070452</v>
      </c>
      <c r="L3923" s="455">
        <f t="shared" ca="1" si="177"/>
        <v>-1271682024805.2979</v>
      </c>
      <c r="M3923" s="471">
        <f t="shared" si="179"/>
        <v>0.05</v>
      </c>
      <c r="N3923" s="475">
        <f t="shared" si="180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78"/>
        <v>-1271682024805.2979</v>
      </c>
      <c r="J3924" s="455">
        <f t="array" ref="J3924">IFERROR(INDEX('Retirement Calculator'!J:J,MATCH('Isaac 401k'!N3924,'Retirement Calculator'!A:A,0),0),0)</f>
        <v>0</v>
      </c>
      <c r="K3924" s="455">
        <f t="shared" ca="1" si="176"/>
        <v>-5298675103.3554077</v>
      </c>
      <c r="L3924" s="455">
        <f t="shared" ca="1" si="177"/>
        <v>-1276980699908.6533</v>
      </c>
      <c r="M3924" s="471">
        <f t="shared" si="179"/>
        <v>0.05</v>
      </c>
      <c r="N3924" s="475">
        <f t="shared" si="180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78"/>
        <v>-1276980699908.6533</v>
      </c>
      <c r="J3925" s="455">
        <f t="array" ref="J3925">IFERROR(INDEX('Retirement Calculator'!J:J,MATCH('Isaac 401k'!N3925,'Retirement Calculator'!A:A,0),0),0)</f>
        <v>0</v>
      </c>
      <c r="K3925" s="455">
        <f t="shared" ca="1" si="176"/>
        <v>-5320752916.2860556</v>
      </c>
      <c r="L3925" s="455">
        <f t="shared" ca="1" si="177"/>
        <v>-1282301452824.9395</v>
      </c>
      <c r="M3925" s="471">
        <f t="shared" si="179"/>
        <v>0.05</v>
      </c>
      <c r="N3925" s="475">
        <f t="shared" si="180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78"/>
        <v>-1282301452824.9395</v>
      </c>
      <c r="J3926" s="455">
        <f t="array" ref="J3926">IFERROR(INDEX('Retirement Calculator'!J:J,MATCH('Isaac 401k'!N3926,'Retirement Calculator'!A:A,0),0),0)</f>
        <v>0</v>
      </c>
      <c r="K3926" s="455">
        <f t="shared" ca="1" si="176"/>
        <v>-5342922720.1039143</v>
      </c>
      <c r="L3926" s="455">
        <f t="shared" ca="1" si="177"/>
        <v>-1287644375545.0435</v>
      </c>
      <c r="M3926" s="471">
        <f t="shared" si="179"/>
        <v>0.05</v>
      </c>
      <c r="N3926" s="475">
        <f t="shared" si="180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78"/>
        <v>-1287644375545.0435</v>
      </c>
      <c r="J3927" s="455">
        <f t="array" ref="J3927">IFERROR(INDEX('Retirement Calculator'!J:J,MATCH('Isaac 401k'!N3927,'Retirement Calculator'!A:A,0),0),0)</f>
        <v>0</v>
      </c>
      <c r="K3927" s="455">
        <f t="shared" ca="1" si="176"/>
        <v>-5365184898.1043472</v>
      </c>
      <c r="L3927" s="455">
        <f t="shared" ca="1" si="177"/>
        <v>-1293009560443.1477</v>
      </c>
      <c r="M3927" s="471">
        <f t="shared" si="179"/>
        <v>0.05</v>
      </c>
      <c r="N3927" s="475">
        <f t="shared" si="180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78"/>
        <v>-1293009560443.1477</v>
      </c>
      <c r="J3928" s="455">
        <f t="array" ref="J3928">IFERROR(INDEX('Retirement Calculator'!J:J,MATCH('Isaac 401k'!N3928,'Retirement Calculator'!A:A,0),0),0)</f>
        <v>0</v>
      </c>
      <c r="K3928" s="455">
        <f t="shared" ca="1" si="176"/>
        <v>-5387539835.1797819</v>
      </c>
      <c r="L3928" s="455">
        <f t="shared" ca="1" si="177"/>
        <v>-1298397100278.3274</v>
      </c>
      <c r="M3928" s="471">
        <f t="shared" si="179"/>
        <v>0.05</v>
      </c>
      <c r="N3928" s="475">
        <f t="shared" si="180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78"/>
        <v>-1298397100278.3274</v>
      </c>
      <c r="J3929" s="455">
        <f t="array" ref="J3929">IFERROR(INDEX('Retirement Calculator'!J:J,MATCH('Isaac 401k'!N3929,'Retirement Calculator'!A:A,0),0),0)</f>
        <v>0</v>
      </c>
      <c r="K3929" s="455">
        <f t="shared" ca="1" si="176"/>
        <v>-5409987917.8263645</v>
      </c>
      <c r="L3929" s="455">
        <f t="shared" ca="1" si="177"/>
        <v>-1303807088196.1538</v>
      </c>
      <c r="M3929" s="471">
        <f t="shared" si="179"/>
        <v>0.05</v>
      </c>
      <c r="N3929" s="475">
        <f t="shared" si="180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78"/>
        <v>-1303807088196.1538</v>
      </c>
      <c r="J3930" s="455">
        <f t="array" ref="J3930">IFERROR(INDEX('Retirement Calculator'!J:J,MATCH('Isaac 401k'!N3930,'Retirement Calculator'!A:A,0),0),0)</f>
        <v>0</v>
      </c>
      <c r="K3930" s="455">
        <f t="shared" ca="1" si="176"/>
        <v>-5432529534.1506405</v>
      </c>
      <c r="L3930" s="455">
        <f t="shared" ca="1" si="177"/>
        <v>-1309239617730.3044</v>
      </c>
      <c r="M3930" s="471">
        <f t="shared" si="179"/>
        <v>0.05</v>
      </c>
      <c r="N3930" s="475">
        <f t="shared" si="180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78"/>
        <v>-1309239617730.3044</v>
      </c>
      <c r="J3931" s="455">
        <f t="array" ref="J3931">IFERROR(INDEX('Retirement Calculator'!J:J,MATCH('Isaac 401k'!N3931,'Retirement Calculator'!A:A,0),0),0)</f>
        <v>0</v>
      </c>
      <c r="K3931" s="455">
        <f t="shared" ca="1" si="176"/>
        <v>-5455165073.8762684</v>
      </c>
      <c r="L3931" s="455">
        <f t="shared" ca="1" si="177"/>
        <v>-1314694782804.1807</v>
      </c>
      <c r="M3931" s="471">
        <f t="shared" si="179"/>
        <v>0.05</v>
      </c>
      <c r="N3931" s="475">
        <f t="shared" si="180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78"/>
        <v>-1314694782804.1807</v>
      </c>
      <c r="J3932" s="455">
        <f t="array" ref="J3932">IFERROR(INDEX('Retirement Calculator'!J:J,MATCH('Isaac 401k'!N3932,'Retirement Calculator'!A:A,0),0),0)</f>
        <v>0</v>
      </c>
      <c r="K3932" s="455">
        <f t="shared" ca="1" si="176"/>
        <v>-5477894928.3507528</v>
      </c>
      <c r="L3932" s="455">
        <f t="shared" ca="1" si="177"/>
        <v>-1320172677732.5315</v>
      </c>
      <c r="M3932" s="471">
        <f t="shared" si="179"/>
        <v>0.05</v>
      </c>
      <c r="N3932" s="475">
        <f t="shared" si="180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78"/>
        <v>-1320172677732.5315</v>
      </c>
      <c r="J3933" s="455">
        <f t="array" ref="J3933">IFERROR(INDEX('Retirement Calculator'!J:J,MATCH('Isaac 401k'!N3933,'Retirement Calculator'!A:A,0),0),0)</f>
        <v>0</v>
      </c>
      <c r="K3933" s="455">
        <f t="shared" ca="1" si="176"/>
        <v>-5500719490.5522146</v>
      </c>
      <c r="L3933" s="455">
        <f t="shared" ca="1" si="177"/>
        <v>-1325673397223.0837</v>
      </c>
      <c r="M3933" s="471">
        <f t="shared" si="179"/>
        <v>0.05</v>
      </c>
      <c r="N3933" s="475">
        <f t="shared" si="180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78"/>
        <v>-1325673397223.0837</v>
      </c>
      <c r="J3934" s="455">
        <f t="array" ref="J3934">IFERROR(INDEX('Retirement Calculator'!J:J,MATCH('Isaac 401k'!N3934,'Retirement Calculator'!A:A,0),0),0)</f>
        <v>0</v>
      </c>
      <c r="K3934" s="455">
        <f t="shared" ca="1" si="176"/>
        <v>-5523639155.0961819</v>
      </c>
      <c r="L3934" s="455">
        <f t="shared" ca="1" si="177"/>
        <v>-1331197036378.1799</v>
      </c>
      <c r="M3934" s="471">
        <f t="shared" si="179"/>
        <v>0.05</v>
      </c>
      <c r="N3934" s="475">
        <f t="shared" si="180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78"/>
        <v>-1331197036378.1799</v>
      </c>
      <c r="J3935" s="455">
        <f t="array" ref="J3935">IFERROR(INDEX('Retirement Calculator'!J:J,MATCH('Isaac 401k'!N3935,'Retirement Calculator'!A:A,0),0),0)</f>
        <v>0</v>
      </c>
      <c r="K3935" s="455">
        <f t="shared" ca="1" si="176"/>
        <v>-5546654318.2424164</v>
      </c>
      <c r="L3935" s="455">
        <f t="shared" ca="1" si="177"/>
        <v>-1336743690696.4224</v>
      </c>
      <c r="M3935" s="471">
        <f t="shared" si="179"/>
        <v>0.05</v>
      </c>
      <c r="N3935" s="475">
        <f t="shared" si="180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78"/>
        <v>-1336743690696.4224</v>
      </c>
      <c r="J3936" s="455">
        <f t="array" ref="J3936">IFERROR(INDEX('Retirement Calculator'!J:J,MATCH('Isaac 401k'!N3936,'Retirement Calculator'!A:A,0),0),0)</f>
        <v>0</v>
      </c>
      <c r="K3936" s="455">
        <f t="shared" ca="1" si="176"/>
        <v>-5569765377.9017601</v>
      </c>
      <c r="L3936" s="455">
        <f t="shared" ca="1" si="177"/>
        <v>-1342313456074.3242</v>
      </c>
      <c r="M3936" s="471">
        <f t="shared" si="179"/>
        <v>0.05</v>
      </c>
      <c r="N3936" s="475">
        <f t="shared" si="180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78"/>
        <v>-1342313456074.3242</v>
      </c>
      <c r="J3937" s="455">
        <f t="array" ref="J3937">IFERROR(INDEX('Retirement Calculator'!J:J,MATCH('Isaac 401k'!N3937,'Retirement Calculator'!A:A,0),0),0)</f>
        <v>0</v>
      </c>
      <c r="K3937" s="455">
        <f t="shared" ca="1" si="176"/>
        <v>-5592972733.6430178</v>
      </c>
      <c r="L3937" s="455">
        <f t="shared" ca="1" si="177"/>
        <v>-1347906428807.9673</v>
      </c>
      <c r="M3937" s="471">
        <f t="shared" si="179"/>
        <v>0.05</v>
      </c>
      <c r="N3937" s="475">
        <f t="shared" si="180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78"/>
        <v>-1347906428807.9673</v>
      </c>
      <c r="J3938" s="455">
        <f t="array" ref="J3938">IFERROR(INDEX('Retirement Calculator'!J:J,MATCH('Isaac 401k'!N3938,'Retirement Calculator'!A:A,0),0),0)</f>
        <v>0</v>
      </c>
      <c r="K3938" s="455">
        <f t="shared" ca="1" si="176"/>
        <v>-5616276786.6998634</v>
      </c>
      <c r="L3938" s="455">
        <f t="shared" ca="1" si="177"/>
        <v>-1353522705594.6672</v>
      </c>
      <c r="M3938" s="471">
        <f t="shared" si="179"/>
        <v>0.05</v>
      </c>
      <c r="N3938" s="475">
        <f t="shared" si="180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78"/>
        <v>-1353522705594.6672</v>
      </c>
      <c r="J3939" s="455">
        <f t="array" ref="J3939">IFERROR(INDEX('Retirement Calculator'!J:J,MATCH('Isaac 401k'!N3939,'Retirement Calculator'!A:A,0),0),0)</f>
        <v>0</v>
      </c>
      <c r="K3939" s="455">
        <f t="shared" ca="1" si="176"/>
        <v>-5639677939.9777803</v>
      </c>
      <c r="L3939" s="455">
        <f t="shared" ca="1" si="177"/>
        <v>-1359162383534.645</v>
      </c>
      <c r="M3939" s="471">
        <f t="shared" si="179"/>
        <v>0.05</v>
      </c>
      <c r="N3939" s="475">
        <f t="shared" si="180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78"/>
        <v>-1359162383534.645</v>
      </c>
      <c r="J3940" s="455">
        <f t="array" ref="J3940">IFERROR(INDEX('Retirement Calculator'!J:J,MATCH('Isaac 401k'!N3940,'Retirement Calculator'!A:A,0),0),0)</f>
        <v>0</v>
      </c>
      <c r="K3940" s="455">
        <f t="shared" ca="1" si="176"/>
        <v>-5663176598.0610209</v>
      </c>
      <c r="L3940" s="455">
        <f t="shared" ca="1" si="177"/>
        <v>-1364825560132.7061</v>
      </c>
      <c r="M3940" s="471">
        <f t="shared" si="179"/>
        <v>0.05</v>
      </c>
      <c r="N3940" s="475">
        <f t="shared" si="180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78"/>
        <v>-1364825560132.7061</v>
      </c>
      <c r="J3941" s="455">
        <f t="array" ref="J3941">IFERROR(INDEX('Retirement Calculator'!J:J,MATCH('Isaac 401k'!N3941,'Retirement Calculator'!A:A,0),0),0)</f>
        <v>0</v>
      </c>
      <c r="K3941" s="455">
        <f t="shared" ca="1" si="176"/>
        <v>-5686773167.2196083</v>
      </c>
      <c r="L3941" s="455">
        <f t="shared" ca="1" si="177"/>
        <v>-1370512333299.9258</v>
      </c>
      <c r="M3941" s="471">
        <f t="shared" si="179"/>
        <v>0.05</v>
      </c>
      <c r="N3941" s="475">
        <f t="shared" si="180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78"/>
        <v>-1370512333299.9258</v>
      </c>
      <c r="J3942" s="455">
        <f t="array" ref="J3942">IFERROR(INDEX('Retirement Calculator'!J:J,MATCH('Isaac 401k'!N3942,'Retirement Calculator'!A:A,0),0),0)</f>
        <v>0</v>
      </c>
      <c r="K3942" s="455">
        <f t="shared" ca="1" si="176"/>
        <v>-5710468055.416357</v>
      </c>
      <c r="L3942" s="455">
        <f t="shared" ca="1" si="177"/>
        <v>-1376222801355.342</v>
      </c>
      <c r="M3942" s="471">
        <f t="shared" si="179"/>
        <v>0.05</v>
      </c>
      <c r="N3942" s="475">
        <f t="shared" si="180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78"/>
        <v>-1376222801355.342</v>
      </c>
      <c r="J3943" s="455">
        <f t="array" ref="J3943">IFERROR(INDEX('Retirement Calculator'!J:J,MATCH('Isaac 401k'!N3943,'Retirement Calculator'!A:A,0),0),0)</f>
        <v>0</v>
      </c>
      <c r="K3943" s="455">
        <f t="shared" ca="1" si="176"/>
        <v>-5734261672.3139248</v>
      </c>
      <c r="L3943" s="455">
        <f t="shared" ca="1" si="177"/>
        <v>-1381957063027.656</v>
      </c>
      <c r="M3943" s="471">
        <f t="shared" si="179"/>
        <v>0.05</v>
      </c>
      <c r="N3943" s="475">
        <f t="shared" si="180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78"/>
        <v>-1381957063027.656</v>
      </c>
      <c r="J3944" s="455">
        <f t="array" ref="J3944">IFERROR(INDEX('Retirement Calculator'!J:J,MATCH('Isaac 401k'!N3944,'Retirement Calculator'!A:A,0),0),0)</f>
        <v>0</v>
      </c>
      <c r="K3944" s="455">
        <f t="shared" ca="1" si="176"/>
        <v>-5758154429.2819004</v>
      </c>
      <c r="L3944" s="455">
        <f t="shared" ca="1" si="177"/>
        <v>-1387715217456.938</v>
      </c>
      <c r="M3944" s="471">
        <f t="shared" si="179"/>
        <v>0.05</v>
      </c>
      <c r="N3944" s="475">
        <f t="shared" si="180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78"/>
        <v>-1387715217456.938</v>
      </c>
      <c r="J3945" s="455">
        <f t="array" ref="J3945">IFERROR(INDEX('Retirement Calculator'!J:J,MATCH('Isaac 401k'!N3945,'Retirement Calculator'!A:A,0),0),0)</f>
        <v>0</v>
      </c>
      <c r="K3945" s="455">
        <f t="shared" ca="1" si="176"/>
        <v>-5782146739.4039078</v>
      </c>
      <c r="L3945" s="455">
        <f t="shared" ca="1" si="177"/>
        <v>-1393497364196.3418</v>
      </c>
      <c r="M3945" s="471">
        <f t="shared" si="179"/>
        <v>0.05</v>
      </c>
      <c r="N3945" s="475">
        <f t="shared" si="180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78"/>
        <v>-1393497364196.3418</v>
      </c>
      <c r="J3946" s="455">
        <f t="array" ref="J3946">IFERROR(INDEX('Retirement Calculator'!J:J,MATCH('Isaac 401k'!N3946,'Retirement Calculator'!A:A,0),0),0)</f>
        <v>0</v>
      </c>
      <c r="K3946" s="455">
        <f t="shared" ca="1" si="176"/>
        <v>-5806239017.4847574</v>
      </c>
      <c r="L3946" s="455">
        <f t="shared" ca="1" si="177"/>
        <v>-1399303603213.8267</v>
      </c>
      <c r="M3946" s="471">
        <f t="shared" si="179"/>
        <v>0.05</v>
      </c>
      <c r="N3946" s="475">
        <f t="shared" si="180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78"/>
        <v>-1399303603213.8267</v>
      </c>
      <c r="J3947" s="455">
        <f t="array" ref="J3947">IFERROR(INDEX('Retirement Calculator'!J:J,MATCH('Isaac 401k'!N3947,'Retirement Calculator'!A:A,0),0),0)</f>
        <v>0</v>
      </c>
      <c r="K3947" s="455">
        <f t="shared" ca="1" si="176"/>
        <v>-5830431680.0576115</v>
      </c>
      <c r="L3947" s="455">
        <f t="shared" ca="1" si="177"/>
        <v>-1405134034893.8843</v>
      </c>
      <c r="M3947" s="471">
        <f t="shared" si="179"/>
        <v>0.05</v>
      </c>
      <c r="N3947" s="475">
        <f t="shared" si="180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78"/>
        <v>-1405134034893.8843</v>
      </c>
      <c r="J3948" s="455">
        <f t="array" ref="J3948">IFERROR(INDEX('Retirement Calculator'!J:J,MATCH('Isaac 401k'!N3948,'Retirement Calculator'!A:A,0),0),0)</f>
        <v>0</v>
      </c>
      <c r="K3948" s="455">
        <f t="shared" ca="1" si="176"/>
        <v>-5854725145.3911848</v>
      </c>
      <c r="L3948" s="455">
        <f t="shared" ca="1" si="177"/>
        <v>-1410988760039.2754</v>
      </c>
      <c r="M3948" s="471">
        <f t="shared" si="179"/>
        <v>0.05</v>
      </c>
      <c r="N3948" s="475">
        <f t="shared" si="180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78"/>
        <v>-1410988760039.2754</v>
      </c>
      <c r="J3949" s="455">
        <f t="array" ref="J3949">IFERROR(INDEX('Retirement Calculator'!J:J,MATCH('Isaac 401k'!N3949,'Retirement Calculator'!A:A,0),0),0)</f>
        <v>0</v>
      </c>
      <c r="K3949" s="455">
        <f t="shared" ca="1" si="176"/>
        <v>-5879119833.4969807</v>
      </c>
      <c r="L3949" s="455">
        <f t="shared" ca="1" si="177"/>
        <v>-1416867879872.7725</v>
      </c>
      <c r="M3949" s="471">
        <f t="shared" si="179"/>
        <v>0.05</v>
      </c>
      <c r="N3949" s="475">
        <f t="shared" si="180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78"/>
        <v>-1416867879872.7725</v>
      </c>
      <c r="J3950" s="455">
        <f t="array" ref="J3950">IFERROR(INDEX('Retirement Calculator'!J:J,MATCH('Isaac 401k'!N3950,'Retirement Calculator'!A:A,0),0),0)</f>
        <v>0</v>
      </c>
      <c r="K3950" s="455">
        <f t="shared" ca="1" si="176"/>
        <v>-5903616166.1365519</v>
      </c>
      <c r="L3950" s="455">
        <f t="shared" ca="1" si="177"/>
        <v>-1422771496038.9089</v>
      </c>
      <c r="M3950" s="471">
        <f t="shared" si="179"/>
        <v>0.05</v>
      </c>
      <c r="N3950" s="475">
        <f t="shared" si="180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78"/>
        <v>-1422771496038.9089</v>
      </c>
      <c r="J3951" s="455">
        <f t="array" ref="J3951">IFERROR(INDEX('Retirement Calculator'!J:J,MATCH('Isaac 401k'!N3951,'Retirement Calculator'!A:A,0),0),0)</f>
        <v>0</v>
      </c>
      <c r="K3951" s="455">
        <f t="shared" ca="1" si="176"/>
        <v>-5928214566.8287868</v>
      </c>
      <c r="L3951" s="455">
        <f t="shared" ca="1" si="177"/>
        <v>-1428699710605.7378</v>
      </c>
      <c r="M3951" s="471">
        <f t="shared" si="179"/>
        <v>0.05</v>
      </c>
      <c r="N3951" s="475">
        <f t="shared" si="180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78"/>
        <v>-1428699710605.7378</v>
      </c>
      <c r="J3952" s="455">
        <f t="array" ref="J3952">IFERROR(INDEX('Retirement Calculator'!J:J,MATCH('Isaac 401k'!N3952,'Retirement Calculator'!A:A,0),0),0)</f>
        <v>0</v>
      </c>
      <c r="K3952" s="455">
        <f t="shared" ca="1" si="176"/>
        <v>-5952915460.8572407</v>
      </c>
      <c r="L3952" s="455">
        <f t="shared" ca="1" si="177"/>
        <v>-1434652626066.595</v>
      </c>
      <c r="M3952" s="471">
        <f t="shared" si="179"/>
        <v>0.05</v>
      </c>
      <c r="N3952" s="475">
        <f t="shared" si="180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78"/>
        <v>-1434652626066.595</v>
      </c>
      <c r="J3953" s="455">
        <f t="array" ref="J3953">IFERROR(INDEX('Retirement Calculator'!J:J,MATCH('Isaac 401k'!N3953,'Retirement Calculator'!A:A,0),0),0)</f>
        <v>0</v>
      </c>
      <c r="K3953" s="455">
        <f t="shared" ca="1" si="176"/>
        <v>-5977719275.2774792</v>
      </c>
      <c r="L3953" s="455">
        <f t="shared" ca="1" si="177"/>
        <v>-1440630345341.8726</v>
      </c>
      <c r="M3953" s="471">
        <f t="shared" si="179"/>
        <v>0.05</v>
      </c>
      <c r="N3953" s="475">
        <f t="shared" si="180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78"/>
        <v>-1440630345341.8726</v>
      </c>
      <c r="J3954" s="455">
        <f t="array" ref="J3954">IFERROR(INDEX('Retirement Calculator'!J:J,MATCH('Isaac 401k'!N3954,'Retirement Calculator'!A:A,0),0),0)</f>
        <v>0</v>
      </c>
      <c r="K3954" s="455">
        <f t="shared" ca="1" si="176"/>
        <v>-6002626438.924469</v>
      </c>
      <c r="L3954" s="455">
        <f t="shared" ca="1" si="177"/>
        <v>-1446632971780.7971</v>
      </c>
      <c r="M3954" s="471">
        <f t="shared" si="179"/>
        <v>0.05</v>
      </c>
      <c r="N3954" s="475">
        <f t="shared" si="180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78"/>
        <v>-1446632971780.7971</v>
      </c>
      <c r="J3955" s="455">
        <f t="array" ref="J3955">IFERROR(INDEX('Retirement Calculator'!J:J,MATCH('Isaac 401k'!N3955,'Retirement Calculator'!A:A,0),0),0)</f>
        <v>0</v>
      </c>
      <c r="K3955" s="455">
        <f t="shared" ca="1" si="176"/>
        <v>-6027637382.4199877</v>
      </c>
      <c r="L3955" s="455">
        <f t="shared" ca="1" si="177"/>
        <v>-1452660609163.217</v>
      </c>
      <c r="M3955" s="471">
        <f t="shared" si="179"/>
        <v>0.05</v>
      </c>
      <c r="N3955" s="475">
        <f t="shared" si="180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78"/>
        <v>-1452660609163.217</v>
      </c>
      <c r="J3956" s="455">
        <f t="array" ref="J3956">IFERROR(INDEX('Retirement Calculator'!J:J,MATCH('Isaac 401k'!N3956,'Retirement Calculator'!A:A,0),0),0)</f>
        <v>0</v>
      </c>
      <c r="K3956" s="455">
        <f t="shared" ca="1" si="176"/>
        <v>-6052752538.1800709</v>
      </c>
      <c r="L3956" s="455">
        <f t="shared" ca="1" si="177"/>
        <v>-1458713361701.3972</v>
      </c>
      <c r="M3956" s="471">
        <f t="shared" si="179"/>
        <v>0.05</v>
      </c>
      <c r="N3956" s="475">
        <f t="shared" si="180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78"/>
        <v>-1458713361701.3972</v>
      </c>
      <c r="J3957" s="455">
        <f t="array" ref="J3957">IFERROR(INDEX('Retirement Calculator'!J:J,MATCH('Isaac 401k'!N3957,'Retirement Calculator'!A:A,0),0),0)</f>
        <v>0</v>
      </c>
      <c r="K3957" s="455">
        <f t="shared" ca="1" si="176"/>
        <v>-6077972340.4224882</v>
      </c>
      <c r="L3957" s="455">
        <f t="shared" ca="1" si="177"/>
        <v>-1464791334041.8198</v>
      </c>
      <c r="M3957" s="471">
        <f t="shared" si="179"/>
        <v>0.05</v>
      </c>
      <c r="N3957" s="475">
        <f t="shared" si="180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78"/>
        <v>-1464791334041.8198</v>
      </c>
      <c r="J3958" s="455">
        <f t="array" ref="J3958">IFERROR(INDEX('Retirement Calculator'!J:J,MATCH('Isaac 401k'!N3958,'Retirement Calculator'!A:A,0),0),0)</f>
        <v>0</v>
      </c>
      <c r="K3958" s="455">
        <f t="shared" ca="1" si="176"/>
        <v>-6103297225.1742496</v>
      </c>
      <c r="L3958" s="455">
        <f t="shared" ca="1" si="177"/>
        <v>-1470894631266.9941</v>
      </c>
      <c r="M3958" s="471">
        <f t="shared" si="179"/>
        <v>0.05</v>
      </c>
      <c r="N3958" s="475">
        <f t="shared" si="180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78"/>
        <v>-1470894631266.9941</v>
      </c>
      <c r="J3959" s="455">
        <f t="array" ref="J3959">IFERROR(INDEX('Retirement Calculator'!J:J,MATCH('Isaac 401k'!N3959,'Retirement Calculator'!A:A,0),0),0)</f>
        <v>0</v>
      </c>
      <c r="K3959" s="455">
        <f t="shared" ca="1" si="176"/>
        <v>-6128727630.2791424</v>
      </c>
      <c r="L3959" s="455">
        <f t="shared" ca="1" si="177"/>
        <v>-1477023358897.2732</v>
      </c>
      <c r="M3959" s="471">
        <f t="shared" si="179"/>
        <v>0.05</v>
      </c>
      <c r="N3959" s="475">
        <f t="shared" si="180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78"/>
        <v>-1477023358897.2732</v>
      </c>
      <c r="J3960" s="455">
        <f t="array" ref="J3960">IFERROR(INDEX('Retirement Calculator'!J:J,MATCH('Isaac 401k'!N3960,'Retirement Calculator'!A:A,0),0),0)</f>
        <v>0</v>
      </c>
      <c r="K3960" s="455">
        <f t="shared" ca="1" si="176"/>
        <v>-6154263995.4053049</v>
      </c>
      <c r="L3960" s="455">
        <f t="shared" ca="1" si="177"/>
        <v>-1483177622892.6785</v>
      </c>
      <c r="M3960" s="471">
        <f t="shared" si="179"/>
        <v>0.05</v>
      </c>
      <c r="N3960" s="475">
        <f t="shared" si="180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78"/>
        <v>-1483177622892.6785</v>
      </c>
      <c r="J3961" s="455">
        <f t="array" ref="J3961">IFERROR(INDEX('Retirement Calculator'!J:J,MATCH('Isaac 401k'!N3961,'Retirement Calculator'!A:A,0),0),0)</f>
        <v>0</v>
      </c>
      <c r="K3961" s="455">
        <f t="shared" ca="1" si="176"/>
        <v>-6179906762.0528269</v>
      </c>
      <c r="L3961" s="455">
        <f t="shared" ca="1" si="177"/>
        <v>-1489357529654.7312</v>
      </c>
      <c r="M3961" s="471">
        <f t="shared" si="179"/>
        <v>0.05</v>
      </c>
      <c r="N3961" s="475">
        <f t="shared" si="180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78"/>
        <v>-1489357529654.7312</v>
      </c>
      <c r="J3962" s="455">
        <f t="array" ref="J3962">IFERROR(INDEX('Retirement Calculator'!J:J,MATCH('Isaac 401k'!N3962,'Retirement Calculator'!A:A,0),0),0)</f>
        <v>0</v>
      </c>
      <c r="K3962" s="455">
        <f t="shared" ca="1" si="176"/>
        <v>-6205656373.5613804</v>
      </c>
      <c r="L3962" s="455">
        <f t="shared" ca="1" si="177"/>
        <v>-1495563186028.2925</v>
      </c>
      <c r="M3962" s="471">
        <f t="shared" si="179"/>
        <v>0.05</v>
      </c>
      <c r="N3962" s="475">
        <f t="shared" si="180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78"/>
        <v>-1495563186028.2925</v>
      </c>
      <c r="J3963" s="455">
        <f t="array" ref="J3963">IFERROR(INDEX('Retirement Calculator'!J:J,MATCH('Isaac 401k'!N3963,'Retirement Calculator'!A:A,0),0),0)</f>
        <v>0</v>
      </c>
      <c r="K3963" s="455">
        <f t="shared" ca="1" si="176"/>
        <v>-6231513275.1178856</v>
      </c>
      <c r="L3963" s="455">
        <f t="shared" ca="1" si="177"/>
        <v>-1501794699303.4104</v>
      </c>
      <c r="M3963" s="471">
        <f t="shared" si="179"/>
        <v>0.05</v>
      </c>
      <c r="N3963" s="475">
        <f t="shared" si="180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78"/>
        <v>-1501794699303.4104</v>
      </c>
      <c r="J3964" s="455">
        <f t="array" ref="J3964">IFERROR(INDEX('Retirement Calculator'!J:J,MATCH('Isaac 401k'!N3964,'Retirement Calculator'!A:A,0),0),0)</f>
        <v>0</v>
      </c>
      <c r="K3964" s="455">
        <f t="shared" ca="1" si="176"/>
        <v>-6257477913.7642097</v>
      </c>
      <c r="L3964" s="455">
        <f t="shared" ca="1" si="177"/>
        <v>-1508052177217.1746</v>
      </c>
      <c r="M3964" s="471">
        <f t="shared" si="179"/>
        <v>0.05</v>
      </c>
      <c r="N3964" s="475">
        <f t="shared" si="180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78"/>
        <v>-1508052177217.1746</v>
      </c>
      <c r="J3965" s="455">
        <f t="array" ref="J3965">IFERROR(INDEX('Retirement Calculator'!J:J,MATCH('Isaac 401k'!N3965,'Retirement Calculator'!A:A,0),0),0)</f>
        <v>0</v>
      </c>
      <c r="K3965" s="455">
        <f t="shared" ca="1" si="176"/>
        <v>-6283550738.4048939</v>
      </c>
      <c r="L3965" s="455">
        <f t="shared" ca="1" si="177"/>
        <v>-1514335727955.5793</v>
      </c>
      <c r="M3965" s="471">
        <f t="shared" si="179"/>
        <v>0.05</v>
      </c>
      <c r="N3965" s="475">
        <f t="shared" si="180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78"/>
        <v>-1514335727955.5793</v>
      </c>
      <c r="J3966" s="455">
        <f t="array" ref="J3966">IFERROR(INDEX('Retirement Calculator'!J:J,MATCH('Isaac 401k'!N3966,'Retirement Calculator'!A:A,0),0),0)</f>
        <v>0</v>
      </c>
      <c r="K3966" s="455">
        <f t="shared" ca="1" si="176"/>
        <v>-6309732199.8149137</v>
      </c>
      <c r="L3966" s="455">
        <f t="shared" ca="1" si="177"/>
        <v>-1520645460155.3943</v>
      </c>
      <c r="M3966" s="471">
        <f t="shared" si="179"/>
        <v>0.05</v>
      </c>
      <c r="N3966" s="475">
        <f t="shared" si="180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78"/>
        <v>-1520645460155.3943</v>
      </c>
      <c r="J3967" s="455">
        <f t="array" ref="J3967">IFERROR(INDEX('Retirement Calculator'!J:J,MATCH('Isaac 401k'!N3967,'Retirement Calculator'!A:A,0),0),0)</f>
        <v>0</v>
      </c>
      <c r="K3967" s="455">
        <f t="shared" ca="1" si="176"/>
        <v>-6336022750.6474762</v>
      </c>
      <c r="L3967" s="455">
        <f t="shared" ca="1" si="177"/>
        <v>-1526981482906.0417</v>
      </c>
      <c r="M3967" s="471">
        <f t="shared" si="179"/>
        <v>0.05</v>
      </c>
      <c r="N3967" s="475">
        <f t="shared" si="180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78"/>
        <v>-1526981482906.0417</v>
      </c>
      <c r="J3968" s="455">
        <f t="array" ref="J3968">IFERROR(INDEX('Retirement Calculator'!J:J,MATCH('Isaac 401k'!N3968,'Retirement Calculator'!A:A,0),0),0)</f>
        <v>0</v>
      </c>
      <c r="K3968" s="455">
        <f t="shared" ca="1" si="176"/>
        <v>-6362422845.4418402</v>
      </c>
      <c r="L3968" s="455">
        <f t="shared" ca="1" si="177"/>
        <v>-1533343905751.4836</v>
      </c>
      <c r="M3968" s="471">
        <f t="shared" si="179"/>
        <v>0.05</v>
      </c>
      <c r="N3968" s="475">
        <f t="shared" si="180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78"/>
        <v>-1533343905751.4836</v>
      </c>
      <c r="J3969" s="455">
        <f t="array" ref="J3969">IFERROR(INDEX('Retirement Calculator'!J:J,MATCH('Isaac 401k'!N3969,'Retirement Calculator'!A:A,0),0),0)</f>
        <v>0</v>
      </c>
      <c r="K3969" s="455">
        <f t="shared" ca="1" si="176"/>
        <v>-6388932940.6311817</v>
      </c>
      <c r="L3969" s="455">
        <f t="shared" ca="1" si="177"/>
        <v>-1539732838692.1147</v>
      </c>
      <c r="M3969" s="471">
        <f t="shared" si="179"/>
        <v>0.05</v>
      </c>
      <c r="N3969" s="475">
        <f t="shared" si="180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78"/>
        <v>-1539732838692.1147</v>
      </c>
      <c r="J3970" s="455">
        <f t="array" ref="J3970">IFERROR(INDEX('Retirement Calculator'!J:J,MATCH('Isaac 401k'!N3970,'Retirement Calculator'!A:A,0),0),0)</f>
        <v>0</v>
      </c>
      <c r="K3970" s="455">
        <f t="shared" ca="1" si="176"/>
        <v>-6415553494.550478</v>
      </c>
      <c r="L3970" s="455">
        <f t="shared" ca="1" si="177"/>
        <v>-1546148392186.6653</v>
      </c>
      <c r="M3970" s="471">
        <f t="shared" si="179"/>
        <v>0.05</v>
      </c>
      <c r="N3970" s="475">
        <f t="shared" si="180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78"/>
        <v>-1546148392186.6653</v>
      </c>
      <c r="J3971" s="455">
        <f t="array" ref="J3971">IFERROR(INDEX('Retirement Calculator'!J:J,MATCH('Isaac 401k'!N3971,'Retirement Calculator'!A:A,0),0),0)</f>
        <v>0</v>
      </c>
      <c r="K3971" s="455">
        <f t="shared" ca="1" si="176"/>
        <v>-6442284967.4444389</v>
      </c>
      <c r="L3971" s="455">
        <f t="shared" ca="1" si="177"/>
        <v>-1552590677154.1096</v>
      </c>
      <c r="M3971" s="471">
        <f t="shared" si="179"/>
        <v>0.05</v>
      </c>
      <c r="N3971" s="475">
        <f t="shared" si="180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78"/>
        <v>-1552590677154.1096</v>
      </c>
      <c r="J3972" s="455">
        <f t="array" ref="J3972">IFERROR(INDEX('Retirement Calculator'!J:J,MATCH('Isaac 401k'!N3972,'Retirement Calculator'!A:A,0),0),0)</f>
        <v>0</v>
      </c>
      <c r="K3972" s="455">
        <f t="shared" ca="1" si="176"/>
        <v>-6469127821.4754562</v>
      </c>
      <c r="L3972" s="455">
        <f t="shared" ca="1" si="177"/>
        <v>-1559059804975.585</v>
      </c>
      <c r="M3972" s="471">
        <f t="shared" si="179"/>
        <v>0.05</v>
      </c>
      <c r="N3972" s="475">
        <f t="shared" si="180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78"/>
        <v>-1559059804975.585</v>
      </c>
      <c r="J3973" s="455">
        <f t="array" ref="J3973">IFERROR(INDEX('Retirement Calculator'!J:J,MATCH('Isaac 401k'!N3973,'Retirement Calculator'!A:A,0),0),0)</f>
        <v>0</v>
      </c>
      <c r="K3973" s="455">
        <f t="shared" ca="1" si="176"/>
        <v>-6496082520.7316036</v>
      </c>
      <c r="L3973" s="455">
        <f t="shared" ca="1" si="177"/>
        <v>-1565555887496.3167</v>
      </c>
      <c r="M3973" s="471">
        <f t="shared" si="179"/>
        <v>0.05</v>
      </c>
      <c r="N3973" s="475">
        <f t="shared" si="180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78"/>
        <v>-1565555887496.3167</v>
      </c>
      <c r="J3974" s="455">
        <f t="array" ref="J3974">IFERROR(INDEX('Retirement Calculator'!J:J,MATCH('Isaac 401k'!N3974,'Retirement Calculator'!A:A,0),0),0)</f>
        <v>0</v>
      </c>
      <c r="K3974" s="455">
        <f t="shared" ca="1" si="176"/>
        <v>-6523149531.2346525</v>
      </c>
      <c r="L3974" s="455">
        <f t="shared" ca="1" si="177"/>
        <v>-1572079037027.5513</v>
      </c>
      <c r="M3974" s="471">
        <f t="shared" si="179"/>
        <v>0.05</v>
      </c>
      <c r="N3974" s="475">
        <f t="shared" si="180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78"/>
        <v>-1572079037027.5513</v>
      </c>
      <c r="J3975" s="455">
        <f t="array" ref="J3975">IFERROR(INDEX('Retirement Calculator'!J:J,MATCH('Isaac 401k'!N3975,'Retirement Calculator'!A:A,0),0),0)</f>
        <v>0</v>
      </c>
      <c r="K3975" s="455">
        <f t="shared" ca="1" si="176"/>
        <v>-6550329320.9481306</v>
      </c>
      <c r="L3975" s="455">
        <f t="shared" ca="1" si="177"/>
        <v>-1578629366348.4995</v>
      </c>
      <c r="M3975" s="471">
        <f t="shared" si="179"/>
        <v>0.05</v>
      </c>
      <c r="N3975" s="475">
        <f t="shared" si="180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78"/>
        <v>-1578629366348.4995</v>
      </c>
      <c r="J3976" s="455">
        <f t="array" ref="J3976">IFERROR(INDEX('Retirement Calculator'!J:J,MATCH('Isaac 401k'!N3976,'Retirement Calculator'!A:A,0),0),0)</f>
        <v>0</v>
      </c>
      <c r="K3976" s="455">
        <f t="shared" ca="1" si="176"/>
        <v>-6577622359.7854147</v>
      </c>
      <c r="L3976" s="455">
        <f t="shared" ca="1" si="177"/>
        <v>-1585206988708.2849</v>
      </c>
      <c r="M3976" s="471">
        <f t="shared" si="179"/>
        <v>0.05</v>
      </c>
      <c r="N3976" s="475">
        <f t="shared" si="180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78"/>
        <v>-1585206988708.2849</v>
      </c>
      <c r="J3977" s="455">
        <f t="array" ref="J3977">IFERROR(INDEX('Retirement Calculator'!J:J,MATCH('Isaac 401k'!N3977,'Retirement Calculator'!A:A,0),0),0)</f>
        <v>0</v>
      </c>
      <c r="K3977" s="455">
        <f t="shared" ca="1" si="176"/>
        <v>-6605029119.6178541</v>
      </c>
      <c r="L3977" s="455">
        <f t="shared" ca="1" si="177"/>
        <v>-1591812017827.9028</v>
      </c>
      <c r="M3977" s="471">
        <f t="shared" si="179"/>
        <v>0.05</v>
      </c>
      <c r="N3977" s="475">
        <f t="shared" si="180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78"/>
        <v>-1591812017827.9028</v>
      </c>
      <c r="J3978" s="455">
        <f t="array" ref="J3978">IFERROR(INDEX('Retirement Calculator'!J:J,MATCH('Isaac 401k'!N3978,'Retirement Calculator'!A:A,0),0),0)</f>
        <v>0</v>
      </c>
      <c r="K3978" s="455">
        <f t="shared" ca="1" si="176"/>
        <v>-6632550074.2829285</v>
      </c>
      <c r="L3978" s="455">
        <f t="shared" ca="1" si="177"/>
        <v>-1598444567902.1858</v>
      </c>
      <c r="M3978" s="471">
        <f t="shared" si="179"/>
        <v>0.05</v>
      </c>
      <c r="N3978" s="475">
        <f t="shared" si="180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78"/>
        <v>-1598444567902.1858</v>
      </c>
      <c r="J3979" s="455">
        <f t="array" ref="J3979">IFERROR(INDEX('Retirement Calculator'!J:J,MATCH('Isaac 401k'!N3979,'Retirement Calculator'!A:A,0),0),0)</f>
        <v>0</v>
      </c>
      <c r="K3979" s="455">
        <f t="shared" ca="1" si="176"/>
        <v>-6660185699.5924406</v>
      </c>
      <c r="L3979" s="455">
        <f t="shared" ca="1" si="177"/>
        <v>-1605104753601.7783</v>
      </c>
      <c r="M3979" s="471">
        <f t="shared" si="179"/>
        <v>0.05</v>
      </c>
      <c r="N3979" s="475">
        <f t="shared" si="180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78"/>
        <v>-1605104753601.7783</v>
      </c>
      <c r="J3980" s="455">
        <f t="array" ref="J3980">IFERROR(INDEX('Retirement Calculator'!J:J,MATCH('Isaac 401k'!N3980,'Retirement Calculator'!A:A,0),0),0)</f>
        <v>0</v>
      </c>
      <c r="K3980" s="455">
        <f t="shared" ca="1" si="176"/>
        <v>-6687936473.3407431</v>
      </c>
      <c r="L3980" s="455">
        <f t="shared" ca="1" si="177"/>
        <v>-1611792690075.1191</v>
      </c>
      <c r="M3980" s="471">
        <f t="shared" si="179"/>
        <v>0.05</v>
      </c>
      <c r="N3980" s="475">
        <f t="shared" si="180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78"/>
        <v>-1611792690075.1191</v>
      </c>
      <c r="J3981" s="455">
        <f t="array" ref="J3981">IFERROR(INDEX('Retirement Calculator'!J:J,MATCH('Isaac 401k'!N3981,'Retirement Calculator'!A:A,0),0),0)</f>
        <v>0</v>
      </c>
      <c r="K3981" s="455">
        <f t="shared" ca="1" si="176"/>
        <v>-6715802875.3129959</v>
      </c>
      <c r="L3981" s="455">
        <f t="shared" ca="1" si="177"/>
        <v>-1618508492950.4321</v>
      </c>
      <c r="M3981" s="471">
        <f t="shared" si="179"/>
        <v>0.05</v>
      </c>
      <c r="N3981" s="475">
        <f t="shared" si="180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78"/>
        <v>-1618508492950.4321</v>
      </c>
      <c r="J3982" s="455">
        <f t="array" ref="J3982">IFERROR(INDEX('Retirement Calculator'!J:J,MATCH('Isaac 401k'!N3982,'Retirement Calculator'!A:A,0),0),0)</f>
        <v>0</v>
      </c>
      <c r="K3982" s="455">
        <f t="shared" ca="1" si="176"/>
        <v>-6743785387.2934675</v>
      </c>
      <c r="L3982" s="455">
        <f t="shared" ca="1" si="177"/>
        <v>-1625252278337.7256</v>
      </c>
      <c r="M3982" s="471">
        <f t="shared" si="179"/>
        <v>0.05</v>
      </c>
      <c r="N3982" s="475">
        <f t="shared" si="180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78"/>
        <v>-1625252278337.7256</v>
      </c>
      <c r="J3983" s="455">
        <f t="array" ref="J3983">IFERROR(INDEX('Retirement Calculator'!J:J,MATCH('Isaac 401k'!N3983,'Retirement Calculator'!A:A,0),0),0)</f>
        <v>0</v>
      </c>
      <c r="K3983" s="455">
        <f t="shared" ca="1" si="176"/>
        <v>-6771884493.0738564</v>
      </c>
      <c r="L3983" s="455">
        <f t="shared" ca="1" si="177"/>
        <v>-1632024162830.7996</v>
      </c>
      <c r="M3983" s="471">
        <f t="shared" si="179"/>
        <v>0.05</v>
      </c>
      <c r="N3983" s="475">
        <f t="shared" si="180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78"/>
        <v>-1632024162830.7996</v>
      </c>
      <c r="J3984" s="455">
        <f t="array" ref="J3984">IFERROR(INDEX('Retirement Calculator'!J:J,MATCH('Isaac 401k'!N3984,'Retirement Calculator'!A:A,0),0),0)</f>
        <v>0</v>
      </c>
      <c r="K3984" s="455">
        <f t="shared" ca="1" si="176"/>
        <v>-6800100678.4616652</v>
      </c>
      <c r="L3984" s="455">
        <f t="shared" ca="1" si="177"/>
        <v>-1638824263509.2612</v>
      </c>
      <c r="M3984" s="471">
        <f t="shared" si="179"/>
        <v>0.05</v>
      </c>
      <c r="N3984" s="475">
        <f t="shared" si="180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78"/>
        <v>-1638824263509.2612</v>
      </c>
      <c r="J3985" s="455">
        <f t="array" ref="J3985">IFERROR(INDEX('Retirement Calculator'!J:J,MATCH('Isaac 401k'!N3985,'Retirement Calculator'!A:A,0),0),0)</f>
        <v>0</v>
      </c>
      <c r="K3985" s="455">
        <f t="shared" ca="1" si="176"/>
        <v>-6828434431.2885885</v>
      </c>
      <c r="L3985" s="455">
        <f t="shared" ca="1" si="177"/>
        <v>-1645652697940.5498</v>
      </c>
      <c r="M3985" s="471">
        <f t="shared" si="179"/>
        <v>0.05</v>
      </c>
      <c r="N3985" s="475">
        <f t="shared" si="180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78"/>
        <v>-1645652697940.5498</v>
      </c>
      <c r="J3986" s="455">
        <f t="array" ref="J3986">IFERROR(INDEX('Retirement Calculator'!J:J,MATCH('Isaac 401k'!N3986,'Retirement Calculator'!A:A,0),0),0)</f>
        <v>0</v>
      </c>
      <c r="K3986" s="455">
        <f t="shared" ca="1" si="176"/>
        <v>-6856886241.4189577</v>
      </c>
      <c r="L3986" s="455">
        <f t="shared" ca="1" si="177"/>
        <v>-1652509584181.9688</v>
      </c>
      <c r="M3986" s="471">
        <f t="shared" si="179"/>
        <v>0.05</v>
      </c>
      <c r="N3986" s="475">
        <f t="shared" si="180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78"/>
        <v>-1652509584181.9688</v>
      </c>
      <c r="J3987" s="455">
        <f t="array" ref="J3987">IFERROR(INDEX('Retirement Calculator'!J:J,MATCH('Isaac 401k'!N3987,'Retirement Calculator'!A:A,0),0),0)</f>
        <v>0</v>
      </c>
      <c r="K3987" s="455">
        <f t="shared" ca="1" si="176"/>
        <v>-6885456600.7582035</v>
      </c>
      <c r="L3987" s="455">
        <f t="shared" ca="1" si="177"/>
        <v>-1659395040782.7271</v>
      </c>
      <c r="M3987" s="471">
        <f t="shared" si="179"/>
        <v>0.05</v>
      </c>
      <c r="N3987" s="475">
        <f t="shared" si="180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78"/>
        <v>-1659395040782.7271</v>
      </c>
      <c r="J3988" s="455">
        <f t="array" ref="J3988">IFERROR(INDEX('Retirement Calculator'!J:J,MATCH('Isaac 401k'!N3988,'Retirement Calculator'!A:A,0),0),0)</f>
        <v>0</v>
      </c>
      <c r="K3988" s="455">
        <f t="shared" ca="1" si="176"/>
        <v>-6914146003.261363</v>
      </c>
      <c r="L3988" s="455">
        <f t="shared" ca="1" si="177"/>
        <v>-1666309186785.9885</v>
      </c>
      <c r="M3988" s="471">
        <f t="shared" si="179"/>
        <v>0.05</v>
      </c>
      <c r="N3988" s="475">
        <f t="shared" si="180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78"/>
        <v>-1666309186785.9885</v>
      </c>
      <c r="J3989" s="455">
        <f t="array" ref="J3989">IFERROR(INDEX('Retirement Calculator'!J:J,MATCH('Isaac 401k'!N3989,'Retirement Calculator'!A:A,0),0),0)</f>
        <v>0</v>
      </c>
      <c r="K3989" s="455">
        <f t="shared" ca="1" si="176"/>
        <v>-6942954944.9416189</v>
      </c>
      <c r="L3989" s="455">
        <f t="shared" ca="1" si="177"/>
        <v>-1673252141730.9302</v>
      </c>
      <c r="M3989" s="471">
        <f t="shared" si="179"/>
        <v>0.05</v>
      </c>
      <c r="N3989" s="475">
        <f t="shared" si="180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78"/>
        <v>-1673252141730.9302</v>
      </c>
      <c r="J3990" s="455">
        <f t="array" ref="J3990">IFERROR(INDEX('Retirement Calculator'!J:J,MATCH('Isaac 401k'!N3990,'Retirement Calculator'!A:A,0),0),0)</f>
        <v>0</v>
      </c>
      <c r="K3990" s="455">
        <f t="shared" ca="1" si="176"/>
        <v>-6971883923.8788757</v>
      </c>
      <c r="L3990" s="455">
        <f t="shared" ca="1" si="177"/>
        <v>-1680224025654.8091</v>
      </c>
      <c r="M3990" s="471">
        <f t="shared" si="179"/>
        <v>0.05</v>
      </c>
      <c r="N3990" s="475">
        <f t="shared" si="180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78"/>
        <v>-1680224025654.8091</v>
      </c>
      <c r="J3991" s="455">
        <f t="array" ref="J3991">IFERROR(INDEX('Retirement Calculator'!J:J,MATCH('Isaac 401k'!N3991,'Retirement Calculator'!A:A,0),0),0)</f>
        <v>0</v>
      </c>
      <c r="K3991" s="455">
        <f t="shared" ca="1" si="176"/>
        <v>-7000933440.2283707</v>
      </c>
      <c r="L3991" s="455">
        <f t="shared" ca="1" si="177"/>
        <v>-1687224959095.0374</v>
      </c>
      <c r="M3991" s="471">
        <f t="shared" si="179"/>
        <v>0.05</v>
      </c>
      <c r="N3991" s="475">
        <f t="shared" si="180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78"/>
        <v>-1687224959095.0374</v>
      </c>
      <c r="J3992" s="455">
        <f t="array" ref="J3992">IFERROR(INDEX('Retirement Calculator'!J:J,MATCH('Isaac 401k'!N3992,'Retirement Calculator'!A:A,0),0),0)</f>
        <v>0</v>
      </c>
      <c r="K3992" s="455">
        <f t="shared" ca="1" si="176"/>
        <v>-7030103996.2293224</v>
      </c>
      <c r="L3992" s="455">
        <f t="shared" ca="1" si="177"/>
        <v>-1694255063091.2666</v>
      </c>
      <c r="M3992" s="471">
        <f t="shared" si="179"/>
        <v>0.05</v>
      </c>
      <c r="N3992" s="475">
        <f t="shared" si="180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78"/>
        <v>-1694255063091.2666</v>
      </c>
      <c r="J3993" s="455">
        <f t="array" ref="J3993">IFERROR(INDEX('Retirement Calculator'!J:J,MATCH('Isaac 401k'!N3993,'Retirement Calculator'!A:A,0),0),0)</f>
        <v>0</v>
      </c>
      <c r="K3993" s="455">
        <f t="shared" ca="1" si="176"/>
        <v>-7059396096.2136106</v>
      </c>
      <c r="L3993" s="455">
        <f t="shared" ca="1" si="177"/>
        <v>-1701314459187.4802</v>
      </c>
      <c r="M3993" s="471">
        <f t="shared" si="179"/>
        <v>0.05</v>
      </c>
      <c r="N3993" s="475">
        <f t="shared" si="180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78"/>
        <v>-1701314459187.4802</v>
      </c>
      <c r="J3994" s="455">
        <f t="array" ref="J3994">IFERROR(INDEX('Retirement Calculator'!J:J,MATCH('Isaac 401k'!N3994,'Retirement Calculator'!A:A,0),0),0)</f>
        <v>0</v>
      </c>
      <c r="K3994" s="455">
        <f t="shared" ca="1" si="176"/>
        <v>-7088810246.614501</v>
      </c>
      <c r="L3994" s="455">
        <f t="shared" ca="1" si="177"/>
        <v>-1708403269434.0947</v>
      </c>
      <c r="M3994" s="471">
        <f t="shared" si="179"/>
        <v>0.05</v>
      </c>
      <c r="N3994" s="475">
        <f t="shared" si="180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78"/>
        <v>-1708403269434.0947</v>
      </c>
      <c r="J3995" s="455">
        <f t="array" ref="J3995">IFERROR(INDEX('Retirement Calculator'!J:J,MATCH('Isaac 401k'!N3995,'Retirement Calculator'!A:A,0),0),0)</f>
        <v>0</v>
      </c>
      <c r="K3995" s="455">
        <f t="shared" ca="1" si="176"/>
        <v>-7118346955.9753942</v>
      </c>
      <c r="L3995" s="455">
        <f t="shared" ca="1" si="177"/>
        <v>-1715521616390.0701</v>
      </c>
      <c r="M3995" s="471">
        <f t="shared" si="179"/>
        <v>0.05</v>
      </c>
      <c r="N3995" s="475">
        <f t="shared" si="180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78"/>
        <v>-1715521616390.0701</v>
      </c>
      <c r="J3996" s="455">
        <f t="array" ref="J3996">IFERROR(INDEX('Retirement Calculator'!J:J,MATCH('Isaac 401k'!N3996,'Retirement Calculator'!A:A,0),0),0)</f>
        <v>0</v>
      </c>
      <c r="K3996" s="455">
        <f t="shared" ca="1" si="176"/>
        <v>-7148006734.9586239</v>
      </c>
      <c r="L3996" s="455">
        <f t="shared" ca="1" si="177"/>
        <v>-1722669623125.0288</v>
      </c>
      <c r="M3996" s="471">
        <f t="shared" si="179"/>
        <v>0.05</v>
      </c>
      <c r="N3996" s="475">
        <f t="shared" si="180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78"/>
        <v>-1722669623125.0288</v>
      </c>
      <c r="J3997" s="455">
        <f t="array" ref="J3997">IFERROR(INDEX('Retirement Calculator'!J:J,MATCH('Isaac 401k'!N3997,'Retirement Calculator'!A:A,0),0),0)</f>
        <v>0</v>
      </c>
      <c r="K3997" s="455">
        <f t="shared" ca="1" si="176"/>
        <v>-7177790096.3542871</v>
      </c>
      <c r="L3997" s="455">
        <f t="shared" ca="1" si="177"/>
        <v>-1729847413221.3831</v>
      </c>
      <c r="M3997" s="471">
        <f t="shared" si="179"/>
        <v>0.05</v>
      </c>
      <c r="N3997" s="475">
        <f t="shared" si="180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78"/>
        <v>-1729847413221.3831</v>
      </c>
      <c r="J3998" s="455">
        <f t="array" ref="J3998">IFERROR(INDEX('Retirement Calculator'!J:J,MATCH('Isaac 401k'!N3998,'Retirement Calculator'!A:A,0),0),0)</f>
        <v>0</v>
      </c>
      <c r="K3998" s="455">
        <f t="shared" ca="1" si="176"/>
        <v>-7207697555.0890961</v>
      </c>
      <c r="L3998" s="455">
        <f t="shared" ca="1" si="177"/>
        <v>-1737055110776.4722</v>
      </c>
      <c r="M3998" s="471">
        <f t="shared" si="179"/>
        <v>0.05</v>
      </c>
      <c r="N3998" s="475">
        <f t="shared" si="180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78"/>
        <v>-1737055110776.4722</v>
      </c>
      <c r="J3999" s="455">
        <f t="array" ref="J3999">IFERROR(INDEX('Retirement Calculator'!J:J,MATCH('Isaac 401k'!N3999,'Retirement Calculator'!A:A,0),0),0)</f>
        <v>0</v>
      </c>
      <c r="K3999" s="455">
        <f t="shared" ca="1" si="176"/>
        <v>-7237729628.2352991</v>
      </c>
      <c r="L3999" s="455">
        <f t="shared" ca="1" si="177"/>
        <v>-1744292840404.7075</v>
      </c>
      <c r="M3999" s="471">
        <f t="shared" si="179"/>
        <v>0.05</v>
      </c>
      <c r="N3999" s="475">
        <f t="shared" si="180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78"/>
        <v>-1744292840404.7075</v>
      </c>
      <c r="J4000" s="455">
        <f t="array" ref="J4000">IFERROR(INDEX('Retirement Calculator'!J:J,MATCH('Isaac 401k'!N4000,'Retirement Calculator'!A:A,0),0),0)</f>
        <v>0</v>
      </c>
      <c r="K4000" s="455">
        <f t="shared" ca="1" si="176"/>
        <v>-7267886835.0196142</v>
      </c>
      <c r="L4000" s="455">
        <f t="shared" ca="1" si="177"/>
        <v>-1751560727239.7271</v>
      </c>
      <c r="M4000" s="471">
        <f t="shared" si="179"/>
        <v>0.05</v>
      </c>
      <c r="N4000" s="475">
        <f t="shared" si="180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78"/>
        <v>-1751560727239.7271</v>
      </c>
      <c r="J4001" s="455">
        <f t="array" ref="J4001">IFERROR(INDEX('Retirement Calculator'!J:J,MATCH('Isaac 401k'!N4001,'Retirement Calculator'!A:A,0),0),0)</f>
        <v>0</v>
      </c>
      <c r="K4001" s="455">
        <f t="shared" ca="1" si="176"/>
        <v>-7298169696.8321962</v>
      </c>
      <c r="L4001" s="455">
        <f t="shared" ca="1" si="177"/>
        <v>-1758858896936.5593</v>
      </c>
      <c r="M4001" s="471">
        <f t="shared" si="179"/>
        <v>0.05</v>
      </c>
      <c r="N4001" s="475">
        <f t="shared" si="180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78"/>
        <v>-1758858896936.5593</v>
      </c>
      <c r="J4002" s="455">
        <f t="array" ref="J4002">IFERROR(INDEX('Retirement Calculator'!J:J,MATCH('Isaac 401k'!N4002,'Retirement Calculator'!A:A,0),0),0)</f>
        <v>0</v>
      </c>
      <c r="K4002" s="455">
        <f t="shared" ca="1" si="176"/>
        <v>-7328578737.2356634</v>
      </c>
      <c r="L4002" s="455">
        <f t="shared" ca="1" si="177"/>
        <v>-1766187475673.7949</v>
      </c>
      <c r="M4002" s="471">
        <f t="shared" si="179"/>
        <v>0.05</v>
      </c>
      <c r="N4002" s="475">
        <f t="shared" si="180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78"/>
        <v>-1766187475673.7949</v>
      </c>
      <c r="J4003" s="455">
        <f t="array" ref="J4003">IFERROR(INDEX('Retirement Calculator'!J:J,MATCH('Isaac 401k'!N4003,'Retirement Calculator'!A:A,0),0),0)</f>
        <v>0</v>
      </c>
      <c r="K4003" s="455">
        <f t="shared" ca="1" si="176"/>
        <v>-7359114481.974144</v>
      </c>
      <c r="L4003" s="455">
        <f t="shared" ca="1" si="177"/>
        <v>-1773546590155.769</v>
      </c>
      <c r="M4003" s="471">
        <f t="shared" si="179"/>
        <v>0.05</v>
      </c>
      <c r="N4003" s="475">
        <f t="shared" si="180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78"/>
        <v>-1773546590155.769</v>
      </c>
      <c r="J4004" s="455">
        <f t="array" ref="J4004">IFERROR(INDEX('Retirement Calculator'!J:J,MATCH('Isaac 401k'!N4004,'Retirement Calculator'!A:A,0),0),0)</f>
        <v>0</v>
      </c>
      <c r="K4004" s="455">
        <f t="shared" ca="1" si="176"/>
        <v>-7389777458.9823713</v>
      </c>
      <c r="L4004" s="455">
        <f t="shared" ca="1" si="177"/>
        <v>-1780936367614.7515</v>
      </c>
      <c r="M4004" s="471">
        <f t="shared" si="179"/>
        <v>0.05</v>
      </c>
      <c r="N4004" s="475">
        <f t="shared" si="180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78"/>
        <v>-1780936367614.7515</v>
      </c>
      <c r="J4005" s="455">
        <f t="array" ref="J4005">IFERROR(INDEX('Retirement Calculator'!J:J,MATCH('Isaac 401k'!N4005,'Retirement Calculator'!A:A,0),0),0)</f>
        <v>0</v>
      </c>
      <c r="K4005" s="455">
        <f t="shared" ca="1" si="176"/>
        <v>-7420568198.3947973</v>
      </c>
      <c r="L4005" s="455">
        <f t="shared" ca="1" si="177"/>
        <v>-1788356935813.1462</v>
      </c>
      <c r="M4005" s="471">
        <f t="shared" si="179"/>
        <v>0.05</v>
      </c>
      <c r="N4005" s="475">
        <f t="shared" si="180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78"/>
        <v>-1788356935813.1462</v>
      </c>
      <c r="J4006" s="455">
        <f t="array" ref="J4006">IFERROR(INDEX('Retirement Calculator'!J:J,MATCH('Isaac 401k'!N4006,'Retirement Calculator'!A:A,0),0),0)</f>
        <v>0</v>
      </c>
      <c r="K4006" s="455">
        <f t="shared" ca="1" si="176"/>
        <v>-7451487232.5547762</v>
      </c>
      <c r="L4006" s="455">
        <f t="shared" ca="1" si="177"/>
        <v>-1795808423045.7009</v>
      </c>
      <c r="M4006" s="471">
        <f t="shared" si="179"/>
        <v>0.05</v>
      </c>
      <c r="N4006" s="475">
        <f t="shared" si="180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78"/>
        <v>-1795808423045.7009</v>
      </c>
      <c r="J4007" s="455">
        <f t="array" ref="J4007">IFERROR(INDEX('Retirement Calculator'!J:J,MATCH('Isaac 401k'!N4007,'Retirement Calculator'!A:A,0),0),0)</f>
        <v>0</v>
      </c>
      <c r="K4007" s="455">
        <f t="shared" ca="1" si="176"/>
        <v>-7482535096.0237541</v>
      </c>
      <c r="L4007" s="455">
        <f t="shared" ca="1" si="177"/>
        <v>-1803290958141.7246</v>
      </c>
      <c r="M4007" s="471">
        <f t="shared" si="179"/>
        <v>0.05</v>
      </c>
      <c r="N4007" s="475">
        <f t="shared" si="180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78"/>
        <v>-1803290958141.7246</v>
      </c>
      <c r="J4008" s="455">
        <f t="array" ref="J4008">IFERROR(INDEX('Retirement Calculator'!J:J,MATCH('Isaac 401k'!N4008,'Retirement Calculator'!A:A,0),0),0)</f>
        <v>0</v>
      </c>
      <c r="K4008" s="455">
        <f t="shared" ca="1" si="176"/>
        <v>-7513712325.590519</v>
      </c>
      <c r="L4008" s="455">
        <f t="shared" ca="1" si="177"/>
        <v>-1810804670467.3152</v>
      </c>
      <c r="M4008" s="471">
        <f t="shared" si="179"/>
        <v>0.05</v>
      </c>
      <c r="N4008" s="475">
        <f t="shared" si="180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78"/>
        <v>-1810804670467.3152</v>
      </c>
      <c r="J4009" s="455">
        <f t="array" ref="J4009">IFERROR(INDEX('Retirement Calculator'!J:J,MATCH('Isaac 401k'!N4009,'Retirement Calculator'!A:A,0),0),0)</f>
        <v>0</v>
      </c>
      <c r="K4009" s="455">
        <f t="shared" ca="1" si="176"/>
        <v>-7545019460.2804804</v>
      </c>
      <c r="L4009" s="455">
        <f t="shared" ca="1" si="177"/>
        <v>-1818349689927.5957</v>
      </c>
      <c r="M4009" s="471">
        <f t="shared" si="179"/>
        <v>0.05</v>
      </c>
      <c r="N4009" s="475">
        <f t="shared" si="180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78"/>
        <v>-1818349689927.5957</v>
      </c>
      <c r="J4010" s="455">
        <f t="array" ref="J4010">IFERROR(INDEX('Retirement Calculator'!J:J,MATCH('Isaac 401k'!N4010,'Retirement Calculator'!A:A,0),0),0)</f>
        <v>0</v>
      </c>
      <c r="K4010" s="455">
        <f t="shared" ca="1" si="176"/>
        <v>-7576457041.3649817</v>
      </c>
      <c r="L4010" s="455">
        <f t="shared" ca="1" si="177"/>
        <v>-1825926146968.9607</v>
      </c>
      <c r="M4010" s="471">
        <f t="shared" si="179"/>
        <v>0.05</v>
      </c>
      <c r="N4010" s="475">
        <f t="shared" si="180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78"/>
        <v>-1825926146968.9607</v>
      </c>
      <c r="J4011" s="455">
        <f t="array" ref="J4011">IFERROR(INDEX('Retirement Calculator'!J:J,MATCH('Isaac 401k'!N4011,'Retirement Calculator'!A:A,0),0),0)</f>
        <v>0</v>
      </c>
      <c r="K4011" s="455">
        <f t="shared" ca="1" si="176"/>
        <v>-7608025612.3706694</v>
      </c>
      <c r="L4011" s="455">
        <f t="shared" ca="1" si="177"/>
        <v>-1833534172581.3313</v>
      </c>
      <c r="M4011" s="471">
        <f t="shared" si="179"/>
        <v>0.05</v>
      </c>
      <c r="N4011" s="475">
        <f t="shared" si="180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78"/>
        <v>-1833534172581.3313</v>
      </c>
      <c r="J4012" s="455">
        <f t="array" ref="J4012">IFERROR(INDEX('Retirement Calculator'!J:J,MATCH('Isaac 401k'!N4012,'Retirement Calculator'!A:A,0),0),0)</f>
        <v>0</v>
      </c>
      <c r="K4012" s="455">
        <f t="shared" ca="1" si="176"/>
        <v>-7639725719.0888815</v>
      </c>
      <c r="L4012" s="455">
        <f t="shared" ca="1" si="177"/>
        <v>-1841173898300.4202</v>
      </c>
      <c r="M4012" s="471">
        <f t="shared" si="179"/>
        <v>0.05</v>
      </c>
      <c r="N4012" s="475">
        <f t="shared" si="180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78"/>
        <v>-1841173898300.4202</v>
      </c>
      <c r="J4013" s="455">
        <f t="array" ref="J4013">IFERROR(INDEX('Retirement Calculator'!J:J,MATCH('Isaac 401k'!N4013,'Retirement Calculator'!A:A,0),0),0)</f>
        <v>0</v>
      </c>
      <c r="K4013" s="455">
        <f t="shared" ca="1" si="176"/>
        <v>-7671557909.5850849</v>
      </c>
      <c r="L4013" s="455">
        <f t="shared" ca="1" si="177"/>
        <v>-1848845456210.0054</v>
      </c>
      <c r="M4013" s="471">
        <f t="shared" si="179"/>
        <v>0.05</v>
      </c>
      <c r="N4013" s="475">
        <f t="shared" si="180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78"/>
        <v>-1848845456210.0054</v>
      </c>
      <c r="J4014" s="455">
        <f t="array" ref="J4014">IFERROR(INDEX('Retirement Calculator'!J:J,MATCH('Isaac 401k'!N4014,'Retirement Calculator'!A:A,0),0),0)</f>
        <v>0</v>
      </c>
      <c r="K4014" s="455">
        <f t="shared" ca="1" si="176"/>
        <v>-7703522734.2083569</v>
      </c>
      <c r="L4014" s="455">
        <f t="shared" ca="1" si="177"/>
        <v>-1856548978944.2136</v>
      </c>
      <c r="M4014" s="471">
        <f t="shared" si="179"/>
        <v>0.05</v>
      </c>
      <c r="N4014" s="475">
        <f t="shared" si="180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78"/>
        <v>-1856548978944.2136</v>
      </c>
      <c r="J4015" s="455">
        <f t="array" ref="J4015">IFERROR(INDEX('Retirement Calculator'!J:J,MATCH('Isaac 401k'!N4015,'Retirement Calculator'!A:A,0),0),0)</f>
        <v>0</v>
      </c>
      <c r="K4015" s="455">
        <f t="shared" ca="1" si="176"/>
        <v>-7735620745.6008892</v>
      </c>
      <c r="L4015" s="455">
        <f t="shared" ca="1" si="177"/>
        <v>-1864284599689.8145</v>
      </c>
      <c r="M4015" s="471">
        <f t="shared" si="179"/>
        <v>0.05</v>
      </c>
      <c r="N4015" s="475">
        <f t="shared" si="180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78"/>
        <v>-1864284599689.8145</v>
      </c>
      <c r="J4016" s="455">
        <f t="array" ref="J4016">IFERROR(INDEX('Retirement Calculator'!J:J,MATCH('Isaac 401k'!N4016,'Retirement Calculator'!A:A,0),0),0)</f>
        <v>0</v>
      </c>
      <c r="K4016" s="455">
        <f t="shared" ca="1" si="176"/>
        <v>-7767852498.7075605</v>
      </c>
      <c r="L4016" s="455">
        <f t="shared" ca="1" si="177"/>
        <v>-1872052452188.522</v>
      </c>
      <c r="M4016" s="471">
        <f t="shared" si="179"/>
        <v>0.05</v>
      </c>
      <c r="N4016" s="475">
        <f t="shared" si="180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78"/>
        <v>-1872052452188.522</v>
      </c>
      <c r="J4017" s="455">
        <f t="array" ref="J4017">IFERROR(INDEX('Retirement Calculator'!J:J,MATCH('Isaac 401k'!N4017,'Retirement Calculator'!A:A,0),0),0)</f>
        <v>0</v>
      </c>
      <c r="K4017" s="455">
        <f t="shared" ca="1" si="176"/>
        <v>-7800218550.7855072</v>
      </c>
      <c r="L4017" s="455">
        <f t="shared" ca="1" si="177"/>
        <v>-1879852670739.3074</v>
      </c>
      <c r="M4017" s="471">
        <f t="shared" si="179"/>
        <v>0.05</v>
      </c>
      <c r="N4017" s="475">
        <f t="shared" si="180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78"/>
        <v>-1879852670739.3074</v>
      </c>
      <c r="J4018" s="455">
        <f t="array" ref="J4018">IFERROR(INDEX('Retirement Calculator'!J:J,MATCH('Isaac 401k'!N4018,'Retirement Calculator'!A:A,0),0),0)</f>
        <v>0</v>
      </c>
      <c r="K4018" s="455">
        <f t="shared" ca="1" si="176"/>
        <v>-7832719461.4137793</v>
      </c>
      <c r="L4018" s="455">
        <f t="shared" ca="1" si="177"/>
        <v>-1887685390200.7212</v>
      </c>
      <c r="M4018" s="471">
        <f t="shared" si="179"/>
        <v>0.05</v>
      </c>
      <c r="N4018" s="475">
        <f t="shared" si="180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78"/>
        <v>-1887685390200.7212</v>
      </c>
      <c r="J4019" s="455">
        <f t="array" ref="J4019">IFERROR(INDEX('Retirement Calculator'!J:J,MATCH('Isaac 401k'!N4019,'Retirement Calculator'!A:A,0),0),0)</f>
        <v>0</v>
      </c>
      <c r="K4019" s="455">
        <f t="shared" ca="1" si="176"/>
        <v>-7865355792.503005</v>
      </c>
      <c r="L4019" s="455">
        <f t="shared" ca="1" si="177"/>
        <v>-1895550745993.2241</v>
      </c>
      <c r="M4019" s="471">
        <f t="shared" si="179"/>
        <v>0.05</v>
      </c>
      <c r="N4019" s="475">
        <f t="shared" si="180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78"/>
        <v>-1895550745993.2241</v>
      </c>
      <c r="J4020" s="455">
        <f t="array" ref="J4020">IFERROR(INDEX('Retirement Calculator'!J:J,MATCH('Isaac 401k'!N4020,'Retirement Calculator'!A:A,0),0),0)</f>
        <v>0</v>
      </c>
      <c r="K4020" s="455">
        <f t="shared" ca="1" si="176"/>
        <v>-7898128108.3051004</v>
      </c>
      <c r="L4020" s="455">
        <f t="shared" ca="1" si="177"/>
        <v>-1903448874101.5293</v>
      </c>
      <c r="M4020" s="471">
        <f t="shared" si="179"/>
        <v>0.05</v>
      </c>
      <c r="N4020" s="475">
        <f t="shared" si="180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78"/>
        <v>-1903448874101.5293</v>
      </c>
      <c r="J4021" s="455">
        <f t="array" ref="J4021">IFERROR(INDEX('Retirement Calculator'!J:J,MATCH('Isaac 401k'!N4021,'Retirement Calculator'!A:A,0),0),0)</f>
        <v>0</v>
      </c>
      <c r="K4021" s="455">
        <f t="shared" ca="1" si="176"/>
        <v>-7931036975.4230385</v>
      </c>
      <c r="L4021" s="455">
        <f t="shared" ca="1" si="177"/>
        <v>-1911379911076.9524</v>
      </c>
      <c r="M4021" s="471">
        <f t="shared" si="179"/>
        <v>0.05</v>
      </c>
      <c r="N4021" s="475">
        <f t="shared" si="180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78"/>
        <v>-1911379911076.9524</v>
      </c>
      <c r="J4022" s="455">
        <f t="array" ref="J4022">IFERROR(INDEX('Retirement Calculator'!J:J,MATCH('Isaac 401k'!N4022,'Retirement Calculator'!A:A,0),0),0)</f>
        <v>0</v>
      </c>
      <c r="K4022" s="455">
        <f t="shared" ca="1" si="176"/>
        <v>-7964082962.8206339</v>
      </c>
      <c r="L4022" s="455">
        <f t="shared" ca="1" si="177"/>
        <v>-1919343994039.7729</v>
      </c>
      <c r="M4022" s="471">
        <f t="shared" si="179"/>
        <v>0.05</v>
      </c>
      <c r="N4022" s="475">
        <f t="shared" si="180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78"/>
        <v>-1919343994039.7729</v>
      </c>
      <c r="J4023" s="455">
        <f t="array" ref="J4023">IFERROR(INDEX('Retirement Calculator'!J:J,MATCH('Isaac 401k'!N4023,'Retirement Calculator'!A:A,0),0),0)</f>
        <v>0</v>
      </c>
      <c r="K4023" s="455">
        <f t="shared" ca="1" si="176"/>
        <v>-7997266641.8323879</v>
      </c>
      <c r="L4023" s="455">
        <f t="shared" ca="1" si="177"/>
        <v>-1927341260681.6052</v>
      </c>
      <c r="M4023" s="471">
        <f t="shared" si="179"/>
        <v>0.05</v>
      </c>
      <c r="N4023" s="475">
        <f t="shared" si="180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78"/>
        <v>-1927341260681.6052</v>
      </c>
      <c r="J4024" s="455">
        <f t="array" ref="J4024">IFERROR(INDEX('Retirement Calculator'!J:J,MATCH('Isaac 401k'!N4024,'Retirement Calculator'!A:A,0),0),0)</f>
        <v>0</v>
      </c>
      <c r="K4024" s="455">
        <f t="shared" ca="1" si="176"/>
        <v>-8030588586.1733541</v>
      </c>
      <c r="L4024" s="455">
        <f t="shared" ca="1" si="177"/>
        <v>-1935371849267.7786</v>
      </c>
      <c r="M4024" s="471">
        <f t="shared" si="179"/>
        <v>0.05</v>
      </c>
      <c r="N4024" s="475">
        <f t="shared" si="180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78"/>
        <v>-1935371849267.7786</v>
      </c>
      <c r="J4025" s="455">
        <f t="array" ref="J4025">IFERROR(INDEX('Retirement Calculator'!J:J,MATCH('Isaac 401k'!N4025,'Retirement Calculator'!A:A,0),0),0)</f>
        <v>0</v>
      </c>
      <c r="K4025" s="455">
        <f t="shared" ca="1" si="176"/>
        <v>-8064049371.9490767</v>
      </c>
      <c r="L4025" s="455">
        <f t="shared" ca="1" si="177"/>
        <v>-1943435898639.7275</v>
      </c>
      <c r="M4025" s="471">
        <f t="shared" si="179"/>
        <v>0.05</v>
      </c>
      <c r="N4025" s="475">
        <f t="shared" si="180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78"/>
        <v>-1943435898639.7275</v>
      </c>
      <c r="J4026" s="455">
        <f t="array" ref="J4026">IFERROR(INDEX('Retirement Calculator'!J:J,MATCH('Isaac 401k'!N4026,'Retirement Calculator'!A:A,0),0),0)</f>
        <v>0</v>
      </c>
      <c r="K4026" s="455">
        <f t="shared" ca="1" si="176"/>
        <v>-8097649577.6655302</v>
      </c>
      <c r="L4026" s="455">
        <f t="shared" ca="1" si="177"/>
        <v>-1951533548217.3931</v>
      </c>
      <c r="M4026" s="471">
        <f t="shared" si="179"/>
        <v>0.05</v>
      </c>
      <c r="N4026" s="475">
        <f t="shared" si="180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78"/>
        <v>-1951533548217.3931</v>
      </c>
      <c r="J4027" s="455">
        <f t="array" ref="J4027">IFERROR(INDEX('Retirement Calculator'!J:J,MATCH('Isaac 401k'!N4027,'Retirement Calculator'!A:A,0),0),0)</f>
        <v>0</v>
      </c>
      <c r="K4027" s="455">
        <f t="shared" ca="1" si="176"/>
        <v>-8131389784.2391376</v>
      </c>
      <c r="L4027" s="455">
        <f t="shared" ca="1" si="177"/>
        <v>-1959664938001.6323</v>
      </c>
      <c r="M4027" s="471">
        <f t="shared" si="179"/>
        <v>0.05</v>
      </c>
      <c r="N4027" s="475">
        <f t="shared" si="180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78"/>
        <v>-1959664938001.6323</v>
      </c>
      <c r="J4028" s="455">
        <f t="array" ref="J4028">IFERROR(INDEX('Retirement Calculator'!J:J,MATCH('Isaac 401k'!N4028,'Retirement Calculator'!A:A,0),0),0)</f>
        <v>0</v>
      </c>
      <c r="K4028" s="455">
        <f t="shared" ca="1" si="176"/>
        <v>-8165270575.0068016</v>
      </c>
      <c r="L4028" s="455">
        <f t="shared" ca="1" si="177"/>
        <v>-1967830208576.6392</v>
      </c>
      <c r="M4028" s="471">
        <f t="shared" si="179"/>
        <v>0.05</v>
      </c>
      <c r="N4028" s="475">
        <f t="shared" si="180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78"/>
        <v>-1967830208576.6392</v>
      </c>
      <c r="J4029" s="455">
        <f t="array" ref="J4029">IFERROR(INDEX('Retirement Calculator'!J:J,MATCH('Isaac 401k'!N4029,'Retirement Calculator'!A:A,0),0),0)</f>
        <v>0</v>
      </c>
      <c r="K4029" s="455">
        <f t="shared" ca="1" si="176"/>
        <v>-8199292535.7359962</v>
      </c>
      <c r="L4029" s="455">
        <f t="shared" ca="1" si="177"/>
        <v>-1976029501112.3752</v>
      </c>
      <c r="M4029" s="471">
        <f t="shared" si="179"/>
        <v>0.05</v>
      </c>
      <c r="N4029" s="475">
        <f t="shared" si="180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78"/>
        <v>-1976029501112.3752</v>
      </c>
      <c r="J4030" s="455">
        <f t="array" ref="J4030">IFERROR(INDEX('Retirement Calculator'!J:J,MATCH('Isaac 401k'!N4030,'Retirement Calculator'!A:A,0),0),0)</f>
        <v>0</v>
      </c>
      <c r="K4030" s="455">
        <f t="shared" ca="1" si="176"/>
        <v>-8233456254.6348982</v>
      </c>
      <c r="L4030" s="455">
        <f t="shared" ca="1" si="177"/>
        <v>-1984262957367.0103</v>
      </c>
      <c r="M4030" s="471">
        <f t="shared" si="179"/>
        <v>0.05</v>
      </c>
      <c r="N4030" s="475">
        <f t="shared" si="180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78"/>
        <v>-1984262957367.0103</v>
      </c>
      <c r="J4031" s="455">
        <f t="array" ref="J4031">IFERROR(INDEX('Retirement Calculator'!J:J,MATCH('Isaac 401k'!N4031,'Retirement Calculator'!A:A,0),0),0)</f>
        <v>0</v>
      </c>
      <c r="K4031" s="455">
        <f t="shared" ca="1" si="176"/>
        <v>-8267762322.3625441</v>
      </c>
      <c r="L4031" s="455">
        <f t="shared" ca="1" si="177"/>
        <v>-1992530719689.3728</v>
      </c>
      <c r="M4031" s="471">
        <f t="shared" si="179"/>
        <v>0.05</v>
      </c>
      <c r="N4031" s="475">
        <f t="shared" si="180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78"/>
        <v>-1992530719689.3728</v>
      </c>
      <c r="J4032" s="455">
        <f t="array" ref="J4032">IFERROR(INDEX('Retirement Calculator'!J:J,MATCH('Isaac 401k'!N4032,'Retirement Calculator'!A:A,0),0),0)</f>
        <v>0</v>
      </c>
      <c r="K4032" s="455">
        <f t="shared" ca="1" si="176"/>
        <v>-8302211332.039052</v>
      </c>
      <c r="L4032" s="455">
        <f t="shared" ca="1" si="177"/>
        <v>-2000832931021.4119</v>
      </c>
      <c r="M4032" s="471">
        <f t="shared" si="179"/>
        <v>0.05</v>
      </c>
      <c r="N4032" s="475">
        <f t="shared" si="180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78"/>
        <v>-2000832931021.4119</v>
      </c>
      <c r="J4033" s="455">
        <f t="array" ref="J4033">IFERROR(INDEX('Retirement Calculator'!J:J,MATCH('Isaac 401k'!N4033,'Retirement Calculator'!A:A,0),0),0)</f>
        <v>0</v>
      </c>
      <c r="K4033" s="455">
        <f t="shared" ca="1" si="176"/>
        <v>-8336803879.2558823</v>
      </c>
      <c r="L4033" s="455">
        <f t="shared" ca="1" si="177"/>
        <v>-2009169734900.6677</v>
      </c>
      <c r="M4033" s="471">
        <f t="shared" si="179"/>
        <v>0.05</v>
      </c>
      <c r="N4033" s="475">
        <f t="shared" si="180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78"/>
        <v>-2009169734900.6677</v>
      </c>
      <c r="J4034" s="455">
        <f t="array" ref="J4034">IFERROR(INDEX('Retirement Calculator'!J:J,MATCH('Isaac 401k'!N4034,'Retirement Calculator'!A:A,0),0),0)</f>
        <v>0</v>
      </c>
      <c r="K4034" s="455">
        <f t="shared" ca="1" si="176"/>
        <v>-8371540562.0861158</v>
      </c>
      <c r="L4034" s="455">
        <f t="shared" ca="1" si="177"/>
        <v>-2017541275462.7539</v>
      </c>
      <c r="M4034" s="471">
        <f t="shared" si="179"/>
        <v>0.05</v>
      </c>
      <c r="N4034" s="475">
        <f t="shared" si="180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78"/>
        <v>-2017541275462.7539</v>
      </c>
      <c r="J4035" s="455">
        <f t="array" ref="J4035">IFERROR(INDEX('Retirement Calculator'!J:J,MATCH('Isaac 401k'!N4035,'Retirement Calculator'!A:A,0),0),0)</f>
        <v>0</v>
      </c>
      <c r="K4035" s="455">
        <f t="shared" ca="1" si="176"/>
        <v>-8406421981.0948086</v>
      </c>
      <c r="L4035" s="455">
        <f t="shared" ca="1" si="177"/>
        <v>-2025947697443.8486</v>
      </c>
      <c r="M4035" s="471">
        <f t="shared" si="179"/>
        <v>0.05</v>
      </c>
      <c r="N4035" s="475">
        <f t="shared" si="180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78"/>
        <v>-2025947697443.8486</v>
      </c>
      <c r="J4036" s="455">
        <f t="array" ref="J4036">IFERROR(INDEX('Retirement Calculator'!J:J,MATCH('Isaac 401k'!N4036,'Retirement Calculator'!A:A,0),0),0)</f>
        <v>0</v>
      </c>
      <c r="K4036" s="455">
        <f t="shared" ca="1" si="176"/>
        <v>-8441448739.34937</v>
      </c>
      <c r="L4036" s="455">
        <f t="shared" ca="1" si="177"/>
        <v>-2034389146183.198</v>
      </c>
      <c r="M4036" s="471">
        <f t="shared" si="179"/>
        <v>0.05</v>
      </c>
      <c r="N4036" s="475">
        <f t="shared" si="180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78"/>
        <v>-2034389146183.198</v>
      </c>
      <c r="J4037" s="455">
        <f t="array" ref="J4037">IFERROR(INDEX('Retirement Calculator'!J:J,MATCH('Isaac 401k'!N4037,'Retirement Calculator'!A:A,0),0),0)</f>
        <v>0</v>
      </c>
      <c r="K4037" s="455">
        <f t="shared" ca="1" si="176"/>
        <v>-8476621442.4299908</v>
      </c>
      <c r="L4037" s="455">
        <f t="shared" ca="1" si="177"/>
        <v>-2042865767625.6279</v>
      </c>
      <c r="M4037" s="471">
        <f t="shared" si="179"/>
        <v>0.05</v>
      </c>
      <c r="N4037" s="475">
        <f t="shared" si="180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78"/>
        <v>-2042865767625.6279</v>
      </c>
      <c r="J4038" s="455">
        <f t="array" ref="J4038">IFERROR(INDEX('Retirement Calculator'!J:J,MATCH('Isaac 401k'!N4038,'Retirement Calculator'!A:A,0),0),0)</f>
        <v>0</v>
      </c>
      <c r="K4038" s="455">
        <f t="shared" ca="1" si="176"/>
        <v>-8511940698.4401169</v>
      </c>
      <c r="L4038" s="455">
        <f t="shared" ca="1" si="177"/>
        <v>-2051377708324.0681</v>
      </c>
      <c r="M4038" s="471">
        <f t="shared" si="179"/>
        <v>0.05</v>
      </c>
      <c r="N4038" s="475">
        <f t="shared" si="180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78"/>
        <v>-2051377708324.0681</v>
      </c>
      <c r="J4039" s="455">
        <f t="array" ref="J4039">IFERROR(INDEX('Retirement Calculator'!J:J,MATCH('Isaac 401k'!N4039,'Retirement Calculator'!A:A,0),0),0)</f>
        <v>0</v>
      </c>
      <c r="K4039" s="455">
        <f t="shared" ca="1" si="176"/>
        <v>-8547407118.0169497</v>
      </c>
      <c r="L4039" s="455">
        <f t="shared" ca="1" si="177"/>
        <v>-2059925115442.085</v>
      </c>
      <c r="M4039" s="471">
        <f t="shared" si="179"/>
        <v>0.05</v>
      </c>
      <c r="N4039" s="475">
        <f t="shared" si="180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78"/>
        <v>-2059925115442.085</v>
      </c>
      <c r="J4040" s="455">
        <f t="array" ref="J4040">IFERROR(INDEX('Retirement Calculator'!J:J,MATCH('Isaac 401k'!N4040,'Retirement Calculator'!A:A,0),0),0)</f>
        <v>0</v>
      </c>
      <c r="K4040" s="455">
        <f t="shared" ca="1" si="176"/>
        <v>-8583021314.3420191</v>
      </c>
      <c r="L4040" s="455">
        <f t="shared" ca="1" si="177"/>
        <v>-2068508136756.427</v>
      </c>
      <c r="M4040" s="471">
        <f t="shared" si="179"/>
        <v>0.05</v>
      </c>
      <c r="N4040" s="475">
        <f t="shared" si="180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78"/>
        <v>-2068508136756.427</v>
      </c>
      <c r="J4041" s="455">
        <f t="array" ref="J4041">IFERROR(INDEX('Retirement Calculator'!J:J,MATCH('Isaac 401k'!N4041,'Retirement Calculator'!A:A,0),0),0)</f>
        <v>0</v>
      </c>
      <c r="K4041" s="455">
        <f t="shared" ca="1" si="176"/>
        <v>-8618783903.1517792</v>
      </c>
      <c r="L4041" s="455">
        <f t="shared" ca="1" si="177"/>
        <v>-2077126920659.5789</v>
      </c>
      <c r="M4041" s="471">
        <f t="shared" si="179"/>
        <v>0.05</v>
      </c>
      <c r="N4041" s="475">
        <f t="shared" si="180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78"/>
        <v>-2077126920659.5789</v>
      </c>
      <c r="J4042" s="455">
        <f t="array" ref="J4042">IFERROR(INDEX('Retirement Calculator'!J:J,MATCH('Isaac 401k'!N4042,'Retirement Calculator'!A:A,0),0),0)</f>
        <v>0</v>
      </c>
      <c r="K4042" s="455">
        <f t="shared" ca="1" si="176"/>
        <v>-8654695502.7482452</v>
      </c>
      <c r="L4042" s="455">
        <f t="shared" ca="1" si="177"/>
        <v>-2085781616162.3271</v>
      </c>
      <c r="M4042" s="471">
        <f t="shared" si="179"/>
        <v>0.05</v>
      </c>
      <c r="N4042" s="475">
        <f t="shared" si="180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78"/>
        <v>-2085781616162.3271</v>
      </c>
      <c r="J4043" s="455">
        <f t="array" ref="J4043">IFERROR(INDEX('Retirement Calculator'!J:J,MATCH('Isaac 401k'!N4043,'Retirement Calculator'!A:A,0),0),0)</f>
        <v>0</v>
      </c>
      <c r="K4043" s="455">
        <f t="shared" ca="1" si="176"/>
        <v>-8690756734.009697</v>
      </c>
      <c r="L4043" s="455">
        <f t="shared" ca="1" si="177"/>
        <v>-2094472372896.3369</v>
      </c>
      <c r="M4043" s="471">
        <f t="shared" si="179"/>
        <v>0.05</v>
      </c>
      <c r="N4043" s="475">
        <f t="shared" si="180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78"/>
        <v>-2094472372896.3369</v>
      </c>
      <c r="J4044" s="455">
        <f t="array" ref="J4044">IFERROR(INDEX('Retirement Calculator'!J:J,MATCH('Isaac 401k'!N4044,'Retirement Calculator'!A:A,0),0),0)</f>
        <v>0</v>
      </c>
      <c r="K4044" s="455">
        <f t="shared" ca="1" si="176"/>
        <v>-8726968220.4014034</v>
      </c>
      <c r="L4044" s="455">
        <f t="shared" ca="1" si="177"/>
        <v>-2103199341116.7383</v>
      </c>
      <c r="M4044" s="471">
        <f t="shared" si="179"/>
        <v>0.05</v>
      </c>
      <c r="N4044" s="475">
        <f t="shared" si="180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78"/>
        <v>-2103199341116.7383</v>
      </c>
      <c r="J4045" s="455">
        <f t="array" ref="J4045">IFERROR(INDEX('Retirement Calculator'!J:J,MATCH('Isaac 401k'!N4045,'Retirement Calculator'!A:A,0),0),0)</f>
        <v>0</v>
      </c>
      <c r="K4045" s="455">
        <f t="shared" ca="1" si="176"/>
        <v>-8763330587.9864101</v>
      </c>
      <c r="L4045" s="455">
        <f t="shared" ca="1" si="177"/>
        <v>-2111962671704.7246</v>
      </c>
      <c r="M4045" s="471">
        <f t="shared" si="179"/>
        <v>0.05</v>
      </c>
      <c r="N4045" s="475">
        <f t="shared" si="180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78"/>
        <v>-2111962671704.7246</v>
      </c>
      <c r="J4046" s="455">
        <f t="array" ref="J4046">IFERROR(INDEX('Retirement Calculator'!J:J,MATCH('Isaac 401k'!N4046,'Retirement Calculator'!A:A,0),0),0)</f>
        <v>0</v>
      </c>
      <c r="K4046" s="455">
        <f t="shared" ca="1" si="176"/>
        <v>-8799844465.4363518</v>
      </c>
      <c r="L4046" s="455">
        <f t="shared" ca="1" si="177"/>
        <v>-2120762516170.1609</v>
      </c>
      <c r="M4046" s="471">
        <f t="shared" si="179"/>
        <v>0.05</v>
      </c>
      <c r="N4046" s="475">
        <f t="shared" si="180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78"/>
        <v>-2120762516170.1609</v>
      </c>
      <c r="J4047" s="455">
        <f t="array" ref="J4047">IFERROR(INDEX('Retirement Calculator'!J:J,MATCH('Isaac 401k'!N4047,'Retirement Calculator'!A:A,0),0),0)</f>
        <v>0</v>
      </c>
      <c r="K4047" s="455">
        <f t="shared" ca="1" si="176"/>
        <v>-8836510484.0423374</v>
      </c>
      <c r="L4047" s="455">
        <f t="shared" ca="1" si="177"/>
        <v>-2129599026654.2031</v>
      </c>
      <c r="M4047" s="471">
        <f t="shared" si="179"/>
        <v>0.05</v>
      </c>
      <c r="N4047" s="475">
        <f t="shared" si="180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78"/>
        <v>-2129599026654.2031</v>
      </c>
      <c r="J4048" s="455">
        <f t="array" ref="J4048">IFERROR(INDEX('Retirement Calculator'!J:J,MATCH('Isaac 401k'!N4048,'Retirement Calculator'!A:A,0),0),0)</f>
        <v>0</v>
      </c>
      <c r="K4048" s="455">
        <f t="shared" ca="1" si="176"/>
        <v>-8873329277.7258453</v>
      </c>
      <c r="L4048" s="455">
        <f t="shared" ca="1" si="177"/>
        <v>-2138472355931.929</v>
      </c>
      <c r="M4048" s="471">
        <f t="shared" si="179"/>
        <v>0.05</v>
      </c>
      <c r="N4048" s="475">
        <f t="shared" si="180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78"/>
        <v>-2138472355931.929</v>
      </c>
      <c r="J4049" s="455">
        <f t="array" ref="J4049">IFERROR(INDEX('Retirement Calculator'!J:J,MATCH('Isaac 401k'!N4049,'Retirement Calculator'!A:A,0),0),0)</f>
        <v>0</v>
      </c>
      <c r="K4049" s="455">
        <f t="shared" ca="1" si="176"/>
        <v>-8910301483.0497036</v>
      </c>
      <c r="L4049" s="455">
        <f t="shared" ca="1" si="177"/>
        <v>-2147382657414.9788</v>
      </c>
      <c r="M4049" s="471">
        <f t="shared" si="179"/>
        <v>0.05</v>
      </c>
      <c r="N4049" s="475">
        <f t="shared" si="180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78"/>
        <v>-2147382657414.9788</v>
      </c>
      <c r="J4050" s="455">
        <f t="array" ref="J4050">IFERROR(INDEX('Retirement Calculator'!J:J,MATCH('Isaac 401k'!N4050,'Retirement Calculator'!A:A,0),0),0)</f>
        <v>0</v>
      </c>
      <c r="K4050" s="455">
        <f t="shared" ca="1" si="176"/>
        <v>-8947427739.2290783</v>
      </c>
      <c r="L4050" s="455">
        <f t="shared" ca="1" si="177"/>
        <v>-2156330085154.2078</v>
      </c>
      <c r="M4050" s="471">
        <f t="shared" si="179"/>
        <v>0.05</v>
      </c>
      <c r="N4050" s="475">
        <f t="shared" si="180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78"/>
        <v>-2156330085154.2078</v>
      </c>
      <c r="J4051" s="455">
        <f t="array" ref="J4051">IFERROR(INDEX('Retirement Calculator'!J:J,MATCH('Isaac 401k'!N4051,'Retirement Calculator'!A:A,0),0),0)</f>
        <v>0</v>
      </c>
      <c r="K4051" s="455">
        <f t="shared" ca="1" si="176"/>
        <v>-8984708688.1425323</v>
      </c>
      <c r="L4051" s="455">
        <f t="shared" ca="1" si="177"/>
        <v>-2165314793842.3503</v>
      </c>
      <c r="M4051" s="471">
        <f t="shared" si="179"/>
        <v>0.05</v>
      </c>
      <c r="N4051" s="475">
        <f t="shared" si="180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78"/>
        <v>-2165314793842.3503</v>
      </c>
      <c r="J4052" s="455">
        <f t="array" ref="J4052">IFERROR(INDEX('Retirement Calculator'!J:J,MATCH('Isaac 401k'!N4052,'Retirement Calculator'!A:A,0),0),0)</f>
        <v>0</v>
      </c>
      <c r="K4052" s="455">
        <f t="shared" ca="1" si="176"/>
        <v>-9022144974.3431263</v>
      </c>
      <c r="L4052" s="455">
        <f t="shared" ca="1" si="177"/>
        <v>-2174336938816.6934</v>
      </c>
      <c r="M4052" s="471">
        <f t="shared" si="179"/>
        <v>0.05</v>
      </c>
      <c r="N4052" s="475">
        <f t="shared" si="180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78"/>
        <v>-2174336938816.6934</v>
      </c>
      <c r="J4053" s="455">
        <f t="array" ref="J4053">IFERROR(INDEX('Retirement Calculator'!J:J,MATCH('Isaac 401k'!N4053,'Retirement Calculator'!A:A,0),0),0)</f>
        <v>0</v>
      </c>
      <c r="K4053" s="455">
        <f t="shared" ca="1" si="176"/>
        <v>-9059737245.0695553</v>
      </c>
      <c r="L4053" s="455">
        <f t="shared" ca="1" si="177"/>
        <v>-2183396676061.7629</v>
      </c>
      <c r="M4053" s="471">
        <f t="shared" si="179"/>
        <v>0.05</v>
      </c>
      <c r="N4053" s="475">
        <f t="shared" si="180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78"/>
        <v>-2183396676061.7629</v>
      </c>
      <c r="J4054" s="455">
        <f t="array" ref="J4054">IFERROR(INDEX('Retirement Calculator'!J:J,MATCH('Isaac 401k'!N4054,'Retirement Calculator'!A:A,0),0),0)</f>
        <v>0</v>
      </c>
      <c r="K4054" s="455">
        <f t="shared" ca="1" si="176"/>
        <v>-9097486150.2573452</v>
      </c>
      <c r="L4054" s="455">
        <f t="shared" ca="1" si="177"/>
        <v>-2192494162212.0203</v>
      </c>
      <c r="M4054" s="471">
        <f t="shared" si="179"/>
        <v>0.05</v>
      </c>
      <c r="N4054" s="475">
        <f t="shared" si="180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78"/>
        <v>-2192494162212.0203</v>
      </c>
      <c r="J4055" s="455">
        <f t="array" ref="J4055">IFERROR(INDEX('Retirement Calculator'!J:J,MATCH('Isaac 401k'!N4055,'Retirement Calculator'!A:A,0),0),0)</f>
        <v>0</v>
      </c>
      <c r="K4055" s="455">
        <f t="shared" ca="1" si="176"/>
        <v>-9135392342.5500851</v>
      </c>
      <c r="L4055" s="455">
        <f t="shared" ca="1" si="177"/>
        <v>-2201629554554.5703</v>
      </c>
      <c r="M4055" s="471">
        <f t="shared" si="179"/>
        <v>0.05</v>
      </c>
      <c r="N4055" s="475">
        <f t="shared" si="180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78"/>
        <v>-2201629554554.5703</v>
      </c>
      <c r="J4056" s="455">
        <f t="array" ref="J4056">IFERROR(INDEX('Retirement Calculator'!J:J,MATCH('Isaac 401k'!N4056,'Retirement Calculator'!A:A,0),0),0)</f>
        <v>0</v>
      </c>
      <c r="K4056" s="455">
        <f t="shared" ca="1" si="176"/>
        <v>-9173456477.310709</v>
      </c>
      <c r="L4056" s="455">
        <f t="shared" ca="1" si="177"/>
        <v>-2210803011031.8809</v>
      </c>
      <c r="M4056" s="471">
        <f t="shared" si="179"/>
        <v>0.05</v>
      </c>
      <c r="N4056" s="475">
        <f t="shared" si="180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78"/>
        <v>-2210803011031.8809</v>
      </c>
      <c r="J4057" s="455">
        <f t="array" ref="J4057">IFERROR(INDEX('Retirement Calculator'!J:J,MATCH('Isaac 401k'!N4057,'Retirement Calculator'!A:A,0),0),0)</f>
        <v>0</v>
      </c>
      <c r="K4057" s="455">
        <f t="shared" ca="1" si="176"/>
        <v>-9211679212.6328373</v>
      </c>
      <c r="L4057" s="455">
        <f t="shared" ca="1" si="177"/>
        <v>-2220014690244.5137</v>
      </c>
      <c r="M4057" s="471">
        <f t="shared" si="179"/>
        <v>0.05</v>
      </c>
      <c r="N4057" s="475">
        <f t="shared" si="180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78"/>
        <v>-2220014690244.5137</v>
      </c>
      <c r="J4058" s="455">
        <f t="array" ref="J4058">IFERROR(INDEX('Retirement Calculator'!J:J,MATCH('Isaac 401k'!N4058,'Retirement Calculator'!A:A,0),0),0)</f>
        <v>0</v>
      </c>
      <c r="K4058" s="455">
        <f t="shared" ca="1" si="176"/>
        <v>-9250061209.3521404</v>
      </c>
      <c r="L4058" s="455">
        <f t="shared" ca="1" si="177"/>
        <v>-2229264751453.8657</v>
      </c>
      <c r="M4058" s="471">
        <f t="shared" si="179"/>
        <v>0.05</v>
      </c>
      <c r="N4058" s="475">
        <f t="shared" si="180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78"/>
        <v>-2229264751453.8657</v>
      </c>
      <c r="J4059" s="455">
        <f t="array" ref="J4059">IFERROR(INDEX('Retirement Calculator'!J:J,MATCH('Isaac 401k'!N4059,'Retirement Calculator'!A:A,0),0),0)</f>
        <v>0</v>
      </c>
      <c r="K4059" s="455">
        <f t="shared" ca="1" si="176"/>
        <v>-9288603131.0577736</v>
      </c>
      <c r="L4059" s="455">
        <f t="shared" ca="1" si="177"/>
        <v>-2238553354584.9233</v>
      </c>
      <c r="M4059" s="471">
        <f t="shared" si="179"/>
        <v>0.05</v>
      </c>
      <c r="N4059" s="475">
        <f t="shared" si="180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78"/>
        <v>-2238553354584.9233</v>
      </c>
      <c r="J4060" s="455">
        <f t="array" ref="J4060">IFERROR(INDEX('Retirement Calculator'!J:J,MATCH('Isaac 401k'!N4060,'Retirement Calculator'!A:A,0),0),0)</f>
        <v>0</v>
      </c>
      <c r="K4060" s="455">
        <f t="shared" ca="1" si="176"/>
        <v>-9327305644.1038475</v>
      </c>
      <c r="L4060" s="455">
        <f t="shared" ca="1" si="177"/>
        <v>-2247880660229.0273</v>
      </c>
      <c r="M4060" s="471">
        <f t="shared" si="179"/>
        <v>0.05</v>
      </c>
      <c r="N4060" s="475">
        <f t="shared" si="180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78"/>
        <v>-2247880660229.0273</v>
      </c>
      <c r="J4061" s="455">
        <f t="array" ref="J4061">IFERROR(INDEX('Retirement Calculator'!J:J,MATCH('Isaac 401k'!N4061,'Retirement Calculator'!A:A,0),0),0)</f>
        <v>0</v>
      </c>
      <c r="K4061" s="455">
        <f t="shared" ca="1" si="176"/>
        <v>-9366169417.6209469</v>
      </c>
      <c r="L4061" s="455">
        <f t="shared" ca="1" si="177"/>
        <v>-2257246829646.6484</v>
      </c>
      <c r="M4061" s="471">
        <f t="shared" si="179"/>
        <v>0.05</v>
      </c>
      <c r="N4061" s="475">
        <f t="shared" si="180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78"/>
        <v>-2257246829646.6484</v>
      </c>
      <c r="J4062" s="455">
        <f t="array" ref="J4062">IFERROR(INDEX('Retirement Calculator'!J:J,MATCH('Isaac 401k'!N4062,'Retirement Calculator'!A:A,0),0),0)</f>
        <v>0</v>
      </c>
      <c r="K4062" s="455">
        <f t="shared" ca="1" si="176"/>
        <v>-9405195123.5277023</v>
      </c>
      <c r="L4062" s="455">
        <f t="shared" ca="1" si="177"/>
        <v>-2266652024770.1763</v>
      </c>
      <c r="M4062" s="471">
        <f t="shared" si="179"/>
        <v>0.05</v>
      </c>
      <c r="N4062" s="475">
        <f t="shared" si="180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78"/>
        <v>-2266652024770.1763</v>
      </c>
      <c r="J4063" s="455">
        <f t="array" ref="J4063">IFERROR(INDEX('Retirement Calculator'!J:J,MATCH('Isaac 401k'!N4063,'Retirement Calculator'!A:A,0),0),0)</f>
        <v>0</v>
      </c>
      <c r="K4063" s="455">
        <f t="shared" ca="1" si="176"/>
        <v>-9444383436.5424004</v>
      </c>
      <c r="L4063" s="455">
        <f t="shared" ca="1" si="177"/>
        <v>-2276096408206.7188</v>
      </c>
      <c r="M4063" s="471">
        <f t="shared" si="179"/>
        <v>0.05</v>
      </c>
      <c r="N4063" s="475">
        <f t="shared" si="180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78"/>
        <v>-2276096408206.7188</v>
      </c>
      <c r="J4064" s="455">
        <f t="array" ref="J4064">IFERROR(INDEX('Retirement Calculator'!J:J,MATCH('Isaac 401k'!N4064,'Retirement Calculator'!A:A,0),0),0)</f>
        <v>0</v>
      </c>
      <c r="K4064" s="455">
        <f t="shared" ca="1" si="176"/>
        <v>-9483735034.1946621</v>
      </c>
      <c r="L4064" s="455">
        <f t="shared" ca="1" si="177"/>
        <v>-2285580143240.9136</v>
      </c>
      <c r="M4064" s="471">
        <f t="shared" si="179"/>
        <v>0.05</v>
      </c>
      <c r="N4064" s="475">
        <f t="shared" si="180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78"/>
        <v>-2285580143240.9136</v>
      </c>
      <c r="J4065" s="455">
        <f t="array" ref="J4065">IFERROR(INDEX('Retirement Calculator'!J:J,MATCH('Isaac 401k'!N4065,'Retirement Calculator'!A:A,0),0),0)</f>
        <v>0</v>
      </c>
      <c r="K4065" s="455">
        <f t="shared" ca="1" si="176"/>
        <v>-9523250596.8371391</v>
      </c>
      <c r="L4065" s="455">
        <f t="shared" ca="1" si="177"/>
        <v>-2295103393837.7505</v>
      </c>
      <c r="M4065" s="471">
        <f t="shared" si="179"/>
        <v>0.05</v>
      </c>
      <c r="N4065" s="475">
        <f t="shared" si="180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78"/>
        <v>-2295103393837.7505</v>
      </c>
      <c r="J4066" s="455">
        <f t="array" ref="J4066">IFERROR(INDEX('Retirement Calculator'!J:J,MATCH('Isaac 401k'!N4066,'Retirement Calculator'!A:A,0),0),0)</f>
        <v>0</v>
      </c>
      <c r="K4066" s="455">
        <f t="shared" ca="1" si="176"/>
        <v>-9562930807.6572933</v>
      </c>
      <c r="L4066" s="455">
        <f t="shared" ca="1" si="177"/>
        <v>-2304666324645.4077</v>
      </c>
      <c r="M4066" s="471">
        <f t="shared" si="179"/>
        <v>0.05</v>
      </c>
      <c r="N4066" s="475">
        <f t="shared" si="180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78"/>
        <v>-2304666324645.4077</v>
      </c>
      <c r="J4067" s="455">
        <f t="array" ref="J4067">IFERROR(INDEX('Retirement Calculator'!J:J,MATCH('Isaac 401k'!N4067,'Retirement Calculator'!A:A,0),0),0)</f>
        <v>0</v>
      </c>
      <c r="K4067" s="455">
        <f t="shared" ca="1" si="176"/>
        <v>-9602776352.6891994</v>
      </c>
      <c r="L4067" s="455">
        <f t="shared" ca="1" si="177"/>
        <v>-2314269100998.0967</v>
      </c>
      <c r="M4067" s="471">
        <f t="shared" si="179"/>
        <v>0.05</v>
      </c>
      <c r="N4067" s="475">
        <f t="shared" si="180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78"/>
        <v>-2314269100998.0967</v>
      </c>
      <c r="J4068" s="455">
        <f t="array" ref="J4068">IFERROR(INDEX('Retirement Calculator'!J:J,MATCH('Isaac 401k'!N4068,'Retirement Calculator'!A:A,0),0),0)</f>
        <v>0</v>
      </c>
      <c r="K4068" s="455">
        <f t="shared" ca="1" si="176"/>
        <v>-9642787920.8254032</v>
      </c>
      <c r="L4068" s="455">
        <f t="shared" ca="1" si="177"/>
        <v>-2323911888918.9219</v>
      </c>
      <c r="M4068" s="471">
        <f t="shared" si="179"/>
        <v>0.05</v>
      </c>
      <c r="N4068" s="475">
        <f t="shared" si="180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78"/>
        <v>-2323911888918.9219</v>
      </c>
      <c r="J4069" s="455">
        <f t="array" ref="J4069">IFERROR(INDEX('Retirement Calculator'!J:J,MATCH('Isaac 401k'!N4069,'Retirement Calculator'!A:A,0),0),0)</f>
        <v>0</v>
      </c>
      <c r="K4069" s="455">
        <f t="shared" ca="1" si="176"/>
        <v>-9682966203.8288403</v>
      </c>
      <c r="L4069" s="455">
        <f t="shared" ca="1" si="177"/>
        <v>-2333594855122.7505</v>
      </c>
      <c r="M4069" s="471">
        <f t="shared" si="179"/>
        <v>0.05</v>
      </c>
      <c r="N4069" s="475">
        <f t="shared" si="180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78"/>
        <v>-2333594855122.7505</v>
      </c>
      <c r="J4070" s="455">
        <f t="array" ref="J4070">IFERROR(INDEX('Retirement Calculator'!J:J,MATCH('Isaac 401k'!N4070,'Retirement Calculator'!A:A,0),0),0)</f>
        <v>0</v>
      </c>
      <c r="K4070" s="455">
        <f t="shared" ca="1" si="176"/>
        <v>-9723311896.3447933</v>
      </c>
      <c r="L4070" s="455">
        <f t="shared" ca="1" si="177"/>
        <v>-2343318167019.0952</v>
      </c>
      <c r="M4070" s="471">
        <f t="shared" si="179"/>
        <v>0.05</v>
      </c>
      <c r="N4070" s="475">
        <f t="shared" si="180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78"/>
        <v>-2343318167019.0952</v>
      </c>
      <c r="J4071" s="455">
        <f t="array" ref="J4071">IFERROR(INDEX('Retirement Calculator'!J:J,MATCH('Isaac 401k'!N4071,'Retirement Calculator'!A:A,0),0),0)</f>
        <v>0</v>
      </c>
      <c r="K4071" s="455">
        <f t="shared" ca="1" si="176"/>
        <v>-9763825695.9128971</v>
      </c>
      <c r="L4071" s="455">
        <f t="shared" ca="1" si="177"/>
        <v>-2353081992715.0083</v>
      </c>
      <c r="M4071" s="471">
        <f t="shared" si="179"/>
        <v>0.05</v>
      </c>
      <c r="N4071" s="475">
        <f t="shared" si="180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78"/>
        <v>-2353081992715.0083</v>
      </c>
      <c r="J4072" s="455">
        <f t="array" ref="J4072">IFERROR(INDEX('Retirement Calculator'!J:J,MATCH('Isaac 401k'!N4072,'Retirement Calculator'!A:A,0),0),0)</f>
        <v>0</v>
      </c>
      <c r="K4072" s="455">
        <f t="shared" ca="1" si="176"/>
        <v>-9804508302.9792004</v>
      </c>
      <c r="L4072" s="455">
        <f t="shared" ca="1" si="177"/>
        <v>-2362886501017.9873</v>
      </c>
      <c r="M4072" s="471">
        <f t="shared" si="179"/>
        <v>0.05</v>
      </c>
      <c r="N4072" s="475">
        <f t="shared" si="180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78"/>
        <v>-2362886501017.9873</v>
      </c>
      <c r="J4073" s="455">
        <f t="array" ref="J4073">IFERROR(INDEX('Retirement Calculator'!J:J,MATCH('Isaac 401k'!N4073,'Retirement Calculator'!A:A,0),0),0)</f>
        <v>0</v>
      </c>
      <c r="K4073" s="455">
        <f t="shared" ca="1" si="176"/>
        <v>-9845360420.9082794</v>
      </c>
      <c r="L4073" s="455">
        <f t="shared" ca="1" si="177"/>
        <v>-2372731861438.8955</v>
      </c>
      <c r="M4073" s="471">
        <f t="shared" si="179"/>
        <v>0.05</v>
      </c>
      <c r="N4073" s="475">
        <f t="shared" si="180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78"/>
        <v>-2372731861438.8955</v>
      </c>
      <c r="J4074" s="455">
        <f t="array" ref="J4074">IFERROR(INDEX('Retirement Calculator'!J:J,MATCH('Isaac 401k'!N4074,'Retirement Calculator'!A:A,0),0),0)</f>
        <v>0</v>
      </c>
      <c r="K4074" s="455">
        <f t="shared" ca="1" si="176"/>
        <v>-9886382755.9953976</v>
      </c>
      <c r="L4074" s="455">
        <f t="shared" ca="1" si="177"/>
        <v>-2382618244194.8911</v>
      </c>
      <c r="M4074" s="471">
        <f t="shared" si="179"/>
        <v>0.05</v>
      </c>
      <c r="N4074" s="475">
        <f t="shared" si="180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78"/>
        <v>-2382618244194.8911</v>
      </c>
      <c r="J4075" s="455">
        <f t="array" ref="J4075">IFERROR(INDEX('Retirement Calculator'!J:J,MATCH('Isaac 401k'!N4075,'Retirement Calculator'!A:A,0),0),0)</f>
        <v>0</v>
      </c>
      <c r="K4075" s="455">
        <f t="shared" ca="1" si="176"/>
        <v>-9927576017.4787121</v>
      </c>
      <c r="L4075" s="455">
        <f t="shared" ca="1" si="177"/>
        <v>-2392545820212.3696</v>
      </c>
      <c r="M4075" s="471">
        <f t="shared" si="179"/>
        <v>0.05</v>
      </c>
      <c r="N4075" s="475">
        <f t="shared" si="180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78"/>
        <v>-2392545820212.3696</v>
      </c>
      <c r="J4076" s="455">
        <f t="array" ref="J4076">IFERROR(INDEX('Retirement Calculator'!J:J,MATCH('Isaac 401k'!N4076,'Retirement Calculator'!A:A,0),0),0)</f>
        <v>0</v>
      </c>
      <c r="K4076" s="455">
        <f t="shared" ca="1" si="176"/>
        <v>-9968940917.5515404</v>
      </c>
      <c r="L4076" s="455">
        <f t="shared" ca="1" si="177"/>
        <v>-2402514761129.9214</v>
      </c>
      <c r="M4076" s="471">
        <f t="shared" si="179"/>
        <v>0.05</v>
      </c>
      <c r="N4076" s="475">
        <f t="shared" si="180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78"/>
        <v>-2402514761129.9214</v>
      </c>
      <c r="J4077" s="455">
        <f t="array" ref="J4077">IFERROR(INDEX('Retirement Calculator'!J:J,MATCH('Isaac 401k'!N4077,'Retirement Calculator'!A:A,0),0),0)</f>
        <v>0</v>
      </c>
      <c r="K4077" s="455">
        <f t="shared" ca="1" si="176"/>
        <v>-10010478171.374672</v>
      </c>
      <c r="L4077" s="455">
        <f t="shared" ca="1" si="177"/>
        <v>-2412525239301.2959</v>
      </c>
      <c r="M4077" s="471">
        <f t="shared" si="179"/>
        <v>0.05</v>
      </c>
      <c r="N4077" s="475">
        <f t="shared" si="180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78"/>
        <v>-2412525239301.2959</v>
      </c>
      <c r="J4078" s="455">
        <f t="array" ref="J4078">IFERROR(INDEX('Retirement Calculator'!J:J,MATCH('Isaac 401k'!N4078,'Retirement Calculator'!A:A,0),0),0)</f>
        <v>0</v>
      </c>
      <c r="K4078" s="455">
        <f t="shared" ca="1" si="176"/>
        <v>-10052188497.088734</v>
      </c>
      <c r="L4078" s="455">
        <f t="shared" ca="1" si="177"/>
        <v>-2422577427798.3848</v>
      </c>
      <c r="M4078" s="471">
        <f t="shared" si="179"/>
        <v>0.05</v>
      </c>
      <c r="N4078" s="475">
        <f t="shared" si="180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78"/>
        <v>-2422577427798.3848</v>
      </c>
      <c r="J4079" s="455">
        <f t="array" ref="J4079">IFERROR(INDEX('Retirement Calculator'!J:J,MATCH('Isaac 401k'!N4079,'Retirement Calculator'!A:A,0),0),0)</f>
        <v>0</v>
      </c>
      <c r="K4079" s="455">
        <f t="shared" ca="1" si="176"/>
        <v>-10094072615.826603</v>
      </c>
      <c r="L4079" s="455">
        <f t="shared" ca="1" si="177"/>
        <v>-2432671500414.2114</v>
      </c>
      <c r="M4079" s="471">
        <f t="shared" si="179"/>
        <v>0.05</v>
      </c>
      <c r="N4079" s="475">
        <f t="shared" si="180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78"/>
        <v>-2432671500414.2114</v>
      </c>
      <c r="J4080" s="455">
        <f t="array" ref="J4080">IFERROR(INDEX('Retirement Calculator'!J:J,MATCH('Isaac 401k'!N4080,'Retirement Calculator'!A:A,0),0),0)</f>
        <v>0</v>
      </c>
      <c r="K4080" s="455">
        <f t="shared" ca="1" si="176"/>
        <v>-10136131251.725882</v>
      </c>
      <c r="L4080" s="455">
        <f t="shared" ca="1" si="177"/>
        <v>-2442807631665.9375</v>
      </c>
      <c r="M4080" s="471">
        <f t="shared" si="179"/>
        <v>0.05</v>
      </c>
      <c r="N4080" s="475">
        <f t="shared" si="180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78"/>
        <v>-2442807631665.9375</v>
      </c>
      <c r="J4081" s="455">
        <f t="array" ref="J4081">IFERROR(INDEX('Retirement Calculator'!J:J,MATCH('Isaac 401k'!N4081,'Retirement Calculator'!A:A,0),0),0)</f>
        <v>0</v>
      </c>
      <c r="K4081" s="455">
        <f t="shared" ca="1" si="176"/>
        <v>-10178365131.941406</v>
      </c>
      <c r="L4081" s="455">
        <f t="shared" ca="1" si="177"/>
        <v>-2452985996797.8789</v>
      </c>
      <c r="M4081" s="471">
        <f t="shared" si="179"/>
        <v>0.05</v>
      </c>
      <c r="N4081" s="475">
        <f t="shared" si="180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78"/>
        <v>-2452985996797.8789</v>
      </c>
      <c r="J4082" s="455">
        <f t="array" ref="J4082">IFERROR(INDEX('Retirement Calculator'!J:J,MATCH('Isaac 401k'!N4082,'Retirement Calculator'!A:A,0),0),0)</f>
        <v>0</v>
      </c>
      <c r="K4082" s="455">
        <f t="shared" ca="1" si="176"/>
        <v>-10220774986.657829</v>
      </c>
      <c r="L4082" s="455">
        <f t="shared" ca="1" si="177"/>
        <v>-2463206771784.5366</v>
      </c>
      <c r="M4082" s="471">
        <f t="shared" si="179"/>
        <v>0.05</v>
      </c>
      <c r="N4082" s="475">
        <f t="shared" si="180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78"/>
        <v>-2463206771784.5366</v>
      </c>
      <c r="J4083" s="455">
        <f t="array" ref="J4083">IFERROR(INDEX('Retirement Calculator'!J:J,MATCH('Isaac 401k'!N4083,'Retirement Calculator'!A:A,0),0),0)</f>
        <v>0</v>
      </c>
      <c r="K4083" s="455">
        <f t="shared" ca="1" si="176"/>
        <v>-10263361549.102236</v>
      </c>
      <c r="L4083" s="455">
        <f t="shared" ca="1" si="177"/>
        <v>-2473470133333.6387</v>
      </c>
      <c r="M4083" s="471">
        <f t="shared" si="179"/>
        <v>0.05</v>
      </c>
      <c r="N4083" s="475">
        <f t="shared" si="180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78"/>
        <v>-2473470133333.6387</v>
      </c>
      <c r="J4084" s="455">
        <f t="array" ref="J4084">IFERROR(INDEX('Retirement Calculator'!J:J,MATCH('Isaac 401k'!N4084,'Retirement Calculator'!A:A,0),0),0)</f>
        <v>0</v>
      </c>
      <c r="K4084" s="455">
        <f t="shared" ca="1" si="176"/>
        <v>-10306125555.556828</v>
      </c>
      <c r="L4084" s="455">
        <f t="shared" ca="1" si="177"/>
        <v>-2483776258889.1953</v>
      </c>
      <c r="M4084" s="471">
        <f t="shared" si="179"/>
        <v>0.05</v>
      </c>
      <c r="N4084" s="475">
        <f t="shared" si="180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78"/>
        <v>-2483776258889.1953</v>
      </c>
      <c r="J4085" s="455">
        <f t="array" ref="J4085">IFERROR(INDEX('Retirement Calculator'!J:J,MATCH('Isaac 401k'!N4085,'Retirement Calculator'!A:A,0),0),0)</f>
        <v>0</v>
      </c>
      <c r="K4085" s="455">
        <f t="shared" ca="1" si="176"/>
        <v>-10349067745.371647</v>
      </c>
      <c r="L4085" s="455">
        <f t="shared" ca="1" si="177"/>
        <v>-2494125326634.5669</v>
      </c>
      <c r="M4085" s="471">
        <f t="shared" si="179"/>
        <v>0.05</v>
      </c>
      <c r="N4085" s="475">
        <f t="shared" si="180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78"/>
        <v>-2494125326634.5669</v>
      </c>
      <c r="J4086" s="455">
        <f t="array" ref="J4086">IFERROR(INDEX('Retirement Calculator'!J:J,MATCH('Isaac 401k'!N4086,'Retirement Calculator'!A:A,0),0),0)</f>
        <v>0</v>
      </c>
      <c r="K4086" s="455">
        <f t="shared" ca="1" si="176"/>
        <v>-10392188860.977362</v>
      </c>
      <c r="L4086" s="455">
        <f t="shared" ca="1" si="177"/>
        <v>-2504517515495.5444</v>
      </c>
      <c r="M4086" s="471">
        <f t="shared" si="179"/>
        <v>0.05</v>
      </c>
      <c r="N4086" s="475">
        <f t="shared" si="180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78"/>
        <v>-2504517515495.5444</v>
      </c>
      <c r="J4087" s="455">
        <f t="array" ref="J4087">IFERROR(INDEX('Retirement Calculator'!J:J,MATCH('Isaac 401k'!N4087,'Retirement Calculator'!A:A,0),0),0)</f>
        <v>0</v>
      </c>
      <c r="K4087" s="455">
        <f t="shared" ca="1" si="176"/>
        <v>-10435489647.898102</v>
      </c>
      <c r="L4087" s="455">
        <f t="shared" ca="1" si="177"/>
        <v>-2514953005143.4424</v>
      </c>
      <c r="M4087" s="471">
        <f t="shared" si="179"/>
        <v>0.05</v>
      </c>
      <c r="N4087" s="475">
        <f t="shared" si="180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78"/>
        <v>-2514953005143.4424</v>
      </c>
      <c r="J4088" s="455">
        <f t="array" ref="J4088">IFERROR(INDEX('Retirement Calculator'!J:J,MATCH('Isaac 401k'!N4088,'Retirement Calculator'!A:A,0),0),0)</f>
        <v>0</v>
      </c>
      <c r="K4088" s="455">
        <f t="shared" ref="K4088:K4342" ca="1" si="181">IPMT(M4088/12,1,12,-I4088+J4088,,0)</f>
        <v>-10478970854.764343</v>
      </c>
      <c r="L4088" s="455">
        <f t="shared" ref="L4088:L4342" ca="1" si="182">I4088-J4088+K4088</f>
        <v>-2525431975998.2065</v>
      </c>
      <c r="M4088" s="471">
        <f t="shared" si="179"/>
        <v>0.05</v>
      </c>
      <c r="N4088" s="475">
        <f t="shared" si="180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83">L4088</f>
        <v>-2525431975998.2065</v>
      </c>
      <c r="J4089" s="455">
        <f t="array" ref="J4089">IFERROR(INDEX('Retirement Calculator'!J:J,MATCH('Isaac 401k'!N4089,'Retirement Calculator'!A:A,0),0),0)</f>
        <v>0</v>
      </c>
      <c r="K4089" s="455">
        <f t="shared" ca="1" si="181"/>
        <v>-10522633233.325861</v>
      </c>
      <c r="L4089" s="455">
        <f t="shared" ca="1" si="182"/>
        <v>-2535954609231.5322</v>
      </c>
      <c r="M4089" s="471">
        <f t="shared" ref="M4089:M4343" si="184">M4088</f>
        <v>0.05</v>
      </c>
      <c r="N4089" s="475">
        <f t="shared" ref="N4089:N4343" si="185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83"/>
        <v>-2535954609231.5322</v>
      </c>
      <c r="J4090" s="455">
        <f t="array" ref="J4090">IFERROR(INDEX('Retirement Calculator'!J:J,MATCH('Isaac 401k'!N4090,'Retirement Calculator'!A:A,0),0),0)</f>
        <v>0</v>
      </c>
      <c r="K4090" s="455">
        <f t="shared" ca="1" si="181"/>
        <v>-10566477538.464718</v>
      </c>
      <c r="L4090" s="455">
        <f t="shared" ca="1" si="182"/>
        <v>-2546521086769.9971</v>
      </c>
      <c r="M4090" s="471">
        <f t="shared" si="184"/>
        <v>0.05</v>
      </c>
      <c r="N4090" s="475">
        <f t="shared" si="185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83"/>
        <v>-2546521086769.9971</v>
      </c>
      <c r="J4091" s="455">
        <f t="array" ref="J4091">IFERROR(INDEX('Retirement Calculator'!J:J,MATCH('Isaac 401k'!N4091,'Retirement Calculator'!A:A,0),0),0)</f>
        <v>0</v>
      </c>
      <c r="K4091" s="455">
        <f t="shared" ca="1" si="181"/>
        <v>-10610504528.208321</v>
      </c>
      <c r="L4091" s="455">
        <f t="shared" ca="1" si="182"/>
        <v>-2557131591298.2056</v>
      </c>
      <c r="M4091" s="471">
        <f t="shared" si="184"/>
        <v>0.05</v>
      </c>
      <c r="N4091" s="475">
        <f t="shared" si="185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83"/>
        <v>-2557131591298.2056</v>
      </c>
      <c r="J4092" s="455">
        <f t="array" ref="J4092">IFERROR(INDEX('Retirement Calculator'!J:J,MATCH('Isaac 401k'!N4092,'Retirement Calculator'!A:A,0),0),0)</f>
        <v>0</v>
      </c>
      <c r="K4092" s="455">
        <f t="shared" ca="1" si="181"/>
        <v>-10654714963.742523</v>
      </c>
      <c r="L4092" s="455">
        <f t="shared" ca="1" si="182"/>
        <v>-2567786306261.9482</v>
      </c>
      <c r="M4092" s="471">
        <f t="shared" si="184"/>
        <v>0.05</v>
      </c>
      <c r="N4092" s="475">
        <f t="shared" si="185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83"/>
        <v>-2567786306261.9482</v>
      </c>
      <c r="J4093" s="455">
        <f t="array" ref="J4093">IFERROR(INDEX('Retirement Calculator'!J:J,MATCH('Isaac 401k'!N4093,'Retirement Calculator'!A:A,0),0),0)</f>
        <v>0</v>
      </c>
      <c r="K4093" s="455">
        <f t="shared" ca="1" si="181"/>
        <v>-10699109609.424784</v>
      </c>
      <c r="L4093" s="455">
        <f t="shared" ca="1" si="182"/>
        <v>-2578485415871.373</v>
      </c>
      <c r="M4093" s="471">
        <f t="shared" si="184"/>
        <v>0.05</v>
      </c>
      <c r="N4093" s="475">
        <f t="shared" si="185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83"/>
        <v>-2578485415871.373</v>
      </c>
      <c r="J4094" s="455">
        <f t="array" ref="J4094">IFERROR(INDEX('Retirement Calculator'!J:J,MATCH('Isaac 401k'!N4094,'Retirement Calculator'!A:A,0),0),0)</f>
        <v>0</v>
      </c>
      <c r="K4094" s="455">
        <f t="shared" ca="1" si="181"/>
        <v>-10743689232.797388</v>
      </c>
      <c r="L4094" s="455">
        <f t="shared" ca="1" si="182"/>
        <v>-2589229105104.1704</v>
      </c>
      <c r="M4094" s="471">
        <f t="shared" si="184"/>
        <v>0.05</v>
      </c>
      <c r="N4094" s="475">
        <f t="shared" si="185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83"/>
        <v>-2589229105104.1704</v>
      </c>
      <c r="J4095" s="455">
        <f t="array" ref="J4095">IFERROR(INDEX('Retirement Calculator'!J:J,MATCH('Isaac 401k'!N4095,'Retirement Calculator'!A:A,0),0),0)</f>
        <v>0</v>
      </c>
      <c r="K4095" s="455">
        <f t="shared" ca="1" si="181"/>
        <v>-10788454604.60071</v>
      </c>
      <c r="L4095" s="455">
        <f t="shared" ca="1" si="182"/>
        <v>-2600017559708.771</v>
      </c>
      <c r="M4095" s="471">
        <f t="shared" si="184"/>
        <v>0.05</v>
      </c>
      <c r="N4095" s="475">
        <f t="shared" si="185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83"/>
        <v>-2600017559708.771</v>
      </c>
      <c r="J4096" s="455">
        <f t="array" ref="J4096">IFERROR(INDEX('Retirement Calculator'!J:J,MATCH('Isaac 401k'!N4096,'Retirement Calculator'!A:A,0),0),0)</f>
        <v>0</v>
      </c>
      <c r="K4096" s="455">
        <f t="shared" ca="1" si="181"/>
        <v>-10833406498.786545</v>
      </c>
      <c r="L4096" s="455">
        <f t="shared" ca="1" si="182"/>
        <v>-2610850966207.5576</v>
      </c>
      <c r="M4096" s="471">
        <f t="shared" si="184"/>
        <v>0.05</v>
      </c>
      <c r="N4096" s="475">
        <f t="shared" si="185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83"/>
        <v>-2610850966207.5576</v>
      </c>
      <c r="J4097" s="455">
        <f t="array" ref="J4097">IFERROR(INDEX('Retirement Calculator'!J:J,MATCH('Isaac 401k'!N4097,'Retirement Calculator'!A:A,0),0),0)</f>
        <v>0</v>
      </c>
      <c r="K4097" s="455">
        <f t="shared" ca="1" si="181"/>
        <v>-10878545692.53149</v>
      </c>
      <c r="L4097" s="455">
        <f t="shared" ca="1" si="182"/>
        <v>-2621729511900.0889</v>
      </c>
      <c r="M4097" s="471">
        <f t="shared" si="184"/>
        <v>0.05</v>
      </c>
      <c r="N4097" s="475">
        <f t="shared" si="185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83"/>
        <v>-2621729511900.0889</v>
      </c>
      <c r="J4098" s="455">
        <f t="array" ref="J4098">IFERROR(INDEX('Retirement Calculator'!J:J,MATCH('Isaac 401k'!N4098,'Retirement Calculator'!A:A,0),0),0)</f>
        <v>0</v>
      </c>
      <c r="K4098" s="455">
        <f t="shared" ca="1" si="181"/>
        <v>-10923872966.25037</v>
      </c>
      <c r="L4098" s="455">
        <f t="shared" ca="1" si="182"/>
        <v>-2632653384866.3394</v>
      </c>
      <c r="M4098" s="471">
        <f t="shared" si="184"/>
        <v>0.05</v>
      </c>
      <c r="N4098" s="475">
        <f t="shared" si="185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83"/>
        <v>-2632653384866.3394</v>
      </c>
      <c r="J4099" s="455">
        <f t="array" ref="J4099">IFERROR(INDEX('Retirement Calculator'!J:J,MATCH('Isaac 401k'!N4099,'Retirement Calculator'!A:A,0),0),0)</f>
        <v>0</v>
      </c>
      <c r="K4099" s="455">
        <f t="shared" ca="1" si="181"/>
        <v>-10969389103.609747</v>
      </c>
      <c r="L4099" s="455">
        <f t="shared" ca="1" si="182"/>
        <v>-2643622773969.9492</v>
      </c>
      <c r="M4099" s="471">
        <f t="shared" si="184"/>
        <v>0.05</v>
      </c>
      <c r="N4099" s="475">
        <f t="shared" si="185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83"/>
        <v>-2643622773969.9492</v>
      </c>
      <c r="J4100" s="455">
        <f t="array" ref="J4100">IFERROR(INDEX('Retirement Calculator'!J:J,MATCH('Isaac 401k'!N4100,'Retirement Calculator'!A:A,0),0),0)</f>
        <v>0</v>
      </c>
      <c r="K4100" s="455">
        <f t="shared" ca="1" si="181"/>
        <v>-11015094891.541454</v>
      </c>
      <c r="L4100" s="455">
        <f t="shared" ca="1" si="182"/>
        <v>-2654637868861.4907</v>
      </c>
      <c r="M4100" s="471">
        <f t="shared" si="184"/>
        <v>0.05</v>
      </c>
      <c r="N4100" s="475">
        <f t="shared" si="185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83"/>
        <v>-2654637868861.4907</v>
      </c>
      <c r="J4101" s="455">
        <f t="array" ref="J4101">IFERROR(INDEX('Retirement Calculator'!J:J,MATCH('Isaac 401k'!N4101,'Retirement Calculator'!A:A,0),0),0)</f>
        <v>0</v>
      </c>
      <c r="K4101" s="455">
        <f t="shared" ca="1" si="181"/>
        <v>-11060991120.25621</v>
      </c>
      <c r="L4101" s="455">
        <f t="shared" ca="1" si="182"/>
        <v>-2665698859981.7471</v>
      </c>
      <c r="M4101" s="471">
        <f t="shared" si="184"/>
        <v>0.05</v>
      </c>
      <c r="N4101" s="475">
        <f t="shared" si="185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83"/>
        <v>-2665698859981.7471</v>
      </c>
      <c r="J4102" s="455">
        <f t="array" ref="J4102">IFERROR(INDEX('Retirement Calculator'!J:J,MATCH('Isaac 401k'!N4102,'Retirement Calculator'!A:A,0),0),0)</f>
        <v>0</v>
      </c>
      <c r="K4102" s="455">
        <f t="shared" ca="1" si="181"/>
        <v>-11107078583.257278</v>
      </c>
      <c r="L4102" s="455">
        <f t="shared" ca="1" si="182"/>
        <v>-2676805938565.0044</v>
      </c>
      <c r="M4102" s="471">
        <f t="shared" si="184"/>
        <v>0.05</v>
      </c>
      <c r="N4102" s="475">
        <f t="shared" si="185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83"/>
        <v>-2676805938565.0044</v>
      </c>
      <c r="J4103" s="455">
        <f t="array" ref="J4103">IFERROR(INDEX('Retirement Calculator'!J:J,MATCH('Isaac 401k'!N4103,'Retirement Calculator'!A:A,0),0),0)</f>
        <v>0</v>
      </c>
      <c r="K4103" s="455">
        <f t="shared" ca="1" si="181"/>
        <v>-11153358077.354185</v>
      </c>
      <c r="L4103" s="455">
        <f t="shared" ca="1" si="182"/>
        <v>-2687959296642.3584</v>
      </c>
      <c r="M4103" s="471">
        <f t="shared" si="184"/>
        <v>0.05</v>
      </c>
      <c r="N4103" s="475">
        <f t="shared" si="185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83"/>
        <v>-2687959296642.3584</v>
      </c>
      <c r="J4104" s="455">
        <f t="array" ref="J4104">IFERROR(INDEX('Retirement Calculator'!J:J,MATCH('Isaac 401k'!N4104,'Retirement Calculator'!A:A,0),0),0)</f>
        <v>0</v>
      </c>
      <c r="K4104" s="455">
        <f t="shared" ca="1" si="181"/>
        <v>-11199830402.676493</v>
      </c>
      <c r="L4104" s="455">
        <f t="shared" ca="1" si="182"/>
        <v>-2699159127045.0347</v>
      </c>
      <c r="M4104" s="471">
        <f t="shared" si="184"/>
        <v>0.05</v>
      </c>
      <c r="N4104" s="475">
        <f t="shared" si="185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83"/>
        <v>-2699159127045.0347</v>
      </c>
      <c r="J4105" s="455">
        <f t="array" ref="J4105">IFERROR(INDEX('Retirement Calculator'!J:J,MATCH('Isaac 401k'!N4105,'Retirement Calculator'!A:A,0),0),0)</f>
        <v>0</v>
      </c>
      <c r="K4105" s="455">
        <f t="shared" ca="1" si="181"/>
        <v>-11246496362.687645</v>
      </c>
      <c r="L4105" s="455">
        <f t="shared" ca="1" si="182"/>
        <v>-2710405623407.7222</v>
      </c>
      <c r="M4105" s="471">
        <f t="shared" si="184"/>
        <v>0.05</v>
      </c>
      <c r="N4105" s="475">
        <f t="shared" si="185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83"/>
        <v>-2710405623407.7222</v>
      </c>
      <c r="J4106" s="455">
        <f t="array" ref="J4106">IFERROR(INDEX('Retirement Calculator'!J:J,MATCH('Isaac 401k'!N4106,'Retirement Calculator'!A:A,0),0),0)</f>
        <v>0</v>
      </c>
      <c r="K4106" s="455">
        <f t="shared" ca="1" si="181"/>
        <v>-11293356764.198843</v>
      </c>
      <c r="L4106" s="455">
        <f t="shared" ca="1" si="182"/>
        <v>-2721698980171.9209</v>
      </c>
      <c r="M4106" s="471">
        <f t="shared" si="184"/>
        <v>0.05</v>
      </c>
      <c r="N4106" s="475">
        <f t="shared" si="185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83"/>
        <v>-2721698980171.9209</v>
      </c>
      <c r="J4107" s="455">
        <f t="array" ref="J4107">IFERROR(INDEX('Retirement Calculator'!J:J,MATCH('Isaac 401k'!N4107,'Retirement Calculator'!A:A,0),0),0)</f>
        <v>0</v>
      </c>
      <c r="K4107" s="455">
        <f t="shared" ca="1" si="181"/>
        <v>-11340412417.383003</v>
      </c>
      <c r="L4107" s="455">
        <f t="shared" ca="1" si="182"/>
        <v>-2733039392589.3037</v>
      </c>
      <c r="M4107" s="471">
        <f t="shared" si="184"/>
        <v>0.05</v>
      </c>
      <c r="N4107" s="475">
        <f t="shared" si="185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83"/>
        <v>-2733039392589.3037</v>
      </c>
      <c r="J4108" s="455">
        <f t="array" ref="J4108">IFERROR(INDEX('Retirement Calculator'!J:J,MATCH('Isaac 401k'!N4108,'Retirement Calculator'!A:A,0),0),0)</f>
        <v>0</v>
      </c>
      <c r="K4108" s="455">
        <f t="shared" ca="1" si="181"/>
        <v>-11387664135.788765</v>
      </c>
      <c r="L4108" s="455">
        <f t="shared" ca="1" si="182"/>
        <v>-2744427056725.0923</v>
      </c>
      <c r="M4108" s="471">
        <f t="shared" si="184"/>
        <v>0.05</v>
      </c>
      <c r="N4108" s="475">
        <f t="shared" si="185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83"/>
        <v>-2744427056725.0923</v>
      </c>
      <c r="J4109" s="455">
        <f t="array" ref="J4109">IFERROR(INDEX('Retirement Calculator'!J:J,MATCH('Isaac 401k'!N4109,'Retirement Calculator'!A:A,0),0),0)</f>
        <v>0</v>
      </c>
      <c r="K4109" s="455">
        <f t="shared" ca="1" si="181"/>
        <v>-11435112736.354551</v>
      </c>
      <c r="L4109" s="455">
        <f t="shared" ca="1" si="182"/>
        <v>-2755862169461.4468</v>
      </c>
      <c r="M4109" s="471">
        <f t="shared" si="184"/>
        <v>0.05</v>
      </c>
      <c r="N4109" s="475">
        <f t="shared" si="185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83"/>
        <v>-2755862169461.4468</v>
      </c>
      <c r="J4110" s="455">
        <f t="array" ref="J4110">IFERROR(INDEX('Retirement Calculator'!J:J,MATCH('Isaac 401k'!N4110,'Retirement Calculator'!A:A,0),0),0)</f>
        <v>0</v>
      </c>
      <c r="K4110" s="455">
        <f t="shared" ca="1" si="181"/>
        <v>-11482759039.422695</v>
      </c>
      <c r="L4110" s="455">
        <f t="shared" ca="1" si="182"/>
        <v>-2767344928500.8696</v>
      </c>
      <c r="M4110" s="471">
        <f t="shared" si="184"/>
        <v>0.05</v>
      </c>
      <c r="N4110" s="475">
        <f t="shared" si="185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83"/>
        <v>-2767344928500.8696</v>
      </c>
      <c r="J4111" s="455">
        <f t="array" ref="J4111">IFERROR(INDEX('Retirement Calculator'!J:J,MATCH('Isaac 401k'!N4111,'Retirement Calculator'!A:A,0),0),0)</f>
        <v>0</v>
      </c>
      <c r="K4111" s="455">
        <f t="shared" ca="1" si="181"/>
        <v>-11530603868.753624</v>
      </c>
      <c r="L4111" s="455">
        <f t="shared" ca="1" si="182"/>
        <v>-2778875532369.623</v>
      </c>
      <c r="M4111" s="471">
        <f t="shared" si="184"/>
        <v>0.05</v>
      </c>
      <c r="N4111" s="475">
        <f t="shared" si="185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83"/>
        <v>-2778875532369.623</v>
      </c>
      <c r="J4112" s="455">
        <f t="array" ref="J4112">IFERROR(INDEX('Retirement Calculator'!J:J,MATCH('Isaac 401k'!N4112,'Retirement Calculator'!A:A,0),0),0)</f>
        <v>0</v>
      </c>
      <c r="K4112" s="455">
        <f t="shared" ca="1" si="181"/>
        <v>-11578648051.540096</v>
      </c>
      <c r="L4112" s="455">
        <f t="shared" ca="1" si="182"/>
        <v>-2790454180421.1631</v>
      </c>
      <c r="M4112" s="471">
        <f t="shared" si="184"/>
        <v>0.05</v>
      </c>
      <c r="N4112" s="475">
        <f t="shared" si="185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83"/>
        <v>-2790454180421.1631</v>
      </c>
      <c r="J4113" s="455">
        <f t="array" ref="J4113">IFERROR(INDEX('Retirement Calculator'!J:J,MATCH('Isaac 401k'!N4113,'Retirement Calculator'!A:A,0),0),0)</f>
        <v>0</v>
      </c>
      <c r="K4113" s="455">
        <f t="shared" ca="1" si="181"/>
        <v>-11626892418.421513</v>
      </c>
      <c r="L4113" s="455">
        <f t="shared" ca="1" si="182"/>
        <v>-2802081072839.5845</v>
      </c>
      <c r="M4113" s="471">
        <f t="shared" si="184"/>
        <v>0.05</v>
      </c>
      <c r="N4113" s="475">
        <f t="shared" si="185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83"/>
        <v>-2802081072839.5845</v>
      </c>
      <c r="J4114" s="455">
        <f t="array" ref="J4114">IFERROR(INDEX('Retirement Calculator'!J:J,MATCH('Isaac 401k'!N4114,'Retirement Calculator'!A:A,0),0),0)</f>
        <v>0</v>
      </c>
      <c r="K4114" s="455">
        <f t="shared" ca="1" si="181"/>
        <v>-11675337803.498268</v>
      </c>
      <c r="L4114" s="455">
        <f t="shared" ca="1" si="182"/>
        <v>-2813756410643.0825</v>
      </c>
      <c r="M4114" s="471">
        <f t="shared" si="184"/>
        <v>0.05</v>
      </c>
      <c r="N4114" s="475">
        <f t="shared" si="185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83"/>
        <v>-2813756410643.0825</v>
      </c>
      <c r="J4115" s="455">
        <f t="array" ref="J4115">IFERROR(INDEX('Retirement Calculator'!J:J,MATCH('Isaac 401k'!N4115,'Retirement Calculator'!A:A,0),0),0)</f>
        <v>0</v>
      </c>
      <c r="K4115" s="455">
        <f t="shared" ca="1" si="181"/>
        <v>-11723985044.346176</v>
      </c>
      <c r="L4115" s="455">
        <f t="shared" ca="1" si="182"/>
        <v>-2825480395687.4287</v>
      </c>
      <c r="M4115" s="471">
        <f t="shared" si="184"/>
        <v>0.05</v>
      </c>
      <c r="N4115" s="475">
        <f t="shared" si="185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83"/>
        <v>-2825480395687.4287</v>
      </c>
      <c r="J4116" s="455">
        <f t="array" ref="J4116">IFERROR(INDEX('Retirement Calculator'!J:J,MATCH('Isaac 401k'!N4116,'Retirement Calculator'!A:A,0),0),0)</f>
        <v>0</v>
      </c>
      <c r="K4116" s="455">
        <f t="shared" ca="1" si="181"/>
        <v>-11772834982.030952</v>
      </c>
      <c r="L4116" s="455">
        <f t="shared" ca="1" si="182"/>
        <v>-2837253230669.4595</v>
      </c>
      <c r="M4116" s="471">
        <f t="shared" si="184"/>
        <v>0.05</v>
      </c>
      <c r="N4116" s="475">
        <f t="shared" si="185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83"/>
        <v>-2837253230669.4595</v>
      </c>
      <c r="J4117" s="455">
        <f t="array" ref="J4117">IFERROR(INDEX('Retirement Calculator'!J:J,MATCH('Isaac 401k'!N4117,'Retirement Calculator'!A:A,0),0),0)</f>
        <v>0</v>
      </c>
      <c r="K4117" s="455">
        <f t="shared" ca="1" si="181"/>
        <v>-11821888461.122747</v>
      </c>
      <c r="L4117" s="455">
        <f t="shared" ca="1" si="182"/>
        <v>-2849075119130.582</v>
      </c>
      <c r="M4117" s="471">
        <f t="shared" si="184"/>
        <v>0.05</v>
      </c>
      <c r="N4117" s="475">
        <f t="shared" si="185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83"/>
        <v>-2849075119130.582</v>
      </c>
      <c r="J4118" s="455">
        <f t="array" ref="J4118">IFERROR(INDEX('Retirement Calculator'!J:J,MATCH('Isaac 401k'!N4118,'Retirement Calculator'!A:A,0),0),0)</f>
        <v>0</v>
      </c>
      <c r="K4118" s="455">
        <f t="shared" ca="1" si="181"/>
        <v>-11871146329.710758</v>
      </c>
      <c r="L4118" s="455">
        <f t="shared" ca="1" si="182"/>
        <v>-2860946265460.293</v>
      </c>
      <c r="M4118" s="471">
        <f t="shared" si="184"/>
        <v>0.05</v>
      </c>
      <c r="N4118" s="475">
        <f t="shared" si="185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83"/>
        <v>-2860946265460.293</v>
      </c>
      <c r="J4119" s="455">
        <f t="array" ref="J4119">IFERROR(INDEX('Retirement Calculator'!J:J,MATCH('Isaac 401k'!N4119,'Retirement Calculator'!A:A,0),0),0)</f>
        <v>0</v>
      </c>
      <c r="K4119" s="455">
        <f t="shared" ca="1" si="181"/>
        <v>-11920609439.417887</v>
      </c>
      <c r="L4119" s="455">
        <f t="shared" ca="1" si="182"/>
        <v>-2872866874899.7109</v>
      </c>
      <c r="M4119" s="471">
        <f t="shared" si="184"/>
        <v>0.05</v>
      </c>
      <c r="N4119" s="475">
        <f t="shared" si="185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83"/>
        <v>-2872866874899.7109</v>
      </c>
      <c r="J4120" s="455">
        <f t="array" ref="J4120">IFERROR(INDEX('Retirement Calculator'!J:J,MATCH('Isaac 401k'!N4120,'Retirement Calculator'!A:A,0),0),0)</f>
        <v>0</v>
      </c>
      <c r="K4120" s="455">
        <f t="shared" ca="1" si="181"/>
        <v>-11970278645.415462</v>
      </c>
      <c r="L4120" s="455">
        <f t="shared" ca="1" si="182"/>
        <v>-2884837153545.1265</v>
      </c>
      <c r="M4120" s="471">
        <f t="shared" si="184"/>
        <v>0.05</v>
      </c>
      <c r="N4120" s="475">
        <f t="shared" si="185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83"/>
        <v>-2884837153545.1265</v>
      </c>
      <c r="J4121" s="455">
        <f t="array" ref="J4121">IFERROR(INDEX('Retirement Calculator'!J:J,MATCH('Isaac 401k'!N4121,'Retirement Calculator'!A:A,0),0),0)</f>
        <v>0</v>
      </c>
      <c r="K4121" s="455">
        <f t="shared" ca="1" si="181"/>
        <v>-12020154806.438026</v>
      </c>
      <c r="L4121" s="455">
        <f t="shared" ca="1" si="182"/>
        <v>-2896857308351.5645</v>
      </c>
      <c r="M4121" s="471">
        <f t="shared" si="184"/>
        <v>0.05</v>
      </c>
      <c r="N4121" s="475">
        <f t="shared" si="185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83"/>
        <v>-2896857308351.5645</v>
      </c>
      <c r="J4122" s="455">
        <f t="array" ref="J4122">IFERROR(INDEX('Retirement Calculator'!J:J,MATCH('Isaac 401k'!N4122,'Retirement Calculator'!A:A,0),0),0)</f>
        <v>0</v>
      </c>
      <c r="K4122" s="455">
        <f t="shared" ca="1" si="181"/>
        <v>-12070238784.798185</v>
      </c>
      <c r="L4122" s="455">
        <f t="shared" ca="1" si="182"/>
        <v>-2908927547136.3628</v>
      </c>
      <c r="M4122" s="471">
        <f t="shared" si="184"/>
        <v>0.05</v>
      </c>
      <c r="N4122" s="475">
        <f t="shared" si="185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83"/>
        <v>-2908927547136.3628</v>
      </c>
      <c r="J4123" s="455">
        <f t="array" ref="J4123">IFERROR(INDEX('Retirement Calculator'!J:J,MATCH('Isaac 401k'!N4123,'Retirement Calculator'!A:A,0),0),0)</f>
        <v>0</v>
      </c>
      <c r="K4123" s="455">
        <f t="shared" ca="1" si="181"/>
        <v>-12120531446.401512</v>
      </c>
      <c r="L4123" s="455">
        <f t="shared" ca="1" si="182"/>
        <v>-2921048078582.7642</v>
      </c>
      <c r="M4123" s="471">
        <f t="shared" si="184"/>
        <v>0.05</v>
      </c>
      <c r="N4123" s="475">
        <f t="shared" si="185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83"/>
        <v>-2921048078582.7642</v>
      </c>
      <c r="J4124" s="455">
        <f t="array" ref="J4124">IFERROR(INDEX('Retirement Calculator'!J:J,MATCH('Isaac 401k'!N4124,'Retirement Calculator'!A:A,0),0),0)</f>
        <v>0</v>
      </c>
      <c r="K4124" s="455">
        <f t="shared" ca="1" si="181"/>
        <v>-12171033660.761517</v>
      </c>
      <c r="L4124" s="455">
        <f t="shared" ca="1" si="182"/>
        <v>-2933219112243.5259</v>
      </c>
      <c r="M4124" s="471">
        <f t="shared" si="184"/>
        <v>0.05</v>
      </c>
      <c r="N4124" s="475">
        <f t="shared" si="185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83"/>
        <v>-2933219112243.5259</v>
      </c>
      <c r="J4125" s="455">
        <f t="array" ref="J4125">IFERROR(INDEX('Retirement Calculator'!J:J,MATCH('Isaac 401k'!N4125,'Retirement Calculator'!A:A,0),0),0)</f>
        <v>0</v>
      </c>
      <c r="K4125" s="455">
        <f t="shared" ca="1" si="181"/>
        <v>-12221746301.01469</v>
      </c>
      <c r="L4125" s="455">
        <f t="shared" ca="1" si="182"/>
        <v>-2945440858544.5405</v>
      </c>
      <c r="M4125" s="471">
        <f t="shared" si="184"/>
        <v>0.05</v>
      </c>
      <c r="N4125" s="475">
        <f t="shared" si="185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83"/>
        <v>-2945440858544.5405</v>
      </c>
      <c r="J4126" s="455">
        <f t="array" ref="J4126">IFERROR(INDEX('Retirement Calculator'!J:J,MATCH('Isaac 401k'!N4126,'Retirement Calculator'!A:A,0),0),0)</f>
        <v>0</v>
      </c>
      <c r="K4126" s="455">
        <f t="shared" ca="1" si="181"/>
        <v>-12272670243.935585</v>
      </c>
      <c r="L4126" s="455">
        <f t="shared" ca="1" si="182"/>
        <v>-2957713528788.4761</v>
      </c>
      <c r="M4126" s="471">
        <f t="shared" si="184"/>
        <v>0.05</v>
      </c>
      <c r="N4126" s="475">
        <f t="shared" si="185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83"/>
        <v>-2957713528788.4761</v>
      </c>
      <c r="J4127" s="455">
        <f t="array" ref="J4127">IFERROR(INDEX('Retirement Calculator'!J:J,MATCH('Isaac 401k'!N4127,'Retirement Calculator'!A:A,0),0),0)</f>
        <v>0</v>
      </c>
      <c r="K4127" s="455">
        <f t="shared" ca="1" si="181"/>
        <v>-12323806369.951984</v>
      </c>
      <c r="L4127" s="455">
        <f t="shared" ca="1" si="182"/>
        <v>-2970037335158.4282</v>
      </c>
      <c r="M4127" s="471">
        <f t="shared" si="184"/>
        <v>0.05</v>
      </c>
      <c r="N4127" s="475">
        <f t="shared" si="185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83"/>
        <v>-2970037335158.4282</v>
      </c>
      <c r="J4128" s="455">
        <f t="array" ref="J4128">IFERROR(INDEX('Retirement Calculator'!J:J,MATCH('Isaac 401k'!N4128,'Retirement Calculator'!A:A,0),0),0)</f>
        <v>0</v>
      </c>
      <c r="K4128" s="455">
        <f t="shared" ca="1" si="181"/>
        <v>-12375155563.160118</v>
      </c>
      <c r="L4128" s="455">
        <f t="shared" ca="1" si="182"/>
        <v>-2982412490721.5884</v>
      </c>
      <c r="M4128" s="471">
        <f t="shared" si="184"/>
        <v>0.05</v>
      </c>
      <c r="N4128" s="475">
        <f t="shared" si="185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83"/>
        <v>-2982412490721.5884</v>
      </c>
      <c r="J4129" s="455">
        <f t="array" ref="J4129">IFERROR(INDEX('Retirement Calculator'!J:J,MATCH('Isaac 401k'!N4129,'Retirement Calculator'!A:A,0),0),0)</f>
        <v>0</v>
      </c>
      <c r="K4129" s="455">
        <f t="shared" ca="1" si="181"/>
        <v>-12426718711.339951</v>
      </c>
      <c r="L4129" s="455">
        <f t="shared" ca="1" si="182"/>
        <v>-2994839209432.9282</v>
      </c>
      <c r="M4129" s="471">
        <f t="shared" si="184"/>
        <v>0.05</v>
      </c>
      <c r="N4129" s="475">
        <f t="shared" si="185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83"/>
        <v>-2994839209432.9282</v>
      </c>
      <c r="J4130" s="455">
        <f t="array" ref="J4130">IFERROR(INDEX('Retirement Calculator'!J:J,MATCH('Isaac 401k'!N4130,'Retirement Calculator'!A:A,0),0),0)</f>
        <v>0</v>
      </c>
      <c r="K4130" s="455">
        <f t="shared" ca="1" si="181"/>
        <v>-12478496705.970533</v>
      </c>
      <c r="L4130" s="455">
        <f t="shared" ca="1" si="182"/>
        <v>-3007317706138.8989</v>
      </c>
      <c r="M4130" s="471">
        <f t="shared" si="184"/>
        <v>0.05</v>
      </c>
      <c r="N4130" s="475">
        <f t="shared" si="185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83"/>
        <v>-3007317706138.8989</v>
      </c>
      <c r="J4131" s="455">
        <f t="array" ref="J4131">IFERROR(INDEX('Retirement Calculator'!J:J,MATCH('Isaac 401k'!N4131,'Retirement Calculator'!A:A,0),0),0)</f>
        <v>0</v>
      </c>
      <c r="K4131" s="455">
        <f t="shared" ca="1" si="181"/>
        <v>-12530490442.245413</v>
      </c>
      <c r="L4131" s="455">
        <f t="shared" ca="1" si="182"/>
        <v>-3019848196581.1445</v>
      </c>
      <c r="M4131" s="471">
        <f t="shared" si="184"/>
        <v>0.05</v>
      </c>
      <c r="N4131" s="475">
        <f t="shared" si="185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83"/>
        <v>-3019848196581.1445</v>
      </c>
      <c r="J4132" s="455">
        <f t="array" ref="J4132">IFERROR(INDEX('Retirement Calculator'!J:J,MATCH('Isaac 401k'!N4132,'Retirement Calculator'!A:A,0),0),0)</f>
        <v>0</v>
      </c>
      <c r="K4132" s="455">
        <f t="shared" ca="1" si="181"/>
        <v>-12582700819.088102</v>
      </c>
      <c r="L4132" s="455">
        <f t="shared" ca="1" si="182"/>
        <v>-3032430897400.2324</v>
      </c>
      <c r="M4132" s="471">
        <f t="shared" si="184"/>
        <v>0.05</v>
      </c>
      <c r="N4132" s="475">
        <f t="shared" si="185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83"/>
        <v>-3032430897400.2324</v>
      </c>
      <c r="J4133" s="455">
        <f t="array" ref="J4133">IFERROR(INDEX('Retirement Calculator'!J:J,MATCH('Isaac 401k'!N4133,'Retirement Calculator'!A:A,0),0),0)</f>
        <v>0</v>
      </c>
      <c r="K4133" s="455">
        <f t="shared" ca="1" si="181"/>
        <v>-12635128739.167635</v>
      </c>
      <c r="L4133" s="455">
        <f t="shared" ca="1" si="182"/>
        <v>-3045066026139.3999</v>
      </c>
      <c r="M4133" s="471">
        <f t="shared" si="184"/>
        <v>0.05</v>
      </c>
      <c r="N4133" s="475">
        <f t="shared" si="185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83"/>
        <v>-3045066026139.3999</v>
      </c>
      <c r="J4134" s="455">
        <f t="array" ref="J4134">IFERROR(INDEX('Retirement Calculator'!J:J,MATCH('Isaac 401k'!N4134,'Retirement Calculator'!A:A,0),0),0)</f>
        <v>0</v>
      </c>
      <c r="K4134" s="455">
        <f t="shared" ca="1" si="181"/>
        <v>-12687775108.914165</v>
      </c>
      <c r="L4134" s="455">
        <f t="shared" ca="1" si="182"/>
        <v>-3057753801248.314</v>
      </c>
      <c r="M4134" s="471">
        <f t="shared" si="184"/>
        <v>0.05</v>
      </c>
      <c r="N4134" s="475">
        <f t="shared" si="185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83"/>
        <v>-3057753801248.314</v>
      </c>
      <c r="J4135" s="455">
        <f t="array" ref="J4135">IFERROR(INDEX('Retirement Calculator'!J:J,MATCH('Isaac 401k'!N4135,'Retirement Calculator'!A:A,0),0),0)</f>
        <v>0</v>
      </c>
      <c r="K4135" s="455">
        <f t="shared" ca="1" si="181"/>
        <v>-12740640838.534641</v>
      </c>
      <c r="L4135" s="455">
        <f t="shared" ca="1" si="182"/>
        <v>-3070494442086.8486</v>
      </c>
      <c r="M4135" s="471">
        <f t="shared" si="184"/>
        <v>0.05</v>
      </c>
      <c r="N4135" s="475">
        <f t="shared" si="185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83"/>
        <v>-3070494442086.8486</v>
      </c>
      <c r="J4136" s="455">
        <f t="array" ref="J4136">IFERROR(INDEX('Retirement Calculator'!J:J,MATCH('Isaac 401k'!N4136,'Retirement Calculator'!A:A,0),0),0)</f>
        <v>0</v>
      </c>
      <c r="K4136" s="455">
        <f t="shared" ca="1" si="181"/>
        <v>-12793726842.028536</v>
      </c>
      <c r="L4136" s="455">
        <f t="shared" ca="1" si="182"/>
        <v>-3083288168928.877</v>
      </c>
      <c r="M4136" s="471">
        <f t="shared" si="184"/>
        <v>0.05</v>
      </c>
      <c r="N4136" s="475">
        <f t="shared" si="185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83"/>
        <v>-3083288168928.877</v>
      </c>
      <c r="J4137" s="455">
        <f t="array" ref="J4137">IFERROR(INDEX('Retirement Calculator'!J:J,MATCH('Isaac 401k'!N4137,'Retirement Calculator'!A:A,0),0),0)</f>
        <v>0</v>
      </c>
      <c r="K4137" s="455">
        <f t="shared" ca="1" si="181"/>
        <v>-12847034037.203653</v>
      </c>
      <c r="L4137" s="455">
        <f t="shared" ca="1" si="182"/>
        <v>-3096135202966.0806</v>
      </c>
      <c r="M4137" s="471">
        <f t="shared" si="184"/>
        <v>0.05</v>
      </c>
      <c r="N4137" s="475">
        <f t="shared" si="185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83"/>
        <v>-3096135202966.0806</v>
      </c>
      <c r="J4138" s="455">
        <f t="array" ref="J4138">IFERROR(INDEX('Retirement Calculator'!J:J,MATCH('Isaac 401k'!N4138,'Retirement Calculator'!A:A,0),0),0)</f>
        <v>0</v>
      </c>
      <c r="K4138" s="455">
        <f t="shared" ca="1" si="181"/>
        <v>-12900563345.692001</v>
      </c>
      <c r="L4138" s="455">
        <f t="shared" ca="1" si="182"/>
        <v>-3109035766311.7725</v>
      </c>
      <c r="M4138" s="471">
        <f t="shared" si="184"/>
        <v>0.05</v>
      </c>
      <c r="N4138" s="475">
        <f t="shared" si="185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83"/>
        <v>-3109035766311.7725</v>
      </c>
      <c r="J4139" s="455">
        <f t="array" ref="J4139">IFERROR(INDEX('Retirement Calculator'!J:J,MATCH('Isaac 401k'!N4139,'Retirement Calculator'!A:A,0),0),0)</f>
        <v>0</v>
      </c>
      <c r="K4139" s="455">
        <f t="shared" ca="1" si="181"/>
        <v>-12954315692.965719</v>
      </c>
      <c r="L4139" s="455">
        <f t="shared" ca="1" si="182"/>
        <v>-3121990082004.7383</v>
      </c>
      <c r="M4139" s="471">
        <f t="shared" si="184"/>
        <v>0.05</v>
      </c>
      <c r="N4139" s="475">
        <f t="shared" si="185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83"/>
        <v>-3121990082004.7383</v>
      </c>
      <c r="J4140" s="455">
        <f t="array" ref="J4140">IFERROR(INDEX('Retirement Calculator'!J:J,MATCH('Isaac 401k'!N4140,'Retirement Calculator'!A:A,0),0),0)</f>
        <v>0</v>
      </c>
      <c r="K4140" s="455">
        <f t="shared" ca="1" si="181"/>
        <v>-13008292008.353077</v>
      </c>
      <c r="L4140" s="455">
        <f t="shared" ca="1" si="182"/>
        <v>-3134998374013.0913</v>
      </c>
      <c r="M4140" s="471">
        <f t="shared" si="184"/>
        <v>0.05</v>
      </c>
      <c r="N4140" s="475">
        <f t="shared" si="185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83"/>
        <v>-3134998374013.0913</v>
      </c>
      <c r="J4141" s="455">
        <f t="array" ref="J4141">IFERROR(INDEX('Retirement Calculator'!J:J,MATCH('Isaac 401k'!N4141,'Retirement Calculator'!A:A,0),0),0)</f>
        <v>0</v>
      </c>
      <c r="K4141" s="455">
        <f t="shared" ca="1" si="181"/>
        <v>-13062493225.054546</v>
      </c>
      <c r="L4141" s="455">
        <f t="shared" ca="1" si="182"/>
        <v>-3148060867238.146</v>
      </c>
      <c r="M4141" s="471">
        <f t="shared" si="184"/>
        <v>0.05</v>
      </c>
      <c r="N4141" s="475">
        <f t="shared" si="185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83"/>
        <v>-3148060867238.146</v>
      </c>
      <c r="J4142" s="455">
        <f t="array" ref="J4142">IFERROR(INDEX('Retirement Calculator'!J:J,MATCH('Isaac 401k'!N4142,'Retirement Calculator'!A:A,0),0),0)</f>
        <v>0</v>
      </c>
      <c r="K4142" s="455">
        <f t="shared" ca="1" si="181"/>
        <v>-13116920280.158941</v>
      </c>
      <c r="L4142" s="455">
        <f t="shared" ca="1" si="182"/>
        <v>-3161177787518.3052</v>
      </c>
      <c r="M4142" s="471">
        <f t="shared" si="184"/>
        <v>0.05</v>
      </c>
      <c r="N4142" s="475">
        <f t="shared" si="185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83"/>
        <v>-3161177787518.3052</v>
      </c>
      <c r="J4143" s="455">
        <f t="array" ref="J4143">IFERROR(INDEX('Retirement Calculator'!J:J,MATCH('Isaac 401k'!N4143,'Retirement Calculator'!A:A,0),0),0)</f>
        <v>0</v>
      </c>
      <c r="K4143" s="455">
        <f t="shared" ca="1" si="181"/>
        <v>-13171574114.659605</v>
      </c>
      <c r="L4143" s="455">
        <f t="shared" ca="1" si="182"/>
        <v>-3174349361632.9648</v>
      </c>
      <c r="M4143" s="471">
        <f t="shared" si="184"/>
        <v>0.05</v>
      </c>
      <c r="N4143" s="475">
        <f t="shared" si="185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83"/>
        <v>-3174349361632.9648</v>
      </c>
      <c r="J4144" s="455">
        <f t="array" ref="J4144">IFERROR(INDEX('Retirement Calculator'!J:J,MATCH('Isaac 401k'!N4144,'Retirement Calculator'!A:A,0),0),0)</f>
        <v>0</v>
      </c>
      <c r="K4144" s="455">
        <f t="shared" ca="1" si="181"/>
        <v>-13226455673.470686</v>
      </c>
      <c r="L4144" s="455">
        <f t="shared" ca="1" si="182"/>
        <v>-3187575817306.4355</v>
      </c>
      <c r="M4144" s="471">
        <f t="shared" si="184"/>
        <v>0.05</v>
      </c>
      <c r="N4144" s="475">
        <f t="shared" si="185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83"/>
        <v>-3187575817306.4355</v>
      </c>
      <c r="J4145" s="455">
        <f t="array" ref="J4145">IFERROR(INDEX('Retirement Calculator'!J:J,MATCH('Isaac 401k'!N4145,'Retirement Calculator'!A:A,0),0),0)</f>
        <v>0</v>
      </c>
      <c r="K4145" s="455">
        <f t="shared" ca="1" si="181"/>
        <v>-13281565905.443481</v>
      </c>
      <c r="L4145" s="455">
        <f t="shared" ca="1" si="182"/>
        <v>-3200857383211.8789</v>
      </c>
      <c r="M4145" s="471">
        <f t="shared" si="184"/>
        <v>0.05</v>
      </c>
      <c r="N4145" s="475">
        <f t="shared" si="185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83"/>
        <v>-3200857383211.8789</v>
      </c>
      <c r="J4146" s="455">
        <f t="array" ref="J4146">IFERROR(INDEX('Retirement Calculator'!J:J,MATCH('Isaac 401k'!N4146,'Retirement Calculator'!A:A,0),0),0)</f>
        <v>0</v>
      </c>
      <c r="K4146" s="455">
        <f t="shared" ca="1" si="181"/>
        <v>-13336905763.382828</v>
      </c>
      <c r="L4146" s="455">
        <f t="shared" ca="1" si="182"/>
        <v>-3214194288975.2617</v>
      </c>
      <c r="M4146" s="471">
        <f t="shared" si="184"/>
        <v>0.05</v>
      </c>
      <c r="N4146" s="475">
        <f t="shared" si="185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83"/>
        <v>-3214194288975.2617</v>
      </c>
      <c r="J4147" s="455">
        <f t="array" ref="J4147">IFERROR(INDEX('Retirement Calculator'!J:J,MATCH('Isaac 401k'!N4147,'Retirement Calculator'!A:A,0),0),0)</f>
        <v>0</v>
      </c>
      <c r="K4147" s="455">
        <f t="shared" ca="1" si="181"/>
        <v>-13392476204.063591</v>
      </c>
      <c r="L4147" s="455">
        <f t="shared" ca="1" si="182"/>
        <v>-3227586765179.3252</v>
      </c>
      <c r="M4147" s="471">
        <f t="shared" si="184"/>
        <v>0.05</v>
      </c>
      <c r="N4147" s="475">
        <f t="shared" si="185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83"/>
        <v>-3227586765179.3252</v>
      </c>
      <c r="J4148" s="455">
        <f t="array" ref="J4148">IFERROR(INDEX('Retirement Calculator'!J:J,MATCH('Isaac 401k'!N4148,'Retirement Calculator'!A:A,0),0),0)</f>
        <v>0</v>
      </c>
      <c r="K4148" s="455">
        <f t="shared" ca="1" si="181"/>
        <v>-13448278188.247189</v>
      </c>
      <c r="L4148" s="455">
        <f t="shared" ca="1" si="182"/>
        <v>-3241035043367.5723</v>
      </c>
      <c r="M4148" s="471">
        <f t="shared" si="184"/>
        <v>0.05</v>
      </c>
      <c r="N4148" s="475">
        <f t="shared" si="185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83"/>
        <v>-3241035043367.5723</v>
      </c>
      <c r="J4149" s="455">
        <f t="array" ref="J4149">IFERROR(INDEX('Retirement Calculator'!J:J,MATCH('Isaac 401k'!N4149,'Retirement Calculator'!A:A,0),0),0)</f>
        <v>0</v>
      </c>
      <c r="K4149" s="455">
        <f t="shared" ca="1" si="181"/>
        <v>-13504312680.698217</v>
      </c>
      <c r="L4149" s="455">
        <f t="shared" ca="1" si="182"/>
        <v>-3254539356048.2705</v>
      </c>
      <c r="M4149" s="471">
        <f t="shared" si="184"/>
        <v>0.05</v>
      </c>
      <c r="N4149" s="475">
        <f t="shared" si="185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83"/>
        <v>-3254539356048.2705</v>
      </c>
      <c r="J4150" s="455">
        <f t="array" ref="J4150">IFERROR(INDEX('Retirement Calculator'!J:J,MATCH('Isaac 401k'!N4150,'Retirement Calculator'!A:A,0),0),0)</f>
        <v>0</v>
      </c>
      <c r="K4150" s="455">
        <f t="shared" ca="1" si="181"/>
        <v>-13560580650.201126</v>
      </c>
      <c r="L4150" s="455">
        <f t="shared" ca="1" si="182"/>
        <v>-3268099936698.4717</v>
      </c>
      <c r="M4150" s="471">
        <f t="shared" si="184"/>
        <v>0.05</v>
      </c>
      <c r="N4150" s="475">
        <f t="shared" si="185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83"/>
        <v>-3268099936698.4717</v>
      </c>
      <c r="J4151" s="455">
        <f t="array" ref="J4151">IFERROR(INDEX('Retirement Calculator'!J:J,MATCH('Isaac 401k'!N4151,'Retirement Calculator'!A:A,0),0),0)</f>
        <v>0</v>
      </c>
      <c r="K4151" s="455">
        <f t="shared" ca="1" si="181"/>
        <v>-13617083069.576965</v>
      </c>
      <c r="L4151" s="455">
        <f t="shared" ca="1" si="182"/>
        <v>-3281717019768.0488</v>
      </c>
      <c r="M4151" s="471">
        <f t="shared" si="184"/>
        <v>0.05</v>
      </c>
      <c r="N4151" s="475">
        <f t="shared" si="185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83"/>
        <v>-3281717019768.0488</v>
      </c>
      <c r="J4152" s="455">
        <f t="array" ref="J4152">IFERROR(INDEX('Retirement Calculator'!J:J,MATCH('Isaac 401k'!N4152,'Retirement Calculator'!A:A,0),0),0)</f>
        <v>0</v>
      </c>
      <c r="K4152" s="455">
        <f t="shared" ca="1" si="181"/>
        <v>-13673820915.700203</v>
      </c>
      <c r="L4152" s="455">
        <f t="shared" ca="1" si="182"/>
        <v>-3295390840683.749</v>
      </c>
      <c r="M4152" s="471">
        <f t="shared" si="184"/>
        <v>0.05</v>
      </c>
      <c r="N4152" s="475">
        <f t="shared" si="185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83"/>
        <v>-3295390840683.749</v>
      </c>
      <c r="J4153" s="455">
        <f t="array" ref="J4153">IFERROR(INDEX('Retirement Calculator'!J:J,MATCH('Isaac 401k'!N4153,'Retirement Calculator'!A:A,0),0),0)</f>
        <v>0</v>
      </c>
      <c r="K4153" s="455">
        <f t="shared" ca="1" si="181"/>
        <v>-13730795169.515621</v>
      </c>
      <c r="L4153" s="455">
        <f t="shared" ca="1" si="182"/>
        <v>-3309121635853.2646</v>
      </c>
      <c r="M4153" s="471">
        <f t="shared" si="184"/>
        <v>0.05</v>
      </c>
      <c r="N4153" s="475">
        <f t="shared" si="185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83"/>
        <v>-3309121635853.2646</v>
      </c>
      <c r="J4154" s="455">
        <f t="array" ref="J4154">IFERROR(INDEX('Retirement Calculator'!J:J,MATCH('Isaac 401k'!N4154,'Retirement Calculator'!A:A,0),0),0)</f>
        <v>0</v>
      </c>
      <c r="K4154" s="455">
        <f t="shared" ca="1" si="181"/>
        <v>-13788006816.055269</v>
      </c>
      <c r="L4154" s="455">
        <f t="shared" ca="1" si="182"/>
        <v>-3322909642669.3198</v>
      </c>
      <c r="M4154" s="471">
        <f t="shared" si="184"/>
        <v>0.05</v>
      </c>
      <c r="N4154" s="475">
        <f t="shared" si="185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83"/>
        <v>-3322909642669.3198</v>
      </c>
      <c r="J4155" s="455">
        <f t="array" ref="J4155">IFERROR(INDEX('Retirement Calculator'!J:J,MATCH('Isaac 401k'!N4155,'Retirement Calculator'!A:A,0),0),0)</f>
        <v>0</v>
      </c>
      <c r="K4155" s="455">
        <f t="shared" ca="1" si="181"/>
        <v>-13845456844.4555</v>
      </c>
      <c r="L4155" s="455">
        <f t="shared" ca="1" si="182"/>
        <v>-3336755099513.7754</v>
      </c>
      <c r="M4155" s="471">
        <f t="shared" si="184"/>
        <v>0.05</v>
      </c>
      <c r="N4155" s="475">
        <f t="shared" si="185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83"/>
        <v>-3336755099513.7754</v>
      </c>
      <c r="J4156" s="455">
        <f t="array" ref="J4156">IFERROR(INDEX('Retirement Calculator'!J:J,MATCH('Isaac 401k'!N4156,'Retirement Calculator'!A:A,0),0),0)</f>
        <v>0</v>
      </c>
      <c r="K4156" s="455">
        <f t="shared" ca="1" si="181"/>
        <v>-13903146247.974064</v>
      </c>
      <c r="L4156" s="455">
        <f t="shared" ca="1" si="182"/>
        <v>-3350658245761.7495</v>
      </c>
      <c r="M4156" s="471">
        <f t="shared" si="184"/>
        <v>0.05</v>
      </c>
      <c r="N4156" s="475">
        <f t="shared" si="185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83"/>
        <v>-3350658245761.7495</v>
      </c>
      <c r="J4157" s="455">
        <f t="array" ref="J4157">IFERROR(INDEX('Retirement Calculator'!J:J,MATCH('Isaac 401k'!N4157,'Retirement Calculator'!A:A,0),0),0)</f>
        <v>0</v>
      </c>
      <c r="K4157" s="455">
        <f t="shared" ca="1" si="181"/>
        <v>-13961076024.00729</v>
      </c>
      <c r="L4157" s="455">
        <f t="shared" ca="1" si="182"/>
        <v>-3364619321785.7568</v>
      </c>
      <c r="M4157" s="471">
        <f t="shared" si="184"/>
        <v>0.05</v>
      </c>
      <c r="N4157" s="475">
        <f t="shared" si="185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83"/>
        <v>-3364619321785.7568</v>
      </c>
      <c r="J4158" s="455">
        <f t="array" ref="J4158">IFERROR(INDEX('Retirement Calculator'!J:J,MATCH('Isaac 401k'!N4158,'Retirement Calculator'!A:A,0),0),0)</f>
        <v>0</v>
      </c>
      <c r="K4158" s="455">
        <f t="shared" ca="1" si="181"/>
        <v>-14019247174.107321</v>
      </c>
      <c r="L4158" s="455">
        <f t="shared" ca="1" si="182"/>
        <v>-3378638568959.8643</v>
      </c>
      <c r="M4158" s="471">
        <f t="shared" si="184"/>
        <v>0.05</v>
      </c>
      <c r="N4158" s="475">
        <f t="shared" si="185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83"/>
        <v>-3378638568959.8643</v>
      </c>
      <c r="J4159" s="455">
        <f t="array" ref="J4159">IFERROR(INDEX('Retirement Calculator'!J:J,MATCH('Isaac 401k'!N4159,'Retirement Calculator'!A:A,0),0),0)</f>
        <v>0</v>
      </c>
      <c r="K4159" s="455">
        <f t="shared" ca="1" si="181"/>
        <v>-14077660703.999434</v>
      </c>
      <c r="L4159" s="455">
        <f t="shared" ca="1" si="182"/>
        <v>-3392716229663.8638</v>
      </c>
      <c r="M4159" s="471">
        <f t="shared" si="184"/>
        <v>0.05</v>
      </c>
      <c r="N4159" s="475">
        <f t="shared" si="185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83"/>
        <v>-3392716229663.8638</v>
      </c>
      <c r="J4160" s="455">
        <f t="array" ref="J4160">IFERROR(INDEX('Retirement Calculator'!J:J,MATCH('Isaac 401k'!N4160,'Retirement Calculator'!A:A,0),0),0)</f>
        <v>0</v>
      </c>
      <c r="K4160" s="455">
        <f t="shared" ca="1" si="181"/>
        <v>-14136317623.599432</v>
      </c>
      <c r="L4160" s="455">
        <f t="shared" ca="1" si="182"/>
        <v>-3406852547287.4634</v>
      </c>
      <c r="M4160" s="471">
        <f t="shared" si="184"/>
        <v>0.05</v>
      </c>
      <c r="N4160" s="475">
        <f t="shared" si="185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83"/>
        <v>-3406852547287.4634</v>
      </c>
      <c r="J4161" s="455">
        <f t="array" ref="J4161">IFERROR(INDEX('Retirement Calculator'!J:J,MATCH('Isaac 401k'!N4161,'Retirement Calculator'!A:A,0),0),0)</f>
        <v>0</v>
      </c>
      <c r="K4161" s="455">
        <f t="shared" ca="1" si="181"/>
        <v>-14195218947.031097</v>
      </c>
      <c r="L4161" s="455">
        <f t="shared" ca="1" si="182"/>
        <v>-3421047766234.4946</v>
      </c>
      <c r="M4161" s="471">
        <f t="shared" si="184"/>
        <v>0.05</v>
      </c>
      <c r="N4161" s="475">
        <f t="shared" si="185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83"/>
        <v>-3421047766234.4946</v>
      </c>
      <c r="J4162" s="455">
        <f t="array" ref="J4162">IFERROR(INDEX('Retirement Calculator'!J:J,MATCH('Isaac 401k'!N4162,'Retirement Calculator'!A:A,0),0),0)</f>
        <v>0</v>
      </c>
      <c r="K4162" s="455">
        <f t="shared" ca="1" si="181"/>
        <v>-14254365692.643728</v>
      </c>
      <c r="L4162" s="455">
        <f t="shared" ca="1" si="182"/>
        <v>-3435302131927.1382</v>
      </c>
      <c r="M4162" s="471">
        <f t="shared" si="184"/>
        <v>0.05</v>
      </c>
      <c r="N4162" s="475">
        <f t="shared" si="185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83"/>
        <v>-3435302131927.1382</v>
      </c>
      <c r="J4163" s="455">
        <f t="array" ref="J4163">IFERROR(INDEX('Retirement Calculator'!J:J,MATCH('Isaac 401k'!N4163,'Retirement Calculator'!A:A,0),0),0)</f>
        <v>0</v>
      </c>
      <c r="K4163" s="455">
        <f t="shared" ca="1" si="181"/>
        <v>-14313758883.029741</v>
      </c>
      <c r="L4163" s="455">
        <f t="shared" ca="1" si="182"/>
        <v>-3449615890810.168</v>
      </c>
      <c r="M4163" s="471">
        <f t="shared" si="184"/>
        <v>0.05</v>
      </c>
      <c r="N4163" s="475">
        <f t="shared" si="185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83"/>
        <v>-3449615890810.168</v>
      </c>
      <c r="J4164" s="455">
        <f t="array" ref="J4164">IFERROR(INDEX('Retirement Calculator'!J:J,MATCH('Isaac 401k'!N4164,'Retirement Calculator'!A:A,0),0),0)</f>
        <v>0</v>
      </c>
      <c r="K4164" s="455">
        <f t="shared" ca="1" si="181"/>
        <v>-14373399545.042366</v>
      </c>
      <c r="L4164" s="455">
        <f t="shared" ca="1" si="182"/>
        <v>-3463989290355.2104</v>
      </c>
      <c r="M4164" s="471">
        <f t="shared" si="184"/>
        <v>0.05</v>
      </c>
      <c r="N4164" s="475">
        <f t="shared" si="185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83"/>
        <v>-3463989290355.2104</v>
      </c>
      <c r="J4165" s="455">
        <f t="array" ref="J4165">IFERROR(INDEX('Retirement Calculator'!J:J,MATCH('Isaac 401k'!N4165,'Retirement Calculator'!A:A,0),0),0)</f>
        <v>0</v>
      </c>
      <c r="K4165" s="455">
        <f t="shared" ca="1" si="181"/>
        <v>-14433288709.813377</v>
      </c>
      <c r="L4165" s="455">
        <f t="shared" ca="1" si="182"/>
        <v>-3478422579065.0239</v>
      </c>
      <c r="M4165" s="471">
        <f t="shared" si="184"/>
        <v>0.05</v>
      </c>
      <c r="N4165" s="475">
        <f t="shared" si="185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83"/>
        <v>-3478422579065.0239</v>
      </c>
      <c r="J4166" s="455">
        <f t="array" ref="J4166">IFERROR(INDEX('Retirement Calculator'!J:J,MATCH('Isaac 401k'!N4166,'Retirement Calculator'!A:A,0),0),0)</f>
        <v>0</v>
      </c>
      <c r="K4166" s="455">
        <f t="shared" ca="1" si="181"/>
        <v>-14493427412.770933</v>
      </c>
      <c r="L4166" s="455">
        <f t="shared" ca="1" si="182"/>
        <v>-3492916006477.7949</v>
      </c>
      <c r="M4166" s="471">
        <f t="shared" si="184"/>
        <v>0.05</v>
      </c>
      <c r="N4166" s="475">
        <f t="shared" si="185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83"/>
        <v>-3492916006477.7949</v>
      </c>
      <c r="J4167" s="455">
        <f t="array" ref="J4167">IFERROR(INDEX('Retirement Calculator'!J:J,MATCH('Isaac 401k'!N4167,'Retirement Calculator'!A:A,0),0),0)</f>
        <v>0</v>
      </c>
      <c r="K4167" s="455">
        <f t="shared" ca="1" si="181"/>
        <v>-14553816693.657478</v>
      </c>
      <c r="L4167" s="455">
        <f t="shared" ca="1" si="182"/>
        <v>-3507469823171.4526</v>
      </c>
      <c r="M4167" s="471">
        <f t="shared" si="184"/>
        <v>0.05</v>
      </c>
      <c r="N4167" s="475">
        <f t="shared" si="185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83"/>
        <v>-3507469823171.4526</v>
      </c>
      <c r="J4168" s="455">
        <f t="array" ref="J4168">IFERROR(INDEX('Retirement Calculator'!J:J,MATCH('Isaac 401k'!N4168,'Retirement Calculator'!A:A,0),0),0)</f>
        <v>0</v>
      </c>
      <c r="K4168" s="455">
        <f t="shared" ca="1" si="181"/>
        <v>-14614457596.547722</v>
      </c>
      <c r="L4168" s="455">
        <f t="shared" ca="1" si="182"/>
        <v>-3522084280768.0005</v>
      </c>
      <c r="M4168" s="471">
        <f t="shared" si="184"/>
        <v>0.05</v>
      </c>
      <c r="N4168" s="475">
        <f t="shared" si="185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83"/>
        <v>-3522084280768.0005</v>
      </c>
      <c r="J4169" s="455">
        <f t="array" ref="J4169">IFERROR(INDEX('Retirement Calculator'!J:J,MATCH('Isaac 401k'!N4169,'Retirement Calculator'!A:A,0),0),0)</f>
        <v>0</v>
      </c>
      <c r="K4169" s="455">
        <f t="shared" ca="1" si="181"/>
        <v>-14675351169.866669</v>
      </c>
      <c r="L4169" s="455">
        <f t="shared" ca="1" si="182"/>
        <v>-3536759631937.8672</v>
      </c>
      <c r="M4169" s="471">
        <f t="shared" si="184"/>
        <v>0.05</v>
      </c>
      <c r="N4169" s="475">
        <f t="shared" si="185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83"/>
        <v>-3536759631937.8672</v>
      </c>
      <c r="J4170" s="455">
        <f t="array" ref="J4170">IFERROR(INDEX('Retirement Calculator'!J:J,MATCH('Isaac 401k'!N4170,'Retirement Calculator'!A:A,0),0),0)</f>
        <v>0</v>
      </c>
      <c r="K4170" s="455">
        <f t="shared" ca="1" si="181"/>
        <v>-14736498466.407778</v>
      </c>
      <c r="L4170" s="455">
        <f t="shared" ca="1" si="182"/>
        <v>-3551496130404.2749</v>
      </c>
      <c r="M4170" s="471">
        <f t="shared" si="184"/>
        <v>0.05</v>
      </c>
      <c r="N4170" s="475">
        <f t="shared" si="185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83"/>
        <v>-3551496130404.2749</v>
      </c>
      <c r="J4171" s="455">
        <f t="array" ref="J4171">IFERROR(INDEX('Retirement Calculator'!J:J,MATCH('Isaac 401k'!N4171,'Retirement Calculator'!A:A,0),0),0)</f>
        <v>0</v>
      </c>
      <c r="K4171" s="455">
        <f t="shared" ca="1" si="181"/>
        <v>-14797900543.351145</v>
      </c>
      <c r="L4171" s="455">
        <f t="shared" ca="1" si="182"/>
        <v>-3566294030947.626</v>
      </c>
      <c r="M4171" s="471">
        <f t="shared" si="184"/>
        <v>0.05</v>
      </c>
      <c r="N4171" s="475">
        <f t="shared" si="185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83"/>
        <v>-3566294030947.626</v>
      </c>
      <c r="J4172" s="455">
        <f t="array" ref="J4172">IFERROR(INDEX('Retirement Calculator'!J:J,MATCH('Isaac 401k'!N4172,'Retirement Calculator'!A:A,0),0),0)</f>
        <v>0</v>
      </c>
      <c r="K4172" s="455">
        <f t="shared" ca="1" si="181"/>
        <v>-14859558462.281775</v>
      </c>
      <c r="L4172" s="455">
        <f t="shared" ca="1" si="182"/>
        <v>-3581153589409.9077</v>
      </c>
      <c r="M4172" s="471">
        <f t="shared" si="184"/>
        <v>0.05</v>
      </c>
      <c r="N4172" s="475">
        <f t="shared" si="185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83"/>
        <v>-3581153589409.9077</v>
      </c>
      <c r="J4173" s="455">
        <f t="array" ref="J4173">IFERROR(INDEX('Retirement Calculator'!J:J,MATCH('Isaac 401k'!N4173,'Retirement Calculator'!A:A,0),0),0)</f>
        <v>0</v>
      </c>
      <c r="K4173" s="455">
        <f t="shared" ca="1" si="181"/>
        <v>-14921473289.207949</v>
      </c>
      <c r="L4173" s="455">
        <f t="shared" ca="1" si="182"/>
        <v>-3596075062699.1157</v>
      </c>
      <c r="M4173" s="471">
        <f t="shared" si="184"/>
        <v>0.05</v>
      </c>
      <c r="N4173" s="475">
        <f t="shared" si="185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83"/>
        <v>-3596075062699.1157</v>
      </c>
      <c r="J4174" s="455">
        <f t="array" ref="J4174">IFERROR(INDEX('Retirement Calculator'!J:J,MATCH('Isaac 401k'!N4174,'Retirement Calculator'!A:A,0),0),0)</f>
        <v>0</v>
      </c>
      <c r="K4174" s="455">
        <f t="shared" ca="1" si="181"/>
        <v>-14983646094.579649</v>
      </c>
      <c r="L4174" s="455">
        <f t="shared" ca="1" si="182"/>
        <v>-3611058708793.6953</v>
      </c>
      <c r="M4174" s="471">
        <f t="shared" si="184"/>
        <v>0.05</v>
      </c>
      <c r="N4174" s="475">
        <f t="shared" si="185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83"/>
        <v>-3611058708793.6953</v>
      </c>
      <c r="J4175" s="455">
        <f t="array" ref="J4175">IFERROR(INDEX('Retirement Calculator'!J:J,MATCH('Isaac 401k'!N4175,'Retirement Calculator'!A:A,0),0),0)</f>
        <v>0</v>
      </c>
      <c r="K4175" s="455">
        <f t="shared" ca="1" si="181"/>
        <v>-15046077953.307066</v>
      </c>
      <c r="L4175" s="455">
        <f t="shared" ca="1" si="182"/>
        <v>-3626104786747.0024</v>
      </c>
      <c r="M4175" s="471">
        <f t="shared" si="184"/>
        <v>0.05</v>
      </c>
      <c r="N4175" s="475">
        <f t="shared" si="185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83"/>
        <v>-3626104786747.0024</v>
      </c>
      <c r="J4176" s="455">
        <f t="array" ref="J4176">IFERROR(INDEX('Retirement Calculator'!J:J,MATCH('Isaac 401k'!N4176,'Retirement Calculator'!A:A,0),0),0)</f>
        <v>0</v>
      </c>
      <c r="K4176" s="455">
        <f t="shared" ca="1" si="181"/>
        <v>-15108769944.779177</v>
      </c>
      <c r="L4176" s="455">
        <f t="shared" ca="1" si="182"/>
        <v>-3641213556691.7817</v>
      </c>
      <c r="M4176" s="471">
        <f t="shared" si="184"/>
        <v>0.05</v>
      </c>
      <c r="N4176" s="475">
        <f t="shared" si="185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83"/>
        <v>-3641213556691.7817</v>
      </c>
      <c r="J4177" s="455">
        <f t="array" ref="J4177">IFERROR(INDEX('Retirement Calculator'!J:J,MATCH('Isaac 401k'!N4177,'Retirement Calculator'!A:A,0),0),0)</f>
        <v>0</v>
      </c>
      <c r="K4177" s="455">
        <f t="shared" ca="1" si="181"/>
        <v>-15171723152.882423</v>
      </c>
      <c r="L4177" s="455">
        <f t="shared" ca="1" si="182"/>
        <v>-3656385279844.6641</v>
      </c>
      <c r="M4177" s="471">
        <f t="shared" si="184"/>
        <v>0.05</v>
      </c>
      <c r="N4177" s="475">
        <f t="shared" si="185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83"/>
        <v>-3656385279844.6641</v>
      </c>
      <c r="J4178" s="455">
        <f t="array" ref="J4178">IFERROR(INDEX('Retirement Calculator'!J:J,MATCH('Isaac 401k'!N4178,'Retirement Calculator'!A:A,0),0),0)</f>
        <v>0</v>
      </c>
      <c r="K4178" s="455">
        <f t="shared" ca="1" si="181"/>
        <v>-15234938666.019434</v>
      </c>
      <c r="L4178" s="455">
        <f t="shared" ca="1" si="182"/>
        <v>-3671620218510.6836</v>
      </c>
      <c r="M4178" s="471">
        <f t="shared" si="184"/>
        <v>0.05</v>
      </c>
      <c r="N4178" s="475">
        <f t="shared" si="185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83"/>
        <v>-3671620218510.6836</v>
      </c>
      <c r="J4179" s="455">
        <f t="array" ref="J4179">IFERROR(INDEX('Retirement Calculator'!J:J,MATCH('Isaac 401k'!N4179,'Retirement Calculator'!A:A,0),0),0)</f>
        <v>0</v>
      </c>
      <c r="K4179" s="455">
        <f t="shared" ca="1" si="181"/>
        <v>-15298417577.127848</v>
      </c>
      <c r="L4179" s="455">
        <f t="shared" ca="1" si="182"/>
        <v>-3686918636087.8115</v>
      </c>
      <c r="M4179" s="471">
        <f t="shared" si="184"/>
        <v>0.05</v>
      </c>
      <c r="N4179" s="475">
        <f t="shared" si="185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83"/>
        <v>-3686918636087.8115</v>
      </c>
      <c r="J4180" s="455">
        <f t="array" ref="J4180">IFERROR(INDEX('Retirement Calculator'!J:J,MATCH('Isaac 401k'!N4180,'Retirement Calculator'!A:A,0),0),0)</f>
        <v>0</v>
      </c>
      <c r="K4180" s="455">
        <f t="shared" ca="1" si="181"/>
        <v>-15362160983.699215</v>
      </c>
      <c r="L4180" s="455">
        <f t="shared" ca="1" si="182"/>
        <v>-3702280797071.5107</v>
      </c>
      <c r="M4180" s="471">
        <f t="shared" si="184"/>
        <v>0.05</v>
      </c>
      <c r="N4180" s="475">
        <f t="shared" si="185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83"/>
        <v>-3702280797071.5107</v>
      </c>
      <c r="J4181" s="455">
        <f t="array" ref="J4181">IFERROR(INDEX('Retirement Calculator'!J:J,MATCH('Isaac 401k'!N4181,'Retirement Calculator'!A:A,0),0),0)</f>
        <v>0</v>
      </c>
      <c r="K4181" s="455">
        <f t="shared" ca="1" si="181"/>
        <v>-15426169987.797964</v>
      </c>
      <c r="L4181" s="455">
        <f t="shared" ca="1" si="182"/>
        <v>-3717706967059.3086</v>
      </c>
      <c r="M4181" s="471">
        <f t="shared" si="184"/>
        <v>0.05</v>
      </c>
      <c r="N4181" s="475">
        <f t="shared" si="185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83"/>
        <v>-3717706967059.3086</v>
      </c>
      <c r="J4182" s="455">
        <f t="array" ref="J4182">IFERROR(INDEX('Retirement Calculator'!J:J,MATCH('Isaac 401k'!N4182,'Retirement Calculator'!A:A,0),0),0)</f>
        <v>0</v>
      </c>
      <c r="K4182" s="455">
        <f t="shared" ca="1" si="181"/>
        <v>-15490445696.080452</v>
      </c>
      <c r="L4182" s="455">
        <f t="shared" ca="1" si="182"/>
        <v>-3733197412755.3892</v>
      </c>
      <c r="M4182" s="471">
        <f t="shared" si="184"/>
        <v>0.05</v>
      </c>
      <c r="N4182" s="475">
        <f t="shared" si="185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83"/>
        <v>-3733197412755.3892</v>
      </c>
      <c r="J4183" s="455">
        <f t="array" ref="J4183">IFERROR(INDEX('Retirement Calculator'!J:J,MATCH('Isaac 401k'!N4183,'Retirement Calculator'!A:A,0),0),0)</f>
        <v>0</v>
      </c>
      <c r="K4183" s="455">
        <f t="shared" ca="1" si="181"/>
        <v>-15554989219.814121</v>
      </c>
      <c r="L4183" s="455">
        <f t="shared" ca="1" si="182"/>
        <v>-3748752401975.2031</v>
      </c>
      <c r="M4183" s="471">
        <f t="shared" si="184"/>
        <v>0.05</v>
      </c>
      <c r="N4183" s="475">
        <f t="shared" si="185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83"/>
        <v>-3748752401975.2031</v>
      </c>
      <c r="J4184" s="455">
        <f t="array" ref="J4184">IFERROR(INDEX('Retirement Calculator'!J:J,MATCH('Isaac 401k'!N4184,'Retirement Calculator'!A:A,0),0),0)</f>
        <v>0</v>
      </c>
      <c r="K4184" s="455">
        <f t="shared" ca="1" si="181"/>
        <v>-15619801674.896677</v>
      </c>
      <c r="L4184" s="455">
        <f t="shared" ca="1" si="182"/>
        <v>-3764372203650.0996</v>
      </c>
      <c r="M4184" s="471">
        <f t="shared" si="184"/>
        <v>0.05</v>
      </c>
      <c r="N4184" s="475">
        <f t="shared" si="185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83"/>
        <v>-3764372203650.0996</v>
      </c>
      <c r="J4185" s="455">
        <f t="array" ref="J4185">IFERROR(INDEX('Retirement Calculator'!J:J,MATCH('Isaac 401k'!N4185,'Retirement Calculator'!A:A,0),0),0)</f>
        <v>0</v>
      </c>
      <c r="K4185" s="455">
        <f t="shared" ca="1" si="181"/>
        <v>-15684884181.875414</v>
      </c>
      <c r="L4185" s="455">
        <f t="shared" ca="1" si="182"/>
        <v>-3780057087831.9751</v>
      </c>
      <c r="M4185" s="471">
        <f t="shared" si="184"/>
        <v>0.05</v>
      </c>
      <c r="N4185" s="475">
        <f t="shared" si="185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83"/>
        <v>-3780057087831.9751</v>
      </c>
      <c r="J4186" s="455">
        <f t="array" ref="J4186">IFERROR(INDEX('Retirement Calculator'!J:J,MATCH('Isaac 401k'!N4186,'Retirement Calculator'!A:A,0),0),0)</f>
        <v>0</v>
      </c>
      <c r="K4186" s="455">
        <f t="shared" ca="1" si="181"/>
        <v>-15750237865.966564</v>
      </c>
      <c r="L4186" s="455">
        <f t="shared" ca="1" si="182"/>
        <v>-3795807325697.9419</v>
      </c>
      <c r="M4186" s="471">
        <f t="shared" si="184"/>
        <v>0.05</v>
      </c>
      <c r="N4186" s="475">
        <f t="shared" si="185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83"/>
        <v>-3795807325697.9419</v>
      </c>
      <c r="J4187" s="455">
        <f t="array" ref="J4187">IFERROR(INDEX('Retirement Calculator'!J:J,MATCH('Isaac 401k'!N4187,'Retirement Calculator'!A:A,0),0),0)</f>
        <v>0</v>
      </c>
      <c r="K4187" s="455">
        <f t="shared" ca="1" si="181"/>
        <v>-15815863857.074759</v>
      </c>
      <c r="L4187" s="455">
        <f t="shared" ca="1" si="182"/>
        <v>-3811623189555.0166</v>
      </c>
      <c r="M4187" s="471">
        <f t="shared" si="184"/>
        <v>0.05</v>
      </c>
      <c r="N4187" s="475">
        <f t="shared" si="185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83"/>
        <v>-3811623189555.0166</v>
      </c>
      <c r="J4188" s="455">
        <f t="array" ref="J4188">IFERROR(INDEX('Retirement Calculator'!J:J,MATCH('Isaac 401k'!N4188,'Retirement Calculator'!A:A,0),0),0)</f>
        <v>0</v>
      </c>
      <c r="K4188" s="455">
        <f t="shared" ca="1" si="181"/>
        <v>-15881763289.812569</v>
      </c>
      <c r="L4188" s="455">
        <f t="shared" ca="1" si="182"/>
        <v>-3827504952844.8291</v>
      </c>
      <c r="M4188" s="471">
        <f t="shared" si="184"/>
        <v>0.05</v>
      </c>
      <c r="N4188" s="475">
        <f t="shared" si="185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83"/>
        <v>-3827504952844.8291</v>
      </c>
      <c r="J4189" s="455">
        <f t="array" ref="J4189">IFERROR(INDEX('Retirement Calculator'!J:J,MATCH('Isaac 401k'!N4189,'Retirement Calculator'!A:A,0),0),0)</f>
        <v>0</v>
      </c>
      <c r="K4189" s="455">
        <f t="shared" ca="1" si="181"/>
        <v>-15947937303.520121</v>
      </c>
      <c r="L4189" s="455">
        <f t="shared" ca="1" si="182"/>
        <v>-3843452890148.3491</v>
      </c>
      <c r="M4189" s="471">
        <f t="shared" si="184"/>
        <v>0.05</v>
      </c>
      <c r="N4189" s="475">
        <f t="shared" si="185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83"/>
        <v>-3843452890148.3491</v>
      </c>
      <c r="J4190" s="455">
        <f t="array" ref="J4190">IFERROR(INDEX('Retirement Calculator'!J:J,MATCH('Isaac 401k'!N4190,'Retirement Calculator'!A:A,0),0),0)</f>
        <v>0</v>
      </c>
      <c r="K4190" s="455">
        <f t="shared" ca="1" si="181"/>
        <v>-16014387042.284786</v>
      </c>
      <c r="L4190" s="455">
        <f t="shared" ca="1" si="182"/>
        <v>-3859467277190.6338</v>
      </c>
      <c r="M4190" s="471">
        <f t="shared" si="184"/>
        <v>0.05</v>
      </c>
      <c r="N4190" s="475">
        <f t="shared" si="185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83"/>
        <v>-3859467277190.6338</v>
      </c>
      <c r="J4191" s="455">
        <f t="array" ref="J4191">IFERROR(INDEX('Retirement Calculator'!J:J,MATCH('Isaac 401k'!N4191,'Retirement Calculator'!A:A,0),0),0)</f>
        <v>0</v>
      </c>
      <c r="K4191" s="455">
        <f t="shared" ca="1" si="181"/>
        <v>-16081113654.960976</v>
      </c>
      <c r="L4191" s="455">
        <f t="shared" ca="1" si="182"/>
        <v>-3875548390845.5947</v>
      </c>
      <c r="M4191" s="471">
        <f t="shared" si="184"/>
        <v>0.05</v>
      </c>
      <c r="N4191" s="475">
        <f t="shared" si="185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83"/>
        <v>-3875548390845.5947</v>
      </c>
      <c r="J4192" s="455">
        <f t="array" ref="J4192">IFERROR(INDEX('Retirement Calculator'!J:J,MATCH('Isaac 401k'!N4192,'Retirement Calculator'!A:A,0),0),0)</f>
        <v>0</v>
      </c>
      <c r="K4192" s="455">
        <f t="shared" ca="1" si="181"/>
        <v>-16148118295.18998</v>
      </c>
      <c r="L4192" s="455">
        <f t="shared" ca="1" si="182"/>
        <v>-3891696509140.7847</v>
      </c>
      <c r="M4192" s="471">
        <f t="shared" si="184"/>
        <v>0.05</v>
      </c>
      <c r="N4192" s="475">
        <f t="shared" si="185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83"/>
        <v>-3891696509140.7847</v>
      </c>
      <c r="J4193" s="455">
        <f t="array" ref="J4193">IFERROR(INDEX('Retirement Calculator'!J:J,MATCH('Isaac 401k'!N4193,'Retirement Calculator'!A:A,0),0),0)</f>
        <v>0</v>
      </c>
      <c r="K4193" s="455">
        <f t="shared" ca="1" si="181"/>
        <v>-16215402121.419935</v>
      </c>
      <c r="L4193" s="455">
        <f t="shared" ca="1" si="182"/>
        <v>-3907911911262.2046</v>
      </c>
      <c r="M4193" s="471">
        <f t="shared" si="184"/>
        <v>0.05</v>
      </c>
      <c r="N4193" s="475">
        <f t="shared" si="185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83"/>
        <v>-3907911911262.2046</v>
      </c>
      <c r="J4194" s="455">
        <f t="array" ref="J4194">IFERROR(INDEX('Retirement Calculator'!J:J,MATCH('Isaac 401k'!N4194,'Retirement Calculator'!A:A,0),0),0)</f>
        <v>0</v>
      </c>
      <c r="K4194" s="455">
        <f t="shared" ca="1" si="181"/>
        <v>-16282966296.925852</v>
      </c>
      <c r="L4194" s="455">
        <f t="shared" ca="1" si="182"/>
        <v>-3924194877559.1304</v>
      </c>
      <c r="M4194" s="471">
        <f t="shared" si="184"/>
        <v>0.05</v>
      </c>
      <c r="N4194" s="475">
        <f t="shared" si="185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83"/>
        <v>-3924194877559.1304</v>
      </c>
      <c r="J4195" s="455">
        <f t="array" ref="J4195">IFERROR(INDEX('Retirement Calculator'!J:J,MATCH('Isaac 401k'!N4195,'Retirement Calculator'!A:A,0),0),0)</f>
        <v>0</v>
      </c>
      <c r="K4195" s="455">
        <f t="shared" ca="1" si="181"/>
        <v>-16350811989.82971</v>
      </c>
      <c r="L4195" s="455">
        <f t="shared" ca="1" si="182"/>
        <v>-3940545689548.96</v>
      </c>
      <c r="M4195" s="471">
        <f t="shared" si="184"/>
        <v>0.05</v>
      </c>
      <c r="N4195" s="475">
        <f t="shared" si="185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83"/>
        <v>-3940545689548.96</v>
      </c>
      <c r="J4196" s="455">
        <f t="array" ref="J4196">IFERROR(INDEX('Retirement Calculator'!J:J,MATCH('Isaac 401k'!N4196,'Retirement Calculator'!A:A,0),0),0)</f>
        <v>0</v>
      </c>
      <c r="K4196" s="455">
        <f t="shared" ca="1" si="181"/>
        <v>-16418940373.120667</v>
      </c>
      <c r="L4196" s="455">
        <f t="shared" ca="1" si="182"/>
        <v>-3956964629922.0806</v>
      </c>
      <c r="M4196" s="471">
        <f t="shared" si="184"/>
        <v>0.05</v>
      </c>
      <c r="N4196" s="475">
        <f t="shared" si="185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83"/>
        <v>-3956964629922.0806</v>
      </c>
      <c r="J4197" s="455">
        <f t="array" ref="J4197">IFERROR(INDEX('Retirement Calculator'!J:J,MATCH('Isaac 401k'!N4197,'Retirement Calculator'!A:A,0),0),0)</f>
        <v>0</v>
      </c>
      <c r="K4197" s="455">
        <f t="shared" ca="1" si="181"/>
        <v>-16487352624.675335</v>
      </c>
      <c r="L4197" s="455">
        <f t="shared" ca="1" si="182"/>
        <v>-3973451982546.7559</v>
      </c>
      <c r="M4197" s="471">
        <f t="shared" si="184"/>
        <v>0.05</v>
      </c>
      <c r="N4197" s="475">
        <f t="shared" si="185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83"/>
        <v>-3973451982546.7559</v>
      </c>
      <c r="J4198" s="455">
        <f t="array" ref="J4198">IFERROR(INDEX('Retirement Calculator'!J:J,MATCH('Isaac 401k'!N4198,'Retirement Calculator'!A:A,0),0),0)</f>
        <v>0</v>
      </c>
      <c r="K4198" s="455">
        <f t="shared" ca="1" si="181"/>
        <v>-16556049927.278147</v>
      </c>
      <c r="L4198" s="455">
        <f t="shared" ca="1" si="182"/>
        <v>-3990008032474.0342</v>
      </c>
      <c r="M4198" s="471">
        <f t="shared" si="184"/>
        <v>0.05</v>
      </c>
      <c r="N4198" s="475">
        <f t="shared" si="185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83"/>
        <v>-3990008032474.0342</v>
      </c>
      <c r="J4199" s="455">
        <f t="array" ref="J4199">IFERROR(INDEX('Retirement Calculator'!J:J,MATCH('Isaac 401k'!N4199,'Retirement Calculator'!A:A,0),0),0)</f>
        <v>0</v>
      </c>
      <c r="K4199" s="455">
        <f t="shared" ca="1" si="181"/>
        <v>-16625033468.641809</v>
      </c>
      <c r="L4199" s="455">
        <f t="shared" ca="1" si="182"/>
        <v>-4006633065942.6758</v>
      </c>
      <c r="M4199" s="471">
        <f t="shared" si="184"/>
        <v>0.05</v>
      </c>
      <c r="N4199" s="475">
        <f t="shared" si="185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83"/>
        <v>-4006633065942.6758</v>
      </c>
      <c r="J4200" s="455">
        <f t="array" ref="J4200">IFERROR(INDEX('Retirement Calculator'!J:J,MATCH('Isaac 401k'!N4200,'Retirement Calculator'!A:A,0),0),0)</f>
        <v>0</v>
      </c>
      <c r="K4200" s="455">
        <f t="shared" ca="1" si="181"/>
        <v>-16694304441.427813</v>
      </c>
      <c r="L4200" s="455">
        <f t="shared" ca="1" si="182"/>
        <v>-4023327370384.1035</v>
      </c>
      <c r="M4200" s="471">
        <f t="shared" si="184"/>
        <v>0.05</v>
      </c>
      <c r="N4200" s="475">
        <f t="shared" si="185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83"/>
        <v>-4023327370384.1035</v>
      </c>
      <c r="J4201" s="455">
        <f t="array" ref="J4201">IFERROR(INDEX('Retirement Calculator'!J:J,MATCH('Isaac 401k'!N4201,'Retirement Calculator'!A:A,0),0),0)</f>
        <v>0</v>
      </c>
      <c r="K4201" s="455">
        <f t="shared" ca="1" si="181"/>
        <v>-16763864043.267097</v>
      </c>
      <c r="L4201" s="455">
        <f t="shared" ca="1" si="182"/>
        <v>-4040091234427.3706</v>
      </c>
      <c r="M4201" s="471">
        <f t="shared" si="184"/>
        <v>0.05</v>
      </c>
      <c r="N4201" s="475">
        <f t="shared" si="185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83"/>
        <v>-4040091234427.3706</v>
      </c>
      <c r="J4202" s="455">
        <f t="array" ref="J4202">IFERROR(INDEX('Retirement Calculator'!J:J,MATCH('Isaac 401k'!N4202,'Retirement Calculator'!A:A,0),0),0)</f>
        <v>0</v>
      </c>
      <c r="K4202" s="455">
        <f t="shared" ca="1" si="181"/>
        <v>-16833713476.780708</v>
      </c>
      <c r="L4202" s="455">
        <f t="shared" ca="1" si="182"/>
        <v>-4056924947904.1514</v>
      </c>
      <c r="M4202" s="471">
        <f t="shared" si="184"/>
        <v>0.05</v>
      </c>
      <c r="N4202" s="475">
        <f t="shared" si="185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83"/>
        <v>-4056924947904.1514</v>
      </c>
      <c r="J4203" s="455">
        <f t="array" ref="J4203">IFERROR(INDEX('Retirement Calculator'!J:J,MATCH('Isaac 401k'!N4203,'Retirement Calculator'!A:A,0),0),0)</f>
        <v>0</v>
      </c>
      <c r="K4203" s="455">
        <f t="shared" ca="1" si="181"/>
        <v>-16903853949.600632</v>
      </c>
      <c r="L4203" s="455">
        <f t="shared" ca="1" si="182"/>
        <v>-4073828801853.752</v>
      </c>
      <c r="M4203" s="471">
        <f t="shared" si="184"/>
        <v>0.05</v>
      </c>
      <c r="N4203" s="475">
        <f t="shared" si="185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83"/>
        <v>-4073828801853.752</v>
      </c>
      <c r="J4204" s="455">
        <f t="array" ref="J4204">IFERROR(INDEX('Retirement Calculator'!J:J,MATCH('Isaac 401k'!N4204,'Retirement Calculator'!A:A,0),0),0)</f>
        <v>0</v>
      </c>
      <c r="K4204" s="455">
        <f t="shared" ca="1" si="181"/>
        <v>-16974286674.390633</v>
      </c>
      <c r="L4204" s="455">
        <f t="shared" ca="1" si="182"/>
        <v>-4090803088528.1426</v>
      </c>
      <c r="M4204" s="471">
        <f t="shared" si="184"/>
        <v>0.05</v>
      </c>
      <c r="N4204" s="475">
        <f t="shared" si="185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83"/>
        <v>-4090803088528.1426</v>
      </c>
      <c r="J4205" s="455">
        <f t="array" ref="J4205">IFERROR(INDEX('Retirement Calculator'!J:J,MATCH('Isaac 401k'!N4205,'Retirement Calculator'!A:A,0),0),0)</f>
        <v>0</v>
      </c>
      <c r="K4205" s="455">
        <f t="shared" ca="1" si="181"/>
        <v>-17045012868.86726</v>
      </c>
      <c r="L4205" s="455">
        <f t="shared" ca="1" si="182"/>
        <v>-4107848101397.0098</v>
      </c>
      <c r="M4205" s="471">
        <f t="shared" si="184"/>
        <v>0.05</v>
      </c>
      <c r="N4205" s="475">
        <f t="shared" si="185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83"/>
        <v>-4107848101397.0098</v>
      </c>
      <c r="J4206" s="455">
        <f t="array" ref="J4206">IFERROR(INDEX('Retirement Calculator'!J:J,MATCH('Isaac 401k'!N4206,'Retirement Calculator'!A:A,0),0),0)</f>
        <v>0</v>
      </c>
      <c r="K4206" s="455">
        <f t="shared" ca="1" si="181"/>
        <v>-17116033755.820873</v>
      </c>
      <c r="L4206" s="455">
        <f t="shared" ca="1" si="182"/>
        <v>-4124964135152.8306</v>
      </c>
      <c r="M4206" s="471">
        <f t="shared" si="184"/>
        <v>0.05</v>
      </c>
      <c r="N4206" s="475">
        <f t="shared" si="185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83"/>
        <v>-4124964135152.8306</v>
      </c>
      <c r="J4207" s="455">
        <f t="array" ref="J4207">IFERROR(INDEX('Retirement Calculator'!J:J,MATCH('Isaac 401k'!N4207,'Retirement Calculator'!A:A,0),0),0)</f>
        <v>0</v>
      </c>
      <c r="K4207" s="455">
        <f t="shared" ca="1" si="181"/>
        <v>-17187350563.136791</v>
      </c>
      <c r="L4207" s="455">
        <f t="shared" ca="1" si="182"/>
        <v>-4142151485715.9673</v>
      </c>
      <c r="M4207" s="471">
        <f t="shared" si="184"/>
        <v>0.05</v>
      </c>
      <c r="N4207" s="475">
        <f t="shared" si="185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83"/>
        <v>-4142151485715.9673</v>
      </c>
      <c r="J4208" s="455">
        <f t="array" ref="J4208">IFERROR(INDEX('Retirement Calculator'!J:J,MATCH('Isaac 401k'!N4208,'Retirement Calculator'!A:A,0),0),0)</f>
        <v>0</v>
      </c>
      <c r="K4208" s="455">
        <f t="shared" ca="1" si="181"/>
        <v>-17258964523.816532</v>
      </c>
      <c r="L4208" s="455">
        <f t="shared" ca="1" si="182"/>
        <v>-4159410450239.7837</v>
      </c>
      <c r="M4208" s="471">
        <f t="shared" si="184"/>
        <v>0.05</v>
      </c>
      <c r="N4208" s="475">
        <f t="shared" si="185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83"/>
        <v>-4159410450239.7837</v>
      </c>
      <c r="J4209" s="455">
        <f t="array" ref="J4209">IFERROR(INDEX('Retirement Calculator'!J:J,MATCH('Isaac 401k'!N4209,'Retirement Calculator'!A:A,0),0),0)</f>
        <v>0</v>
      </c>
      <c r="K4209" s="455">
        <f t="shared" ca="1" si="181"/>
        <v>-17330876875.9991</v>
      </c>
      <c r="L4209" s="455">
        <f t="shared" ca="1" si="182"/>
        <v>-4176741327115.7827</v>
      </c>
      <c r="M4209" s="471">
        <f t="shared" si="184"/>
        <v>0.05</v>
      </c>
      <c r="N4209" s="475">
        <f t="shared" si="185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83"/>
        <v>-4176741327115.7827</v>
      </c>
      <c r="J4210" s="455">
        <f t="array" ref="J4210">IFERROR(INDEX('Retirement Calculator'!J:J,MATCH('Isaac 401k'!N4210,'Retirement Calculator'!A:A,0),0),0)</f>
        <v>0</v>
      </c>
      <c r="K4210" s="455">
        <f t="shared" ca="1" si="181"/>
        <v>-17403088862.98243</v>
      </c>
      <c r="L4210" s="455">
        <f t="shared" ca="1" si="182"/>
        <v>-4194144415978.7651</v>
      </c>
      <c r="M4210" s="471">
        <f t="shared" si="184"/>
        <v>0.05</v>
      </c>
      <c r="N4210" s="475">
        <f t="shared" si="185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83"/>
        <v>-4194144415978.7651</v>
      </c>
      <c r="J4211" s="455">
        <f t="array" ref="J4211">IFERROR(INDEX('Retirement Calculator'!J:J,MATCH('Isaac 401k'!N4211,'Retirement Calculator'!A:A,0),0),0)</f>
        <v>0</v>
      </c>
      <c r="K4211" s="455">
        <f t="shared" ca="1" si="181"/>
        <v>-17475601733.244854</v>
      </c>
      <c r="L4211" s="455">
        <f t="shared" ca="1" si="182"/>
        <v>-4211620017712.0098</v>
      </c>
      <c r="M4211" s="471">
        <f t="shared" si="184"/>
        <v>0.05</v>
      </c>
      <c r="N4211" s="475">
        <f t="shared" si="185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83"/>
        <v>-4211620017712.0098</v>
      </c>
      <c r="J4212" s="455">
        <f t="array" ref="J4212">IFERROR(INDEX('Retirement Calculator'!J:J,MATCH('Isaac 401k'!N4212,'Retirement Calculator'!A:A,0),0),0)</f>
        <v>0</v>
      </c>
      <c r="K4212" s="455">
        <f t="shared" ca="1" si="181"/>
        <v>-17548416740.466705</v>
      </c>
      <c r="L4212" s="455">
        <f t="shared" ca="1" si="182"/>
        <v>-4229168434452.4766</v>
      </c>
      <c r="M4212" s="471">
        <f t="shared" si="184"/>
        <v>0.05</v>
      </c>
      <c r="N4212" s="475">
        <f t="shared" si="185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83"/>
        <v>-4229168434452.4766</v>
      </c>
      <c r="J4213" s="455">
        <f t="array" ref="J4213">IFERROR(INDEX('Retirement Calculator'!J:J,MATCH('Isaac 401k'!N4213,'Retirement Calculator'!A:A,0),0),0)</f>
        <v>0</v>
      </c>
      <c r="K4213" s="455">
        <f t="shared" ca="1" si="181"/>
        <v>-17621535143.551987</v>
      </c>
      <c r="L4213" s="455">
        <f t="shared" ca="1" si="182"/>
        <v>-4246789969596.0283</v>
      </c>
      <c r="M4213" s="471">
        <f t="shared" si="184"/>
        <v>0.05</v>
      </c>
      <c r="N4213" s="475">
        <f t="shared" si="185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83"/>
        <v>-4246789969596.0283</v>
      </c>
      <c r="J4214" s="455">
        <f t="array" ref="J4214">IFERROR(INDEX('Retirement Calculator'!J:J,MATCH('Isaac 401k'!N4214,'Retirement Calculator'!A:A,0),0),0)</f>
        <v>0</v>
      </c>
      <c r="K4214" s="455">
        <f t="shared" ca="1" si="181"/>
        <v>-17694958206.650116</v>
      </c>
      <c r="L4214" s="455">
        <f t="shared" ca="1" si="182"/>
        <v>-4264484927802.6782</v>
      </c>
      <c r="M4214" s="471">
        <f t="shared" si="184"/>
        <v>0.05</v>
      </c>
      <c r="N4214" s="475">
        <f t="shared" si="185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83"/>
        <v>-4264484927802.6782</v>
      </c>
      <c r="J4215" s="455">
        <f t="array" ref="J4215">IFERROR(INDEX('Retirement Calculator'!J:J,MATCH('Isaac 401k'!N4215,'Retirement Calculator'!A:A,0),0),0)</f>
        <v>0</v>
      </c>
      <c r="K4215" s="455">
        <f t="shared" ca="1" si="181"/>
        <v>-17768687199.177826</v>
      </c>
      <c r="L4215" s="455">
        <f t="shared" ca="1" si="182"/>
        <v>-4282253615001.856</v>
      </c>
      <c r="M4215" s="471">
        <f t="shared" si="184"/>
        <v>0.05</v>
      </c>
      <c r="N4215" s="475">
        <f t="shared" si="185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83"/>
        <v>-4282253615001.856</v>
      </c>
      <c r="J4216" s="455">
        <f t="array" ref="J4216">IFERROR(INDEX('Retirement Calculator'!J:J,MATCH('Isaac 401k'!N4216,'Retirement Calculator'!A:A,0),0),0)</f>
        <v>0</v>
      </c>
      <c r="K4216" s="455">
        <f t="shared" ca="1" si="181"/>
        <v>-17842723395.841068</v>
      </c>
      <c r="L4216" s="455">
        <f t="shared" ca="1" si="182"/>
        <v>-4300096338397.6973</v>
      </c>
      <c r="M4216" s="471">
        <f t="shared" si="184"/>
        <v>0.05</v>
      </c>
      <c r="N4216" s="475">
        <f t="shared" si="185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83"/>
        <v>-4300096338397.6973</v>
      </c>
      <c r="J4217" s="455">
        <f t="array" ref="J4217">IFERROR(INDEX('Retirement Calculator'!J:J,MATCH('Isaac 401k'!N4217,'Retirement Calculator'!A:A,0),0),0)</f>
        <v>0</v>
      </c>
      <c r="K4217" s="455">
        <f t="shared" ca="1" si="181"/>
        <v>-17917068076.65707</v>
      </c>
      <c r="L4217" s="455">
        <f t="shared" ca="1" si="182"/>
        <v>-4318013406474.3545</v>
      </c>
      <c r="M4217" s="471">
        <f t="shared" si="184"/>
        <v>0.05</v>
      </c>
      <c r="N4217" s="475">
        <f t="shared" si="185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83"/>
        <v>-4318013406474.3545</v>
      </c>
      <c r="J4218" s="455">
        <f t="array" ref="J4218">IFERROR(INDEX('Retirement Calculator'!J:J,MATCH('Isaac 401k'!N4218,'Retirement Calculator'!A:A,0),0),0)</f>
        <v>0</v>
      </c>
      <c r="K4218" s="455">
        <f t="shared" ca="1" si="181"/>
        <v>-17991722526.976479</v>
      </c>
      <c r="L4218" s="455">
        <f t="shared" ca="1" si="182"/>
        <v>-4336005129001.3311</v>
      </c>
      <c r="M4218" s="471">
        <f t="shared" si="184"/>
        <v>0.05</v>
      </c>
      <c r="N4218" s="475">
        <f t="shared" si="185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83"/>
        <v>-4336005129001.3311</v>
      </c>
      <c r="J4219" s="455">
        <f t="array" ref="J4219">IFERROR(INDEX('Retirement Calculator'!J:J,MATCH('Isaac 401k'!N4219,'Retirement Calculator'!A:A,0),0),0)</f>
        <v>0</v>
      </c>
      <c r="K4219" s="455">
        <f t="shared" ca="1" si="181"/>
        <v>-18066688037.505547</v>
      </c>
      <c r="L4219" s="455">
        <f t="shared" ca="1" si="182"/>
        <v>-4354071817038.8364</v>
      </c>
      <c r="M4219" s="471">
        <f t="shared" si="184"/>
        <v>0.05</v>
      </c>
      <c r="N4219" s="475">
        <f t="shared" si="185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83"/>
        <v>-4354071817038.8364</v>
      </c>
      <c r="J4220" s="455">
        <f t="array" ref="J4220">IFERROR(INDEX('Retirement Calculator'!J:J,MATCH('Isaac 401k'!N4220,'Retirement Calculator'!A:A,0),0),0)</f>
        <v>0</v>
      </c>
      <c r="K4220" s="455">
        <f t="shared" ca="1" si="181"/>
        <v>-18141965904.328484</v>
      </c>
      <c r="L4220" s="455">
        <f t="shared" ca="1" si="182"/>
        <v>-4372213782943.165</v>
      </c>
      <c r="M4220" s="471">
        <f t="shared" si="184"/>
        <v>0.05</v>
      </c>
      <c r="N4220" s="475">
        <f t="shared" si="185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83"/>
        <v>-4372213782943.165</v>
      </c>
      <c r="J4221" s="455">
        <f t="array" ref="J4221">IFERROR(INDEX('Retirement Calculator'!J:J,MATCH('Isaac 401k'!N4221,'Retirement Calculator'!A:A,0),0),0)</f>
        <v>0</v>
      </c>
      <c r="K4221" s="455">
        <f t="shared" ca="1" si="181"/>
        <v>-18217557428.929855</v>
      </c>
      <c r="L4221" s="455">
        <f t="shared" ca="1" si="182"/>
        <v>-4390431340372.0947</v>
      </c>
      <c r="M4221" s="471">
        <f t="shared" si="184"/>
        <v>0.05</v>
      </c>
      <c r="N4221" s="475">
        <f t="shared" si="185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83"/>
        <v>-4390431340372.0947</v>
      </c>
      <c r="J4222" s="455">
        <f t="array" ref="J4222">IFERROR(INDEX('Retirement Calculator'!J:J,MATCH('Isaac 401k'!N4222,'Retirement Calculator'!A:A,0),0),0)</f>
        <v>0</v>
      </c>
      <c r="K4222" s="455">
        <f t="shared" ca="1" si="181"/>
        <v>-18293463918.21706</v>
      </c>
      <c r="L4222" s="455">
        <f t="shared" ca="1" si="182"/>
        <v>-4408724804290.3115</v>
      </c>
      <c r="M4222" s="471">
        <f t="shared" si="184"/>
        <v>0.05</v>
      </c>
      <c r="N4222" s="475">
        <f t="shared" si="185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83"/>
        <v>-4408724804290.3115</v>
      </c>
      <c r="J4223" s="455">
        <f t="array" ref="J4223">IFERROR(INDEX('Retirement Calculator'!J:J,MATCH('Isaac 401k'!N4223,'Retirement Calculator'!A:A,0),0),0)</f>
        <v>0</v>
      </c>
      <c r="K4223" s="455">
        <f t="shared" ca="1" si="181"/>
        <v>-18369686684.542965</v>
      </c>
      <c r="L4223" s="455">
        <f t="shared" ca="1" si="182"/>
        <v>-4427094490974.8545</v>
      </c>
      <c r="M4223" s="471">
        <f t="shared" si="184"/>
        <v>0.05</v>
      </c>
      <c r="N4223" s="475">
        <f t="shared" si="185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83"/>
        <v>-4427094490974.8545</v>
      </c>
      <c r="J4224" s="455">
        <f t="array" ref="J4224">IFERROR(INDEX('Retirement Calculator'!J:J,MATCH('Isaac 401k'!N4224,'Retirement Calculator'!A:A,0),0),0)</f>
        <v>0</v>
      </c>
      <c r="K4224" s="455">
        <f t="shared" ca="1" si="181"/>
        <v>-18446227045.728561</v>
      </c>
      <c r="L4224" s="455">
        <f t="shared" ca="1" si="182"/>
        <v>-4445540718020.583</v>
      </c>
      <c r="M4224" s="471">
        <f t="shared" si="184"/>
        <v>0.05</v>
      </c>
      <c r="N4224" s="475">
        <f t="shared" si="185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83"/>
        <v>-4445540718020.583</v>
      </c>
      <c r="J4225" s="455">
        <f t="array" ref="J4225">IFERROR(INDEX('Retirement Calculator'!J:J,MATCH('Isaac 401k'!N4225,'Retirement Calculator'!A:A,0),0),0)</f>
        <v>0</v>
      </c>
      <c r="K4225" s="455">
        <f t="shared" ca="1" si="181"/>
        <v>-18523086325.085762</v>
      </c>
      <c r="L4225" s="455">
        <f t="shared" ca="1" si="182"/>
        <v>-4464063804345.6689</v>
      </c>
      <c r="M4225" s="471">
        <f t="shared" si="184"/>
        <v>0.05</v>
      </c>
      <c r="N4225" s="475">
        <f t="shared" si="185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83"/>
        <v>-4464063804345.6689</v>
      </c>
      <c r="J4226" s="455">
        <f t="array" ref="J4226">IFERROR(INDEX('Retirement Calculator'!J:J,MATCH('Isaac 401k'!N4226,'Retirement Calculator'!A:A,0),0),0)</f>
        <v>0</v>
      </c>
      <c r="K4226" s="455">
        <f t="shared" ca="1" si="181"/>
        <v>-18600265851.440289</v>
      </c>
      <c r="L4226" s="455">
        <f t="shared" ca="1" si="182"/>
        <v>-4482664070197.1094</v>
      </c>
      <c r="M4226" s="471">
        <f t="shared" si="184"/>
        <v>0.05</v>
      </c>
      <c r="N4226" s="475">
        <f t="shared" si="185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83"/>
        <v>-4482664070197.1094</v>
      </c>
      <c r="J4227" s="455">
        <f t="array" ref="J4227">IFERROR(INDEX('Retirement Calculator'!J:J,MATCH('Isaac 401k'!N4227,'Retirement Calculator'!A:A,0),0),0)</f>
        <v>0</v>
      </c>
      <c r="K4227" s="455">
        <f t="shared" ca="1" si="181"/>
        <v>-18677766959.154621</v>
      </c>
      <c r="L4227" s="455">
        <f t="shared" ca="1" si="182"/>
        <v>-4501341837156.2637</v>
      </c>
      <c r="M4227" s="471">
        <f t="shared" si="184"/>
        <v>0.05</v>
      </c>
      <c r="N4227" s="475">
        <f t="shared" si="185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83"/>
        <v>-4501341837156.2637</v>
      </c>
      <c r="J4228" s="455">
        <f t="array" ref="J4228">IFERROR(INDEX('Retirement Calculator'!J:J,MATCH('Isaac 401k'!N4228,'Retirement Calculator'!A:A,0),0),0)</f>
        <v>0</v>
      </c>
      <c r="K4228" s="455">
        <f t="shared" ca="1" si="181"/>
        <v>-18755590988.1511</v>
      </c>
      <c r="L4228" s="455">
        <f t="shared" ca="1" si="182"/>
        <v>-4520097428144.415</v>
      </c>
      <c r="M4228" s="471">
        <f t="shared" si="184"/>
        <v>0.05</v>
      </c>
      <c r="N4228" s="475">
        <f t="shared" si="185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83"/>
        <v>-4520097428144.415</v>
      </c>
      <c r="J4229" s="455">
        <f t="array" ref="J4229">IFERROR(INDEX('Retirement Calculator'!J:J,MATCH('Isaac 401k'!N4229,'Retirement Calculator'!A:A,0),0),0)</f>
        <v>0</v>
      </c>
      <c r="K4229" s="455">
        <f t="shared" ca="1" si="181"/>
        <v>-18833739283.935062</v>
      </c>
      <c r="L4229" s="455">
        <f t="shared" ca="1" si="182"/>
        <v>-4538931167428.3506</v>
      </c>
      <c r="M4229" s="471">
        <f t="shared" si="184"/>
        <v>0.05</v>
      </c>
      <c r="N4229" s="475">
        <f t="shared" si="185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83"/>
        <v>-4538931167428.3506</v>
      </c>
      <c r="J4230" s="455">
        <f t="array" ref="J4230">IFERROR(INDEX('Retirement Calculator'!J:J,MATCH('Isaac 401k'!N4230,'Retirement Calculator'!A:A,0),0),0)</f>
        <v>0</v>
      </c>
      <c r="K4230" s="455">
        <f t="shared" ca="1" si="181"/>
        <v>-18912213197.618126</v>
      </c>
      <c r="L4230" s="455">
        <f t="shared" ca="1" si="182"/>
        <v>-4557843380625.9688</v>
      </c>
      <c r="M4230" s="471">
        <f t="shared" si="184"/>
        <v>0.05</v>
      </c>
      <c r="N4230" s="475">
        <f t="shared" si="185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83"/>
        <v>-4557843380625.9688</v>
      </c>
      <c r="J4231" s="455">
        <f t="array" ref="J4231">IFERROR(INDEX('Retirement Calculator'!J:J,MATCH('Isaac 401k'!N4231,'Retirement Calculator'!A:A,0),0),0)</f>
        <v>0</v>
      </c>
      <c r="K4231" s="455">
        <f t="shared" ca="1" si="181"/>
        <v>-18991014085.941536</v>
      </c>
      <c r="L4231" s="455">
        <f t="shared" ca="1" si="182"/>
        <v>-4576834394711.9102</v>
      </c>
      <c r="M4231" s="471">
        <f t="shared" si="184"/>
        <v>0.05</v>
      </c>
      <c r="N4231" s="475">
        <f t="shared" si="185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83"/>
        <v>-4576834394711.9102</v>
      </c>
      <c r="J4232" s="455">
        <f t="array" ref="J4232">IFERROR(INDEX('Retirement Calculator'!J:J,MATCH('Isaac 401k'!N4232,'Retirement Calculator'!A:A,0),0),0)</f>
        <v>0</v>
      </c>
      <c r="K4232" s="455">
        <f t="shared" ca="1" si="181"/>
        <v>-19070143311.299625</v>
      </c>
      <c r="L4232" s="455">
        <f t="shared" ca="1" si="182"/>
        <v>-4595904538023.21</v>
      </c>
      <c r="M4232" s="471">
        <f t="shared" si="184"/>
        <v>0.05</v>
      </c>
      <c r="N4232" s="475">
        <f t="shared" si="185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83"/>
        <v>-4595904538023.21</v>
      </c>
      <c r="J4233" s="455">
        <f t="array" ref="J4233">IFERROR(INDEX('Retirement Calculator'!J:J,MATCH('Isaac 401k'!N4233,'Retirement Calculator'!A:A,0),0),0)</f>
        <v>0</v>
      </c>
      <c r="K4233" s="455">
        <f t="shared" ca="1" si="181"/>
        <v>-19149602241.763374</v>
      </c>
      <c r="L4233" s="455">
        <f t="shared" ca="1" si="182"/>
        <v>-4615054140264.9736</v>
      </c>
      <c r="M4233" s="471">
        <f t="shared" si="184"/>
        <v>0.05</v>
      </c>
      <c r="N4233" s="475">
        <f t="shared" si="185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83"/>
        <v>-4615054140264.9736</v>
      </c>
      <c r="J4234" s="455">
        <f t="array" ref="J4234">IFERROR(INDEX('Retirement Calculator'!J:J,MATCH('Isaac 401k'!N4234,'Retirement Calculator'!A:A,0),0),0)</f>
        <v>0</v>
      </c>
      <c r="K4234" s="455">
        <f t="shared" ca="1" si="181"/>
        <v>-19229392251.104057</v>
      </c>
      <c r="L4234" s="455">
        <f t="shared" ca="1" si="182"/>
        <v>-4634283532516.0781</v>
      </c>
      <c r="M4234" s="471">
        <f t="shared" si="184"/>
        <v>0.05</v>
      </c>
      <c r="N4234" s="475">
        <f t="shared" si="185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83"/>
        <v>-4634283532516.0781</v>
      </c>
      <c r="J4235" s="455">
        <f t="array" ref="J4235">IFERROR(INDEX('Retirement Calculator'!J:J,MATCH('Isaac 401k'!N4235,'Retirement Calculator'!A:A,0),0),0)</f>
        <v>0</v>
      </c>
      <c r="K4235" s="455">
        <f t="shared" ca="1" si="181"/>
        <v>-19309514718.816994</v>
      </c>
      <c r="L4235" s="455">
        <f t="shared" ca="1" si="182"/>
        <v>-4653593047234.8955</v>
      </c>
      <c r="M4235" s="471">
        <f t="shared" si="184"/>
        <v>0.05</v>
      </c>
      <c r="N4235" s="475">
        <f t="shared" si="185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83"/>
        <v>-4653593047234.8955</v>
      </c>
      <c r="J4236" s="455">
        <f t="array" ref="J4236">IFERROR(INDEX('Retirement Calculator'!J:J,MATCH('Isaac 401k'!N4236,'Retirement Calculator'!A:A,0),0),0)</f>
        <v>0</v>
      </c>
      <c r="K4236" s="455">
        <f t="shared" ca="1" si="181"/>
        <v>-19389971030.145397</v>
      </c>
      <c r="L4236" s="455">
        <f t="shared" ca="1" si="182"/>
        <v>-4672983018265.041</v>
      </c>
      <c r="M4236" s="471">
        <f t="shared" si="184"/>
        <v>0.05</v>
      </c>
      <c r="N4236" s="475">
        <f t="shared" si="185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83"/>
        <v>-4672983018265.041</v>
      </c>
      <c r="J4237" s="455">
        <f t="array" ref="J4237">IFERROR(INDEX('Retirement Calculator'!J:J,MATCH('Isaac 401k'!N4237,'Retirement Calculator'!A:A,0),0),0)</f>
        <v>0</v>
      </c>
      <c r="K4237" s="455">
        <f t="shared" ca="1" si="181"/>
        <v>-19470762576.104336</v>
      </c>
      <c r="L4237" s="455">
        <f t="shared" ca="1" si="182"/>
        <v>-4692453780841.1455</v>
      </c>
      <c r="M4237" s="471">
        <f t="shared" si="184"/>
        <v>0.05</v>
      </c>
      <c r="N4237" s="475">
        <f t="shared" si="185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83"/>
        <v>-4692453780841.1455</v>
      </c>
      <c r="J4238" s="455">
        <f t="array" ref="J4238">IFERROR(INDEX('Retirement Calculator'!J:J,MATCH('Isaac 401k'!N4238,'Retirement Calculator'!A:A,0),0),0)</f>
        <v>0</v>
      </c>
      <c r="K4238" s="455">
        <f t="shared" ca="1" si="181"/>
        <v>-19551890753.504772</v>
      </c>
      <c r="L4238" s="455">
        <f t="shared" ca="1" si="182"/>
        <v>-4712005671594.6504</v>
      </c>
      <c r="M4238" s="471">
        <f t="shared" si="184"/>
        <v>0.05</v>
      </c>
      <c r="N4238" s="475">
        <f t="shared" si="185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83"/>
        <v>-4712005671594.6504</v>
      </c>
      <c r="J4239" s="455">
        <f t="array" ref="J4239">IFERROR(INDEX('Retirement Calculator'!J:J,MATCH('Isaac 401k'!N4239,'Retirement Calculator'!A:A,0),0),0)</f>
        <v>0</v>
      </c>
      <c r="K4239" s="455">
        <f t="shared" ca="1" si="181"/>
        <v>-19633356964.977711</v>
      </c>
      <c r="L4239" s="455">
        <f t="shared" ca="1" si="182"/>
        <v>-4731639028559.6279</v>
      </c>
      <c r="M4239" s="471">
        <f t="shared" si="184"/>
        <v>0.05</v>
      </c>
      <c r="N4239" s="475">
        <f t="shared" si="185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83"/>
        <v>-4731639028559.6279</v>
      </c>
      <c r="J4240" s="455">
        <f t="array" ref="J4240">IFERROR(INDEX('Retirement Calculator'!J:J,MATCH('Isaac 401k'!N4240,'Retirement Calculator'!A:A,0),0),0)</f>
        <v>0</v>
      </c>
      <c r="K4240" s="455">
        <f t="shared" ca="1" si="181"/>
        <v>-19715162618.998451</v>
      </c>
      <c r="L4240" s="455">
        <f t="shared" ca="1" si="182"/>
        <v>-4751354191178.626</v>
      </c>
      <c r="M4240" s="471">
        <f t="shared" si="184"/>
        <v>0.05</v>
      </c>
      <c r="N4240" s="475">
        <f t="shared" si="185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83"/>
        <v>-4751354191178.626</v>
      </c>
      <c r="J4241" s="455">
        <f t="array" ref="J4241">IFERROR(INDEX('Retirement Calculator'!J:J,MATCH('Isaac 401k'!N4241,'Retirement Calculator'!A:A,0),0),0)</f>
        <v>0</v>
      </c>
      <c r="K4241" s="455">
        <f t="shared" ca="1" si="181"/>
        <v>-19797309129.910942</v>
      </c>
      <c r="L4241" s="455">
        <f t="shared" ca="1" si="182"/>
        <v>-4771151500308.5371</v>
      </c>
      <c r="M4241" s="471">
        <f t="shared" si="184"/>
        <v>0.05</v>
      </c>
      <c r="N4241" s="475">
        <f t="shared" si="185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83"/>
        <v>-4771151500308.5371</v>
      </c>
      <c r="J4242" s="455">
        <f t="array" ref="J4242">IFERROR(INDEX('Retirement Calculator'!J:J,MATCH('Isaac 401k'!N4242,'Retirement Calculator'!A:A,0),0),0)</f>
        <v>0</v>
      </c>
      <c r="K4242" s="455">
        <f t="shared" ca="1" si="181"/>
        <v>-19879797917.952236</v>
      </c>
      <c r="L4242" s="455">
        <f t="shared" ca="1" si="182"/>
        <v>-4791031298226.4893</v>
      </c>
      <c r="M4242" s="471">
        <f t="shared" si="184"/>
        <v>0.05</v>
      </c>
      <c r="N4242" s="475">
        <f t="shared" si="185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83"/>
        <v>-4791031298226.4893</v>
      </c>
      <c r="J4243" s="455">
        <f t="array" ref="J4243">IFERROR(INDEX('Retirement Calculator'!J:J,MATCH('Isaac 401k'!N4243,'Retirement Calculator'!A:A,0),0),0)</f>
        <v>0</v>
      </c>
      <c r="K4243" s="455">
        <f t="shared" ca="1" si="181"/>
        <v>-19962630409.277039</v>
      </c>
      <c r="L4243" s="455">
        <f t="shared" ca="1" si="182"/>
        <v>-4810993928635.7666</v>
      </c>
      <c r="M4243" s="471">
        <f t="shared" si="184"/>
        <v>0.05</v>
      </c>
      <c r="N4243" s="475">
        <f t="shared" si="185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83"/>
        <v>-4810993928635.7666</v>
      </c>
      <c r="J4244" s="455">
        <f t="array" ref="J4244">IFERROR(INDEX('Retirement Calculator'!J:J,MATCH('Isaac 401k'!N4244,'Retirement Calculator'!A:A,0),0),0)</f>
        <v>0</v>
      </c>
      <c r="K4244" s="455">
        <f t="shared" ca="1" si="181"/>
        <v>-20045808035.982361</v>
      </c>
      <c r="L4244" s="455">
        <f t="shared" ca="1" si="182"/>
        <v>-4831039736671.749</v>
      </c>
      <c r="M4244" s="471">
        <f t="shared" si="184"/>
        <v>0.05</v>
      </c>
      <c r="N4244" s="475">
        <f t="shared" si="185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83"/>
        <v>-4831039736671.749</v>
      </c>
      <c r="J4245" s="455">
        <f t="array" ref="J4245">IFERROR(INDEX('Retirement Calculator'!J:J,MATCH('Isaac 401k'!N4245,'Retirement Calculator'!A:A,0),0),0)</f>
        <v>0</v>
      </c>
      <c r="K4245" s="455">
        <f t="shared" ca="1" si="181"/>
        <v>-20129332236.132286</v>
      </c>
      <c r="L4245" s="455">
        <f t="shared" ca="1" si="182"/>
        <v>-4851169068907.8809</v>
      </c>
      <c r="M4245" s="471">
        <f t="shared" si="184"/>
        <v>0.05</v>
      </c>
      <c r="N4245" s="475">
        <f t="shared" si="185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83"/>
        <v>-4851169068907.8809</v>
      </c>
      <c r="J4246" s="455">
        <f t="array" ref="J4246">IFERROR(INDEX('Retirement Calculator'!J:J,MATCH('Isaac 401k'!N4246,'Retirement Calculator'!A:A,0),0),0)</f>
        <v>0</v>
      </c>
      <c r="K4246" s="455">
        <f t="shared" ca="1" si="181"/>
        <v>-20213204453.782837</v>
      </c>
      <c r="L4246" s="455">
        <f t="shared" ca="1" si="182"/>
        <v>-4871382273361.6641</v>
      </c>
      <c r="M4246" s="471">
        <f t="shared" si="184"/>
        <v>0.05</v>
      </c>
      <c r="N4246" s="475">
        <f t="shared" si="185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83"/>
        <v>-4871382273361.6641</v>
      </c>
      <c r="J4247" s="455">
        <f t="array" ref="J4247">IFERROR(INDEX('Retirement Calculator'!J:J,MATCH('Isaac 401k'!N4247,'Retirement Calculator'!A:A,0),0),0)</f>
        <v>0</v>
      </c>
      <c r="K4247" s="455">
        <f t="shared" ca="1" si="181"/>
        <v>-20297426139.006935</v>
      </c>
      <c r="L4247" s="455">
        <f t="shared" ca="1" si="182"/>
        <v>-4891679699500.6709</v>
      </c>
      <c r="M4247" s="471">
        <f t="shared" si="184"/>
        <v>0.05</v>
      </c>
      <c r="N4247" s="475">
        <f t="shared" si="185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83"/>
        <v>-4891679699500.6709</v>
      </c>
      <c r="J4248" s="455">
        <f t="array" ref="J4248">IFERROR(INDEX('Retirement Calculator'!J:J,MATCH('Isaac 401k'!N4248,'Retirement Calculator'!A:A,0),0),0)</f>
        <v>0</v>
      </c>
      <c r="K4248" s="455">
        <f t="shared" ca="1" si="181"/>
        <v>-20381998747.91946</v>
      </c>
      <c r="L4248" s="455">
        <f t="shared" ca="1" si="182"/>
        <v>-4912061698248.5908</v>
      </c>
      <c r="M4248" s="471">
        <f t="shared" si="184"/>
        <v>0.05</v>
      </c>
      <c r="N4248" s="475">
        <f t="shared" si="185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83"/>
        <v>-4912061698248.5908</v>
      </c>
      <c r="J4249" s="455">
        <f t="array" ref="J4249">IFERROR(INDEX('Retirement Calculator'!J:J,MATCH('Isaac 401k'!N4249,'Retirement Calculator'!A:A,0),0),0)</f>
        <v>0</v>
      </c>
      <c r="K4249" s="455">
        <f t="shared" ca="1" si="181"/>
        <v>-20466923742.702461</v>
      </c>
      <c r="L4249" s="455">
        <f t="shared" ca="1" si="182"/>
        <v>-4932528621991.293</v>
      </c>
      <c r="M4249" s="471">
        <f t="shared" si="184"/>
        <v>0.05</v>
      </c>
      <c r="N4249" s="475">
        <f t="shared" si="185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83"/>
        <v>-4932528621991.293</v>
      </c>
      <c r="J4250" s="455">
        <f t="array" ref="J4250">IFERROR(INDEX('Retirement Calculator'!J:J,MATCH('Isaac 401k'!N4250,'Retirement Calculator'!A:A,0),0),0)</f>
        <v>0</v>
      </c>
      <c r="K4250" s="455">
        <f t="shared" ca="1" si="181"/>
        <v>-20552202591.630386</v>
      </c>
      <c r="L4250" s="455">
        <f t="shared" ca="1" si="182"/>
        <v>-4953080824582.9238</v>
      </c>
      <c r="M4250" s="471">
        <f t="shared" si="184"/>
        <v>0.05</v>
      </c>
      <c r="N4250" s="475">
        <f t="shared" si="185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83"/>
        <v>-4953080824582.9238</v>
      </c>
      <c r="J4251" s="455">
        <f t="array" ref="J4251">IFERROR(INDEX('Retirement Calculator'!J:J,MATCH('Isaac 401k'!N4251,'Retirement Calculator'!A:A,0),0),0)</f>
        <v>0</v>
      </c>
      <c r="K4251" s="455">
        <f t="shared" ca="1" si="181"/>
        <v>-20637836769.095516</v>
      </c>
      <c r="L4251" s="455">
        <f t="shared" ca="1" si="182"/>
        <v>-4973718661352.0195</v>
      </c>
      <c r="M4251" s="471">
        <f t="shared" si="184"/>
        <v>0.05</v>
      </c>
      <c r="N4251" s="475">
        <f t="shared" si="185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83"/>
        <v>-4973718661352.0195</v>
      </c>
      <c r="J4252" s="455">
        <f t="array" ref="J4252">IFERROR(INDEX('Retirement Calculator'!J:J,MATCH('Isaac 401k'!N4252,'Retirement Calculator'!A:A,0),0),0)</f>
        <v>0</v>
      </c>
      <c r="K4252" s="455">
        <f t="shared" ca="1" si="181"/>
        <v>-20723827755.633415</v>
      </c>
      <c r="L4252" s="455">
        <f t="shared" ca="1" si="182"/>
        <v>-4994442489107.6533</v>
      </c>
      <c r="M4252" s="471">
        <f t="shared" si="184"/>
        <v>0.05</v>
      </c>
      <c r="N4252" s="475">
        <f t="shared" si="185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83"/>
        <v>-4994442489107.6533</v>
      </c>
      <c r="J4253" s="455">
        <f t="array" ref="J4253">IFERROR(INDEX('Retirement Calculator'!J:J,MATCH('Isaac 401k'!N4253,'Retirement Calculator'!A:A,0),0),0)</f>
        <v>0</v>
      </c>
      <c r="K4253" s="455">
        <f t="shared" ca="1" si="181"/>
        <v>-20810177037.948555</v>
      </c>
      <c r="L4253" s="455">
        <f t="shared" ca="1" si="182"/>
        <v>-5015252666145.6016</v>
      </c>
      <c r="M4253" s="471">
        <f t="shared" si="184"/>
        <v>0.05</v>
      </c>
      <c r="N4253" s="475">
        <f t="shared" si="185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83"/>
        <v>-5015252666145.6016</v>
      </c>
      <c r="J4254" s="455">
        <f t="array" ref="J4254">IFERROR(INDEX('Retirement Calculator'!J:J,MATCH('Isaac 401k'!N4254,'Retirement Calculator'!A:A,0),0),0)</f>
        <v>0</v>
      </c>
      <c r="K4254" s="455">
        <f t="shared" ca="1" si="181"/>
        <v>-20896886108.940006</v>
      </c>
      <c r="L4254" s="455">
        <f t="shared" ca="1" si="182"/>
        <v>-5036149552254.542</v>
      </c>
      <c r="M4254" s="471">
        <f t="shared" si="184"/>
        <v>0.05</v>
      </c>
      <c r="N4254" s="475">
        <f t="shared" si="185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83"/>
        <v>-5036149552254.542</v>
      </c>
      <c r="J4255" s="455">
        <f t="array" ref="J4255">IFERROR(INDEX('Retirement Calculator'!J:J,MATCH('Isaac 401k'!N4255,'Retirement Calculator'!A:A,0),0),0)</f>
        <v>0</v>
      </c>
      <c r="K4255" s="455">
        <f t="shared" ca="1" si="181"/>
        <v>-20983956467.727257</v>
      </c>
      <c r="L4255" s="455">
        <f t="shared" ca="1" si="182"/>
        <v>-5057133508722.2695</v>
      </c>
      <c r="M4255" s="471">
        <f t="shared" si="184"/>
        <v>0.05</v>
      </c>
      <c r="N4255" s="475">
        <f t="shared" si="185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83"/>
        <v>-5057133508722.2695</v>
      </c>
      <c r="J4256" s="455">
        <f t="array" ref="J4256">IFERROR(INDEX('Retirement Calculator'!J:J,MATCH('Isaac 401k'!N4256,'Retirement Calculator'!A:A,0),0),0)</f>
        <v>0</v>
      </c>
      <c r="K4256" s="455">
        <f t="shared" ca="1" si="181"/>
        <v>-21071389619.676125</v>
      </c>
      <c r="L4256" s="455">
        <f t="shared" ca="1" si="182"/>
        <v>-5078204898341.9453</v>
      </c>
      <c r="M4256" s="471">
        <f t="shared" si="184"/>
        <v>0.05</v>
      </c>
      <c r="N4256" s="475">
        <f t="shared" si="185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83"/>
        <v>-5078204898341.9453</v>
      </c>
      <c r="J4257" s="455">
        <f t="array" ref="J4257">IFERROR(INDEX('Retirement Calculator'!J:J,MATCH('Isaac 401k'!N4257,'Retirement Calculator'!A:A,0),0),0)</f>
        <v>0</v>
      </c>
      <c r="K4257" s="455">
        <f t="shared" ca="1" si="181"/>
        <v>-21159187076.42477</v>
      </c>
      <c r="L4257" s="455">
        <f t="shared" ca="1" si="182"/>
        <v>-5099364085418.3701</v>
      </c>
      <c r="M4257" s="471">
        <f t="shared" si="184"/>
        <v>0.05</v>
      </c>
      <c r="N4257" s="475">
        <f t="shared" si="185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83"/>
        <v>-5099364085418.3701</v>
      </c>
      <c r="J4258" s="455">
        <f t="array" ref="J4258">IFERROR(INDEX('Retirement Calculator'!J:J,MATCH('Isaac 401k'!N4258,'Retirement Calculator'!A:A,0),0),0)</f>
        <v>0</v>
      </c>
      <c r="K4258" s="455">
        <f t="shared" ca="1" si="181"/>
        <v>-21247350355.909874</v>
      </c>
      <c r="L4258" s="455">
        <f t="shared" ca="1" si="182"/>
        <v>-5120611435774.2803</v>
      </c>
      <c r="M4258" s="471">
        <f t="shared" si="184"/>
        <v>0.05</v>
      </c>
      <c r="N4258" s="475">
        <f t="shared" si="185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83"/>
        <v>-5120611435774.2803</v>
      </c>
      <c r="J4259" s="455">
        <f t="array" ref="J4259">IFERROR(INDEX('Retirement Calculator'!J:J,MATCH('Isaac 401k'!N4259,'Retirement Calculator'!A:A,0),0),0)</f>
        <v>0</v>
      </c>
      <c r="K4259" s="455">
        <f t="shared" ca="1" si="181"/>
        <v>-21335880982.392834</v>
      </c>
      <c r="L4259" s="455">
        <f t="shared" ca="1" si="182"/>
        <v>-5141947316756.6729</v>
      </c>
      <c r="M4259" s="471">
        <f t="shared" si="184"/>
        <v>0.05</v>
      </c>
      <c r="N4259" s="475">
        <f t="shared" si="185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83"/>
        <v>-5141947316756.6729</v>
      </c>
      <c r="J4260" s="455">
        <f t="array" ref="J4260">IFERROR(INDEX('Retirement Calculator'!J:J,MATCH('Isaac 401k'!N4260,'Retirement Calculator'!A:A,0),0),0)</f>
        <v>0</v>
      </c>
      <c r="K4260" s="455">
        <f t="shared" ca="1" si="181"/>
        <v>-21424780486.486137</v>
      </c>
      <c r="L4260" s="455">
        <f t="shared" ca="1" si="182"/>
        <v>-5163372097243.1592</v>
      </c>
      <c r="M4260" s="471">
        <f t="shared" si="184"/>
        <v>0.05</v>
      </c>
      <c r="N4260" s="475">
        <f t="shared" si="185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83"/>
        <v>-5163372097243.1592</v>
      </c>
      <c r="J4261" s="455">
        <f t="array" ref="J4261">IFERROR(INDEX('Retirement Calculator'!J:J,MATCH('Isaac 401k'!N4261,'Retirement Calculator'!A:A,0),0),0)</f>
        <v>0</v>
      </c>
      <c r="K4261" s="455">
        <f t="shared" ca="1" si="181"/>
        <v>-21514050405.179829</v>
      </c>
      <c r="L4261" s="455">
        <f t="shared" ca="1" si="182"/>
        <v>-5184886147648.3389</v>
      </c>
      <c r="M4261" s="471">
        <f t="shared" si="184"/>
        <v>0.05</v>
      </c>
      <c r="N4261" s="475">
        <f t="shared" si="185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83"/>
        <v>-5184886147648.3389</v>
      </c>
      <c r="J4262" s="455">
        <f t="array" ref="J4262">IFERROR(INDEX('Retirement Calculator'!J:J,MATCH('Isaac 401k'!N4262,'Retirement Calculator'!A:A,0),0),0)</f>
        <v>0</v>
      </c>
      <c r="K4262" s="455">
        <f t="shared" ca="1" si="181"/>
        <v>-21603692281.86808</v>
      </c>
      <c r="L4262" s="455">
        <f t="shared" ca="1" si="182"/>
        <v>-5206489839930.207</v>
      </c>
      <c r="M4262" s="471">
        <f t="shared" si="184"/>
        <v>0.05</v>
      </c>
      <c r="N4262" s="475">
        <f t="shared" si="185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83"/>
        <v>-5206489839930.207</v>
      </c>
      <c r="J4263" s="455">
        <f t="array" ref="J4263">IFERROR(INDEX('Retirement Calculator'!J:J,MATCH('Isaac 401k'!N4263,'Retirement Calculator'!A:A,0),0),0)</f>
        <v>0</v>
      </c>
      <c r="K4263" s="455">
        <f t="shared" ca="1" si="181"/>
        <v>-21693707666.375862</v>
      </c>
      <c r="L4263" s="455">
        <f t="shared" ca="1" si="182"/>
        <v>-5228183547596.583</v>
      </c>
      <c r="M4263" s="471">
        <f t="shared" si="184"/>
        <v>0.05</v>
      </c>
      <c r="N4263" s="475">
        <f t="shared" si="185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83"/>
        <v>-5228183547596.583</v>
      </c>
      <c r="J4264" s="455">
        <f t="array" ref="J4264">IFERROR(INDEX('Retirement Calculator'!J:J,MATCH('Isaac 401k'!N4264,'Retirement Calculator'!A:A,0),0),0)</f>
        <v>0</v>
      </c>
      <c r="K4264" s="455">
        <f t="shared" ca="1" si="181"/>
        <v>-21784098114.985764</v>
      </c>
      <c r="L4264" s="455">
        <f t="shared" ca="1" si="182"/>
        <v>-5249967645711.5684</v>
      </c>
      <c r="M4264" s="471">
        <f t="shared" si="184"/>
        <v>0.05</v>
      </c>
      <c r="N4264" s="475">
        <f t="shared" si="185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83"/>
        <v>-5249967645711.5684</v>
      </c>
      <c r="J4265" s="455">
        <f t="array" ref="J4265">IFERROR(INDEX('Retirement Calculator'!J:J,MATCH('Isaac 401k'!N4265,'Retirement Calculator'!A:A,0),0),0)</f>
        <v>0</v>
      </c>
      <c r="K4265" s="455">
        <f t="shared" ca="1" si="181"/>
        <v>-21874865190.464867</v>
      </c>
      <c r="L4265" s="455">
        <f t="shared" ca="1" si="182"/>
        <v>-5271842510902.0332</v>
      </c>
      <c r="M4265" s="471">
        <f t="shared" si="184"/>
        <v>0.05</v>
      </c>
      <c r="N4265" s="475">
        <f t="shared" si="185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83"/>
        <v>-5271842510902.0332</v>
      </c>
      <c r="J4266" s="455">
        <f t="array" ref="J4266">IFERROR(INDEX('Retirement Calculator'!J:J,MATCH('Isaac 401k'!N4266,'Retirement Calculator'!A:A,0),0),0)</f>
        <v>0</v>
      </c>
      <c r="K4266" s="455">
        <f t="shared" ca="1" si="181"/>
        <v>-21966010462.091805</v>
      </c>
      <c r="L4266" s="455">
        <f t="shared" ca="1" si="182"/>
        <v>-5293808521364.125</v>
      </c>
      <c r="M4266" s="471">
        <f t="shared" si="184"/>
        <v>0.05</v>
      </c>
      <c r="N4266" s="475">
        <f t="shared" si="185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83"/>
        <v>-5293808521364.125</v>
      </c>
      <c r="J4267" s="455">
        <f t="array" ref="J4267">IFERROR(INDEX('Retirement Calculator'!J:J,MATCH('Isaac 401k'!N4267,'Retirement Calculator'!A:A,0),0),0)</f>
        <v>0</v>
      </c>
      <c r="K4267" s="455">
        <f t="shared" ca="1" si="181"/>
        <v>-22057535505.683853</v>
      </c>
      <c r="L4267" s="455">
        <f t="shared" ca="1" si="182"/>
        <v>-5315866056869.8086</v>
      </c>
      <c r="M4267" s="471">
        <f t="shared" si="184"/>
        <v>0.05</v>
      </c>
      <c r="N4267" s="475">
        <f t="shared" si="185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83"/>
        <v>-5315866056869.8086</v>
      </c>
      <c r="J4268" s="455">
        <f t="array" ref="J4268">IFERROR(INDEX('Retirement Calculator'!J:J,MATCH('Isaac 401k'!N4268,'Retirement Calculator'!A:A,0),0),0)</f>
        <v>0</v>
      </c>
      <c r="K4268" s="455">
        <f t="shared" ca="1" si="181"/>
        <v>-22149441903.624203</v>
      </c>
      <c r="L4268" s="455">
        <f t="shared" ca="1" si="182"/>
        <v>-5338015498773.4326</v>
      </c>
      <c r="M4268" s="471">
        <f t="shared" si="184"/>
        <v>0.05</v>
      </c>
      <c r="N4268" s="475">
        <f t="shared" si="185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83"/>
        <v>-5338015498773.4326</v>
      </c>
      <c r="J4269" s="455">
        <f t="array" ref="J4269">IFERROR(INDEX('Retirement Calculator'!J:J,MATCH('Isaac 401k'!N4269,'Retirement Calculator'!A:A,0),0),0)</f>
        <v>0</v>
      </c>
      <c r="K4269" s="455">
        <f t="shared" ca="1" si="181"/>
        <v>-22241731244.889301</v>
      </c>
      <c r="L4269" s="455">
        <f t="shared" ca="1" si="182"/>
        <v>-5360257230018.3223</v>
      </c>
      <c r="M4269" s="471">
        <f t="shared" si="184"/>
        <v>0.05</v>
      </c>
      <c r="N4269" s="475">
        <f t="shared" si="185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83"/>
        <v>-5360257230018.3223</v>
      </c>
      <c r="J4270" s="455">
        <f t="array" ref="J4270">IFERROR(INDEX('Retirement Calculator'!J:J,MATCH('Isaac 401k'!N4270,'Retirement Calculator'!A:A,0),0),0)</f>
        <v>0</v>
      </c>
      <c r="K4270" s="455">
        <f t="shared" ca="1" si="181"/>
        <v>-22334405125.076344</v>
      </c>
      <c r="L4270" s="455">
        <f t="shared" ca="1" si="182"/>
        <v>-5382591635143.3984</v>
      </c>
      <c r="M4270" s="471">
        <f t="shared" si="184"/>
        <v>0.05</v>
      </c>
      <c r="N4270" s="475">
        <f t="shared" si="185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83"/>
        <v>-5382591635143.3984</v>
      </c>
      <c r="J4271" s="455">
        <f t="array" ref="J4271">IFERROR(INDEX('Retirement Calculator'!J:J,MATCH('Isaac 401k'!N4271,'Retirement Calculator'!A:A,0),0),0)</f>
        <v>0</v>
      </c>
      <c r="K4271" s="455">
        <f t="shared" ca="1" si="181"/>
        <v>-22427465146.430828</v>
      </c>
      <c r="L4271" s="455">
        <f t="shared" ca="1" si="182"/>
        <v>-5405019100289.8291</v>
      </c>
      <c r="M4271" s="471">
        <f t="shared" si="184"/>
        <v>0.05</v>
      </c>
      <c r="N4271" s="475">
        <f t="shared" si="185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83"/>
        <v>-5405019100289.8291</v>
      </c>
      <c r="J4272" s="455">
        <f t="array" ref="J4272">IFERROR(INDEX('Retirement Calculator'!J:J,MATCH('Isaac 401k'!N4272,'Retirement Calculator'!A:A,0),0),0)</f>
        <v>0</v>
      </c>
      <c r="K4272" s="455">
        <f t="shared" ca="1" si="181"/>
        <v>-22520912917.874287</v>
      </c>
      <c r="L4272" s="455">
        <f t="shared" ca="1" si="182"/>
        <v>-5427540013207.7031</v>
      </c>
      <c r="M4272" s="471">
        <f t="shared" si="184"/>
        <v>0.05</v>
      </c>
      <c r="N4272" s="475">
        <f t="shared" si="185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83"/>
        <v>-5427540013207.7031</v>
      </c>
      <c r="J4273" s="455">
        <f t="array" ref="J4273">IFERROR(INDEX('Retirement Calculator'!J:J,MATCH('Isaac 401k'!N4273,'Retirement Calculator'!A:A,0),0),0)</f>
        <v>0</v>
      </c>
      <c r="K4273" s="455">
        <f t="shared" ca="1" si="181"/>
        <v>-22614750055.032097</v>
      </c>
      <c r="L4273" s="455">
        <f t="shared" ca="1" si="182"/>
        <v>-5450154763262.7354</v>
      </c>
      <c r="M4273" s="471">
        <f t="shared" si="184"/>
        <v>0.05</v>
      </c>
      <c r="N4273" s="475">
        <f t="shared" si="185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83"/>
        <v>-5450154763262.7354</v>
      </c>
      <c r="J4274" s="455">
        <f t="array" ref="J4274">IFERROR(INDEX('Retirement Calculator'!J:J,MATCH('Isaac 401k'!N4274,'Retirement Calculator'!A:A,0),0),0)</f>
        <v>0</v>
      </c>
      <c r="K4274" s="455">
        <f t="shared" ca="1" si="181"/>
        <v>-22708978180.261398</v>
      </c>
      <c r="L4274" s="455">
        <f t="shared" ca="1" si="182"/>
        <v>-5472863741442.9971</v>
      </c>
      <c r="M4274" s="471">
        <f t="shared" si="184"/>
        <v>0.05</v>
      </c>
      <c r="N4274" s="475">
        <f t="shared" si="185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83"/>
        <v>-5472863741442.9971</v>
      </c>
      <c r="J4275" s="455">
        <f t="array" ref="J4275">IFERROR(INDEX('Retirement Calculator'!J:J,MATCH('Isaac 401k'!N4275,'Retirement Calculator'!A:A,0),0),0)</f>
        <v>0</v>
      </c>
      <c r="K4275" s="455">
        <f t="shared" ca="1" si="181"/>
        <v>-22803598922.679153</v>
      </c>
      <c r="L4275" s="455">
        <f t="shared" ca="1" si="182"/>
        <v>-5495667340365.6758</v>
      </c>
      <c r="M4275" s="471">
        <f t="shared" si="184"/>
        <v>0.05</v>
      </c>
      <c r="N4275" s="475">
        <f t="shared" si="185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83"/>
        <v>-5495667340365.6758</v>
      </c>
      <c r="J4276" s="455">
        <f t="array" ref="J4276">IFERROR(INDEX('Retirement Calculator'!J:J,MATCH('Isaac 401k'!N4276,'Retirement Calculator'!A:A,0),0),0)</f>
        <v>0</v>
      </c>
      <c r="K4276" s="455">
        <f t="shared" ca="1" si="181"/>
        <v>-22898613918.190315</v>
      </c>
      <c r="L4276" s="455">
        <f t="shared" ca="1" si="182"/>
        <v>-5518565954283.8662</v>
      </c>
      <c r="M4276" s="471">
        <f t="shared" si="184"/>
        <v>0.05</v>
      </c>
      <c r="N4276" s="475">
        <f t="shared" si="185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83"/>
        <v>-5518565954283.8662</v>
      </c>
      <c r="J4277" s="455">
        <f t="array" ref="J4277">IFERROR(INDEX('Retirement Calculator'!J:J,MATCH('Isaac 401k'!N4277,'Retirement Calculator'!A:A,0),0),0)</f>
        <v>0</v>
      </c>
      <c r="K4277" s="455">
        <f t="shared" ca="1" si="181"/>
        <v>-22994024809.516109</v>
      </c>
      <c r="L4277" s="455">
        <f t="shared" ca="1" si="182"/>
        <v>-5541559979093.3818</v>
      </c>
      <c r="M4277" s="471">
        <f t="shared" si="184"/>
        <v>0.05</v>
      </c>
      <c r="N4277" s="475">
        <f t="shared" si="185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83"/>
        <v>-5541559979093.3818</v>
      </c>
      <c r="J4278" s="455">
        <f t="array" ref="J4278">IFERROR(INDEX('Retirement Calculator'!J:J,MATCH('Isaac 401k'!N4278,'Retirement Calculator'!A:A,0),0),0)</f>
        <v>0</v>
      </c>
      <c r="K4278" s="455">
        <f t="shared" ca="1" si="181"/>
        <v>-23089833246.222424</v>
      </c>
      <c r="L4278" s="455">
        <f t="shared" ca="1" si="182"/>
        <v>-5564649812339.6045</v>
      </c>
      <c r="M4278" s="471">
        <f t="shared" si="184"/>
        <v>0.05</v>
      </c>
      <c r="N4278" s="475">
        <f t="shared" si="185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83"/>
        <v>-5564649812339.6045</v>
      </c>
      <c r="J4279" s="455">
        <f t="array" ref="J4279">IFERROR(INDEX('Retirement Calculator'!J:J,MATCH('Isaac 401k'!N4279,'Retirement Calculator'!A:A,0),0),0)</f>
        <v>0</v>
      </c>
      <c r="K4279" s="455">
        <f t="shared" ca="1" si="181"/>
        <v>-23186040884.748352</v>
      </c>
      <c r="L4279" s="455">
        <f t="shared" ca="1" si="182"/>
        <v>-5587835853224.3525</v>
      </c>
      <c r="M4279" s="471">
        <f t="shared" si="184"/>
        <v>0.05</v>
      </c>
      <c r="N4279" s="475">
        <f t="shared" si="185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83"/>
        <v>-5587835853224.3525</v>
      </c>
      <c r="J4280" s="455">
        <f t="array" ref="J4280">IFERROR(INDEX('Retirement Calculator'!J:J,MATCH('Isaac 401k'!N4280,'Retirement Calculator'!A:A,0),0),0)</f>
        <v>0</v>
      </c>
      <c r="K4280" s="455">
        <f t="shared" ca="1" si="181"/>
        <v>-23282649388.434803</v>
      </c>
      <c r="L4280" s="455">
        <f t="shared" ca="1" si="182"/>
        <v>-5611118502612.7871</v>
      </c>
      <c r="M4280" s="471">
        <f t="shared" si="184"/>
        <v>0.05</v>
      </c>
      <c r="N4280" s="475">
        <f t="shared" si="185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83"/>
        <v>-5611118502612.7871</v>
      </c>
      <c r="J4281" s="455">
        <f t="array" ref="J4281">IFERROR(INDEX('Retirement Calculator'!J:J,MATCH('Isaac 401k'!N4281,'Retirement Calculator'!A:A,0),0),0)</f>
        <v>0</v>
      </c>
      <c r="K4281" s="455">
        <f t="shared" ca="1" si="181"/>
        <v>-23379660427.55328</v>
      </c>
      <c r="L4281" s="455">
        <f t="shared" ca="1" si="182"/>
        <v>-5634498163040.3408</v>
      </c>
      <c r="M4281" s="471">
        <f t="shared" si="184"/>
        <v>0.05</v>
      </c>
      <c r="N4281" s="475">
        <f t="shared" si="185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83"/>
        <v>-5634498163040.3408</v>
      </c>
      <c r="J4282" s="455">
        <f t="array" ref="J4282">IFERROR(INDEX('Retirement Calculator'!J:J,MATCH('Isaac 401k'!N4282,'Retirement Calculator'!A:A,0),0),0)</f>
        <v>0</v>
      </c>
      <c r="K4282" s="455">
        <f t="shared" ca="1" si="181"/>
        <v>-23477075679.334755</v>
      </c>
      <c r="L4282" s="455">
        <f t="shared" ca="1" si="182"/>
        <v>-5657975238719.6758</v>
      </c>
      <c r="M4282" s="471">
        <f t="shared" si="184"/>
        <v>0.05</v>
      </c>
      <c r="N4282" s="475">
        <f t="shared" si="185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83"/>
        <v>-5657975238719.6758</v>
      </c>
      <c r="J4283" s="455">
        <f t="array" ref="J4283">IFERROR(INDEX('Retirement Calculator'!J:J,MATCH('Isaac 401k'!N4283,'Retirement Calculator'!A:A,0),0),0)</f>
        <v>0</v>
      </c>
      <c r="K4283" s="455">
        <f t="shared" ca="1" si="181"/>
        <v>-23574896827.99865</v>
      </c>
      <c r="L4283" s="455">
        <f t="shared" ca="1" si="182"/>
        <v>-5681550135547.6748</v>
      </c>
      <c r="M4283" s="471">
        <f t="shared" si="184"/>
        <v>0.05</v>
      </c>
      <c r="N4283" s="475">
        <f t="shared" si="185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83"/>
        <v>-5681550135547.6748</v>
      </c>
      <c r="J4284" s="455">
        <f t="array" ref="J4284">IFERROR(INDEX('Retirement Calculator'!J:J,MATCH('Isaac 401k'!N4284,'Retirement Calculator'!A:A,0),0),0)</f>
        <v>0</v>
      </c>
      <c r="K4284" s="455">
        <f t="shared" ca="1" si="181"/>
        <v>-23673125564.781979</v>
      </c>
      <c r="L4284" s="455">
        <f t="shared" ca="1" si="182"/>
        <v>-5705223261112.457</v>
      </c>
      <c r="M4284" s="471">
        <f t="shared" si="184"/>
        <v>0.05</v>
      </c>
      <c r="N4284" s="475">
        <f t="shared" si="185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83"/>
        <v>-5705223261112.457</v>
      </c>
      <c r="J4285" s="455">
        <f t="array" ref="J4285">IFERROR(INDEX('Retirement Calculator'!J:J,MATCH('Isaac 401k'!N4285,'Retirement Calculator'!A:A,0),0),0)</f>
        <v>0</v>
      </c>
      <c r="K4285" s="455">
        <f t="shared" ca="1" si="181"/>
        <v>-23771763587.968571</v>
      </c>
      <c r="L4285" s="455">
        <f t="shared" ca="1" si="182"/>
        <v>-5728995024700.4258</v>
      </c>
      <c r="M4285" s="471">
        <f t="shared" si="184"/>
        <v>0.05</v>
      </c>
      <c r="N4285" s="475">
        <f t="shared" si="185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83"/>
        <v>-5728995024700.4258</v>
      </c>
      <c r="J4286" s="455">
        <f t="array" ref="J4286">IFERROR(INDEX('Retirement Calculator'!J:J,MATCH('Isaac 401k'!N4286,'Retirement Calculator'!A:A,0),0),0)</f>
        <v>0</v>
      </c>
      <c r="K4286" s="455">
        <f t="shared" ca="1" si="181"/>
        <v>-23870812602.918442</v>
      </c>
      <c r="L4286" s="455">
        <f t="shared" ca="1" si="182"/>
        <v>-5752865837303.3438</v>
      </c>
      <c r="M4286" s="471">
        <f t="shared" si="184"/>
        <v>0.05</v>
      </c>
      <c r="N4286" s="475">
        <f t="shared" si="185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83"/>
        <v>-5752865837303.3438</v>
      </c>
      <c r="J4287" s="455">
        <f t="array" ref="J4287">IFERROR(INDEX('Retirement Calculator'!J:J,MATCH('Isaac 401k'!N4287,'Retirement Calculator'!A:A,0),0),0)</f>
        <v>0</v>
      </c>
      <c r="K4287" s="455">
        <f t="shared" ca="1" si="181"/>
        <v>-23970274322.097267</v>
      </c>
      <c r="L4287" s="455">
        <f t="shared" ca="1" si="182"/>
        <v>-5776836111625.4414</v>
      </c>
      <c r="M4287" s="471">
        <f t="shared" si="184"/>
        <v>0.05</v>
      </c>
      <c r="N4287" s="475">
        <f t="shared" si="185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83"/>
        <v>-5776836111625.4414</v>
      </c>
      <c r="J4288" s="455">
        <f t="array" ref="J4288">IFERROR(INDEX('Retirement Calculator'!J:J,MATCH('Isaac 401k'!N4288,'Retirement Calculator'!A:A,0),0),0)</f>
        <v>0</v>
      </c>
      <c r="K4288" s="455">
        <f t="shared" ca="1" si="181"/>
        <v>-24070150465.106007</v>
      </c>
      <c r="L4288" s="455">
        <f t="shared" ca="1" si="182"/>
        <v>-5800906262090.5479</v>
      </c>
      <c r="M4288" s="471">
        <f t="shared" si="184"/>
        <v>0.05</v>
      </c>
      <c r="N4288" s="475">
        <f t="shared" si="185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83"/>
        <v>-5800906262090.5479</v>
      </c>
      <c r="J4289" s="455">
        <f t="array" ref="J4289">IFERROR(INDEX('Retirement Calculator'!J:J,MATCH('Isaac 401k'!N4289,'Retirement Calculator'!A:A,0),0),0)</f>
        <v>0</v>
      </c>
      <c r="K4289" s="455">
        <f t="shared" ca="1" si="181"/>
        <v>-24170442758.710617</v>
      </c>
      <c r="L4289" s="455">
        <f t="shared" ca="1" si="182"/>
        <v>-5825076704849.2588</v>
      </c>
      <c r="M4289" s="471">
        <f t="shared" si="184"/>
        <v>0.05</v>
      </c>
      <c r="N4289" s="475">
        <f t="shared" si="185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83"/>
        <v>-5825076704849.2588</v>
      </c>
      <c r="J4290" s="455">
        <f t="array" ref="J4290">IFERROR(INDEX('Retirement Calculator'!J:J,MATCH('Isaac 401k'!N4290,'Retirement Calculator'!A:A,0),0),0)</f>
        <v>0</v>
      </c>
      <c r="K4290" s="455">
        <f t="shared" ca="1" si="181"/>
        <v>-24271152936.87191</v>
      </c>
      <c r="L4290" s="455">
        <f t="shared" ca="1" si="182"/>
        <v>-5849347857786.1309</v>
      </c>
      <c r="M4290" s="471">
        <f t="shared" si="184"/>
        <v>0.05</v>
      </c>
      <c r="N4290" s="475">
        <f t="shared" si="185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83"/>
        <v>-5849347857786.1309</v>
      </c>
      <c r="J4291" s="455">
        <f t="array" ref="J4291">IFERROR(INDEX('Retirement Calculator'!J:J,MATCH('Isaac 401k'!N4291,'Retirement Calculator'!A:A,0),0),0)</f>
        <v>0</v>
      </c>
      <c r="K4291" s="455">
        <f t="shared" ca="1" si="181"/>
        <v>-24372282740.775543</v>
      </c>
      <c r="L4291" s="455">
        <f t="shared" ca="1" si="182"/>
        <v>-5873720140526.9063</v>
      </c>
      <c r="M4291" s="471">
        <f t="shared" si="184"/>
        <v>0.05</v>
      </c>
      <c r="N4291" s="475">
        <f t="shared" si="185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83"/>
        <v>-5873720140526.9063</v>
      </c>
      <c r="J4292" s="455">
        <f t="array" ref="J4292">IFERROR(INDEX('Retirement Calculator'!J:J,MATCH('Isaac 401k'!N4292,'Retirement Calculator'!A:A,0),0),0)</f>
        <v>0</v>
      </c>
      <c r="K4292" s="455">
        <f t="shared" ca="1" si="181"/>
        <v>-24473833918.86211</v>
      </c>
      <c r="L4292" s="455">
        <f t="shared" ca="1" si="182"/>
        <v>-5898193974445.7686</v>
      </c>
      <c r="M4292" s="471">
        <f t="shared" si="184"/>
        <v>0.05</v>
      </c>
      <c r="N4292" s="475">
        <f t="shared" si="185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83"/>
        <v>-5898193974445.7686</v>
      </c>
      <c r="J4293" s="455">
        <f t="array" ref="J4293">IFERROR(INDEX('Retirement Calculator'!J:J,MATCH('Isaac 401k'!N4293,'Retirement Calculator'!A:A,0),0),0)</f>
        <v>0</v>
      </c>
      <c r="K4293" s="455">
        <f t="shared" ca="1" si="181"/>
        <v>-24575808226.857368</v>
      </c>
      <c r="L4293" s="455">
        <f t="shared" ca="1" si="182"/>
        <v>-5922769782672.626</v>
      </c>
      <c r="M4293" s="471">
        <f t="shared" si="184"/>
        <v>0.05</v>
      </c>
      <c r="N4293" s="475">
        <f t="shared" si="185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83"/>
        <v>-5922769782672.626</v>
      </c>
      <c r="J4294" s="455">
        <f t="array" ref="J4294">IFERROR(INDEX('Retirement Calculator'!J:J,MATCH('Isaac 401k'!N4294,'Retirement Calculator'!A:A,0),0),0)</f>
        <v>0</v>
      </c>
      <c r="K4294" s="455">
        <f t="shared" ca="1" si="181"/>
        <v>-24678207427.802608</v>
      </c>
      <c r="L4294" s="455">
        <f t="shared" ca="1" si="182"/>
        <v>-5947447990100.4287</v>
      </c>
      <c r="M4294" s="471">
        <f t="shared" si="184"/>
        <v>0.05</v>
      </c>
      <c r="N4294" s="475">
        <f t="shared" si="185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83"/>
        <v>-5947447990100.4287</v>
      </c>
      <c r="J4295" s="455">
        <f t="array" ref="J4295">IFERROR(INDEX('Retirement Calculator'!J:J,MATCH('Isaac 401k'!N4295,'Retirement Calculator'!A:A,0),0),0)</f>
        <v>0</v>
      </c>
      <c r="K4295" s="455">
        <f t="shared" ca="1" si="181"/>
        <v>-24781033292.085121</v>
      </c>
      <c r="L4295" s="455">
        <f t="shared" ca="1" si="182"/>
        <v>-5972229023392.5137</v>
      </c>
      <c r="M4295" s="471">
        <f t="shared" si="184"/>
        <v>0.05</v>
      </c>
      <c r="N4295" s="475">
        <f t="shared" si="185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83"/>
        <v>-5972229023392.5137</v>
      </c>
      <c r="J4296" s="455">
        <f t="array" ref="J4296">IFERROR(INDEX('Retirement Calculator'!J:J,MATCH('Isaac 401k'!N4296,'Retirement Calculator'!A:A,0),0),0)</f>
        <v>0</v>
      </c>
      <c r="K4296" s="455">
        <f t="shared" ca="1" si="181"/>
        <v>-24884287597.468807</v>
      </c>
      <c r="L4296" s="455">
        <f t="shared" ca="1" si="182"/>
        <v>-5997113310989.9824</v>
      </c>
      <c r="M4296" s="471">
        <f t="shared" si="184"/>
        <v>0.05</v>
      </c>
      <c r="N4296" s="475">
        <f t="shared" si="185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83"/>
        <v>-5997113310989.9824</v>
      </c>
      <c r="J4297" s="455">
        <f t="array" ref="J4297">IFERROR(INDEX('Retirement Calculator'!J:J,MATCH('Isaac 401k'!N4297,'Retirement Calculator'!A:A,0),0),0)</f>
        <v>0</v>
      </c>
      <c r="K4297" s="455">
        <f t="shared" ca="1" si="181"/>
        <v>-24987972129.124928</v>
      </c>
      <c r="L4297" s="455">
        <f t="shared" ca="1" si="182"/>
        <v>-6022101283119.1074</v>
      </c>
      <c r="M4297" s="471">
        <f t="shared" si="184"/>
        <v>0.05</v>
      </c>
      <c r="N4297" s="475">
        <f t="shared" si="185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83"/>
        <v>-6022101283119.1074</v>
      </c>
      <c r="J4298" s="455">
        <f t="array" ref="J4298">IFERROR(INDEX('Retirement Calculator'!J:J,MATCH('Isaac 401k'!N4298,'Retirement Calculator'!A:A,0),0),0)</f>
        <v>0</v>
      </c>
      <c r="K4298" s="455">
        <f t="shared" ca="1" si="181"/>
        <v>-25092088679.662949</v>
      </c>
      <c r="L4298" s="455">
        <f t="shared" ca="1" si="182"/>
        <v>-6047193371798.7705</v>
      </c>
      <c r="M4298" s="471">
        <f t="shared" si="184"/>
        <v>0.05</v>
      </c>
      <c r="N4298" s="475">
        <f t="shared" si="185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83"/>
        <v>-6047193371798.7705</v>
      </c>
      <c r="J4299" s="455">
        <f t="array" ref="J4299">IFERROR(INDEX('Retirement Calculator'!J:J,MATCH('Isaac 401k'!N4299,'Retirement Calculator'!A:A,0),0),0)</f>
        <v>0</v>
      </c>
      <c r="K4299" s="455">
        <f t="shared" ca="1" si="181"/>
        <v>-25196639049.161545</v>
      </c>
      <c r="L4299" s="455">
        <f t="shared" ca="1" si="182"/>
        <v>-6072390010847.9316</v>
      </c>
      <c r="M4299" s="471">
        <f t="shared" si="184"/>
        <v>0.05</v>
      </c>
      <c r="N4299" s="475">
        <f t="shared" si="185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83"/>
        <v>-6072390010847.9316</v>
      </c>
      <c r="J4300" s="455">
        <f t="array" ref="J4300">IFERROR(INDEX('Retirement Calculator'!J:J,MATCH('Isaac 401k'!N4300,'Retirement Calculator'!A:A,0),0),0)</f>
        <v>0</v>
      </c>
      <c r="K4300" s="455">
        <f t="shared" ca="1" si="181"/>
        <v>-25301625045.199715</v>
      </c>
      <c r="L4300" s="455">
        <f t="shared" ca="1" si="182"/>
        <v>-6097691635893.1318</v>
      </c>
      <c r="M4300" s="471">
        <f t="shared" si="184"/>
        <v>0.05</v>
      </c>
      <c r="N4300" s="475">
        <f t="shared" si="185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83"/>
        <v>-6097691635893.1318</v>
      </c>
      <c r="J4301" s="455">
        <f t="array" ref="J4301">IFERROR(INDEX('Retirement Calculator'!J:J,MATCH('Isaac 401k'!N4301,'Retirement Calculator'!A:A,0),0),0)</f>
        <v>0</v>
      </c>
      <c r="K4301" s="455">
        <f t="shared" ca="1" si="181"/>
        <v>-25407048482.88805</v>
      </c>
      <c r="L4301" s="455">
        <f t="shared" ca="1" si="182"/>
        <v>-6123098684376.0195</v>
      </c>
      <c r="M4301" s="471">
        <f t="shared" si="184"/>
        <v>0.05</v>
      </c>
      <c r="N4301" s="475">
        <f t="shared" si="185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83"/>
        <v>-6123098684376.0195</v>
      </c>
      <c r="J4302" s="455">
        <f t="array" ref="J4302">IFERROR(INDEX('Retirement Calculator'!J:J,MATCH('Isaac 401k'!N4302,'Retirement Calculator'!A:A,0),0),0)</f>
        <v>0</v>
      </c>
      <c r="K4302" s="455">
        <f t="shared" ca="1" si="181"/>
        <v>-25512911184.900082</v>
      </c>
      <c r="L4302" s="455">
        <f t="shared" ca="1" si="182"/>
        <v>-6148611595560.9199</v>
      </c>
      <c r="M4302" s="471">
        <f t="shared" si="184"/>
        <v>0.05</v>
      </c>
      <c r="N4302" s="475">
        <f t="shared" si="185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83"/>
        <v>-6148611595560.9199</v>
      </c>
      <c r="J4303" s="455">
        <f t="array" ref="J4303">IFERROR(INDEX('Retirement Calculator'!J:J,MATCH('Isaac 401k'!N4303,'Retirement Calculator'!A:A,0),0),0)</f>
        <v>0</v>
      </c>
      <c r="K4303" s="455">
        <f t="shared" ca="1" si="181"/>
        <v>-25619214981.503834</v>
      </c>
      <c r="L4303" s="455">
        <f t="shared" ca="1" si="182"/>
        <v>-6174230810542.4238</v>
      </c>
      <c r="M4303" s="471">
        <f t="shared" si="184"/>
        <v>0.05</v>
      </c>
      <c r="N4303" s="475">
        <f t="shared" si="185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83"/>
        <v>-6174230810542.4238</v>
      </c>
      <c r="J4304" s="455">
        <f t="array" ref="J4304">IFERROR(INDEX('Retirement Calculator'!J:J,MATCH('Isaac 401k'!N4304,'Retirement Calculator'!A:A,0),0),0)</f>
        <v>0</v>
      </c>
      <c r="K4304" s="455">
        <f t="shared" ca="1" si="181"/>
        <v>-25725961710.593433</v>
      </c>
      <c r="L4304" s="455">
        <f t="shared" ca="1" si="182"/>
        <v>-6199956772253.0176</v>
      </c>
      <c r="M4304" s="471">
        <f t="shared" si="184"/>
        <v>0.05</v>
      </c>
      <c r="N4304" s="475">
        <f t="shared" si="185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83"/>
        <v>-6199956772253.0176</v>
      </c>
      <c r="J4305" s="455">
        <f t="array" ref="J4305">IFERROR(INDEX('Retirement Calculator'!J:J,MATCH('Isaac 401k'!N4305,'Retirement Calculator'!A:A,0),0),0)</f>
        <v>0</v>
      </c>
      <c r="K4305" s="455">
        <f t="shared" ca="1" si="181"/>
        <v>-25833153217.720905</v>
      </c>
      <c r="L4305" s="455">
        <f t="shared" ca="1" si="182"/>
        <v>-6225789925470.7383</v>
      </c>
      <c r="M4305" s="471">
        <f t="shared" si="184"/>
        <v>0.05</v>
      </c>
      <c r="N4305" s="475">
        <f t="shared" si="185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83"/>
        <v>-6225789925470.7383</v>
      </c>
      <c r="J4306" s="455">
        <f t="array" ref="J4306">IFERROR(INDEX('Retirement Calculator'!J:J,MATCH('Isaac 401k'!N4306,'Retirement Calculator'!A:A,0),0),0)</f>
        <v>0</v>
      </c>
      <c r="K4306" s="455">
        <f t="shared" ca="1" si="181"/>
        <v>-25940791356.128075</v>
      </c>
      <c r="L4306" s="455">
        <f t="shared" ca="1" si="182"/>
        <v>-6251730716826.8662</v>
      </c>
      <c r="M4306" s="471">
        <f t="shared" si="184"/>
        <v>0.05</v>
      </c>
      <c r="N4306" s="475">
        <f t="shared" si="185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83"/>
        <v>-6251730716826.8662</v>
      </c>
      <c r="J4307" s="455">
        <f t="array" ref="J4307">IFERROR(INDEX('Retirement Calculator'!J:J,MATCH('Isaac 401k'!N4307,'Retirement Calculator'!A:A,0),0),0)</f>
        <v>0</v>
      </c>
      <c r="K4307" s="455">
        <f t="shared" ca="1" si="181"/>
        <v>-26048877986.77861</v>
      </c>
      <c r="L4307" s="455">
        <f t="shared" ca="1" si="182"/>
        <v>-6277779594813.6445</v>
      </c>
      <c r="M4307" s="471">
        <f t="shared" si="184"/>
        <v>0.05</v>
      </c>
      <c r="N4307" s="475">
        <f t="shared" si="185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83"/>
        <v>-6277779594813.6445</v>
      </c>
      <c r="J4308" s="455">
        <f t="array" ref="J4308">IFERROR(INDEX('Retirement Calculator'!J:J,MATCH('Isaac 401k'!N4308,'Retirement Calculator'!A:A,0),0),0)</f>
        <v>0</v>
      </c>
      <c r="K4308" s="455">
        <f t="shared" ca="1" si="181"/>
        <v>-26157414978.390186</v>
      </c>
      <c r="L4308" s="455">
        <f t="shared" ca="1" si="182"/>
        <v>-6303937009792.0352</v>
      </c>
      <c r="M4308" s="471">
        <f t="shared" si="184"/>
        <v>0.05</v>
      </c>
      <c r="N4308" s="475">
        <f t="shared" si="185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83"/>
        <v>-6303937009792.0352</v>
      </c>
      <c r="J4309" s="455">
        <f t="array" ref="J4309">IFERROR(INDEX('Retirement Calculator'!J:J,MATCH('Isaac 401k'!N4309,'Retirement Calculator'!A:A,0),0),0)</f>
        <v>0</v>
      </c>
      <c r="K4309" s="455">
        <f t="shared" ca="1" si="181"/>
        <v>-26266404207.466812</v>
      </c>
      <c r="L4309" s="455">
        <f t="shared" ca="1" si="182"/>
        <v>-6330203413999.502</v>
      </c>
      <c r="M4309" s="471">
        <f t="shared" si="184"/>
        <v>0.05</v>
      </c>
      <c r="N4309" s="475">
        <f t="shared" si="185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83"/>
        <v>-6330203413999.502</v>
      </c>
      <c r="J4310" s="455">
        <f t="array" ref="J4310">IFERROR(INDEX('Retirement Calculator'!J:J,MATCH('Isaac 401k'!N4310,'Retirement Calculator'!A:A,0),0),0)</f>
        <v>0</v>
      </c>
      <c r="K4310" s="455">
        <f t="shared" ca="1" si="181"/>
        <v>-26375847558.331257</v>
      </c>
      <c r="L4310" s="455">
        <f t="shared" ca="1" si="182"/>
        <v>-6356579261557.833</v>
      </c>
      <c r="M4310" s="471">
        <f t="shared" si="184"/>
        <v>0.05</v>
      </c>
      <c r="N4310" s="475">
        <f t="shared" si="185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83"/>
        <v>-6356579261557.833</v>
      </c>
      <c r="J4311" s="455">
        <f t="array" ref="J4311">IFERROR(INDEX('Retirement Calculator'!J:J,MATCH('Isaac 401k'!N4311,'Retirement Calculator'!A:A,0),0),0)</f>
        <v>0</v>
      </c>
      <c r="K4311" s="455">
        <f t="shared" ca="1" si="181"/>
        <v>-26485746923.157639</v>
      </c>
      <c r="L4311" s="455">
        <f t="shared" ca="1" si="182"/>
        <v>-6383065008480.9902</v>
      </c>
      <c r="M4311" s="471">
        <f t="shared" si="184"/>
        <v>0.05</v>
      </c>
      <c r="N4311" s="475">
        <f t="shared" si="185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83"/>
        <v>-6383065008480.9902</v>
      </c>
      <c r="J4312" s="455">
        <f t="array" ref="J4312">IFERROR(INDEX('Retirement Calculator'!J:J,MATCH('Isaac 401k'!N4312,'Retirement Calculator'!A:A,0),0),0)</f>
        <v>0</v>
      </c>
      <c r="K4312" s="455">
        <f t="shared" ca="1" si="181"/>
        <v>-26596104202.004128</v>
      </c>
      <c r="L4312" s="455">
        <f t="shared" ca="1" si="182"/>
        <v>-6409661112682.9941</v>
      </c>
      <c r="M4312" s="471">
        <f t="shared" si="184"/>
        <v>0.05</v>
      </c>
      <c r="N4312" s="475">
        <f t="shared" si="185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83"/>
        <v>-6409661112682.9941</v>
      </c>
      <c r="J4313" s="455">
        <f t="array" ref="J4313">IFERROR(INDEX('Retirement Calculator'!J:J,MATCH('Isaac 401k'!N4313,'Retirement Calculator'!A:A,0),0),0)</f>
        <v>0</v>
      </c>
      <c r="K4313" s="455">
        <f t="shared" ca="1" si="181"/>
        <v>-26706921302.84581</v>
      </c>
      <c r="L4313" s="455">
        <f t="shared" ca="1" si="182"/>
        <v>-6436368033985.8398</v>
      </c>
      <c r="M4313" s="471">
        <f t="shared" si="184"/>
        <v>0.05</v>
      </c>
      <c r="N4313" s="475">
        <f t="shared" si="185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83"/>
        <v>-6436368033985.8398</v>
      </c>
      <c r="J4314" s="455">
        <f t="array" ref="J4314">IFERROR(INDEX('Retirement Calculator'!J:J,MATCH('Isaac 401k'!N4314,'Retirement Calculator'!A:A,0),0),0)</f>
        <v>0</v>
      </c>
      <c r="K4314" s="455">
        <f t="shared" ca="1" si="181"/>
        <v>-26818200141.607666</v>
      </c>
      <c r="L4314" s="455">
        <f t="shared" ca="1" si="182"/>
        <v>-6463186234127.4473</v>
      </c>
      <c r="M4314" s="471">
        <f t="shared" si="184"/>
        <v>0.05</v>
      </c>
      <c r="N4314" s="475">
        <f t="shared" si="185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83"/>
        <v>-6463186234127.4473</v>
      </c>
      <c r="J4315" s="455">
        <f t="array" ref="J4315">IFERROR(INDEX('Retirement Calculator'!J:J,MATCH('Isaac 401k'!N4315,'Retirement Calculator'!A:A,0),0),0)</f>
        <v>0</v>
      </c>
      <c r="K4315" s="455">
        <f t="shared" ca="1" si="181"/>
        <v>-26929942642.197697</v>
      </c>
      <c r="L4315" s="455">
        <f t="shared" ca="1" si="182"/>
        <v>-6490116176769.6445</v>
      </c>
      <c r="M4315" s="471">
        <f t="shared" si="184"/>
        <v>0.05</v>
      </c>
      <c r="N4315" s="475">
        <f t="shared" si="185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83"/>
        <v>-6490116176769.6445</v>
      </c>
      <c r="J4316" s="455">
        <f t="array" ref="J4316">IFERROR(INDEX('Retirement Calculator'!J:J,MATCH('Isaac 401k'!N4316,'Retirement Calculator'!A:A,0),0),0)</f>
        <v>0</v>
      </c>
      <c r="K4316" s="455">
        <f t="shared" ca="1" si="181"/>
        <v>-27042150736.540184</v>
      </c>
      <c r="L4316" s="455">
        <f t="shared" ca="1" si="182"/>
        <v>-6517158327506.1846</v>
      </c>
      <c r="M4316" s="471">
        <f t="shared" si="184"/>
        <v>0.05</v>
      </c>
      <c r="N4316" s="475">
        <f t="shared" si="185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83"/>
        <v>-6517158327506.1846</v>
      </c>
      <c r="J4317" s="455">
        <f t="array" ref="J4317">IFERROR(INDEX('Retirement Calculator'!J:J,MATCH('Isaac 401k'!N4317,'Retirement Calculator'!A:A,0),0),0)</f>
        <v>0</v>
      </c>
      <c r="K4317" s="455">
        <f t="shared" ca="1" si="181"/>
        <v>-27154826364.6091</v>
      </c>
      <c r="L4317" s="455">
        <f t="shared" ca="1" si="182"/>
        <v>-6544313153870.7939</v>
      </c>
      <c r="M4317" s="471">
        <f t="shared" si="184"/>
        <v>0.05</v>
      </c>
      <c r="N4317" s="475">
        <f t="shared" si="185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83"/>
        <v>-6544313153870.7939</v>
      </c>
      <c r="J4318" s="455">
        <f t="array" ref="J4318">IFERROR(INDEX('Retirement Calculator'!J:J,MATCH('Isaac 401k'!N4318,'Retirement Calculator'!A:A,0),0),0)</f>
        <v>0</v>
      </c>
      <c r="K4318" s="455">
        <f t="shared" ca="1" si="181"/>
        <v>-27267971474.461639</v>
      </c>
      <c r="L4318" s="455">
        <f t="shared" ca="1" si="182"/>
        <v>-6571581125345.2559</v>
      </c>
      <c r="M4318" s="471">
        <f t="shared" si="184"/>
        <v>0.05</v>
      </c>
      <c r="N4318" s="475">
        <f t="shared" si="185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83"/>
        <v>-6571581125345.2559</v>
      </c>
      <c r="J4319" s="455">
        <f t="array" ref="J4319">IFERROR(INDEX('Retirement Calculator'!J:J,MATCH('Isaac 401k'!N4319,'Retirement Calculator'!A:A,0),0),0)</f>
        <v>0</v>
      </c>
      <c r="K4319" s="455">
        <f t="shared" ca="1" si="181"/>
        <v>-27381588022.2719</v>
      </c>
      <c r="L4319" s="455">
        <f t="shared" ca="1" si="182"/>
        <v>-6598962713367.5273</v>
      </c>
      <c r="M4319" s="471">
        <f t="shared" si="184"/>
        <v>0.05</v>
      </c>
      <c r="N4319" s="475">
        <f t="shared" si="185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83"/>
        <v>-6598962713367.5273</v>
      </c>
      <c r="J4320" s="455">
        <f t="array" ref="J4320">IFERROR(INDEX('Retirement Calculator'!J:J,MATCH('Isaac 401k'!N4320,'Retirement Calculator'!A:A,0),0),0)</f>
        <v>0</v>
      </c>
      <c r="K4320" s="455">
        <f t="shared" ca="1" si="181"/>
        <v>-27495677972.364697</v>
      </c>
      <c r="L4320" s="455">
        <f t="shared" ca="1" si="182"/>
        <v>-6626458391339.8916</v>
      </c>
      <c r="M4320" s="471">
        <f t="shared" si="184"/>
        <v>0.05</v>
      </c>
      <c r="N4320" s="475">
        <f t="shared" si="185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83"/>
        <v>-6626458391339.8916</v>
      </c>
      <c r="J4321" s="455">
        <f t="array" ref="J4321">IFERROR(INDEX('Retirement Calculator'!J:J,MATCH('Isaac 401k'!N4321,'Retirement Calculator'!A:A,0),0),0)</f>
        <v>0</v>
      </c>
      <c r="K4321" s="455">
        <f t="shared" ca="1" si="181"/>
        <v>-27610243297.249546</v>
      </c>
      <c r="L4321" s="455">
        <f t="shared" ca="1" si="182"/>
        <v>-6654068634637.1416</v>
      </c>
      <c r="M4321" s="471">
        <f t="shared" si="184"/>
        <v>0.05</v>
      </c>
      <c r="N4321" s="475">
        <f t="shared" si="185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83"/>
        <v>-6654068634637.1416</v>
      </c>
      <c r="J4322" s="455">
        <f t="array" ref="J4322">IFERROR(INDEX('Retirement Calculator'!J:J,MATCH('Isaac 401k'!N4322,'Retirement Calculator'!A:A,0),0),0)</f>
        <v>0</v>
      </c>
      <c r="K4322" s="455">
        <f t="shared" ca="1" si="181"/>
        <v>-27725285977.654755</v>
      </c>
      <c r="L4322" s="455">
        <f t="shared" ca="1" si="182"/>
        <v>-6681793920614.7959</v>
      </c>
      <c r="M4322" s="471">
        <f t="shared" si="184"/>
        <v>0.05</v>
      </c>
      <c r="N4322" s="475">
        <f t="shared" si="185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83"/>
        <v>-6681793920614.7959</v>
      </c>
      <c r="J4323" s="455">
        <f t="array" ref="J4323">IFERROR(INDEX('Retirement Calculator'!J:J,MATCH('Isaac 401k'!N4323,'Retirement Calculator'!A:A,0),0),0)</f>
        <v>0</v>
      </c>
      <c r="K4323" s="455">
        <f t="shared" ca="1" si="181"/>
        <v>-27840808002.561649</v>
      </c>
      <c r="L4323" s="455">
        <f t="shared" ca="1" si="182"/>
        <v>-6709634728617.3574</v>
      </c>
      <c r="M4323" s="471">
        <f t="shared" si="184"/>
        <v>0.05</v>
      </c>
      <c r="N4323" s="475">
        <f t="shared" si="185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83"/>
        <v>-6709634728617.3574</v>
      </c>
      <c r="J4324" s="455">
        <f t="array" ref="J4324">IFERROR(INDEX('Retirement Calculator'!J:J,MATCH('Isaac 401k'!N4324,'Retirement Calculator'!A:A,0),0),0)</f>
        <v>0</v>
      </c>
      <c r="K4324" s="455">
        <f t="shared" ca="1" si="181"/>
        <v>-27956811369.238987</v>
      </c>
      <c r="L4324" s="455">
        <f t="shared" ca="1" si="182"/>
        <v>-6737591539986.5967</v>
      </c>
      <c r="M4324" s="471">
        <f t="shared" si="184"/>
        <v>0.05</v>
      </c>
      <c r="N4324" s="475">
        <f t="shared" si="185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83"/>
        <v>-6737591539986.5967</v>
      </c>
      <c r="J4325" s="455">
        <f t="array" ref="J4325">IFERROR(INDEX('Retirement Calculator'!J:J,MATCH('Isaac 401k'!N4325,'Retirement Calculator'!A:A,0),0),0)</f>
        <v>0</v>
      </c>
      <c r="K4325" s="455">
        <f t="shared" ca="1" si="181"/>
        <v>-28073298083.277485</v>
      </c>
      <c r="L4325" s="455">
        <f t="shared" ca="1" si="182"/>
        <v>-6765664838069.874</v>
      </c>
      <c r="M4325" s="471">
        <f t="shared" si="184"/>
        <v>0.05</v>
      </c>
      <c r="N4325" s="475">
        <f t="shared" si="185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83"/>
        <v>-6765664838069.874</v>
      </c>
      <c r="J4326" s="455">
        <f t="array" ref="J4326">IFERROR(INDEX('Retirement Calculator'!J:J,MATCH('Isaac 401k'!N4326,'Retirement Calculator'!A:A,0),0),0)</f>
        <v>0</v>
      </c>
      <c r="K4326" s="455">
        <f t="shared" ca="1" si="181"/>
        <v>-28190270158.624474</v>
      </c>
      <c r="L4326" s="455">
        <f t="shared" ca="1" si="182"/>
        <v>-6793855108228.498</v>
      </c>
      <c r="M4326" s="471">
        <f t="shared" si="184"/>
        <v>0.05</v>
      </c>
      <c r="N4326" s="475">
        <f t="shared" si="185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83"/>
        <v>-6793855108228.498</v>
      </c>
      <c r="J4327" s="455">
        <f t="array" ref="J4327">IFERROR(INDEX('Retirement Calculator'!J:J,MATCH('Isaac 401k'!N4327,'Retirement Calculator'!A:A,0),0),0)</f>
        <v>0</v>
      </c>
      <c r="K4327" s="455">
        <f t="shared" ca="1" si="181"/>
        <v>-28307729617.61874</v>
      </c>
      <c r="L4327" s="455">
        <f t="shared" ca="1" si="182"/>
        <v>-6822162837846.1172</v>
      </c>
      <c r="M4327" s="471">
        <f t="shared" si="184"/>
        <v>0.05</v>
      </c>
      <c r="N4327" s="475">
        <f t="shared" si="185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83"/>
        <v>-6822162837846.1172</v>
      </c>
      <c r="J4328" s="455">
        <f t="array" ref="J4328">IFERROR(INDEX('Retirement Calculator'!J:J,MATCH('Isaac 401k'!N4328,'Retirement Calculator'!A:A,0),0),0)</f>
        <v>0</v>
      </c>
      <c r="K4328" s="455">
        <f t="shared" ca="1" si="181"/>
        <v>-28425678491.025486</v>
      </c>
      <c r="L4328" s="455">
        <f t="shared" ca="1" si="182"/>
        <v>-6850588516337.1426</v>
      </c>
      <c r="M4328" s="471">
        <f t="shared" si="184"/>
        <v>0.05</v>
      </c>
      <c r="N4328" s="475">
        <f t="shared" si="185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83"/>
        <v>-6850588516337.1426</v>
      </c>
      <c r="J4329" s="455">
        <f t="array" ref="J4329">IFERROR(INDEX('Retirement Calculator'!J:J,MATCH('Isaac 401k'!N4329,'Retirement Calculator'!A:A,0),0),0)</f>
        <v>0</v>
      </c>
      <c r="K4329" s="455">
        <f t="shared" ca="1" si="181"/>
        <v>-28544118818.071423</v>
      </c>
      <c r="L4329" s="455">
        <f t="shared" ca="1" si="182"/>
        <v>-6879132635155.2139</v>
      </c>
      <c r="M4329" s="471">
        <f t="shared" si="184"/>
        <v>0.05</v>
      </c>
      <c r="N4329" s="475">
        <f t="shared" si="185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83"/>
        <v>-6879132635155.2139</v>
      </c>
      <c r="J4330" s="455">
        <f t="array" ref="J4330">IFERROR(INDEX('Retirement Calculator'!J:J,MATCH('Isaac 401k'!N4330,'Retirement Calculator'!A:A,0),0),0)</f>
        <v>0</v>
      </c>
      <c r="K4330" s="455">
        <f t="shared" ca="1" si="181"/>
        <v>-28663052646.480057</v>
      </c>
      <c r="L4330" s="455">
        <f t="shared" ca="1" si="182"/>
        <v>-6907795687801.6943</v>
      </c>
      <c r="M4330" s="471">
        <f t="shared" si="184"/>
        <v>0.05</v>
      </c>
      <c r="N4330" s="475">
        <f t="shared" si="185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83"/>
        <v>-6907795687801.6943</v>
      </c>
      <c r="J4331" s="455">
        <f t="array" ref="J4331">IFERROR(INDEX('Retirement Calculator'!J:J,MATCH('Isaac 401k'!N4331,'Retirement Calculator'!A:A,0),0),0)</f>
        <v>0</v>
      </c>
      <c r="K4331" s="455">
        <f t="shared" ca="1" si="181"/>
        <v>-28782482032.507061</v>
      </c>
      <c r="L4331" s="455">
        <f t="shared" ca="1" si="182"/>
        <v>-6936578169834.2012</v>
      </c>
      <c r="M4331" s="471">
        <f t="shared" si="184"/>
        <v>0.05</v>
      </c>
      <c r="N4331" s="475">
        <f t="shared" si="185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83"/>
        <v>-6936578169834.2012</v>
      </c>
      <c r="J4332" s="455">
        <f t="array" ref="J4332">IFERROR(INDEX('Retirement Calculator'!J:J,MATCH('Isaac 401k'!N4332,'Retirement Calculator'!A:A,0),0),0)</f>
        <v>0</v>
      </c>
      <c r="K4332" s="455">
        <f t="shared" ca="1" si="181"/>
        <v>-28902409040.975838</v>
      </c>
      <c r="L4332" s="455">
        <f t="shared" ca="1" si="182"/>
        <v>-6965480578875.1768</v>
      </c>
      <c r="M4332" s="471">
        <f t="shared" si="184"/>
        <v>0.05</v>
      </c>
      <c r="N4332" s="475">
        <f t="shared" si="185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83"/>
        <v>-6965480578875.1768</v>
      </c>
      <c r="J4333" s="455">
        <f t="array" ref="J4333">IFERROR(INDEX('Retirement Calculator'!J:J,MATCH('Isaac 401k'!N4333,'Retirement Calculator'!A:A,0),0),0)</f>
        <v>0</v>
      </c>
      <c r="K4333" s="455">
        <f t="shared" ca="1" si="181"/>
        <v>-29022835745.313232</v>
      </c>
      <c r="L4333" s="455">
        <f t="shared" ca="1" si="182"/>
        <v>-6994503414620.4902</v>
      </c>
      <c r="M4333" s="471">
        <f t="shared" si="184"/>
        <v>0.05</v>
      </c>
      <c r="N4333" s="475">
        <f t="shared" si="185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83"/>
        <v>-6994503414620.4902</v>
      </c>
      <c r="J4334" s="455">
        <f t="array" ref="J4334">IFERROR(INDEX('Retirement Calculator'!J:J,MATCH('Isaac 401k'!N4334,'Retirement Calculator'!A:A,0),0),0)</f>
        <v>0</v>
      </c>
      <c r="K4334" s="455">
        <f t="shared" ca="1" si="181"/>
        <v>-29143764227.585377</v>
      </c>
      <c r="L4334" s="455">
        <f t="shared" ca="1" si="182"/>
        <v>-7023647178848.0752</v>
      </c>
      <c r="M4334" s="471">
        <f t="shared" si="184"/>
        <v>0.05</v>
      </c>
      <c r="N4334" s="475">
        <f t="shared" si="185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83"/>
        <v>-7023647178848.0752</v>
      </c>
      <c r="J4335" s="455">
        <f t="array" ref="J4335">IFERROR(INDEX('Retirement Calculator'!J:J,MATCH('Isaac 401k'!N4335,'Retirement Calculator'!A:A,0),0),0)</f>
        <v>0</v>
      </c>
      <c r="K4335" s="455">
        <f t="shared" ca="1" si="181"/>
        <v>-29265196578.533642</v>
      </c>
      <c r="L4335" s="455">
        <f t="shared" ca="1" si="182"/>
        <v>-7052912375426.6084</v>
      </c>
      <c r="M4335" s="471">
        <f t="shared" si="184"/>
        <v>0.05</v>
      </c>
      <c r="N4335" s="475">
        <f t="shared" si="185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83"/>
        <v>-7052912375426.6084</v>
      </c>
      <c r="J4336" s="455">
        <f t="array" ref="J4336">IFERROR(INDEX('Retirement Calculator'!J:J,MATCH('Isaac 401k'!N4336,'Retirement Calculator'!A:A,0),0),0)</f>
        <v>0</v>
      </c>
      <c r="K4336" s="455">
        <f t="shared" ca="1" si="181"/>
        <v>-29387134897.610863</v>
      </c>
      <c r="L4336" s="455">
        <f t="shared" ca="1" si="182"/>
        <v>-7082299510324.2197</v>
      </c>
      <c r="M4336" s="471">
        <f t="shared" si="184"/>
        <v>0.05</v>
      </c>
      <c r="N4336" s="475">
        <f t="shared" si="185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83"/>
        <v>-7082299510324.2197</v>
      </c>
      <c r="J4337" s="455">
        <f t="array" ref="J4337">IFERROR(INDEX('Retirement Calculator'!J:J,MATCH('Isaac 401k'!N4337,'Retirement Calculator'!A:A,0),0),0)</f>
        <v>0</v>
      </c>
      <c r="K4337" s="455">
        <f t="shared" ca="1" si="181"/>
        <v>-29509581293.017578</v>
      </c>
      <c r="L4337" s="455">
        <f t="shared" ca="1" si="182"/>
        <v>-7111809091617.2373</v>
      </c>
      <c r="M4337" s="471">
        <f t="shared" si="184"/>
        <v>0.05</v>
      </c>
      <c r="N4337" s="475">
        <f t="shared" si="185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83"/>
        <v>-7111809091617.2373</v>
      </c>
      <c r="J4338" s="455">
        <f t="array" ref="J4338">IFERROR(INDEX('Retirement Calculator'!J:J,MATCH('Isaac 401k'!N4338,'Retirement Calculator'!A:A,0),0),0)</f>
        <v>0</v>
      </c>
      <c r="K4338" s="455">
        <f t="shared" ca="1" si="181"/>
        <v>-29632537881.738487</v>
      </c>
      <c r="L4338" s="455">
        <f t="shared" ca="1" si="182"/>
        <v>-7141441629498.9756</v>
      </c>
      <c r="M4338" s="471">
        <f t="shared" si="184"/>
        <v>0.05</v>
      </c>
      <c r="N4338" s="475">
        <f t="shared" si="185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83"/>
        <v>-7141441629498.9756</v>
      </c>
      <c r="J4339" s="455">
        <f t="array" ref="J4339">IFERROR(INDEX('Retirement Calculator'!J:J,MATCH('Isaac 401k'!N4339,'Retirement Calculator'!A:A,0),0),0)</f>
        <v>0</v>
      </c>
      <c r="K4339" s="455">
        <f t="shared" ca="1" si="181"/>
        <v>-29756006789.579067</v>
      </c>
      <c r="L4339" s="455">
        <f t="shared" ca="1" si="182"/>
        <v>-7171197636288.5547</v>
      </c>
      <c r="M4339" s="471">
        <f t="shared" si="184"/>
        <v>0.05</v>
      </c>
      <c r="N4339" s="475">
        <f t="shared" si="185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83"/>
        <v>-7171197636288.5547</v>
      </c>
      <c r="J4340" s="455">
        <f t="array" ref="J4340">IFERROR(INDEX('Retirement Calculator'!J:J,MATCH('Isaac 401k'!N4340,'Retirement Calculator'!A:A,0),0),0)</f>
        <v>0</v>
      </c>
      <c r="K4340" s="455">
        <f t="shared" ca="1" si="181"/>
        <v>-29879990151.202312</v>
      </c>
      <c r="L4340" s="455">
        <f t="shared" ca="1" si="182"/>
        <v>-7201077626439.7568</v>
      </c>
      <c r="M4340" s="471">
        <f t="shared" si="184"/>
        <v>0.05</v>
      </c>
      <c r="N4340" s="475">
        <f t="shared" si="185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83"/>
        <v>-7201077626439.7568</v>
      </c>
      <c r="J4341" s="455">
        <f t="array" ref="J4341">IFERROR(INDEX('Retirement Calculator'!J:J,MATCH('Isaac 401k'!N4341,'Retirement Calculator'!A:A,0),0),0)</f>
        <v>0</v>
      </c>
      <c r="K4341" s="455">
        <f t="shared" ca="1" si="181"/>
        <v>-30004490110.165653</v>
      </c>
      <c r="L4341" s="455">
        <f t="shared" ca="1" si="182"/>
        <v>-7231082116549.9229</v>
      </c>
      <c r="M4341" s="471">
        <f t="shared" si="184"/>
        <v>0.05</v>
      </c>
      <c r="N4341" s="475">
        <f t="shared" si="185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83"/>
        <v>-7231082116549.9229</v>
      </c>
      <c r="J4342" s="455">
        <f t="array" ref="J4342">IFERROR(INDEX('Retirement Calculator'!J:J,MATCH('Isaac 401k'!N4342,'Retirement Calculator'!A:A,0),0),0)</f>
        <v>0</v>
      </c>
      <c r="K4342" s="455">
        <f t="shared" ca="1" si="181"/>
        <v>-30129508818.958008</v>
      </c>
      <c r="L4342" s="455">
        <f t="shared" ca="1" si="182"/>
        <v>-7261211625368.8809</v>
      </c>
      <c r="M4342" s="471">
        <f t="shared" si="184"/>
        <v>0.05</v>
      </c>
      <c r="N4342" s="475">
        <f t="shared" si="185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83"/>
        <v>-7261211625368.8809</v>
      </c>
      <c r="J4343" s="455">
        <f t="array" ref="J4343">IFERROR(INDEX('Retirement Calculator'!J:J,MATCH('Isaac 401k'!N4343,'Retirement Calculator'!A:A,0),0),0)</f>
        <v>0</v>
      </c>
      <c r="K4343" s="455">
        <f t="shared" ref="K4343:K4597" ca="1" si="186">IPMT(M4343/12,1,12,-I4343+J4343,,0)</f>
        <v>-30255048439.037003</v>
      </c>
      <c r="L4343" s="455">
        <f t="shared" ref="L4343:L4597" ca="1" si="187">I4343-J4343+K4343</f>
        <v>-7291466673807.918</v>
      </c>
      <c r="M4343" s="471">
        <f t="shared" si="184"/>
        <v>0.05</v>
      </c>
      <c r="N4343" s="475">
        <f t="shared" si="185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88">L4343</f>
        <v>-7291466673807.918</v>
      </c>
      <c r="J4344" s="455">
        <f t="array" ref="J4344">IFERROR(INDEX('Retirement Calculator'!J:J,MATCH('Isaac 401k'!N4344,'Retirement Calculator'!A:A,0),0),0)</f>
        <v>0</v>
      </c>
      <c r="K4344" s="455">
        <f t="shared" ca="1" si="186"/>
        <v>-30381111140.866325</v>
      </c>
      <c r="L4344" s="455">
        <f t="shared" ca="1" si="187"/>
        <v>-7321847784948.7842</v>
      </c>
      <c r="M4344" s="471">
        <f t="shared" ref="M4344:M4598" si="189">M4343</f>
        <v>0.05</v>
      </c>
      <c r="N4344" s="475">
        <f t="shared" ref="N4344:N4598" si="190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88"/>
        <v>-7321847784948.7842</v>
      </c>
      <c r="J4345" s="455">
        <f t="array" ref="J4345">IFERROR(INDEX('Retirement Calculator'!J:J,MATCH('Isaac 401k'!N4345,'Retirement Calculator'!A:A,0),0),0)</f>
        <v>0</v>
      </c>
      <c r="K4345" s="455">
        <f t="shared" ca="1" si="186"/>
        <v>-30507699103.953262</v>
      </c>
      <c r="L4345" s="455">
        <f t="shared" ca="1" si="187"/>
        <v>-7352355484052.7373</v>
      </c>
      <c r="M4345" s="471">
        <f t="shared" si="189"/>
        <v>0.05</v>
      </c>
      <c r="N4345" s="475">
        <f t="shared" si="190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88"/>
        <v>-7352355484052.7373</v>
      </c>
      <c r="J4346" s="455">
        <f t="array" ref="J4346">IFERROR(INDEX('Retirement Calculator'!J:J,MATCH('Isaac 401k'!N4346,'Retirement Calculator'!A:A,0),0),0)</f>
        <v>0</v>
      </c>
      <c r="K4346" s="455">
        <f t="shared" ca="1" si="186"/>
        <v>-30634814516.886406</v>
      </c>
      <c r="L4346" s="455">
        <f t="shared" ca="1" si="187"/>
        <v>-7382990298569.624</v>
      </c>
      <c r="M4346" s="471">
        <f t="shared" si="189"/>
        <v>0.05</v>
      </c>
      <c r="N4346" s="475">
        <f t="shared" si="190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88"/>
        <v>-7382990298569.624</v>
      </c>
      <c r="J4347" s="455">
        <f t="array" ref="J4347">IFERROR(INDEX('Retirement Calculator'!J:J,MATCH('Isaac 401k'!N4347,'Retirement Calculator'!A:A,0),0),0)</f>
        <v>0</v>
      </c>
      <c r="K4347" s="455">
        <f t="shared" ca="1" si="186"/>
        <v>-30762459577.373436</v>
      </c>
      <c r="L4347" s="455">
        <f t="shared" ca="1" si="187"/>
        <v>-7413752758146.9971</v>
      </c>
      <c r="M4347" s="471">
        <f t="shared" si="189"/>
        <v>0.05</v>
      </c>
      <c r="N4347" s="475">
        <f t="shared" si="190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88"/>
        <v>-7413752758146.9971</v>
      </c>
      <c r="J4348" s="455">
        <f t="array" ref="J4348">IFERROR(INDEX('Retirement Calculator'!J:J,MATCH('Isaac 401k'!N4348,'Retirement Calculator'!A:A,0),0),0)</f>
        <v>0</v>
      </c>
      <c r="K4348" s="455">
        <f t="shared" ca="1" si="186"/>
        <v>-30890636492.27916</v>
      </c>
      <c r="L4348" s="455">
        <f t="shared" ca="1" si="187"/>
        <v>-7444643394639.2764</v>
      </c>
      <c r="M4348" s="471">
        <f t="shared" si="189"/>
        <v>0.05</v>
      </c>
      <c r="N4348" s="475">
        <f t="shared" si="190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88"/>
        <v>-7444643394639.2764</v>
      </c>
      <c r="J4349" s="455">
        <f t="array" ref="J4349">IFERROR(INDEX('Retirement Calculator'!J:J,MATCH('Isaac 401k'!N4349,'Retirement Calculator'!A:A,0),0),0)</f>
        <v>0</v>
      </c>
      <c r="K4349" s="455">
        <f t="shared" ca="1" si="186"/>
        <v>-31019347477.663651</v>
      </c>
      <c r="L4349" s="455">
        <f t="shared" ca="1" si="187"/>
        <v>-7475662742116.9404</v>
      </c>
      <c r="M4349" s="471">
        <f t="shared" si="189"/>
        <v>0.05</v>
      </c>
      <c r="N4349" s="475">
        <f t="shared" si="190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88"/>
        <v>-7475662742116.9404</v>
      </c>
      <c r="J4350" s="455">
        <f t="array" ref="J4350">IFERROR(INDEX('Retirement Calculator'!J:J,MATCH('Isaac 401k'!N4350,'Retirement Calculator'!A:A,0),0),0)</f>
        <v>0</v>
      </c>
      <c r="K4350" s="455">
        <f t="shared" ca="1" si="186"/>
        <v>-31148594758.82058</v>
      </c>
      <c r="L4350" s="455">
        <f t="shared" ca="1" si="187"/>
        <v>-7506811336875.7607</v>
      </c>
      <c r="M4350" s="471">
        <f t="shared" si="189"/>
        <v>0.05</v>
      </c>
      <c r="N4350" s="475">
        <f t="shared" si="190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88"/>
        <v>-7506811336875.7607</v>
      </c>
      <c r="J4351" s="455">
        <f t="array" ref="J4351">IFERROR(INDEX('Retirement Calculator'!J:J,MATCH('Isaac 401k'!N4351,'Retirement Calculator'!A:A,0),0),0)</f>
        <v>0</v>
      </c>
      <c r="K4351" s="455">
        <f t="shared" ca="1" si="186"/>
        <v>-31278380570.31567</v>
      </c>
      <c r="L4351" s="455">
        <f t="shared" ca="1" si="187"/>
        <v>-7538089717446.0762</v>
      </c>
      <c r="M4351" s="471">
        <f t="shared" si="189"/>
        <v>0.05</v>
      </c>
      <c r="N4351" s="475">
        <f t="shared" si="190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88"/>
        <v>-7538089717446.0762</v>
      </c>
      <c r="J4352" s="455">
        <f t="array" ref="J4352">IFERROR(INDEX('Retirement Calculator'!J:J,MATCH('Isaac 401k'!N4352,'Retirement Calculator'!A:A,0),0),0)</f>
        <v>0</v>
      </c>
      <c r="K4352" s="455">
        <f t="shared" ca="1" si="186"/>
        <v>-31408707156.025322</v>
      </c>
      <c r="L4352" s="455">
        <f t="shared" ca="1" si="187"/>
        <v>-7569498424602.1016</v>
      </c>
      <c r="M4352" s="471">
        <f t="shared" si="189"/>
        <v>0.05</v>
      </c>
      <c r="N4352" s="475">
        <f t="shared" si="190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88"/>
        <v>-7569498424602.1016</v>
      </c>
      <c r="J4353" s="455">
        <f t="array" ref="J4353">IFERROR(INDEX('Retirement Calculator'!J:J,MATCH('Isaac 401k'!N4353,'Retirement Calculator'!A:A,0),0),0)</f>
        <v>0</v>
      </c>
      <c r="K4353" s="455">
        <f t="shared" ca="1" si="186"/>
        <v>-31539576769.175426</v>
      </c>
      <c r="L4353" s="455">
        <f t="shared" ca="1" si="187"/>
        <v>-7601038001371.2773</v>
      </c>
      <c r="M4353" s="471">
        <f t="shared" si="189"/>
        <v>0.05</v>
      </c>
      <c r="N4353" s="475">
        <f t="shared" si="190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88"/>
        <v>-7601038001371.2773</v>
      </c>
      <c r="J4354" s="455">
        <f t="array" ref="J4354">IFERROR(INDEX('Retirement Calculator'!J:J,MATCH('Isaac 401k'!N4354,'Retirement Calculator'!A:A,0),0),0)</f>
        <v>0</v>
      </c>
      <c r="K4354" s="455">
        <f t="shared" ca="1" si="186"/>
        <v>-31670991672.380318</v>
      </c>
      <c r="L4354" s="455">
        <f t="shared" ca="1" si="187"/>
        <v>-7632708993043.6572</v>
      </c>
      <c r="M4354" s="471">
        <f t="shared" si="189"/>
        <v>0.05</v>
      </c>
      <c r="N4354" s="475">
        <f t="shared" si="190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88"/>
        <v>-7632708993043.6572</v>
      </c>
      <c r="J4355" s="455">
        <f t="array" ref="J4355">IFERROR(INDEX('Retirement Calculator'!J:J,MATCH('Isaac 401k'!N4355,'Retirement Calculator'!A:A,0),0),0)</f>
        <v>0</v>
      </c>
      <c r="K4355" s="455">
        <f t="shared" ca="1" si="186"/>
        <v>-31802954137.681904</v>
      </c>
      <c r="L4355" s="455">
        <f t="shared" ca="1" si="187"/>
        <v>-7664511947181.3389</v>
      </c>
      <c r="M4355" s="471">
        <f t="shared" si="189"/>
        <v>0.05</v>
      </c>
      <c r="N4355" s="475">
        <f t="shared" si="190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88"/>
        <v>-7664511947181.3389</v>
      </c>
      <c r="J4356" s="455">
        <f t="array" ref="J4356">IFERROR(INDEX('Retirement Calculator'!J:J,MATCH('Isaac 401k'!N4356,'Retirement Calculator'!A:A,0),0),0)</f>
        <v>0</v>
      </c>
      <c r="K4356" s="455">
        <f t="shared" ca="1" si="186"/>
        <v>-31935466446.588913</v>
      </c>
      <c r="L4356" s="455">
        <f t="shared" ca="1" si="187"/>
        <v>-7696447413627.9277</v>
      </c>
      <c r="M4356" s="471">
        <f t="shared" si="189"/>
        <v>0.05</v>
      </c>
      <c r="N4356" s="475">
        <f t="shared" si="190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88"/>
        <v>-7696447413627.9277</v>
      </c>
      <c r="J4357" s="455">
        <f t="array" ref="J4357">IFERROR(INDEX('Retirement Calculator'!J:J,MATCH('Isaac 401k'!N4357,'Retirement Calculator'!A:A,0),0),0)</f>
        <v>0</v>
      </c>
      <c r="K4357" s="455">
        <f t="shared" ca="1" si="186"/>
        <v>-32068530890.116364</v>
      </c>
      <c r="L4357" s="455">
        <f t="shared" ca="1" si="187"/>
        <v>-7728515944518.0439</v>
      </c>
      <c r="M4357" s="471">
        <f t="shared" si="189"/>
        <v>0.05</v>
      </c>
      <c r="N4357" s="475">
        <f t="shared" si="190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88"/>
        <v>-7728515944518.0439</v>
      </c>
      <c r="J4358" s="455">
        <f t="array" ref="J4358">IFERROR(INDEX('Retirement Calculator'!J:J,MATCH('Isaac 401k'!N4358,'Retirement Calculator'!A:A,0),0),0)</f>
        <v>0</v>
      </c>
      <c r="K4358" s="455">
        <f t="shared" ca="1" si="186"/>
        <v>-32202149768.825184</v>
      </c>
      <c r="L4358" s="455">
        <f t="shared" ca="1" si="187"/>
        <v>-7760718094286.8691</v>
      </c>
      <c r="M4358" s="471">
        <f t="shared" si="189"/>
        <v>0.05</v>
      </c>
      <c r="N4358" s="475">
        <f t="shared" si="190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88"/>
        <v>-7760718094286.8691</v>
      </c>
      <c r="J4359" s="455">
        <f t="array" ref="J4359">IFERROR(INDEX('Retirement Calculator'!J:J,MATCH('Isaac 401k'!N4359,'Retirement Calculator'!A:A,0),0),0)</f>
        <v>0</v>
      </c>
      <c r="K4359" s="455">
        <f t="shared" ca="1" si="186"/>
        <v>-32336325392.861954</v>
      </c>
      <c r="L4359" s="455">
        <f t="shared" ca="1" si="187"/>
        <v>-7793054419679.7314</v>
      </c>
      <c r="M4359" s="471">
        <f t="shared" si="189"/>
        <v>0.05</v>
      </c>
      <c r="N4359" s="475">
        <f t="shared" si="190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88"/>
        <v>-7793054419679.7314</v>
      </c>
      <c r="J4360" s="455">
        <f t="array" ref="J4360">IFERROR(INDEX('Retirement Calculator'!J:J,MATCH('Isaac 401k'!N4360,'Retirement Calculator'!A:A,0),0),0)</f>
        <v>0</v>
      </c>
      <c r="K4360" s="455">
        <f t="shared" ca="1" si="186"/>
        <v>-32471060081.998882</v>
      </c>
      <c r="L4360" s="455">
        <f t="shared" ca="1" si="187"/>
        <v>-7825525479761.7305</v>
      </c>
      <c r="M4360" s="471">
        <f t="shared" si="189"/>
        <v>0.05</v>
      </c>
      <c r="N4360" s="475">
        <f t="shared" si="190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88"/>
        <v>-7825525479761.7305</v>
      </c>
      <c r="J4361" s="455">
        <f t="array" ref="J4361">IFERROR(INDEX('Retirement Calculator'!J:J,MATCH('Isaac 401k'!N4361,'Retirement Calculator'!A:A,0),0),0)</f>
        <v>0</v>
      </c>
      <c r="K4361" s="455">
        <f t="shared" ca="1" si="186"/>
        <v>-32606356165.673882</v>
      </c>
      <c r="L4361" s="455">
        <f t="shared" ca="1" si="187"/>
        <v>-7858131835927.4043</v>
      </c>
      <c r="M4361" s="471">
        <f t="shared" si="189"/>
        <v>0.05</v>
      </c>
      <c r="N4361" s="475">
        <f t="shared" si="190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88"/>
        <v>-7858131835927.4043</v>
      </c>
      <c r="J4362" s="455">
        <f t="array" ref="J4362">IFERROR(INDEX('Retirement Calculator'!J:J,MATCH('Isaac 401k'!N4362,'Retirement Calculator'!A:A,0),0),0)</f>
        <v>0</v>
      </c>
      <c r="K4362" s="455">
        <f t="shared" ca="1" si="186"/>
        <v>-32742215983.030849</v>
      </c>
      <c r="L4362" s="455">
        <f t="shared" ca="1" si="187"/>
        <v>-7890874051910.4355</v>
      </c>
      <c r="M4362" s="471">
        <f t="shared" si="189"/>
        <v>0.05</v>
      </c>
      <c r="N4362" s="475">
        <f t="shared" si="190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88"/>
        <v>-7890874051910.4355</v>
      </c>
      <c r="J4363" s="455">
        <f t="array" ref="J4363">IFERROR(INDEX('Retirement Calculator'!J:J,MATCH('Isaac 401k'!N4363,'Retirement Calculator'!A:A,0),0),0)</f>
        <v>0</v>
      </c>
      <c r="K4363" s="455">
        <f t="shared" ca="1" si="186"/>
        <v>-32878641882.960148</v>
      </c>
      <c r="L4363" s="455">
        <f t="shared" ca="1" si="187"/>
        <v>-7923752693793.3955</v>
      </c>
      <c r="M4363" s="471">
        <f t="shared" si="189"/>
        <v>0.05</v>
      </c>
      <c r="N4363" s="475">
        <f t="shared" si="190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88"/>
        <v>-7923752693793.3955</v>
      </c>
      <c r="J4364" s="455">
        <f t="array" ref="J4364">IFERROR(INDEX('Retirement Calculator'!J:J,MATCH('Isaac 401k'!N4364,'Retirement Calculator'!A:A,0),0),0)</f>
        <v>0</v>
      </c>
      <c r="K4364" s="455">
        <f t="shared" ca="1" si="186"/>
        <v>-33015636224.139145</v>
      </c>
      <c r="L4364" s="455">
        <f t="shared" ca="1" si="187"/>
        <v>-7956768330017.5342</v>
      </c>
      <c r="M4364" s="471">
        <f t="shared" si="189"/>
        <v>0.05</v>
      </c>
      <c r="N4364" s="475">
        <f t="shared" si="190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88"/>
        <v>-7956768330017.5342</v>
      </c>
      <c r="J4365" s="455">
        <f t="array" ref="J4365">IFERROR(INDEX('Retirement Calculator'!J:J,MATCH('Isaac 401k'!N4365,'Retirement Calculator'!A:A,0),0),0)</f>
        <v>0</v>
      </c>
      <c r="K4365" s="455">
        <f t="shared" ca="1" si="186"/>
        <v>-33153201375.073063</v>
      </c>
      <c r="L4365" s="455">
        <f t="shared" ca="1" si="187"/>
        <v>-7989921531392.6074</v>
      </c>
      <c r="M4365" s="471">
        <f t="shared" si="189"/>
        <v>0.05</v>
      </c>
      <c r="N4365" s="475">
        <f t="shared" si="190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88"/>
        <v>-7989921531392.6074</v>
      </c>
      <c r="J4366" s="455">
        <f t="array" ref="J4366">IFERROR(INDEX('Retirement Calculator'!J:J,MATCH('Isaac 401k'!N4366,'Retirement Calculator'!A:A,0),0),0)</f>
        <v>0</v>
      </c>
      <c r="K4366" s="455">
        <f t="shared" ca="1" si="186"/>
        <v>-33291339714.135868</v>
      </c>
      <c r="L4366" s="455">
        <f t="shared" ca="1" si="187"/>
        <v>-8023212871106.7432</v>
      </c>
      <c r="M4366" s="471">
        <f t="shared" si="189"/>
        <v>0.05</v>
      </c>
      <c r="N4366" s="475">
        <f t="shared" si="190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88"/>
        <v>-8023212871106.7432</v>
      </c>
      <c r="J4367" s="455">
        <f t="array" ref="J4367">IFERROR(INDEX('Retirement Calculator'!J:J,MATCH('Isaac 401k'!N4367,'Retirement Calculator'!A:A,0),0),0)</f>
        <v>0</v>
      </c>
      <c r="K4367" s="455">
        <f t="shared" ca="1" si="186"/>
        <v>-33430053629.611431</v>
      </c>
      <c r="L4367" s="455">
        <f t="shared" ca="1" si="187"/>
        <v>-8056642924736.3545</v>
      </c>
      <c r="M4367" s="471">
        <f t="shared" si="189"/>
        <v>0.05</v>
      </c>
      <c r="N4367" s="475">
        <f t="shared" si="190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88"/>
        <v>-8056642924736.3545</v>
      </c>
      <c r="J4368" s="455">
        <f t="array" ref="J4368">IFERROR(INDEX('Retirement Calculator'!J:J,MATCH('Isaac 401k'!N4368,'Retirement Calculator'!A:A,0),0),0)</f>
        <v>0</v>
      </c>
      <c r="K4368" s="455">
        <f t="shared" ca="1" si="186"/>
        <v>-33569345519.73481</v>
      </c>
      <c r="L4368" s="455">
        <f t="shared" ca="1" si="187"/>
        <v>-8090212270256.0889</v>
      </c>
      <c r="M4368" s="471">
        <f t="shared" si="189"/>
        <v>0.05</v>
      </c>
      <c r="N4368" s="475">
        <f t="shared" si="190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88"/>
        <v>-8090212270256.0889</v>
      </c>
      <c r="J4369" s="455">
        <f t="array" ref="J4369">IFERROR(INDEX('Retirement Calculator'!J:J,MATCH('Isaac 401k'!N4369,'Retirement Calculator'!A:A,0),0),0)</f>
        <v>0</v>
      </c>
      <c r="K4369" s="455">
        <f t="shared" ca="1" si="186"/>
        <v>-33709217792.7337</v>
      </c>
      <c r="L4369" s="455">
        <f t="shared" ca="1" si="187"/>
        <v>-8123921488048.8223</v>
      </c>
      <c r="M4369" s="471">
        <f t="shared" si="189"/>
        <v>0.05</v>
      </c>
      <c r="N4369" s="475">
        <f t="shared" si="190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88"/>
        <v>-8123921488048.8223</v>
      </c>
      <c r="J4370" s="455">
        <f t="array" ref="J4370">IFERROR(INDEX('Retirement Calculator'!J:J,MATCH('Isaac 401k'!N4370,'Retirement Calculator'!A:A,0),0),0)</f>
        <v>0</v>
      </c>
      <c r="K4370" s="455">
        <f t="shared" ca="1" si="186"/>
        <v>-33849672866.87009</v>
      </c>
      <c r="L4370" s="455">
        <f t="shared" ca="1" si="187"/>
        <v>-8157771160915.6924</v>
      </c>
      <c r="M4370" s="471">
        <f t="shared" si="189"/>
        <v>0.05</v>
      </c>
      <c r="N4370" s="475">
        <f t="shared" si="190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88"/>
        <v>-8157771160915.6924</v>
      </c>
      <c r="J4371" s="455">
        <f t="array" ref="J4371">IFERROR(INDEX('Retirement Calculator'!J:J,MATCH('Isaac 401k'!N4371,'Retirement Calculator'!A:A,0),0),0)</f>
        <v>0</v>
      </c>
      <c r="K4371" s="455">
        <f t="shared" ca="1" si="186"/>
        <v>-33990713170.482052</v>
      </c>
      <c r="L4371" s="455">
        <f t="shared" ca="1" si="187"/>
        <v>-8191761874086.1748</v>
      </c>
      <c r="M4371" s="471">
        <f t="shared" si="189"/>
        <v>0.05</v>
      </c>
      <c r="N4371" s="475">
        <f t="shared" si="190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88"/>
        <v>-8191761874086.1748</v>
      </c>
      <c r="J4372" s="455">
        <f t="array" ref="J4372">IFERROR(INDEX('Retirement Calculator'!J:J,MATCH('Isaac 401k'!N4372,'Retirement Calculator'!A:A,0),0),0)</f>
        <v>0</v>
      </c>
      <c r="K4372" s="455">
        <f t="shared" ca="1" si="186"/>
        <v>-34132341142.025726</v>
      </c>
      <c r="L4372" s="455">
        <f t="shared" ca="1" si="187"/>
        <v>-8225894215228.2002</v>
      </c>
      <c r="M4372" s="471">
        <f t="shared" si="189"/>
        <v>0.05</v>
      </c>
      <c r="N4372" s="475">
        <f t="shared" si="190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88"/>
        <v>-8225894215228.2002</v>
      </c>
      <c r="J4373" s="455">
        <f t="array" ref="J4373">IFERROR(INDEX('Retirement Calculator'!J:J,MATCH('Isaac 401k'!N4373,'Retirement Calculator'!A:A,0),0),0)</f>
        <v>0</v>
      </c>
      <c r="K4373" s="455">
        <f t="shared" ca="1" si="186"/>
        <v>-34274559230.117496</v>
      </c>
      <c r="L4373" s="455">
        <f t="shared" ca="1" si="187"/>
        <v>-8260168774458.3174</v>
      </c>
      <c r="M4373" s="471">
        <f t="shared" si="189"/>
        <v>0.05</v>
      </c>
      <c r="N4373" s="475">
        <f t="shared" si="190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88"/>
        <v>-8260168774458.3174</v>
      </c>
      <c r="J4374" s="455">
        <f t="array" ref="J4374">IFERROR(INDEX('Retirement Calculator'!J:J,MATCH('Isaac 401k'!N4374,'Retirement Calculator'!A:A,0),0),0)</f>
        <v>0</v>
      </c>
      <c r="K4374" s="455">
        <f t="shared" ca="1" si="186"/>
        <v>-34417369893.576317</v>
      </c>
      <c r="L4374" s="455">
        <f t="shared" ca="1" si="187"/>
        <v>-8294586144351.8936</v>
      </c>
      <c r="M4374" s="471">
        <f t="shared" si="189"/>
        <v>0.05</v>
      </c>
      <c r="N4374" s="475">
        <f t="shared" si="190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88"/>
        <v>-8294586144351.8936</v>
      </c>
      <c r="J4375" s="455">
        <f t="array" ref="J4375">IFERROR(INDEX('Retirement Calculator'!J:J,MATCH('Isaac 401k'!N4375,'Retirement Calculator'!A:A,0),0),0)</f>
        <v>0</v>
      </c>
      <c r="K4375" s="455">
        <f t="shared" ca="1" si="186"/>
        <v>-34560775601.466225</v>
      </c>
      <c r="L4375" s="455">
        <f t="shared" ca="1" si="187"/>
        <v>-8329146919953.3594</v>
      </c>
      <c r="M4375" s="471">
        <f t="shared" si="189"/>
        <v>0.05</v>
      </c>
      <c r="N4375" s="475">
        <f t="shared" si="190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88"/>
        <v>-8329146919953.3594</v>
      </c>
      <c r="J4376" s="455">
        <f t="array" ref="J4376">IFERROR(INDEX('Retirement Calculator'!J:J,MATCH('Isaac 401k'!N4376,'Retirement Calculator'!A:A,0),0),0)</f>
        <v>0</v>
      </c>
      <c r="K4376" s="455">
        <f t="shared" ca="1" si="186"/>
        <v>-34704778833.139</v>
      </c>
      <c r="L4376" s="455">
        <f t="shared" ca="1" si="187"/>
        <v>-8363851698786.498</v>
      </c>
      <c r="M4376" s="471">
        <f t="shared" si="189"/>
        <v>0.05</v>
      </c>
      <c r="N4376" s="475">
        <f t="shared" si="190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88"/>
        <v>-8363851698786.498</v>
      </c>
      <c r="J4377" s="455">
        <f t="array" ref="J4377">IFERROR(INDEX('Retirement Calculator'!J:J,MATCH('Isaac 401k'!N4377,'Retirement Calculator'!A:A,0),0),0)</f>
        <v>0</v>
      </c>
      <c r="K4377" s="455">
        <f t="shared" ca="1" si="186"/>
        <v>-34849382078.277069</v>
      </c>
      <c r="L4377" s="455">
        <f t="shared" ca="1" si="187"/>
        <v>-8398701080864.7754</v>
      </c>
      <c r="M4377" s="471">
        <f t="shared" si="189"/>
        <v>0.05</v>
      </c>
      <c r="N4377" s="475">
        <f t="shared" si="190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88"/>
        <v>-8398701080864.7754</v>
      </c>
      <c r="J4378" s="455">
        <f t="array" ref="J4378">IFERROR(INDEX('Retirement Calculator'!J:J,MATCH('Isaac 401k'!N4378,'Retirement Calculator'!A:A,0),0),0)</f>
        <v>0</v>
      </c>
      <c r="K4378" s="455">
        <f t="shared" ca="1" si="186"/>
        <v>-34994587836.936562</v>
      </c>
      <c r="L4378" s="455">
        <f t="shared" ca="1" si="187"/>
        <v>-8433695668701.7119</v>
      </c>
      <c r="M4378" s="471">
        <f t="shared" si="189"/>
        <v>0.05</v>
      </c>
      <c r="N4378" s="475">
        <f t="shared" si="190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88"/>
        <v>-8433695668701.7119</v>
      </c>
      <c r="J4379" s="455">
        <f t="array" ref="J4379">IFERROR(INDEX('Retirement Calculator'!J:J,MATCH('Isaac 401k'!N4379,'Retirement Calculator'!A:A,0),0),0)</f>
        <v>0</v>
      </c>
      <c r="K4379" s="455">
        <f t="shared" ca="1" si="186"/>
        <v>-35140398619.590462</v>
      </c>
      <c r="L4379" s="455">
        <f t="shared" ca="1" si="187"/>
        <v>-8468836067321.3027</v>
      </c>
      <c r="M4379" s="471">
        <f t="shared" si="189"/>
        <v>0.05</v>
      </c>
      <c r="N4379" s="475">
        <f t="shared" si="190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88"/>
        <v>-8468836067321.3027</v>
      </c>
      <c r="J4380" s="455">
        <f t="array" ref="J4380">IFERROR(INDEX('Retirement Calculator'!J:J,MATCH('Isaac 401k'!N4380,'Retirement Calculator'!A:A,0),0),0)</f>
        <v>0</v>
      </c>
      <c r="K4380" s="455">
        <f t="shared" ca="1" si="186"/>
        <v>-35286816947.172096</v>
      </c>
      <c r="L4380" s="455">
        <f t="shared" ca="1" si="187"/>
        <v>-8504122884268.4746</v>
      </c>
      <c r="M4380" s="471">
        <f t="shared" si="189"/>
        <v>0.05</v>
      </c>
      <c r="N4380" s="475">
        <f t="shared" si="190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88"/>
        <v>-8504122884268.4746</v>
      </c>
      <c r="J4381" s="455">
        <f t="array" ref="J4381">IFERROR(INDEX('Retirement Calculator'!J:J,MATCH('Isaac 401k'!N4381,'Retirement Calculator'!A:A,0),0),0)</f>
        <v>0</v>
      </c>
      <c r="K4381" s="455">
        <f t="shared" ca="1" si="186"/>
        <v>-35433845351.118645</v>
      </c>
      <c r="L4381" s="455">
        <f t="shared" ca="1" si="187"/>
        <v>-8539556729619.5928</v>
      </c>
      <c r="M4381" s="471">
        <f t="shared" si="189"/>
        <v>0.05</v>
      </c>
      <c r="N4381" s="475">
        <f t="shared" si="190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88"/>
        <v>-8539556729619.5928</v>
      </c>
      <c r="J4382" s="455">
        <f t="array" ref="J4382">IFERROR(INDEX('Retirement Calculator'!J:J,MATCH('Isaac 401k'!N4382,'Retirement Calculator'!A:A,0),0),0)</f>
        <v>0</v>
      </c>
      <c r="K4382" s="455">
        <f t="shared" ca="1" si="186"/>
        <v>-35581486373.414963</v>
      </c>
      <c r="L4382" s="455">
        <f t="shared" ca="1" si="187"/>
        <v>-8575138215993.0078</v>
      </c>
      <c r="M4382" s="471">
        <f t="shared" si="189"/>
        <v>0.05</v>
      </c>
      <c r="N4382" s="475">
        <f t="shared" si="190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88"/>
        <v>-8575138215993.0078</v>
      </c>
      <c r="J4383" s="455">
        <f t="array" ref="J4383">IFERROR(INDEX('Retirement Calculator'!J:J,MATCH('Isaac 401k'!N4383,'Retirement Calculator'!A:A,0),0),0)</f>
        <v>0</v>
      </c>
      <c r="K4383" s="455">
        <f t="shared" ca="1" si="186"/>
        <v>-35729742566.637535</v>
      </c>
      <c r="L4383" s="455">
        <f t="shared" ca="1" si="187"/>
        <v>-8610867958559.6455</v>
      </c>
      <c r="M4383" s="471">
        <f t="shared" si="189"/>
        <v>0.05</v>
      </c>
      <c r="N4383" s="475">
        <f t="shared" si="190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88"/>
        <v>-8610867958559.6455</v>
      </c>
      <c r="J4384" s="455">
        <f t="array" ref="J4384">IFERROR(INDEX('Retirement Calculator'!J:J,MATCH('Isaac 401k'!N4384,'Retirement Calculator'!A:A,0),0),0)</f>
        <v>0</v>
      </c>
      <c r="K4384" s="455">
        <f t="shared" ca="1" si="186"/>
        <v>-35878616493.99852</v>
      </c>
      <c r="L4384" s="455">
        <f t="shared" ca="1" si="187"/>
        <v>-8646746575053.6436</v>
      </c>
      <c r="M4384" s="471">
        <f t="shared" si="189"/>
        <v>0.05</v>
      </c>
      <c r="N4384" s="475">
        <f t="shared" si="190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88"/>
        <v>-8646746575053.6436</v>
      </c>
      <c r="J4385" s="455">
        <f t="array" ref="J4385">IFERROR(INDEX('Retirement Calculator'!J:J,MATCH('Isaac 401k'!N4385,'Retirement Calculator'!A:A,0),0),0)</f>
        <v>0</v>
      </c>
      <c r="K4385" s="455">
        <f t="shared" ca="1" si="186"/>
        <v>-36028110729.390182</v>
      </c>
      <c r="L4385" s="455">
        <f t="shared" ca="1" si="187"/>
        <v>-8682774685783.0342</v>
      </c>
      <c r="M4385" s="471">
        <f t="shared" si="189"/>
        <v>0.05</v>
      </c>
      <c r="N4385" s="475">
        <f t="shared" si="190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88"/>
        <v>-8682774685783.0342</v>
      </c>
      <c r="J4386" s="455">
        <f t="array" ref="J4386">IFERROR(INDEX('Retirement Calculator'!J:J,MATCH('Isaac 401k'!N4386,'Retirement Calculator'!A:A,0),0),0)</f>
        <v>0</v>
      </c>
      <c r="K4386" s="455">
        <f t="shared" ca="1" si="186"/>
        <v>-36178227857.429306</v>
      </c>
      <c r="L4386" s="455">
        <f t="shared" ca="1" si="187"/>
        <v>-8718952913640.4639</v>
      </c>
      <c r="M4386" s="471">
        <f t="shared" si="189"/>
        <v>0.05</v>
      </c>
      <c r="N4386" s="475">
        <f t="shared" si="190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88"/>
        <v>-8718952913640.4639</v>
      </c>
      <c r="J4387" s="455">
        <f t="array" ref="J4387">IFERROR(INDEX('Retirement Calculator'!J:J,MATCH('Isaac 401k'!N4387,'Retirement Calculator'!A:A,0),0),0)</f>
        <v>0</v>
      </c>
      <c r="K4387" s="455">
        <f t="shared" ca="1" si="186"/>
        <v>-36328970473.50193</v>
      </c>
      <c r="L4387" s="455">
        <f t="shared" ca="1" si="187"/>
        <v>-8755281884113.9658</v>
      </c>
      <c r="M4387" s="471">
        <f t="shared" si="189"/>
        <v>0.05</v>
      </c>
      <c r="N4387" s="475">
        <f t="shared" si="190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88"/>
        <v>-8755281884113.9658</v>
      </c>
      <c r="J4388" s="455">
        <f t="array" ref="J4388">IFERROR(INDEX('Retirement Calculator'!J:J,MATCH('Isaac 401k'!N4388,'Retirement Calculator'!A:A,0),0),0)</f>
        <v>0</v>
      </c>
      <c r="K4388" s="455">
        <f t="shared" ca="1" si="186"/>
        <v>-36480341183.808197</v>
      </c>
      <c r="L4388" s="455">
        <f t="shared" ca="1" si="187"/>
        <v>-8791762225297.7744</v>
      </c>
      <c r="M4388" s="471">
        <f t="shared" si="189"/>
        <v>0.05</v>
      </c>
      <c r="N4388" s="475">
        <f t="shared" si="190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88"/>
        <v>-8791762225297.7744</v>
      </c>
      <c r="J4389" s="455">
        <f t="array" ref="J4389">IFERROR(INDEX('Retirement Calculator'!J:J,MATCH('Isaac 401k'!N4389,'Retirement Calculator'!A:A,0),0),0)</f>
        <v>0</v>
      </c>
      <c r="K4389" s="455">
        <f t="shared" ca="1" si="186"/>
        <v>-36632342605.407394</v>
      </c>
      <c r="L4389" s="455">
        <f t="shared" ca="1" si="187"/>
        <v>-8828394567903.1816</v>
      </c>
      <c r="M4389" s="471">
        <f t="shared" si="189"/>
        <v>0.05</v>
      </c>
      <c r="N4389" s="475">
        <f t="shared" si="190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88"/>
        <v>-8828394567903.1816</v>
      </c>
      <c r="J4390" s="455">
        <f t="array" ref="J4390">IFERROR(INDEX('Retirement Calculator'!J:J,MATCH('Isaac 401k'!N4390,'Retirement Calculator'!A:A,0),0),0)</f>
        <v>0</v>
      </c>
      <c r="K4390" s="455">
        <f t="shared" ca="1" si="186"/>
        <v>-36784977366.26326</v>
      </c>
      <c r="L4390" s="455">
        <f t="shared" ca="1" si="187"/>
        <v>-8865179545269.4453</v>
      </c>
      <c r="M4390" s="471">
        <f t="shared" si="189"/>
        <v>0.05</v>
      </c>
      <c r="N4390" s="475">
        <f t="shared" si="190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88"/>
        <v>-8865179545269.4453</v>
      </c>
      <c r="J4391" s="455">
        <f t="array" ref="J4391">IFERROR(INDEX('Retirement Calculator'!J:J,MATCH('Isaac 401k'!N4391,'Retirement Calculator'!A:A,0),0),0)</f>
        <v>0</v>
      </c>
      <c r="K4391" s="455">
        <f t="shared" ca="1" si="186"/>
        <v>-36938248105.289352</v>
      </c>
      <c r="L4391" s="455">
        <f t="shared" ca="1" si="187"/>
        <v>-8902117793374.7344</v>
      </c>
      <c r="M4391" s="471">
        <f t="shared" si="189"/>
        <v>0.05</v>
      </c>
      <c r="N4391" s="475">
        <f t="shared" si="190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88"/>
        <v>-8902117793374.7344</v>
      </c>
      <c r="J4392" s="455">
        <f t="array" ref="J4392">IFERROR(INDEX('Retirement Calculator'!J:J,MATCH('Isaac 401k'!N4392,'Retirement Calculator'!A:A,0),0),0)</f>
        <v>0</v>
      </c>
      <c r="K4392" s="455">
        <f t="shared" ca="1" si="186"/>
        <v>-37092157472.39473</v>
      </c>
      <c r="L4392" s="455">
        <f t="shared" ca="1" si="187"/>
        <v>-8939209950847.1289</v>
      </c>
      <c r="M4392" s="471">
        <f t="shared" si="189"/>
        <v>0.05</v>
      </c>
      <c r="N4392" s="475">
        <f t="shared" si="190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88"/>
        <v>-8939209950847.1289</v>
      </c>
      <c r="J4393" s="455">
        <f t="array" ref="J4393">IFERROR(INDEX('Retirement Calculator'!J:J,MATCH('Isaac 401k'!N4393,'Retirement Calculator'!A:A,0),0),0)</f>
        <v>0</v>
      </c>
      <c r="K4393" s="455">
        <f t="shared" ca="1" si="186"/>
        <v>-37246708128.529701</v>
      </c>
      <c r="L4393" s="455">
        <f t="shared" ca="1" si="187"/>
        <v>-8976456658975.6582</v>
      </c>
      <c r="M4393" s="471">
        <f t="shared" si="189"/>
        <v>0.05</v>
      </c>
      <c r="N4393" s="475">
        <f t="shared" si="190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88"/>
        <v>-8976456658975.6582</v>
      </c>
      <c r="J4394" s="455">
        <f t="array" ref="J4394">IFERROR(INDEX('Retirement Calculator'!J:J,MATCH('Isaac 401k'!N4394,'Retirement Calculator'!A:A,0),0),0)</f>
        <v>0</v>
      </c>
      <c r="K4394" s="455">
        <f t="shared" ca="1" si="186"/>
        <v>-37401902745.731911</v>
      </c>
      <c r="L4394" s="455">
        <f t="shared" ca="1" si="187"/>
        <v>-9013858561721.3906</v>
      </c>
      <c r="M4394" s="471">
        <f t="shared" si="189"/>
        <v>0.05</v>
      </c>
      <c r="N4394" s="475">
        <f t="shared" si="190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88"/>
        <v>-9013858561721.3906</v>
      </c>
      <c r="J4395" s="455">
        <f t="array" ref="J4395">IFERROR(INDEX('Retirement Calculator'!J:J,MATCH('Isaac 401k'!N4395,'Retirement Calculator'!A:A,0),0),0)</f>
        <v>0</v>
      </c>
      <c r="K4395" s="455">
        <f t="shared" ca="1" si="186"/>
        <v>-37557744007.172462</v>
      </c>
      <c r="L4395" s="455">
        <f t="shared" ca="1" si="187"/>
        <v>-9051416305728.5625</v>
      </c>
      <c r="M4395" s="471">
        <f t="shared" si="189"/>
        <v>0.05</v>
      </c>
      <c r="N4395" s="475">
        <f t="shared" si="190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88"/>
        <v>-9051416305728.5625</v>
      </c>
      <c r="J4396" s="455">
        <f t="array" ref="J4396">IFERROR(INDEX('Retirement Calculator'!J:J,MATCH('Isaac 401k'!N4396,'Retirement Calculator'!A:A,0),0),0)</f>
        <v>0</v>
      </c>
      <c r="K4396" s="455">
        <f t="shared" ca="1" si="186"/>
        <v>-37714234607.202347</v>
      </c>
      <c r="L4396" s="455">
        <f t="shared" ca="1" si="187"/>
        <v>-9089130540335.7656</v>
      </c>
      <c r="M4396" s="471">
        <f t="shared" si="189"/>
        <v>0.05</v>
      </c>
      <c r="N4396" s="475">
        <f t="shared" si="190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88"/>
        <v>-9089130540335.7656</v>
      </c>
      <c r="J4397" s="455">
        <f t="array" ref="J4397">IFERROR(INDEX('Retirement Calculator'!J:J,MATCH('Isaac 401k'!N4397,'Retirement Calculator'!A:A,0),0),0)</f>
        <v>0</v>
      </c>
      <c r="K4397" s="455">
        <f t="shared" ca="1" si="186"/>
        <v>-37871377251.399025</v>
      </c>
      <c r="L4397" s="455">
        <f t="shared" ca="1" si="187"/>
        <v>-9127001917587.1641</v>
      </c>
      <c r="M4397" s="471">
        <f t="shared" si="189"/>
        <v>0.05</v>
      </c>
      <c r="N4397" s="475">
        <f t="shared" si="190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88"/>
        <v>-9127001917587.1641</v>
      </c>
      <c r="J4398" s="455">
        <f t="array" ref="J4398">IFERROR(INDEX('Retirement Calculator'!J:J,MATCH('Isaac 401k'!N4398,'Retirement Calculator'!A:A,0),0),0)</f>
        <v>0</v>
      </c>
      <c r="K4398" s="455">
        <f t="shared" ca="1" si="186"/>
        <v>-38029174656.613182</v>
      </c>
      <c r="L4398" s="455">
        <f t="shared" ca="1" si="187"/>
        <v>-9165031092243.7773</v>
      </c>
      <c r="M4398" s="471">
        <f t="shared" si="189"/>
        <v>0.05</v>
      </c>
      <c r="N4398" s="475">
        <f t="shared" si="190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88"/>
        <v>-9165031092243.7773</v>
      </c>
      <c r="J4399" s="455">
        <f t="array" ref="J4399">IFERROR(INDEX('Retirement Calculator'!J:J,MATCH('Isaac 401k'!N4399,'Retirement Calculator'!A:A,0),0),0)</f>
        <v>0</v>
      </c>
      <c r="K4399" s="455">
        <f t="shared" ca="1" si="186"/>
        <v>-38187629551.015739</v>
      </c>
      <c r="L4399" s="455">
        <f t="shared" ca="1" si="187"/>
        <v>-9203218721794.793</v>
      </c>
      <c r="M4399" s="471">
        <f t="shared" si="189"/>
        <v>0.05</v>
      </c>
      <c r="N4399" s="475">
        <f t="shared" si="190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88"/>
        <v>-9203218721794.793</v>
      </c>
      <c r="J4400" s="455">
        <f t="array" ref="J4400">IFERROR(INDEX('Retirement Calculator'!J:J,MATCH('Isaac 401k'!N4400,'Retirement Calculator'!A:A,0),0),0)</f>
        <v>0</v>
      </c>
      <c r="K4400" s="455">
        <f t="shared" ca="1" si="186"/>
        <v>-38346744674.144974</v>
      </c>
      <c r="L4400" s="455">
        <f t="shared" ca="1" si="187"/>
        <v>-9241565466468.9375</v>
      </c>
      <c r="M4400" s="471">
        <f t="shared" si="189"/>
        <v>0.05</v>
      </c>
      <c r="N4400" s="475">
        <f t="shared" si="190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88"/>
        <v>-9241565466468.9375</v>
      </c>
      <c r="J4401" s="455">
        <f t="array" ref="J4401">IFERROR(INDEX('Retirement Calculator'!J:J,MATCH('Isaac 401k'!N4401,'Retirement Calculator'!A:A,0),0),0)</f>
        <v>0</v>
      </c>
      <c r="K4401" s="455">
        <f t="shared" ca="1" si="186"/>
        <v>-38506522776.953903</v>
      </c>
      <c r="L4401" s="455">
        <f t="shared" ca="1" si="187"/>
        <v>-9280071989245.8906</v>
      </c>
      <c r="M4401" s="471">
        <f t="shared" si="189"/>
        <v>0.05</v>
      </c>
      <c r="N4401" s="475">
        <f t="shared" si="190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88"/>
        <v>-9280071989245.8906</v>
      </c>
      <c r="J4402" s="455">
        <f t="array" ref="J4402">IFERROR(INDEX('Retirement Calculator'!J:J,MATCH('Isaac 401k'!N4402,'Retirement Calculator'!A:A,0),0),0)</f>
        <v>0</v>
      </c>
      <c r="K4402" s="455">
        <f t="shared" ca="1" si="186"/>
        <v>-38666966621.85788</v>
      </c>
      <c r="L4402" s="455">
        <f t="shared" ca="1" si="187"/>
        <v>-9318738955867.748</v>
      </c>
      <c r="M4402" s="471">
        <f t="shared" si="189"/>
        <v>0.05</v>
      </c>
      <c r="N4402" s="475">
        <f t="shared" si="190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88"/>
        <v>-9318738955867.748</v>
      </c>
      <c r="J4403" s="455">
        <f t="array" ref="J4403">IFERROR(INDEX('Retirement Calculator'!J:J,MATCH('Isaac 401k'!N4403,'Retirement Calculator'!A:A,0),0),0)</f>
        <v>0</v>
      </c>
      <c r="K4403" s="455">
        <f t="shared" ca="1" si="186"/>
        <v>-38828078982.78228</v>
      </c>
      <c r="L4403" s="455">
        <f t="shared" ca="1" si="187"/>
        <v>-9357567034850.5313</v>
      </c>
      <c r="M4403" s="471">
        <f t="shared" si="189"/>
        <v>0.05</v>
      </c>
      <c r="N4403" s="475">
        <f t="shared" si="190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88"/>
        <v>-9357567034850.5313</v>
      </c>
      <c r="J4404" s="455">
        <f t="array" ref="J4404">IFERROR(INDEX('Retirement Calculator'!J:J,MATCH('Isaac 401k'!N4404,'Retirement Calculator'!A:A,0),0),0)</f>
        <v>0</v>
      </c>
      <c r="K4404" s="455">
        <f t="shared" ca="1" si="186"/>
        <v>-38989862645.210548</v>
      </c>
      <c r="L4404" s="455">
        <f t="shared" ca="1" si="187"/>
        <v>-9396556897495.7422</v>
      </c>
      <c r="M4404" s="471">
        <f t="shared" si="189"/>
        <v>0.05</v>
      </c>
      <c r="N4404" s="475">
        <f t="shared" si="190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88"/>
        <v>-9396556897495.7422</v>
      </c>
      <c r="J4405" s="455">
        <f t="array" ref="J4405">IFERROR(INDEX('Retirement Calculator'!J:J,MATCH('Isaac 401k'!N4405,'Retirement Calculator'!A:A,0),0),0)</f>
        <v>0</v>
      </c>
      <c r="K4405" s="455">
        <f t="shared" ca="1" si="186"/>
        <v>-39152320406.232262</v>
      </c>
      <c r="L4405" s="455">
        <f t="shared" ca="1" si="187"/>
        <v>-9435709217901.9746</v>
      </c>
      <c r="M4405" s="471">
        <f t="shared" si="189"/>
        <v>0.05</v>
      </c>
      <c r="N4405" s="475">
        <f t="shared" si="190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88"/>
        <v>-9435709217901.9746</v>
      </c>
      <c r="J4406" s="455">
        <f t="array" ref="J4406">IFERROR(INDEX('Retirement Calculator'!J:J,MATCH('Isaac 401k'!N4406,'Retirement Calculator'!A:A,0),0),0)</f>
        <v>0</v>
      </c>
      <c r="K4406" s="455">
        <f t="shared" ca="1" si="186"/>
        <v>-39315455074.59156</v>
      </c>
      <c r="L4406" s="455">
        <f t="shared" ca="1" si="187"/>
        <v>-9475024672976.5664</v>
      </c>
      <c r="M4406" s="471">
        <f t="shared" si="189"/>
        <v>0.05</v>
      </c>
      <c r="N4406" s="475">
        <f t="shared" si="190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88"/>
        <v>-9475024672976.5664</v>
      </c>
      <c r="J4407" s="455">
        <f t="array" ref="J4407">IFERROR(INDEX('Retirement Calculator'!J:J,MATCH('Isaac 401k'!N4407,'Retirement Calculator'!A:A,0),0),0)</f>
        <v>0</v>
      </c>
      <c r="K4407" s="455">
        <f t="shared" ca="1" si="186"/>
        <v>-39479269470.735695</v>
      </c>
      <c r="L4407" s="455">
        <f t="shared" ca="1" si="187"/>
        <v>-9514503942447.3027</v>
      </c>
      <c r="M4407" s="471">
        <f t="shared" si="189"/>
        <v>0.05</v>
      </c>
      <c r="N4407" s="475">
        <f t="shared" si="190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88"/>
        <v>-9514503942447.3027</v>
      </c>
      <c r="J4408" s="455">
        <f t="array" ref="J4408">IFERROR(INDEX('Retirement Calculator'!J:J,MATCH('Isaac 401k'!N4408,'Retirement Calculator'!A:A,0),0),0)</f>
        <v>0</v>
      </c>
      <c r="K4408" s="455">
        <f t="shared" ca="1" si="186"/>
        <v>-39643766426.863762</v>
      </c>
      <c r="L4408" s="455">
        <f t="shared" ca="1" si="187"/>
        <v>-9554147708874.166</v>
      </c>
      <c r="M4408" s="471">
        <f t="shared" si="189"/>
        <v>0.05</v>
      </c>
      <c r="N4408" s="475">
        <f t="shared" si="190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88"/>
        <v>-9554147708874.166</v>
      </c>
      <c r="J4409" s="455">
        <f t="array" ref="J4409">IFERROR(INDEX('Retirement Calculator'!J:J,MATCH('Isaac 401k'!N4409,'Retirement Calculator'!A:A,0),0),0)</f>
        <v>0</v>
      </c>
      <c r="K4409" s="455">
        <f t="shared" ca="1" si="186"/>
        <v>-39808948786.975693</v>
      </c>
      <c r="L4409" s="455">
        <f t="shared" ca="1" si="187"/>
        <v>-9593956657661.1426</v>
      </c>
      <c r="M4409" s="471">
        <f t="shared" si="189"/>
        <v>0.05</v>
      </c>
      <c r="N4409" s="475">
        <f t="shared" si="190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88"/>
        <v>-9593956657661.1426</v>
      </c>
      <c r="J4410" s="455">
        <f t="array" ref="J4410">IFERROR(INDEX('Retirement Calculator'!J:J,MATCH('Isaac 401k'!N4410,'Retirement Calculator'!A:A,0),0),0)</f>
        <v>0</v>
      </c>
      <c r="K4410" s="455">
        <f t="shared" ca="1" si="186"/>
        <v>-39974819406.921425</v>
      </c>
      <c r="L4410" s="455">
        <f t="shared" ca="1" si="187"/>
        <v>-9633931477068.0645</v>
      </c>
      <c r="M4410" s="471">
        <f t="shared" si="189"/>
        <v>0.05</v>
      </c>
      <c r="N4410" s="475">
        <f t="shared" si="190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88"/>
        <v>-9633931477068.0645</v>
      </c>
      <c r="J4411" s="455">
        <f t="array" ref="J4411">IFERROR(INDEX('Retirement Calculator'!J:J,MATCH('Isaac 401k'!N4411,'Retirement Calculator'!A:A,0),0),0)</f>
        <v>0</v>
      </c>
      <c r="K4411" s="455">
        <f t="shared" ca="1" si="186"/>
        <v>-40141381154.450272</v>
      </c>
      <c r="L4411" s="455">
        <f t="shared" ca="1" si="187"/>
        <v>-9674072858222.5156</v>
      </c>
      <c r="M4411" s="471">
        <f t="shared" si="189"/>
        <v>0.05</v>
      </c>
      <c r="N4411" s="475">
        <f t="shared" si="190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88"/>
        <v>-9674072858222.5156</v>
      </c>
      <c r="J4412" s="455">
        <f t="array" ref="J4412">IFERROR(INDEX('Retirement Calculator'!J:J,MATCH('Isaac 401k'!N4412,'Retirement Calculator'!A:A,0),0),0)</f>
        <v>0</v>
      </c>
      <c r="K4412" s="455">
        <f t="shared" ca="1" si="186"/>
        <v>-40308636909.260483</v>
      </c>
      <c r="L4412" s="455">
        <f t="shared" ca="1" si="187"/>
        <v>-9714381495131.7754</v>
      </c>
      <c r="M4412" s="471">
        <f t="shared" si="189"/>
        <v>0.05</v>
      </c>
      <c r="N4412" s="475">
        <f t="shared" si="190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88"/>
        <v>-9714381495131.7754</v>
      </c>
      <c r="J4413" s="455">
        <f t="array" ref="J4413">IFERROR(INDEX('Retirement Calculator'!J:J,MATCH('Isaac 401k'!N4413,'Retirement Calculator'!A:A,0),0),0)</f>
        <v>0</v>
      </c>
      <c r="K4413" s="455">
        <f t="shared" ca="1" si="186"/>
        <v>-40476589563.049065</v>
      </c>
      <c r="L4413" s="455">
        <f t="shared" ca="1" si="187"/>
        <v>-9754858084694.8242</v>
      </c>
      <c r="M4413" s="471">
        <f t="shared" si="189"/>
        <v>0.05</v>
      </c>
      <c r="N4413" s="475">
        <f t="shared" si="190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88"/>
        <v>-9754858084694.8242</v>
      </c>
      <c r="J4414" s="455">
        <f t="array" ref="J4414">IFERROR(INDEX('Retirement Calculator'!J:J,MATCH('Isaac 401k'!N4414,'Retirement Calculator'!A:A,0),0),0)</f>
        <v>0</v>
      </c>
      <c r="K4414" s="455">
        <f t="shared" ca="1" si="186"/>
        <v>-40645242019.561768</v>
      </c>
      <c r="L4414" s="455">
        <f t="shared" ca="1" si="187"/>
        <v>-9795503326714.3867</v>
      </c>
      <c r="M4414" s="471">
        <f t="shared" si="189"/>
        <v>0.05</v>
      </c>
      <c r="N4414" s="475">
        <f t="shared" si="190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88"/>
        <v>-9795503326714.3867</v>
      </c>
      <c r="J4415" s="455">
        <f t="array" ref="J4415">IFERROR(INDEX('Retirement Calculator'!J:J,MATCH('Isaac 401k'!N4415,'Retirement Calculator'!A:A,0),0),0)</f>
        <v>0</v>
      </c>
      <c r="K4415" s="455">
        <f t="shared" ca="1" si="186"/>
        <v>-40814597194.64328</v>
      </c>
      <c r="L4415" s="455">
        <f t="shared" ca="1" si="187"/>
        <v>-9836317923909.0293</v>
      </c>
      <c r="M4415" s="471">
        <f t="shared" si="189"/>
        <v>0.05</v>
      </c>
      <c r="N4415" s="475">
        <f t="shared" si="190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88"/>
        <v>-9836317923909.0293</v>
      </c>
      <c r="J4416" s="455">
        <f t="array" ref="J4416">IFERROR(INDEX('Retirement Calculator'!J:J,MATCH('Isaac 401k'!N4416,'Retirement Calculator'!A:A,0),0),0)</f>
        <v>0</v>
      </c>
      <c r="K4416" s="455">
        <f t="shared" ca="1" si="186"/>
        <v>-40984658016.287621</v>
      </c>
      <c r="L4416" s="455">
        <f t="shared" ca="1" si="187"/>
        <v>-9877302581925.3164</v>
      </c>
      <c r="M4416" s="471">
        <f t="shared" si="189"/>
        <v>0.05</v>
      </c>
      <c r="N4416" s="475">
        <f t="shared" si="190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88"/>
        <v>-9877302581925.3164</v>
      </c>
      <c r="J4417" s="455">
        <f t="array" ref="J4417">IFERROR(INDEX('Retirement Calculator'!J:J,MATCH('Isaac 401k'!N4417,'Retirement Calculator'!A:A,0),0),0)</f>
        <v>0</v>
      </c>
      <c r="K4417" s="455">
        <f t="shared" ca="1" si="186"/>
        <v>-41155427424.68882</v>
      </c>
      <c r="L4417" s="455">
        <f t="shared" ca="1" si="187"/>
        <v>-9918458009350.0059</v>
      </c>
      <c r="M4417" s="471">
        <f t="shared" si="189"/>
        <v>0.05</v>
      </c>
      <c r="N4417" s="475">
        <f t="shared" si="190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88"/>
        <v>-9918458009350.0059</v>
      </c>
      <c r="J4418" s="455">
        <f t="array" ref="J4418">IFERROR(INDEX('Retirement Calculator'!J:J,MATCH('Isaac 401k'!N4418,'Retirement Calculator'!A:A,0),0),0)</f>
        <v>0</v>
      </c>
      <c r="K4418" s="455">
        <f t="shared" ca="1" si="186"/>
        <v>-41326908372.291687</v>
      </c>
      <c r="L4418" s="455">
        <f t="shared" ca="1" si="187"/>
        <v>-9959784917722.2969</v>
      </c>
      <c r="M4418" s="471">
        <f t="shared" si="189"/>
        <v>0.05</v>
      </c>
      <c r="N4418" s="475">
        <f t="shared" si="190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88"/>
        <v>-9959784917722.2969</v>
      </c>
      <c r="J4419" s="455">
        <f t="array" ref="J4419">IFERROR(INDEX('Retirement Calculator'!J:J,MATCH('Isaac 401k'!N4419,'Retirement Calculator'!A:A,0),0),0)</f>
        <v>0</v>
      </c>
      <c r="K4419" s="455">
        <f t="shared" ca="1" si="186"/>
        <v>-41499103823.842903</v>
      </c>
      <c r="L4419" s="455">
        <f t="shared" ca="1" si="187"/>
        <v>-10001284021546.141</v>
      </c>
      <c r="M4419" s="471">
        <f t="shared" si="189"/>
        <v>0.05</v>
      </c>
      <c r="N4419" s="475">
        <f t="shared" si="190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88"/>
        <v>-10001284021546.141</v>
      </c>
      <c r="J4420" s="455">
        <f t="array" ref="J4420">IFERROR(INDEX('Retirement Calculator'!J:J,MATCH('Isaac 401k'!N4420,'Retirement Calculator'!A:A,0),0),0)</f>
        <v>0</v>
      </c>
      <c r="K4420" s="455">
        <f t="shared" ca="1" si="186"/>
        <v>-41672016756.442253</v>
      </c>
      <c r="L4420" s="455">
        <f t="shared" ca="1" si="187"/>
        <v>-10042956038302.582</v>
      </c>
      <c r="M4420" s="471">
        <f t="shared" si="189"/>
        <v>0.05</v>
      </c>
      <c r="N4420" s="475">
        <f t="shared" si="190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88"/>
        <v>-10042956038302.582</v>
      </c>
      <c r="J4421" s="455">
        <f t="array" ref="J4421">IFERROR(INDEX('Retirement Calculator'!J:J,MATCH('Isaac 401k'!N4421,'Retirement Calculator'!A:A,0),0),0)</f>
        <v>0</v>
      </c>
      <c r="K4421" s="455">
        <f t="shared" ca="1" si="186"/>
        <v>-41845650159.594093</v>
      </c>
      <c r="L4421" s="455">
        <f t="shared" ca="1" si="187"/>
        <v>-10084801688462.176</v>
      </c>
      <c r="M4421" s="471">
        <f t="shared" si="189"/>
        <v>0.05</v>
      </c>
      <c r="N4421" s="475">
        <f t="shared" si="190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88"/>
        <v>-10084801688462.176</v>
      </c>
      <c r="J4422" s="455">
        <f t="array" ref="J4422">IFERROR(INDEX('Retirement Calculator'!J:J,MATCH('Isaac 401k'!N4422,'Retirement Calculator'!A:A,0),0),0)</f>
        <v>0</v>
      </c>
      <c r="K4422" s="455">
        <f t="shared" ca="1" si="186"/>
        <v>-42020007035.259064</v>
      </c>
      <c r="L4422" s="455">
        <f t="shared" ca="1" si="187"/>
        <v>-10126821695497.436</v>
      </c>
      <c r="M4422" s="471">
        <f t="shared" si="189"/>
        <v>0.05</v>
      </c>
      <c r="N4422" s="475">
        <f t="shared" si="190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88"/>
        <v>-10126821695497.436</v>
      </c>
      <c r="J4423" s="455">
        <f t="array" ref="J4423">IFERROR(INDEX('Retirement Calculator'!J:J,MATCH('Isaac 401k'!N4423,'Retirement Calculator'!A:A,0),0),0)</f>
        <v>0</v>
      </c>
      <c r="K4423" s="455">
        <f t="shared" ca="1" si="186"/>
        <v>-42195090397.905983</v>
      </c>
      <c r="L4423" s="455">
        <f t="shared" ca="1" si="187"/>
        <v>-10169016785895.342</v>
      </c>
      <c r="M4423" s="471">
        <f t="shared" si="189"/>
        <v>0.05</v>
      </c>
      <c r="N4423" s="475">
        <f t="shared" si="190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88"/>
        <v>-10169016785895.342</v>
      </c>
      <c r="J4424" s="455">
        <f t="array" ref="J4424">IFERROR(INDEX('Retirement Calculator'!J:J,MATCH('Isaac 401k'!N4424,'Retirement Calculator'!A:A,0),0),0)</f>
        <v>0</v>
      </c>
      <c r="K4424" s="455">
        <f t="shared" ca="1" si="186"/>
        <v>-42370903274.563927</v>
      </c>
      <c r="L4424" s="455">
        <f t="shared" ca="1" si="187"/>
        <v>-10211387689169.906</v>
      </c>
      <c r="M4424" s="471">
        <f t="shared" si="189"/>
        <v>0.05</v>
      </c>
      <c r="N4424" s="475">
        <f t="shared" si="190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88"/>
        <v>-10211387689169.906</v>
      </c>
      <c r="J4425" s="455">
        <f t="array" ref="J4425">IFERROR(INDEX('Retirement Calculator'!J:J,MATCH('Isaac 401k'!N4425,'Retirement Calculator'!A:A,0),0),0)</f>
        <v>0</v>
      </c>
      <c r="K4425" s="455">
        <f t="shared" ca="1" si="186"/>
        <v>-42547448704.874611</v>
      </c>
      <c r="L4425" s="455">
        <f t="shared" ca="1" si="187"/>
        <v>-10253935137874.781</v>
      </c>
      <c r="M4425" s="471">
        <f t="shared" si="189"/>
        <v>0.05</v>
      </c>
      <c r="N4425" s="475">
        <f t="shared" si="190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88"/>
        <v>-10253935137874.781</v>
      </c>
      <c r="J4426" s="455">
        <f t="array" ref="J4426">IFERROR(INDEX('Retirement Calculator'!J:J,MATCH('Isaac 401k'!N4426,'Retirement Calculator'!A:A,0),0),0)</f>
        <v>0</v>
      </c>
      <c r="K4426" s="455">
        <f t="shared" ca="1" si="186"/>
        <v>-42724729741.14492</v>
      </c>
      <c r="L4426" s="455">
        <f t="shared" ca="1" si="187"/>
        <v>-10296659867615.926</v>
      </c>
      <c r="M4426" s="471">
        <f t="shared" si="189"/>
        <v>0.05</v>
      </c>
      <c r="N4426" s="475">
        <f t="shared" si="190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88"/>
        <v>-10296659867615.926</v>
      </c>
      <c r="J4427" s="455">
        <f t="array" ref="J4427">IFERROR(INDEX('Retirement Calculator'!J:J,MATCH('Isaac 401k'!N4427,'Retirement Calculator'!A:A,0),0),0)</f>
        <v>0</v>
      </c>
      <c r="K4427" s="455">
        <f t="shared" ca="1" si="186"/>
        <v>-42902749448.399689</v>
      </c>
      <c r="L4427" s="455">
        <f t="shared" ca="1" si="187"/>
        <v>-10339562617064.326</v>
      </c>
      <c r="M4427" s="471">
        <f t="shared" si="189"/>
        <v>0.05</v>
      </c>
      <c r="N4427" s="475">
        <f t="shared" si="190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88"/>
        <v>-10339562617064.326</v>
      </c>
      <c r="J4428" s="455">
        <f t="array" ref="J4428">IFERROR(INDEX('Retirement Calculator'!J:J,MATCH('Isaac 401k'!N4428,'Retirement Calculator'!A:A,0),0),0)</f>
        <v>0</v>
      </c>
      <c r="K4428" s="455">
        <f t="shared" ca="1" si="186"/>
        <v>-43081510904.434692</v>
      </c>
      <c r="L4428" s="455">
        <f t="shared" ca="1" si="187"/>
        <v>-10382644127968.762</v>
      </c>
      <c r="M4428" s="471">
        <f t="shared" si="189"/>
        <v>0.05</v>
      </c>
      <c r="N4428" s="475">
        <f t="shared" si="190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88"/>
        <v>-10382644127968.762</v>
      </c>
      <c r="J4429" s="455">
        <f t="array" ref="J4429">IFERROR(INDEX('Retirement Calculator'!J:J,MATCH('Isaac 401k'!N4429,'Retirement Calculator'!A:A,0),0),0)</f>
        <v>0</v>
      </c>
      <c r="K4429" s="455">
        <f t="shared" ca="1" si="186"/>
        <v>-43261017199.869843</v>
      </c>
      <c r="L4429" s="455">
        <f t="shared" ca="1" si="187"/>
        <v>-10425905145168.631</v>
      </c>
      <c r="M4429" s="471">
        <f t="shared" si="189"/>
        <v>0.05</v>
      </c>
      <c r="N4429" s="475">
        <f t="shared" si="190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88"/>
        <v>-10425905145168.631</v>
      </c>
      <c r="J4430" s="455">
        <f t="array" ref="J4430">IFERROR(INDEX('Retirement Calculator'!J:J,MATCH('Isaac 401k'!N4430,'Retirement Calculator'!A:A,0),0),0)</f>
        <v>0</v>
      </c>
      <c r="K4430" s="455">
        <f t="shared" ca="1" si="186"/>
        <v>-43441271438.202629</v>
      </c>
      <c r="L4430" s="455">
        <f t="shared" ca="1" si="187"/>
        <v>-10469346416606.834</v>
      </c>
      <c r="M4430" s="471">
        <f t="shared" si="189"/>
        <v>0.05</v>
      </c>
      <c r="N4430" s="475">
        <f t="shared" si="190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88"/>
        <v>-10469346416606.834</v>
      </c>
      <c r="J4431" s="455">
        <f t="array" ref="J4431">IFERROR(INDEX('Retirement Calculator'!J:J,MATCH('Isaac 401k'!N4431,'Retirement Calculator'!A:A,0),0),0)</f>
        <v>0</v>
      </c>
      <c r="K4431" s="455">
        <f t="shared" ca="1" si="186"/>
        <v>-43622276735.861809</v>
      </c>
      <c r="L4431" s="455">
        <f t="shared" ca="1" si="187"/>
        <v>-10512968693342.695</v>
      </c>
      <c r="M4431" s="471">
        <f t="shared" si="189"/>
        <v>0.05</v>
      </c>
      <c r="N4431" s="475">
        <f t="shared" si="190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88"/>
        <v>-10512968693342.695</v>
      </c>
      <c r="J4432" s="455">
        <f t="array" ref="J4432">IFERROR(INDEX('Retirement Calculator'!J:J,MATCH('Isaac 401k'!N4432,'Retirement Calculator'!A:A,0),0),0)</f>
        <v>0</v>
      </c>
      <c r="K4432" s="455">
        <f t="shared" ca="1" si="186"/>
        <v>-43804036222.26123</v>
      </c>
      <c r="L4432" s="455">
        <f t="shared" ca="1" si="187"/>
        <v>-10556772729564.957</v>
      </c>
      <c r="M4432" s="471">
        <f t="shared" si="189"/>
        <v>0.05</v>
      </c>
      <c r="N4432" s="475">
        <f t="shared" si="190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88"/>
        <v>-10556772729564.957</v>
      </c>
      <c r="J4433" s="455">
        <f t="array" ref="J4433">IFERROR(INDEX('Retirement Calculator'!J:J,MATCH('Isaac 401k'!N4433,'Retirement Calculator'!A:A,0),0),0)</f>
        <v>0</v>
      </c>
      <c r="K4433" s="455">
        <f t="shared" ca="1" si="186"/>
        <v>-43986553039.853989</v>
      </c>
      <c r="L4433" s="455">
        <f t="shared" ca="1" si="187"/>
        <v>-10600759282604.811</v>
      </c>
      <c r="M4433" s="471">
        <f t="shared" si="189"/>
        <v>0.05</v>
      </c>
      <c r="N4433" s="475">
        <f t="shared" si="190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88"/>
        <v>-10600759282604.811</v>
      </c>
      <c r="J4434" s="455">
        <f t="array" ref="J4434">IFERROR(INDEX('Retirement Calculator'!J:J,MATCH('Isaac 401k'!N4434,'Retirement Calculator'!A:A,0),0),0)</f>
        <v>0</v>
      </c>
      <c r="K4434" s="455">
        <f t="shared" ca="1" si="186"/>
        <v>-44169830344.186707</v>
      </c>
      <c r="L4434" s="455">
        <f t="shared" ca="1" si="187"/>
        <v>-10644929112948.998</v>
      </c>
      <c r="M4434" s="471">
        <f t="shared" si="189"/>
        <v>0.05</v>
      </c>
      <c r="N4434" s="475">
        <f t="shared" si="190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88"/>
        <v>-10644929112948.998</v>
      </c>
      <c r="J4435" s="455">
        <f t="array" ref="J4435">IFERROR(INDEX('Retirement Calculator'!J:J,MATCH('Isaac 401k'!N4435,'Retirement Calculator'!A:A,0),0),0)</f>
        <v>0</v>
      </c>
      <c r="K4435" s="455">
        <f t="shared" ca="1" si="186"/>
        <v>-44353871303.954155</v>
      </c>
      <c r="L4435" s="455">
        <f t="shared" ca="1" si="187"/>
        <v>-10689282984252.953</v>
      </c>
      <c r="M4435" s="471">
        <f t="shared" si="189"/>
        <v>0.05</v>
      </c>
      <c r="N4435" s="475">
        <f t="shared" si="190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88"/>
        <v>-10689282984252.953</v>
      </c>
      <c r="J4436" s="455">
        <f t="array" ref="J4436">IFERROR(INDEX('Retirement Calculator'!J:J,MATCH('Isaac 401k'!N4436,'Retirement Calculator'!A:A,0),0),0)</f>
        <v>0</v>
      </c>
      <c r="K4436" s="455">
        <f t="shared" ca="1" si="186"/>
        <v>-44538679101.05397</v>
      </c>
      <c r="L4436" s="455">
        <f t="shared" ca="1" si="187"/>
        <v>-10733821663354.008</v>
      </c>
      <c r="M4436" s="471">
        <f t="shared" si="189"/>
        <v>0.05</v>
      </c>
      <c r="N4436" s="475">
        <f t="shared" si="190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88"/>
        <v>-10733821663354.008</v>
      </c>
      <c r="J4437" s="455">
        <f t="array" ref="J4437">IFERROR(INDEX('Retirement Calculator'!J:J,MATCH('Isaac 401k'!N4437,'Retirement Calculator'!A:A,0),0),0)</f>
        <v>0</v>
      </c>
      <c r="K4437" s="455">
        <f t="shared" ca="1" si="186"/>
        <v>-44724256930.641701</v>
      </c>
      <c r="L4437" s="455">
        <f t="shared" ca="1" si="187"/>
        <v>-10778545920284.65</v>
      </c>
      <c r="M4437" s="471">
        <f t="shared" si="189"/>
        <v>0.05</v>
      </c>
      <c r="N4437" s="475">
        <f t="shared" si="190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88"/>
        <v>-10778545920284.65</v>
      </c>
      <c r="J4438" s="455">
        <f t="array" ref="J4438">IFERROR(INDEX('Retirement Calculator'!J:J,MATCH('Isaac 401k'!N4438,'Retirement Calculator'!A:A,0),0),0)</f>
        <v>0</v>
      </c>
      <c r="K4438" s="455">
        <f t="shared" ca="1" si="186"/>
        <v>-44910608001.186043</v>
      </c>
      <c r="L4438" s="455">
        <f t="shared" ca="1" si="187"/>
        <v>-10823456528285.836</v>
      </c>
      <c r="M4438" s="471">
        <f t="shared" si="189"/>
        <v>0.05</v>
      </c>
      <c r="N4438" s="475">
        <f t="shared" si="190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88"/>
        <v>-10823456528285.836</v>
      </c>
      <c r="J4439" s="455">
        <f t="array" ref="J4439">IFERROR(INDEX('Retirement Calculator'!J:J,MATCH('Isaac 401k'!N4439,'Retirement Calculator'!A:A,0),0),0)</f>
        <v>0</v>
      </c>
      <c r="K4439" s="455">
        <f t="shared" ca="1" si="186"/>
        <v>-45097735534.524315</v>
      </c>
      <c r="L4439" s="455">
        <f t="shared" ca="1" si="187"/>
        <v>-10868554263820.359</v>
      </c>
      <c r="M4439" s="471">
        <f t="shared" si="189"/>
        <v>0.05</v>
      </c>
      <c r="N4439" s="475">
        <f t="shared" si="190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88"/>
        <v>-10868554263820.359</v>
      </c>
      <c r="J4440" s="455">
        <f t="array" ref="J4440">IFERROR(INDEX('Retirement Calculator'!J:J,MATCH('Isaac 401k'!N4440,'Retirement Calculator'!A:A,0),0),0)</f>
        <v>0</v>
      </c>
      <c r="K4440" s="455">
        <f t="shared" ca="1" si="186"/>
        <v>-45285642765.918167</v>
      </c>
      <c r="L4440" s="455">
        <f t="shared" ca="1" si="187"/>
        <v>-10913839906586.277</v>
      </c>
      <c r="M4440" s="471">
        <f t="shared" si="189"/>
        <v>0.05</v>
      </c>
      <c r="N4440" s="475">
        <f t="shared" si="190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88"/>
        <v>-10913839906586.277</v>
      </c>
      <c r="J4441" s="455">
        <f t="array" ref="J4441">IFERROR(INDEX('Retirement Calculator'!J:J,MATCH('Isaac 401k'!N4441,'Retirement Calculator'!A:A,0),0),0)</f>
        <v>0</v>
      </c>
      <c r="K4441" s="455">
        <f t="shared" ca="1" si="186"/>
        <v>-45474332944.109489</v>
      </c>
      <c r="L4441" s="455">
        <f t="shared" ca="1" si="187"/>
        <v>-10959314239530.387</v>
      </c>
      <c r="M4441" s="471">
        <f t="shared" si="189"/>
        <v>0.05</v>
      </c>
      <c r="N4441" s="475">
        <f t="shared" si="190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88"/>
        <v>-10959314239530.387</v>
      </c>
      <c r="J4442" s="455">
        <f t="array" ref="J4442">IFERROR(INDEX('Retirement Calculator'!J:J,MATCH('Isaac 401k'!N4442,'Retirement Calculator'!A:A,0),0),0)</f>
        <v>0</v>
      </c>
      <c r="K4442" s="455">
        <f t="shared" ca="1" si="186"/>
        <v>-45663809331.37661</v>
      </c>
      <c r="L4442" s="455">
        <f t="shared" ca="1" si="187"/>
        <v>-11004978048861.764</v>
      </c>
      <c r="M4442" s="471">
        <f t="shared" si="189"/>
        <v>0.05</v>
      </c>
      <c r="N4442" s="475">
        <f t="shared" si="190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88"/>
        <v>-11004978048861.764</v>
      </c>
      <c r="J4443" s="455">
        <f t="array" ref="J4443">IFERROR(INDEX('Retirement Calculator'!J:J,MATCH('Isaac 401k'!N4443,'Retirement Calculator'!A:A,0),0),0)</f>
        <v>0</v>
      </c>
      <c r="K4443" s="455">
        <f t="shared" ca="1" si="186"/>
        <v>-45854075203.590683</v>
      </c>
      <c r="L4443" s="455">
        <f t="shared" ca="1" si="187"/>
        <v>-11050832124065.354</v>
      </c>
      <c r="M4443" s="471">
        <f t="shared" si="189"/>
        <v>0.05</v>
      </c>
      <c r="N4443" s="475">
        <f t="shared" si="190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88"/>
        <v>-11050832124065.354</v>
      </c>
      <c r="J4444" s="455">
        <f t="array" ref="J4444">IFERROR(INDEX('Retirement Calculator'!J:J,MATCH('Isaac 401k'!N4444,'Retirement Calculator'!A:A,0),0),0)</f>
        <v>0</v>
      </c>
      <c r="K4444" s="455">
        <f t="shared" ca="1" si="186"/>
        <v>-46045133850.272308</v>
      </c>
      <c r="L4444" s="455">
        <f t="shared" ca="1" si="187"/>
        <v>-11096877257915.625</v>
      </c>
      <c r="M4444" s="471">
        <f t="shared" si="189"/>
        <v>0.05</v>
      </c>
      <c r="N4444" s="475">
        <f t="shared" si="190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88"/>
        <v>-11096877257915.625</v>
      </c>
      <c r="J4445" s="455">
        <f t="array" ref="J4445">IFERROR(INDEX('Retirement Calculator'!J:J,MATCH('Isaac 401k'!N4445,'Retirement Calculator'!A:A,0),0),0)</f>
        <v>0</v>
      </c>
      <c r="K4445" s="455">
        <f t="shared" ca="1" si="186"/>
        <v>-46236988574.648438</v>
      </c>
      <c r="L4445" s="455">
        <f t="shared" ca="1" si="187"/>
        <v>-11143114246490.273</v>
      </c>
      <c r="M4445" s="471">
        <f t="shared" si="189"/>
        <v>0.05</v>
      </c>
      <c r="N4445" s="475">
        <f t="shared" si="190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88"/>
        <v>-11143114246490.273</v>
      </c>
      <c r="J4446" s="455">
        <f t="array" ref="J4446">IFERROR(INDEX('Retirement Calculator'!J:J,MATCH('Isaac 401k'!N4446,'Retirement Calculator'!A:A,0),0),0)</f>
        <v>0</v>
      </c>
      <c r="K4446" s="455">
        <f t="shared" ca="1" si="186"/>
        <v>-46429642693.709473</v>
      </c>
      <c r="L4446" s="455">
        <f t="shared" ca="1" si="187"/>
        <v>-11189543889183.982</v>
      </c>
      <c r="M4446" s="471">
        <f t="shared" si="189"/>
        <v>0.05</v>
      </c>
      <c r="N4446" s="475">
        <f t="shared" si="190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88"/>
        <v>-11189543889183.982</v>
      </c>
      <c r="J4447" s="455">
        <f t="array" ref="J4447">IFERROR(INDEX('Retirement Calculator'!J:J,MATCH('Isaac 401k'!N4447,'Retirement Calculator'!A:A,0),0),0)</f>
        <v>0</v>
      </c>
      <c r="K4447" s="455">
        <f t="shared" ca="1" si="186"/>
        <v>-46623099538.266594</v>
      </c>
      <c r="L4447" s="455">
        <f t="shared" ca="1" si="187"/>
        <v>-11236166988722.248</v>
      </c>
      <c r="M4447" s="471">
        <f t="shared" si="189"/>
        <v>0.05</v>
      </c>
      <c r="N4447" s="475">
        <f t="shared" si="190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88"/>
        <v>-11236166988722.248</v>
      </c>
      <c r="J4448" s="455">
        <f t="array" ref="J4448">IFERROR(INDEX('Retirement Calculator'!J:J,MATCH('Isaac 401k'!N4448,'Retirement Calculator'!A:A,0),0),0)</f>
        <v>0</v>
      </c>
      <c r="K4448" s="455">
        <f t="shared" ca="1" si="186"/>
        <v>-46817362453.009369</v>
      </c>
      <c r="L4448" s="455">
        <f t="shared" ca="1" si="187"/>
        <v>-11282984351175.258</v>
      </c>
      <c r="M4448" s="471">
        <f t="shared" si="189"/>
        <v>0.05</v>
      </c>
      <c r="N4448" s="475">
        <f t="shared" si="190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88"/>
        <v>-11282984351175.258</v>
      </c>
      <c r="J4449" s="455">
        <f t="array" ref="J4449">IFERROR(INDEX('Retirement Calculator'!J:J,MATCH('Isaac 401k'!N4449,'Retirement Calculator'!A:A,0),0),0)</f>
        <v>0</v>
      </c>
      <c r="K4449" s="455">
        <f t="shared" ca="1" si="186"/>
        <v>-47012434796.563576</v>
      </c>
      <c r="L4449" s="455">
        <f t="shared" ca="1" si="187"/>
        <v>-11329996785971.822</v>
      </c>
      <c r="M4449" s="471">
        <f t="shared" si="189"/>
        <v>0.05</v>
      </c>
      <c r="N4449" s="475">
        <f t="shared" si="190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88"/>
        <v>-11329996785971.822</v>
      </c>
      <c r="J4450" s="455">
        <f t="array" ref="J4450">IFERROR(INDEX('Retirement Calculator'!J:J,MATCH('Isaac 401k'!N4450,'Retirement Calculator'!A:A,0),0),0)</f>
        <v>0</v>
      </c>
      <c r="K4450" s="455">
        <f t="shared" ca="1" si="186"/>
        <v>-47208319941.549255</v>
      </c>
      <c r="L4450" s="455">
        <f t="shared" ca="1" si="187"/>
        <v>-11377205105913.371</v>
      </c>
      <c r="M4450" s="471">
        <f t="shared" si="189"/>
        <v>0.05</v>
      </c>
      <c r="N4450" s="475">
        <f t="shared" si="190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88"/>
        <v>-11377205105913.371</v>
      </c>
      <c r="J4451" s="455">
        <f t="array" ref="J4451">IFERROR(INDEX('Retirement Calculator'!J:J,MATCH('Isaac 401k'!N4451,'Retirement Calculator'!A:A,0),0),0)</f>
        <v>0</v>
      </c>
      <c r="K4451" s="455">
        <f t="shared" ca="1" si="186"/>
        <v>-47405021274.639046</v>
      </c>
      <c r="L4451" s="455">
        <f t="shared" ca="1" si="187"/>
        <v>-11424610127188.01</v>
      </c>
      <c r="M4451" s="471">
        <f t="shared" si="189"/>
        <v>0.05</v>
      </c>
      <c r="N4451" s="475">
        <f t="shared" si="190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88"/>
        <v>-11424610127188.01</v>
      </c>
      <c r="J4452" s="455">
        <f t="array" ref="J4452">IFERROR(INDEX('Retirement Calculator'!J:J,MATCH('Isaac 401k'!N4452,'Retirement Calculator'!A:A,0),0),0)</f>
        <v>0</v>
      </c>
      <c r="K4452" s="455">
        <f t="shared" ca="1" si="186"/>
        <v>-47602542196.616707</v>
      </c>
      <c r="L4452" s="455">
        <f t="shared" ca="1" si="187"/>
        <v>-11472212669384.627</v>
      </c>
      <c r="M4452" s="471">
        <f t="shared" si="189"/>
        <v>0.05</v>
      </c>
      <c r="N4452" s="475">
        <f t="shared" si="190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88"/>
        <v>-11472212669384.627</v>
      </c>
      <c r="J4453" s="455">
        <f t="array" ref="J4453">IFERROR(INDEX('Retirement Calculator'!J:J,MATCH('Isaac 401k'!N4453,'Retirement Calculator'!A:A,0),0),0)</f>
        <v>0</v>
      </c>
      <c r="K4453" s="455">
        <f t="shared" ca="1" si="186"/>
        <v>-47800886122.435944</v>
      </c>
      <c r="L4453" s="455">
        <f t="shared" ca="1" si="187"/>
        <v>-11520013555507.063</v>
      </c>
      <c r="M4453" s="471">
        <f t="shared" si="189"/>
        <v>0.05</v>
      </c>
      <c r="N4453" s="475">
        <f t="shared" si="190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88"/>
        <v>-11520013555507.063</v>
      </c>
      <c r="J4454" s="455">
        <f t="array" ref="J4454">IFERROR(INDEX('Retirement Calculator'!J:J,MATCH('Isaac 401k'!N4454,'Retirement Calculator'!A:A,0),0),0)</f>
        <v>0</v>
      </c>
      <c r="K4454" s="455">
        <f t="shared" ca="1" si="186"/>
        <v>-48000056481.279427</v>
      </c>
      <c r="L4454" s="455">
        <f t="shared" ca="1" si="187"/>
        <v>-11568013611988.342</v>
      </c>
      <c r="M4454" s="471">
        <f t="shared" si="189"/>
        <v>0.05</v>
      </c>
      <c r="N4454" s="475">
        <f t="shared" si="190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88"/>
        <v>-11568013611988.342</v>
      </c>
      <c r="J4455" s="455">
        <f t="array" ref="J4455">IFERROR(INDEX('Retirement Calculator'!J:J,MATCH('Isaac 401k'!N4455,'Retirement Calculator'!A:A,0),0),0)</f>
        <v>0</v>
      </c>
      <c r="K4455" s="455">
        <f t="shared" ca="1" si="186"/>
        <v>-48200056716.618088</v>
      </c>
      <c r="L4455" s="455">
        <f t="shared" ca="1" si="187"/>
        <v>-11616213668704.959</v>
      </c>
      <c r="M4455" s="471">
        <f t="shared" si="189"/>
        <v>0.05</v>
      </c>
      <c r="N4455" s="475">
        <f t="shared" si="190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88"/>
        <v>-11616213668704.959</v>
      </c>
      <c r="J4456" s="455">
        <f t="array" ref="J4456">IFERROR(INDEX('Retirement Calculator'!J:J,MATCH('Isaac 401k'!N4456,'Retirement Calculator'!A:A,0),0),0)</f>
        <v>0</v>
      </c>
      <c r="K4456" s="455">
        <f t="shared" ca="1" si="186"/>
        <v>-48400890286.27066</v>
      </c>
      <c r="L4456" s="455">
        <f t="shared" ca="1" si="187"/>
        <v>-11664614558991.23</v>
      </c>
      <c r="M4456" s="471">
        <f t="shared" si="189"/>
        <v>0.05</v>
      </c>
      <c r="N4456" s="475">
        <f t="shared" si="190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88"/>
        <v>-11664614558991.23</v>
      </c>
      <c r="J4457" s="455">
        <f t="array" ref="J4457">IFERROR(INDEX('Retirement Calculator'!J:J,MATCH('Isaac 401k'!N4457,'Retirement Calculator'!A:A,0),0),0)</f>
        <v>0</v>
      </c>
      <c r="K4457" s="455">
        <f t="shared" ca="1" si="186"/>
        <v>-48602560662.463463</v>
      </c>
      <c r="L4457" s="455">
        <f t="shared" ca="1" si="187"/>
        <v>-11713217119653.693</v>
      </c>
      <c r="M4457" s="471">
        <f t="shared" si="189"/>
        <v>0.05</v>
      </c>
      <c r="N4457" s="475">
        <f t="shared" si="190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88"/>
        <v>-11713217119653.693</v>
      </c>
      <c r="J4458" s="455">
        <f t="array" ref="J4458">IFERROR(INDEX('Retirement Calculator'!J:J,MATCH('Isaac 401k'!N4458,'Retirement Calculator'!A:A,0),0),0)</f>
        <v>0</v>
      </c>
      <c r="K4458" s="455">
        <f t="shared" ca="1" si="186"/>
        <v>-48805071331.890388</v>
      </c>
      <c r="L4458" s="455">
        <f t="shared" ca="1" si="187"/>
        <v>-11762022190985.584</v>
      </c>
      <c r="M4458" s="471">
        <f t="shared" si="189"/>
        <v>0.05</v>
      </c>
      <c r="N4458" s="475">
        <f t="shared" si="190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88"/>
        <v>-11762022190985.584</v>
      </c>
      <c r="J4459" s="455">
        <f t="array" ref="J4459">IFERROR(INDEX('Retirement Calculator'!J:J,MATCH('Isaac 401k'!N4459,'Retirement Calculator'!A:A,0),0),0)</f>
        <v>0</v>
      </c>
      <c r="K4459" s="455">
        <f t="shared" ca="1" si="186"/>
        <v>-49008425795.77327</v>
      </c>
      <c r="L4459" s="455">
        <f t="shared" ca="1" si="187"/>
        <v>-11811030616781.357</v>
      </c>
      <c r="M4459" s="471">
        <f t="shared" si="189"/>
        <v>0.05</v>
      </c>
      <c r="N4459" s="475">
        <f t="shared" si="190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88"/>
        <v>-11811030616781.357</v>
      </c>
      <c r="J4460" s="455">
        <f t="array" ref="J4460">IFERROR(INDEX('Retirement Calculator'!J:J,MATCH('Isaac 401k'!N4460,'Retirement Calculator'!A:A,0),0),0)</f>
        <v>0</v>
      </c>
      <c r="K4460" s="455">
        <f t="shared" ca="1" si="186"/>
        <v>-49212627569.922325</v>
      </c>
      <c r="L4460" s="455">
        <f t="shared" ca="1" si="187"/>
        <v>-11860243244351.279</v>
      </c>
      <c r="M4460" s="471">
        <f t="shared" si="189"/>
        <v>0.05</v>
      </c>
      <c r="N4460" s="475">
        <f t="shared" si="190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88"/>
        <v>-11860243244351.279</v>
      </c>
      <c r="J4461" s="455">
        <f t="array" ref="J4461">IFERROR(INDEX('Retirement Calculator'!J:J,MATCH('Isaac 401k'!N4461,'Retirement Calculator'!A:A,0),0),0)</f>
        <v>0</v>
      </c>
      <c r="K4461" s="455">
        <f t="shared" ca="1" si="186"/>
        <v>-49417680184.796997</v>
      </c>
      <c r="L4461" s="455">
        <f t="shared" ca="1" si="187"/>
        <v>-11909660924536.076</v>
      </c>
      <c r="M4461" s="471">
        <f t="shared" si="189"/>
        <v>0.05</v>
      </c>
      <c r="N4461" s="475">
        <f t="shared" si="190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88"/>
        <v>-11909660924536.076</v>
      </c>
      <c r="J4462" s="455">
        <f t="array" ref="J4462">IFERROR(INDEX('Retirement Calculator'!J:J,MATCH('Isaac 401k'!N4462,'Retirement Calculator'!A:A,0),0),0)</f>
        <v>0</v>
      </c>
      <c r="K4462" s="455">
        <f t="shared" ca="1" si="186"/>
        <v>-49623587185.566986</v>
      </c>
      <c r="L4462" s="455">
        <f t="shared" ca="1" si="187"/>
        <v>-11959284511721.643</v>
      </c>
      <c r="M4462" s="471">
        <f t="shared" si="189"/>
        <v>0.05</v>
      </c>
      <c r="N4462" s="475">
        <f t="shared" si="190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88"/>
        <v>-11959284511721.643</v>
      </c>
      <c r="J4463" s="455">
        <f t="array" ref="J4463">IFERROR(INDEX('Retirement Calculator'!J:J,MATCH('Isaac 401k'!N4463,'Retirement Calculator'!A:A,0),0),0)</f>
        <v>0</v>
      </c>
      <c r="K4463" s="455">
        <f t="shared" ca="1" si="186"/>
        <v>-49830352132.173508</v>
      </c>
      <c r="L4463" s="455">
        <f t="shared" ca="1" si="187"/>
        <v>-12009114863853.816</v>
      </c>
      <c r="M4463" s="471">
        <f t="shared" si="189"/>
        <v>0.05</v>
      </c>
      <c r="N4463" s="475">
        <f t="shared" si="190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88"/>
        <v>-12009114863853.816</v>
      </c>
      <c r="J4464" s="455">
        <f t="array" ref="J4464">IFERROR(INDEX('Retirement Calculator'!J:J,MATCH('Isaac 401k'!N4464,'Retirement Calculator'!A:A,0),0),0)</f>
        <v>0</v>
      </c>
      <c r="K4464" s="455">
        <f t="shared" ca="1" si="186"/>
        <v>-50037978599.3909</v>
      </c>
      <c r="L4464" s="455">
        <f t="shared" ca="1" si="187"/>
        <v>-12059152842453.207</v>
      </c>
      <c r="M4464" s="471">
        <f t="shared" si="189"/>
        <v>0.05</v>
      </c>
      <c r="N4464" s="475">
        <f t="shared" si="190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88"/>
        <v>-12059152842453.207</v>
      </c>
      <c r="J4465" s="455">
        <f t="array" ref="J4465">IFERROR(INDEX('Retirement Calculator'!J:J,MATCH('Isaac 401k'!N4465,'Retirement Calculator'!A:A,0),0),0)</f>
        <v>0</v>
      </c>
      <c r="K4465" s="455">
        <f t="shared" ca="1" si="186"/>
        <v>-50246470176.888359</v>
      </c>
      <c r="L4465" s="455">
        <f t="shared" ca="1" si="187"/>
        <v>-12109399312630.096</v>
      </c>
      <c r="M4465" s="471">
        <f t="shared" si="189"/>
        <v>0.05</v>
      </c>
      <c r="N4465" s="475">
        <f t="shared" si="190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88"/>
        <v>-12109399312630.096</v>
      </c>
      <c r="J4466" s="455">
        <f t="array" ref="J4466">IFERROR(INDEX('Retirement Calculator'!J:J,MATCH('Isaac 401k'!N4466,'Retirement Calculator'!A:A,0),0),0)</f>
        <v>0</v>
      </c>
      <c r="K4466" s="455">
        <f t="shared" ca="1" si="186"/>
        <v>-50455830469.292068</v>
      </c>
      <c r="L4466" s="455">
        <f t="shared" ca="1" si="187"/>
        <v>-12159855143099.389</v>
      </c>
      <c r="M4466" s="471">
        <f t="shared" si="189"/>
        <v>0.05</v>
      </c>
      <c r="N4466" s="475">
        <f t="shared" si="190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88"/>
        <v>-12159855143099.389</v>
      </c>
      <c r="J4467" s="455">
        <f t="array" ref="J4467">IFERROR(INDEX('Retirement Calculator'!J:J,MATCH('Isaac 401k'!N4467,'Retirement Calculator'!A:A,0),0),0)</f>
        <v>0</v>
      </c>
      <c r="K4467" s="455">
        <f t="shared" ca="1" si="186"/>
        <v>-50666063096.247452</v>
      </c>
      <c r="L4467" s="455">
        <f t="shared" ca="1" si="187"/>
        <v>-12210521206195.637</v>
      </c>
      <c r="M4467" s="471">
        <f t="shared" si="189"/>
        <v>0.05</v>
      </c>
      <c r="N4467" s="475">
        <f t="shared" si="190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88"/>
        <v>-12210521206195.637</v>
      </c>
      <c r="J4468" s="455">
        <f t="array" ref="J4468">IFERROR(INDEX('Retirement Calculator'!J:J,MATCH('Isaac 401k'!N4468,'Retirement Calculator'!A:A,0),0),0)</f>
        <v>0</v>
      </c>
      <c r="K4468" s="455">
        <f t="shared" ca="1" si="186"/>
        <v>-50877171692.481819</v>
      </c>
      <c r="L4468" s="455">
        <f t="shared" ca="1" si="187"/>
        <v>-12261398377888.119</v>
      </c>
      <c r="M4468" s="471">
        <f t="shared" si="189"/>
        <v>0.05</v>
      </c>
      <c r="N4468" s="475">
        <f t="shared" si="190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88"/>
        <v>-12261398377888.119</v>
      </c>
      <c r="J4469" s="455">
        <f t="array" ref="J4469">IFERROR(INDEX('Retirement Calculator'!J:J,MATCH('Isaac 401k'!N4469,'Retirement Calculator'!A:A,0),0),0)</f>
        <v>0</v>
      </c>
      <c r="K4469" s="455">
        <f t="shared" ca="1" si="186"/>
        <v>-51089159907.867165</v>
      </c>
      <c r="L4469" s="455">
        <f t="shared" ca="1" si="187"/>
        <v>-12312487537795.986</v>
      </c>
      <c r="M4469" s="471">
        <f t="shared" si="189"/>
        <v>0.05</v>
      </c>
      <c r="N4469" s="475">
        <f t="shared" si="190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88"/>
        <v>-12312487537795.986</v>
      </c>
      <c r="J4470" s="455">
        <f t="array" ref="J4470">IFERROR(INDEX('Retirement Calculator'!J:J,MATCH('Isaac 401k'!N4470,'Retirement Calculator'!A:A,0),0),0)</f>
        <v>0</v>
      </c>
      <c r="K4470" s="455">
        <f t="shared" ca="1" si="186"/>
        <v>-51302031407.483276</v>
      </c>
      <c r="L4470" s="455">
        <f t="shared" ca="1" si="187"/>
        <v>-12363789569203.469</v>
      </c>
      <c r="M4470" s="471">
        <f t="shared" si="189"/>
        <v>0.05</v>
      </c>
      <c r="N4470" s="475">
        <f t="shared" si="190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88"/>
        <v>-12363789569203.469</v>
      </c>
      <c r="J4471" s="455">
        <f t="array" ref="J4471">IFERROR(INDEX('Retirement Calculator'!J:J,MATCH('Isaac 401k'!N4471,'Retirement Calculator'!A:A,0),0),0)</f>
        <v>0</v>
      </c>
      <c r="K4471" s="455">
        <f t="shared" ca="1" si="186"/>
        <v>-51515789871.681122</v>
      </c>
      <c r="L4471" s="455">
        <f t="shared" ca="1" si="187"/>
        <v>-12415305359075.15</v>
      </c>
      <c r="M4471" s="471">
        <f t="shared" si="189"/>
        <v>0.05</v>
      </c>
      <c r="N4471" s="475">
        <f t="shared" si="190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88"/>
        <v>-12415305359075.15</v>
      </c>
      <c r="J4472" s="455">
        <f t="array" ref="J4472">IFERROR(INDEX('Retirement Calculator'!J:J,MATCH('Isaac 401k'!N4472,'Retirement Calculator'!A:A,0),0),0)</f>
        <v>0</v>
      </c>
      <c r="K4472" s="455">
        <f t="shared" ca="1" si="186"/>
        <v>-51730438996.146461</v>
      </c>
      <c r="L4472" s="455">
        <f t="shared" ca="1" si="187"/>
        <v>-12467035798071.297</v>
      </c>
      <c r="M4472" s="471">
        <f t="shared" si="189"/>
        <v>0.05</v>
      </c>
      <c r="N4472" s="475">
        <f t="shared" si="190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88"/>
        <v>-12467035798071.297</v>
      </c>
      <c r="J4473" s="455">
        <f t="array" ref="J4473">IFERROR(INDEX('Retirement Calculator'!J:J,MATCH('Isaac 401k'!N4473,'Retirement Calculator'!A:A,0),0),0)</f>
        <v>0</v>
      </c>
      <c r="K4473" s="455">
        <f t="shared" ca="1" si="186"/>
        <v>-51945982491.963737</v>
      </c>
      <c r="L4473" s="455">
        <f t="shared" ca="1" si="187"/>
        <v>-12518981780563.26</v>
      </c>
      <c r="M4473" s="471">
        <f t="shared" si="189"/>
        <v>0.05</v>
      </c>
      <c r="N4473" s="475">
        <f t="shared" si="190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88"/>
        <v>-12518981780563.26</v>
      </c>
      <c r="J4474" s="455">
        <f t="array" ref="J4474">IFERROR(INDEX('Retirement Calculator'!J:J,MATCH('Isaac 401k'!N4474,'Retirement Calculator'!A:A,0),0),0)</f>
        <v>0</v>
      </c>
      <c r="K4474" s="455">
        <f t="shared" ca="1" si="186"/>
        <v>-52162424085.680252</v>
      </c>
      <c r="L4474" s="455">
        <f t="shared" ca="1" si="187"/>
        <v>-12571144204648.939</v>
      </c>
      <c r="M4474" s="471">
        <f t="shared" si="189"/>
        <v>0.05</v>
      </c>
      <c r="N4474" s="475">
        <f t="shared" si="190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88"/>
        <v>-12571144204648.939</v>
      </c>
      <c r="J4475" s="455">
        <f t="array" ref="J4475">IFERROR(INDEX('Retirement Calculator'!J:J,MATCH('Isaac 401k'!N4475,'Retirement Calculator'!A:A,0),0),0)</f>
        <v>0</v>
      </c>
      <c r="K4475" s="455">
        <f t="shared" ca="1" si="186"/>
        <v>-52379767519.370583</v>
      </c>
      <c r="L4475" s="455">
        <f t="shared" ca="1" si="187"/>
        <v>-12623523972168.311</v>
      </c>
      <c r="M4475" s="471">
        <f t="shared" si="189"/>
        <v>0.05</v>
      </c>
      <c r="N4475" s="475">
        <f t="shared" si="190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88"/>
        <v>-12623523972168.311</v>
      </c>
      <c r="J4476" s="455">
        <f t="array" ref="J4476">IFERROR(INDEX('Retirement Calculator'!J:J,MATCH('Isaac 401k'!N4476,'Retirement Calculator'!A:A,0),0),0)</f>
        <v>0</v>
      </c>
      <c r="K4476" s="455">
        <f t="shared" ca="1" si="186"/>
        <v>-52598016550.701294</v>
      </c>
      <c r="L4476" s="455">
        <f t="shared" ca="1" si="187"/>
        <v>-12676121988719.012</v>
      </c>
      <c r="M4476" s="471">
        <f t="shared" si="189"/>
        <v>0.05</v>
      </c>
      <c r="N4476" s="475">
        <f t="shared" si="190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88"/>
        <v>-12676121988719.012</v>
      </c>
      <c r="J4477" s="455">
        <f t="array" ref="J4477">IFERROR(INDEX('Retirement Calculator'!J:J,MATCH('Isaac 401k'!N4477,'Retirement Calculator'!A:A,0),0),0)</f>
        <v>0</v>
      </c>
      <c r="K4477" s="455">
        <f t="shared" ca="1" si="186"/>
        <v>-52817174952.99588</v>
      </c>
      <c r="L4477" s="455">
        <f t="shared" ca="1" si="187"/>
        <v>-12728939163672.008</v>
      </c>
      <c r="M4477" s="471">
        <f t="shared" si="189"/>
        <v>0.05</v>
      </c>
      <c r="N4477" s="475">
        <f t="shared" si="190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88"/>
        <v>-12728939163672.008</v>
      </c>
      <c r="J4478" s="455">
        <f t="array" ref="J4478">IFERROR(INDEX('Retirement Calculator'!J:J,MATCH('Isaac 401k'!N4478,'Retirement Calculator'!A:A,0),0),0)</f>
        <v>0</v>
      </c>
      <c r="K4478" s="455">
        <f t="shared" ca="1" si="186"/>
        <v>-53037246515.300034</v>
      </c>
      <c r="L4478" s="455">
        <f t="shared" ca="1" si="187"/>
        <v>-12781976410187.309</v>
      </c>
      <c r="M4478" s="471">
        <f t="shared" si="189"/>
        <v>0.05</v>
      </c>
      <c r="N4478" s="475">
        <f t="shared" si="190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88"/>
        <v>-12781976410187.309</v>
      </c>
      <c r="J4479" s="455">
        <f t="array" ref="J4479">IFERROR(INDEX('Retirement Calculator'!J:J,MATCH('Isaac 401k'!N4479,'Retirement Calculator'!A:A,0),0),0)</f>
        <v>0</v>
      </c>
      <c r="K4479" s="455">
        <f t="shared" ca="1" si="186"/>
        <v>-53258235042.447121</v>
      </c>
      <c r="L4479" s="455">
        <f t="shared" ca="1" si="187"/>
        <v>-12835234645229.756</v>
      </c>
      <c r="M4479" s="471">
        <f t="shared" si="189"/>
        <v>0.05</v>
      </c>
      <c r="N4479" s="475">
        <f t="shared" si="190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88"/>
        <v>-12835234645229.756</v>
      </c>
      <c r="J4480" s="455">
        <f t="array" ref="J4480">IFERROR(INDEX('Retirement Calculator'!J:J,MATCH('Isaac 401k'!N4480,'Retirement Calculator'!A:A,0),0),0)</f>
        <v>0</v>
      </c>
      <c r="K4480" s="455">
        <f t="shared" ca="1" si="186"/>
        <v>-53480144355.123985</v>
      </c>
      <c r="L4480" s="455">
        <f t="shared" ca="1" si="187"/>
        <v>-12888714789584.879</v>
      </c>
      <c r="M4480" s="471">
        <f t="shared" si="189"/>
        <v>0.05</v>
      </c>
      <c r="N4480" s="475">
        <f t="shared" si="190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88"/>
        <v>-12888714789584.879</v>
      </c>
      <c r="J4481" s="455">
        <f t="array" ref="J4481">IFERROR(INDEX('Retirement Calculator'!J:J,MATCH('Isaac 401k'!N4481,'Retirement Calculator'!A:A,0),0),0)</f>
        <v>0</v>
      </c>
      <c r="K4481" s="455">
        <f t="shared" ca="1" si="186"/>
        <v>-53702978289.936996</v>
      </c>
      <c r="L4481" s="455">
        <f t="shared" ca="1" si="187"/>
        <v>-12942417767874.816</v>
      </c>
      <c r="M4481" s="471">
        <f t="shared" si="189"/>
        <v>0.05</v>
      </c>
      <c r="N4481" s="475">
        <f t="shared" si="190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88"/>
        <v>-12942417767874.816</v>
      </c>
      <c r="J4482" s="455">
        <f t="array" ref="J4482">IFERROR(INDEX('Retirement Calculator'!J:J,MATCH('Isaac 401k'!N4482,'Retirement Calculator'!A:A,0),0),0)</f>
        <v>0</v>
      </c>
      <c r="K4482" s="455">
        <f t="shared" ca="1" si="186"/>
        <v>-53926740699.478401</v>
      </c>
      <c r="L4482" s="455">
        <f t="shared" ca="1" si="187"/>
        <v>-12996344508574.295</v>
      </c>
      <c r="M4482" s="471">
        <f t="shared" si="189"/>
        <v>0.05</v>
      </c>
      <c r="N4482" s="475">
        <f t="shared" si="190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88"/>
        <v>-12996344508574.295</v>
      </c>
      <c r="J4483" s="455">
        <f t="array" ref="J4483">IFERROR(INDEX('Retirement Calculator'!J:J,MATCH('Isaac 401k'!N4483,'Retirement Calculator'!A:A,0),0),0)</f>
        <v>0</v>
      </c>
      <c r="K4483" s="455">
        <f t="shared" ca="1" si="186"/>
        <v>-54151435452.392899</v>
      </c>
      <c r="L4483" s="455">
        <f t="shared" ca="1" si="187"/>
        <v>-13050495944026.688</v>
      </c>
      <c r="M4483" s="471">
        <f t="shared" si="189"/>
        <v>0.05</v>
      </c>
      <c r="N4483" s="475">
        <f t="shared" si="190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88"/>
        <v>-13050495944026.688</v>
      </c>
      <c r="J4484" s="455">
        <f t="array" ref="J4484">IFERROR(INDEX('Retirement Calculator'!J:J,MATCH('Isaac 401k'!N4484,'Retirement Calculator'!A:A,0),0),0)</f>
        <v>0</v>
      </c>
      <c r="K4484" s="455">
        <f t="shared" ca="1" si="186"/>
        <v>-54377066433.444534</v>
      </c>
      <c r="L4484" s="455">
        <f t="shared" ca="1" si="187"/>
        <v>-13104873010460.133</v>
      </c>
      <c r="M4484" s="471">
        <f t="shared" si="189"/>
        <v>0.05</v>
      </c>
      <c r="N4484" s="475">
        <f t="shared" si="190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88"/>
        <v>-13104873010460.133</v>
      </c>
      <c r="J4485" s="455">
        <f t="array" ref="J4485">IFERROR(INDEX('Retirement Calculator'!J:J,MATCH('Isaac 401k'!N4485,'Retirement Calculator'!A:A,0),0),0)</f>
        <v>0</v>
      </c>
      <c r="K4485" s="455">
        <f t="shared" ca="1" si="186"/>
        <v>-54603637543.583885</v>
      </c>
      <c r="L4485" s="455">
        <f t="shared" ca="1" si="187"/>
        <v>-13159476648003.717</v>
      </c>
      <c r="M4485" s="471">
        <f t="shared" si="189"/>
        <v>0.05</v>
      </c>
      <c r="N4485" s="475">
        <f t="shared" si="190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88"/>
        <v>-13159476648003.717</v>
      </c>
      <c r="J4486" s="455">
        <f t="array" ref="J4486">IFERROR(INDEX('Retirement Calculator'!J:J,MATCH('Isaac 401k'!N4486,'Retirement Calculator'!A:A,0),0),0)</f>
        <v>0</v>
      </c>
      <c r="K4486" s="455">
        <f t="shared" ca="1" si="186"/>
        <v>-54831152700.015488</v>
      </c>
      <c r="L4486" s="455">
        <f t="shared" ca="1" si="187"/>
        <v>-13214307800703.732</v>
      </c>
      <c r="M4486" s="471">
        <f t="shared" si="189"/>
        <v>0.05</v>
      </c>
      <c r="N4486" s="475">
        <f t="shared" si="190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88"/>
        <v>-13214307800703.732</v>
      </c>
      <c r="J4487" s="455">
        <f t="array" ref="J4487">IFERROR(INDEX('Retirement Calculator'!J:J,MATCH('Isaac 401k'!N4487,'Retirement Calculator'!A:A,0),0),0)</f>
        <v>0</v>
      </c>
      <c r="K4487" s="455">
        <f t="shared" ca="1" si="186"/>
        <v>-55059615836.265549</v>
      </c>
      <c r="L4487" s="455">
        <f t="shared" ca="1" si="187"/>
        <v>-13269367416539.998</v>
      </c>
      <c r="M4487" s="471">
        <f t="shared" si="189"/>
        <v>0.05</v>
      </c>
      <c r="N4487" s="475">
        <f t="shared" si="190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88"/>
        <v>-13269367416539.998</v>
      </c>
      <c r="J4488" s="455">
        <f t="array" ref="J4488">IFERROR(INDEX('Retirement Calculator'!J:J,MATCH('Isaac 401k'!N4488,'Retirement Calculator'!A:A,0),0),0)</f>
        <v>0</v>
      </c>
      <c r="K4488" s="455">
        <f t="shared" ca="1" si="186"/>
        <v>-55289030902.249992</v>
      </c>
      <c r="L4488" s="455">
        <f t="shared" ca="1" si="187"/>
        <v>-13324656447442.248</v>
      </c>
      <c r="M4488" s="471">
        <f t="shared" si="189"/>
        <v>0.05</v>
      </c>
      <c r="N4488" s="475">
        <f t="shared" si="190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88"/>
        <v>-13324656447442.248</v>
      </c>
      <c r="J4489" s="455">
        <f t="array" ref="J4489">IFERROR(INDEX('Retirement Calculator'!J:J,MATCH('Isaac 401k'!N4489,'Retirement Calculator'!A:A,0),0),0)</f>
        <v>0</v>
      </c>
      <c r="K4489" s="455">
        <f t="shared" ca="1" si="186"/>
        <v>-55519401864.342697</v>
      </c>
      <c r="L4489" s="455">
        <f t="shared" ca="1" si="187"/>
        <v>-13380175849306.59</v>
      </c>
      <c r="M4489" s="471">
        <f t="shared" si="189"/>
        <v>0.05</v>
      </c>
      <c r="N4489" s="475">
        <f t="shared" si="190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88"/>
        <v>-13380175849306.59</v>
      </c>
      <c r="J4490" s="455">
        <f t="array" ref="J4490">IFERROR(INDEX('Retirement Calculator'!J:J,MATCH('Isaac 401k'!N4490,'Retirement Calculator'!A:A,0),0),0)</f>
        <v>0</v>
      </c>
      <c r="K4490" s="455">
        <f t="shared" ca="1" si="186"/>
        <v>-55750732705.444122</v>
      </c>
      <c r="L4490" s="455">
        <f t="shared" ca="1" si="187"/>
        <v>-13435926582012.033</v>
      </c>
      <c r="M4490" s="471">
        <f t="shared" si="189"/>
        <v>0.05</v>
      </c>
      <c r="N4490" s="475">
        <f t="shared" si="190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88"/>
        <v>-13435926582012.033</v>
      </c>
      <c r="J4491" s="455">
        <f t="array" ref="J4491">IFERROR(INDEX('Retirement Calculator'!J:J,MATCH('Isaac 401k'!N4491,'Retirement Calculator'!A:A,0),0),0)</f>
        <v>0</v>
      </c>
      <c r="K4491" s="455">
        <f t="shared" ca="1" si="186"/>
        <v>-55983027425.05014</v>
      </c>
      <c r="L4491" s="455">
        <f t="shared" ca="1" si="187"/>
        <v>-13491909609437.084</v>
      </c>
      <c r="M4491" s="471">
        <f t="shared" si="189"/>
        <v>0.05</v>
      </c>
      <c r="N4491" s="475">
        <f t="shared" si="190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88"/>
        <v>-13491909609437.084</v>
      </c>
      <c r="J4492" s="455">
        <f t="array" ref="J4492">IFERROR(INDEX('Retirement Calculator'!J:J,MATCH('Isaac 401k'!N4492,'Retirement Calculator'!A:A,0),0),0)</f>
        <v>0</v>
      </c>
      <c r="K4492" s="455">
        <f t="shared" ca="1" si="186"/>
        <v>-56216290039.321182</v>
      </c>
      <c r="L4492" s="455">
        <f t="shared" ca="1" si="187"/>
        <v>-13548125899476.404</v>
      </c>
      <c r="M4492" s="471">
        <f t="shared" si="189"/>
        <v>0.05</v>
      </c>
      <c r="N4492" s="475">
        <f t="shared" si="190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88"/>
        <v>-13548125899476.404</v>
      </c>
      <c r="J4493" s="455">
        <f t="array" ref="J4493">IFERROR(INDEX('Retirement Calculator'!J:J,MATCH('Isaac 401k'!N4493,'Retirement Calculator'!A:A,0),0),0)</f>
        <v>0</v>
      </c>
      <c r="K4493" s="455">
        <f t="shared" ca="1" si="186"/>
        <v>-56450524581.15168</v>
      </c>
      <c r="L4493" s="455">
        <f t="shared" ca="1" si="187"/>
        <v>-13604576424057.557</v>
      </c>
      <c r="M4493" s="471">
        <f t="shared" si="189"/>
        <v>0.05</v>
      </c>
      <c r="N4493" s="475">
        <f t="shared" si="190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88"/>
        <v>-13604576424057.557</v>
      </c>
      <c r="J4494" s="455">
        <f t="array" ref="J4494">IFERROR(INDEX('Retirement Calculator'!J:J,MATCH('Isaac 401k'!N4494,'Retirement Calculator'!A:A,0),0),0)</f>
        <v>0</v>
      </c>
      <c r="K4494" s="455">
        <f t="shared" ca="1" si="186"/>
        <v>-56685735100.239815</v>
      </c>
      <c r="L4494" s="455">
        <f t="shared" ca="1" si="187"/>
        <v>-13661262159157.797</v>
      </c>
      <c r="M4494" s="471">
        <f t="shared" si="189"/>
        <v>0.05</v>
      </c>
      <c r="N4494" s="475">
        <f t="shared" si="190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88"/>
        <v>-13661262159157.797</v>
      </c>
      <c r="J4495" s="455">
        <f t="array" ref="J4495">IFERROR(INDEX('Retirement Calculator'!J:J,MATCH('Isaac 401k'!N4495,'Retirement Calculator'!A:A,0),0),0)</f>
        <v>0</v>
      </c>
      <c r="K4495" s="455">
        <f t="shared" ca="1" si="186"/>
        <v>-56921925663.157486</v>
      </c>
      <c r="L4495" s="455">
        <f t="shared" ca="1" si="187"/>
        <v>-13718184084820.955</v>
      </c>
      <c r="M4495" s="471">
        <f t="shared" si="189"/>
        <v>0.05</v>
      </c>
      <c r="N4495" s="475">
        <f t="shared" si="190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88"/>
        <v>-13718184084820.955</v>
      </c>
      <c r="J4496" s="455">
        <f t="array" ref="J4496">IFERROR(INDEX('Retirement Calculator'!J:J,MATCH('Isaac 401k'!N4496,'Retirement Calculator'!A:A,0),0),0)</f>
        <v>0</v>
      </c>
      <c r="K4496" s="455">
        <f t="shared" ca="1" si="186"/>
        <v>-57159100353.420647</v>
      </c>
      <c r="L4496" s="455">
        <f t="shared" ca="1" si="187"/>
        <v>-13775343185174.375</v>
      </c>
      <c r="M4496" s="471">
        <f t="shared" si="189"/>
        <v>0.05</v>
      </c>
      <c r="N4496" s="475">
        <f t="shared" si="190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88"/>
        <v>-13775343185174.375</v>
      </c>
      <c r="J4497" s="455">
        <f t="array" ref="J4497">IFERROR(INDEX('Retirement Calculator'!J:J,MATCH('Isaac 401k'!N4497,'Retirement Calculator'!A:A,0),0),0)</f>
        <v>0</v>
      </c>
      <c r="K4497" s="455">
        <f t="shared" ca="1" si="186"/>
        <v>-57397263271.559883</v>
      </c>
      <c r="L4497" s="455">
        <f t="shared" ca="1" si="187"/>
        <v>-13832740448445.936</v>
      </c>
      <c r="M4497" s="471">
        <f t="shared" si="189"/>
        <v>0.05</v>
      </c>
      <c r="N4497" s="475">
        <f t="shared" si="190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88"/>
        <v>-13832740448445.936</v>
      </c>
      <c r="J4498" s="455">
        <f t="array" ref="J4498">IFERROR(INDEX('Retirement Calculator'!J:J,MATCH('Isaac 401k'!N4498,'Retirement Calculator'!A:A,0),0),0)</f>
        <v>0</v>
      </c>
      <c r="K4498" s="455">
        <f t="shared" ca="1" si="186"/>
        <v>-57636418535.191399</v>
      </c>
      <c r="L4498" s="455">
        <f t="shared" ca="1" si="187"/>
        <v>-13890376866981.127</v>
      </c>
      <c r="M4498" s="471">
        <f t="shared" si="189"/>
        <v>0.05</v>
      </c>
      <c r="N4498" s="475">
        <f t="shared" si="190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88"/>
        <v>-13890376866981.127</v>
      </c>
      <c r="J4499" s="455">
        <f t="array" ref="J4499">IFERROR(INDEX('Retirement Calculator'!J:J,MATCH('Isaac 401k'!N4499,'Retirement Calculator'!A:A,0),0),0)</f>
        <v>0</v>
      </c>
      <c r="K4499" s="455">
        <f t="shared" ca="1" si="186"/>
        <v>-57876570279.088036</v>
      </c>
      <c r="L4499" s="455">
        <f t="shared" ca="1" si="187"/>
        <v>-13948253437260.215</v>
      </c>
      <c r="M4499" s="471">
        <f t="shared" si="189"/>
        <v>0.05</v>
      </c>
      <c r="N4499" s="475">
        <f t="shared" si="190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88"/>
        <v>-13948253437260.215</v>
      </c>
      <c r="J4500" s="455">
        <f t="array" ref="J4500">IFERROR(INDEX('Retirement Calculator'!J:J,MATCH('Isaac 401k'!N4500,'Retirement Calculator'!A:A,0),0),0)</f>
        <v>0</v>
      </c>
      <c r="K4500" s="455">
        <f t="shared" ca="1" si="186"/>
        <v>-58117722655.250893</v>
      </c>
      <c r="L4500" s="455">
        <f t="shared" ca="1" si="187"/>
        <v>-14006371159915.465</v>
      </c>
      <c r="M4500" s="471">
        <f t="shared" si="189"/>
        <v>0.05</v>
      </c>
      <c r="N4500" s="475">
        <f t="shared" si="190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88"/>
        <v>-14006371159915.465</v>
      </c>
      <c r="J4501" s="455">
        <f t="array" ref="J4501">IFERROR(INDEX('Retirement Calculator'!J:J,MATCH('Isaac 401k'!N4501,'Retirement Calculator'!A:A,0),0),0)</f>
        <v>0</v>
      </c>
      <c r="K4501" s="455">
        <f t="shared" ca="1" si="186"/>
        <v>-58359879832.98111</v>
      </c>
      <c r="L4501" s="455">
        <f t="shared" ca="1" si="187"/>
        <v>-14064731039748.445</v>
      </c>
      <c r="M4501" s="471">
        <f t="shared" si="189"/>
        <v>0.05</v>
      </c>
      <c r="N4501" s="475">
        <f t="shared" si="190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88"/>
        <v>-14064731039748.445</v>
      </c>
      <c r="J4502" s="455">
        <f t="array" ref="J4502">IFERROR(INDEX('Retirement Calculator'!J:J,MATCH('Isaac 401k'!N4502,'Retirement Calculator'!A:A,0),0),0)</f>
        <v>0</v>
      </c>
      <c r="K4502" s="455">
        <f t="shared" ca="1" si="186"/>
        <v>-58603045998.951851</v>
      </c>
      <c r="L4502" s="455">
        <f t="shared" ca="1" si="187"/>
        <v>-14123334085747.396</v>
      </c>
      <c r="M4502" s="471">
        <f t="shared" si="189"/>
        <v>0.05</v>
      </c>
      <c r="N4502" s="475">
        <f t="shared" si="190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88"/>
        <v>-14123334085747.396</v>
      </c>
      <c r="J4503" s="455">
        <f t="array" ref="J4503">IFERROR(INDEX('Retirement Calculator'!J:J,MATCH('Isaac 401k'!N4503,'Retirement Calculator'!A:A,0),0),0)</f>
        <v>0</v>
      </c>
      <c r="K4503" s="455">
        <f t="shared" ca="1" si="186"/>
        <v>-58847225357.280815</v>
      </c>
      <c r="L4503" s="455">
        <f t="shared" ca="1" si="187"/>
        <v>-14182181311104.678</v>
      </c>
      <c r="M4503" s="471">
        <f t="shared" si="189"/>
        <v>0.05</v>
      </c>
      <c r="N4503" s="475">
        <f t="shared" si="190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88"/>
        <v>-14182181311104.678</v>
      </c>
      <c r="J4504" s="455">
        <f t="array" ref="J4504">IFERROR(INDEX('Retirement Calculator'!J:J,MATCH('Isaac 401k'!N4504,'Retirement Calculator'!A:A,0),0),0)</f>
        <v>0</v>
      </c>
      <c r="K4504" s="455">
        <f t="shared" ca="1" si="186"/>
        <v>-59092422129.602821</v>
      </c>
      <c r="L4504" s="455">
        <f t="shared" ca="1" si="187"/>
        <v>-14241273733234.281</v>
      </c>
      <c r="M4504" s="471">
        <f t="shared" si="189"/>
        <v>0.05</v>
      </c>
      <c r="N4504" s="475">
        <f t="shared" si="190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88"/>
        <v>-14241273733234.281</v>
      </c>
      <c r="J4505" s="455">
        <f t="array" ref="J4505">IFERROR(INDEX('Retirement Calculator'!J:J,MATCH('Isaac 401k'!N4505,'Retirement Calculator'!A:A,0),0),0)</f>
        <v>0</v>
      </c>
      <c r="K4505" s="455">
        <f t="shared" ca="1" si="186"/>
        <v>-59338640555.14283</v>
      </c>
      <c r="L4505" s="455">
        <f t="shared" ca="1" si="187"/>
        <v>-14300612373789.424</v>
      </c>
      <c r="M4505" s="471">
        <f t="shared" si="189"/>
        <v>0.05</v>
      </c>
      <c r="N4505" s="475">
        <f t="shared" si="190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88"/>
        <v>-14300612373789.424</v>
      </c>
      <c r="J4506" s="455">
        <f t="array" ref="J4506">IFERROR(INDEX('Retirement Calculator'!J:J,MATCH('Isaac 401k'!N4506,'Retirement Calculator'!A:A,0),0),0)</f>
        <v>0</v>
      </c>
      <c r="K4506" s="455">
        <f t="shared" ca="1" si="186"/>
        <v>-59585884890.789268</v>
      </c>
      <c r="L4506" s="455">
        <f t="shared" ca="1" si="187"/>
        <v>-14360198258680.213</v>
      </c>
      <c r="M4506" s="471">
        <f t="shared" si="189"/>
        <v>0.05</v>
      </c>
      <c r="N4506" s="475">
        <f t="shared" si="190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88"/>
        <v>-14360198258680.213</v>
      </c>
      <c r="J4507" s="455">
        <f t="array" ref="J4507">IFERROR(INDEX('Retirement Calculator'!J:J,MATCH('Isaac 401k'!N4507,'Retirement Calculator'!A:A,0),0),0)</f>
        <v>0</v>
      </c>
      <c r="K4507" s="455">
        <f t="shared" ca="1" si="186"/>
        <v>-59834159411.167549</v>
      </c>
      <c r="L4507" s="455">
        <f t="shared" ca="1" si="187"/>
        <v>-14420032418091.381</v>
      </c>
      <c r="M4507" s="471">
        <f t="shared" si="189"/>
        <v>0.05</v>
      </c>
      <c r="N4507" s="475">
        <f t="shared" si="190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88"/>
        <v>-14420032418091.381</v>
      </c>
      <c r="J4508" s="455">
        <f t="array" ref="J4508">IFERROR(INDEX('Retirement Calculator'!J:J,MATCH('Isaac 401k'!N4508,'Retirement Calculator'!A:A,0),0),0)</f>
        <v>0</v>
      </c>
      <c r="K4508" s="455">
        <f t="shared" ca="1" si="186"/>
        <v>-60083468408.714088</v>
      </c>
      <c r="L4508" s="455">
        <f t="shared" ca="1" si="187"/>
        <v>-14480115886500.096</v>
      </c>
      <c r="M4508" s="471">
        <f t="shared" si="189"/>
        <v>0.05</v>
      </c>
      <c r="N4508" s="475">
        <f t="shared" si="190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88"/>
        <v>-14480115886500.096</v>
      </c>
      <c r="J4509" s="455">
        <f t="array" ref="J4509">IFERROR(INDEX('Retirement Calculator'!J:J,MATCH('Isaac 401k'!N4509,'Retirement Calculator'!A:A,0),0),0)</f>
        <v>0</v>
      </c>
      <c r="K4509" s="455">
        <f t="shared" ca="1" si="186"/>
        <v>-60333816193.750397</v>
      </c>
      <c r="L4509" s="455">
        <f t="shared" ca="1" si="187"/>
        <v>-14540449702693.846</v>
      </c>
      <c r="M4509" s="471">
        <f t="shared" si="189"/>
        <v>0.05</v>
      </c>
      <c r="N4509" s="475">
        <f t="shared" si="190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88"/>
        <v>-14540449702693.846</v>
      </c>
      <c r="J4510" s="455">
        <f t="array" ref="J4510">IFERROR(INDEX('Retirement Calculator'!J:J,MATCH('Isaac 401k'!N4510,'Retirement Calculator'!A:A,0),0),0)</f>
        <v>0</v>
      </c>
      <c r="K4510" s="455">
        <f t="shared" ca="1" si="186"/>
        <v>-60585207094.557686</v>
      </c>
      <c r="L4510" s="455">
        <f t="shared" ca="1" si="187"/>
        <v>-14601034909788.404</v>
      </c>
      <c r="M4510" s="471">
        <f t="shared" si="189"/>
        <v>0.05</v>
      </c>
      <c r="N4510" s="475">
        <f t="shared" si="190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88"/>
        <v>-14601034909788.404</v>
      </c>
      <c r="J4511" s="455">
        <f t="array" ref="J4511">IFERROR(INDEX('Retirement Calculator'!J:J,MATCH('Isaac 401k'!N4511,'Retirement Calculator'!A:A,0),0),0)</f>
        <v>0</v>
      </c>
      <c r="K4511" s="455">
        <f t="shared" ca="1" si="186"/>
        <v>-60837645457.451683</v>
      </c>
      <c r="L4511" s="455">
        <f t="shared" ca="1" si="187"/>
        <v>-14661872555245.855</v>
      </c>
      <c r="M4511" s="471">
        <f t="shared" si="189"/>
        <v>0.05</v>
      </c>
      <c r="N4511" s="475">
        <f t="shared" si="190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88"/>
        <v>-14661872555245.855</v>
      </c>
      <c r="J4512" s="455">
        <f t="array" ref="J4512">IFERROR(INDEX('Retirement Calculator'!J:J,MATCH('Isaac 401k'!N4512,'Retirement Calculator'!A:A,0),0),0)</f>
        <v>0</v>
      </c>
      <c r="K4512" s="455">
        <f t="shared" ca="1" si="186"/>
        <v>-61091135646.857735</v>
      </c>
      <c r="L4512" s="455">
        <f t="shared" ca="1" si="187"/>
        <v>-14722963690892.713</v>
      </c>
      <c r="M4512" s="471">
        <f t="shared" si="189"/>
        <v>0.05</v>
      </c>
      <c r="N4512" s="475">
        <f t="shared" si="190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88"/>
        <v>-14722963690892.713</v>
      </c>
      <c r="J4513" s="455">
        <f t="array" ref="J4513">IFERROR(INDEX('Retirement Calculator'!J:J,MATCH('Isaac 401k'!N4513,'Retirement Calculator'!A:A,0),0),0)</f>
        <v>0</v>
      </c>
      <c r="K4513" s="455">
        <f t="shared" ca="1" si="186"/>
        <v>-61345682045.386299</v>
      </c>
      <c r="L4513" s="455">
        <f t="shared" ca="1" si="187"/>
        <v>-14784309372938.1</v>
      </c>
      <c r="M4513" s="471">
        <f t="shared" si="189"/>
        <v>0.05</v>
      </c>
      <c r="N4513" s="475">
        <f t="shared" si="190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88"/>
        <v>-14784309372938.1</v>
      </c>
      <c r="J4514" s="455">
        <f t="array" ref="J4514">IFERROR(INDEX('Retirement Calculator'!J:J,MATCH('Isaac 401k'!N4514,'Retirement Calculator'!A:A,0),0),0)</f>
        <v>0</v>
      </c>
      <c r="K4514" s="455">
        <f t="shared" ca="1" si="186"/>
        <v>-61601289053.908745</v>
      </c>
      <c r="L4514" s="455">
        <f t="shared" ca="1" si="187"/>
        <v>-14845910661992.008</v>
      </c>
      <c r="M4514" s="471">
        <f t="shared" si="189"/>
        <v>0.05</v>
      </c>
      <c r="N4514" s="475">
        <f t="shared" si="190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88"/>
        <v>-14845910661992.008</v>
      </c>
      <c r="J4515" s="455">
        <f t="array" ref="J4515">IFERROR(INDEX('Retirement Calculator'!J:J,MATCH('Isaac 401k'!N4515,'Retirement Calculator'!A:A,0),0),0)</f>
        <v>0</v>
      </c>
      <c r="K4515" s="455">
        <f t="shared" ca="1" si="186"/>
        <v>-61857961091.633369</v>
      </c>
      <c r="L4515" s="455">
        <f t="shared" ca="1" si="187"/>
        <v>-14907768623083.641</v>
      </c>
      <c r="M4515" s="471">
        <f t="shared" si="189"/>
        <v>0.05</v>
      </c>
      <c r="N4515" s="475">
        <f t="shared" si="190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88"/>
        <v>-14907768623083.641</v>
      </c>
      <c r="J4516" s="455">
        <f t="array" ref="J4516">IFERROR(INDEX('Retirement Calculator'!J:J,MATCH('Isaac 401k'!N4516,'Retirement Calculator'!A:A,0),0),0)</f>
        <v>0</v>
      </c>
      <c r="K4516" s="455">
        <f t="shared" ca="1" si="186"/>
        <v>-62115702596.181847</v>
      </c>
      <c r="L4516" s="455">
        <f t="shared" ca="1" si="187"/>
        <v>-14969884325679.822</v>
      </c>
      <c r="M4516" s="471">
        <f t="shared" si="189"/>
        <v>0.05</v>
      </c>
      <c r="N4516" s="475">
        <f t="shared" si="190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88"/>
        <v>-14969884325679.822</v>
      </c>
      <c r="J4517" s="455">
        <f t="array" ref="J4517">IFERROR(INDEX('Retirement Calculator'!J:J,MATCH('Isaac 401k'!N4517,'Retirement Calculator'!A:A,0),0),0)</f>
        <v>0</v>
      </c>
      <c r="K4517" s="455">
        <f t="shared" ca="1" si="186"/>
        <v>-62374518023.665916</v>
      </c>
      <c r="L4517" s="455">
        <f t="shared" ca="1" si="187"/>
        <v>-15032258843703.488</v>
      </c>
      <c r="M4517" s="471">
        <f t="shared" si="189"/>
        <v>0.05</v>
      </c>
      <c r="N4517" s="475">
        <f t="shared" si="190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88"/>
        <v>-15032258843703.488</v>
      </c>
      <c r="J4518" s="455">
        <f t="array" ref="J4518">IFERROR(INDEX('Retirement Calculator'!J:J,MATCH('Isaac 401k'!N4518,'Retirement Calculator'!A:A,0),0),0)</f>
        <v>0</v>
      </c>
      <c r="K4518" s="455">
        <f t="shared" ca="1" si="186"/>
        <v>-62634411848.764534</v>
      </c>
      <c r="L4518" s="455">
        <f t="shared" ca="1" si="187"/>
        <v>-15094893255552.252</v>
      </c>
      <c r="M4518" s="471">
        <f t="shared" si="189"/>
        <v>0.05</v>
      </c>
      <c r="N4518" s="475">
        <f t="shared" si="190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88"/>
        <v>-15094893255552.252</v>
      </c>
      <c r="J4519" s="455">
        <f t="array" ref="J4519">IFERROR(INDEX('Retirement Calculator'!J:J,MATCH('Isaac 401k'!N4519,'Retirement Calculator'!A:A,0),0),0)</f>
        <v>0</v>
      </c>
      <c r="K4519" s="455">
        <f t="shared" ca="1" si="186"/>
        <v>-62895388564.801056</v>
      </c>
      <c r="L4519" s="455">
        <f t="shared" ca="1" si="187"/>
        <v>-15157788644117.053</v>
      </c>
      <c r="M4519" s="471">
        <f t="shared" si="189"/>
        <v>0.05</v>
      </c>
      <c r="N4519" s="475">
        <f t="shared" si="190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88"/>
        <v>-15157788644117.053</v>
      </c>
      <c r="J4520" s="455">
        <f t="array" ref="J4520">IFERROR(INDEX('Retirement Calculator'!J:J,MATCH('Isaac 401k'!N4520,'Retirement Calculator'!A:A,0),0),0)</f>
        <v>0</v>
      </c>
      <c r="K4520" s="455">
        <f t="shared" ca="1" si="186"/>
        <v>-63157452683.821053</v>
      </c>
      <c r="L4520" s="455">
        <f t="shared" ca="1" si="187"/>
        <v>-15220946096800.873</v>
      </c>
      <c r="M4520" s="471">
        <f t="shared" si="189"/>
        <v>0.05</v>
      </c>
      <c r="N4520" s="475">
        <f t="shared" si="190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88"/>
        <v>-15220946096800.873</v>
      </c>
      <c r="J4521" s="455">
        <f t="array" ref="J4521">IFERROR(INDEX('Retirement Calculator'!J:J,MATCH('Isaac 401k'!N4521,'Retirement Calculator'!A:A,0),0),0)</f>
        <v>0</v>
      </c>
      <c r="K4521" s="455">
        <f t="shared" ca="1" si="186"/>
        <v>-63420608736.670303</v>
      </c>
      <c r="L4521" s="455">
        <f t="shared" ca="1" si="187"/>
        <v>-15284366705537.543</v>
      </c>
      <c r="M4521" s="471">
        <f t="shared" si="189"/>
        <v>0.05</v>
      </c>
      <c r="N4521" s="475">
        <f t="shared" si="190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88"/>
        <v>-15284366705537.543</v>
      </c>
      <c r="J4522" s="455">
        <f t="array" ref="J4522">IFERROR(INDEX('Retirement Calculator'!J:J,MATCH('Isaac 401k'!N4522,'Retirement Calculator'!A:A,0),0),0)</f>
        <v>0</v>
      </c>
      <c r="K4522" s="455">
        <f t="shared" ca="1" si="186"/>
        <v>-63684861273.073097</v>
      </c>
      <c r="L4522" s="455">
        <f t="shared" ca="1" si="187"/>
        <v>-15348051566810.615</v>
      </c>
      <c r="M4522" s="471">
        <f t="shared" si="189"/>
        <v>0.05</v>
      </c>
      <c r="N4522" s="475">
        <f t="shared" si="190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88"/>
        <v>-15348051566810.615</v>
      </c>
      <c r="J4523" s="455">
        <f t="array" ref="J4523">IFERROR(INDEX('Retirement Calculator'!J:J,MATCH('Isaac 401k'!N4523,'Retirement Calculator'!A:A,0),0),0)</f>
        <v>0</v>
      </c>
      <c r="K4523" s="455">
        <f t="shared" ca="1" si="186"/>
        <v>-63950214861.710884</v>
      </c>
      <c r="L4523" s="455">
        <f t="shared" ca="1" si="187"/>
        <v>-15412001781672.326</v>
      </c>
      <c r="M4523" s="471">
        <f t="shared" si="189"/>
        <v>0.05</v>
      </c>
      <c r="N4523" s="475">
        <f t="shared" si="190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88"/>
        <v>-15412001781672.326</v>
      </c>
      <c r="J4524" s="455">
        <f t="array" ref="J4524">IFERROR(INDEX('Retirement Calculator'!J:J,MATCH('Isaac 401k'!N4524,'Retirement Calculator'!A:A,0),0),0)</f>
        <v>0</v>
      </c>
      <c r="K4524" s="455">
        <f t="shared" ca="1" si="186"/>
        <v>-64216674090.301369</v>
      </c>
      <c r="L4524" s="455">
        <f t="shared" ca="1" si="187"/>
        <v>-15476218455762.627</v>
      </c>
      <c r="M4524" s="471">
        <f t="shared" si="189"/>
        <v>0.05</v>
      </c>
      <c r="N4524" s="475">
        <f t="shared" si="190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88"/>
        <v>-15476218455762.627</v>
      </c>
      <c r="J4525" s="455">
        <f t="array" ref="J4525">IFERROR(INDEX('Retirement Calculator'!J:J,MATCH('Isaac 401k'!N4525,'Retirement Calculator'!A:A,0),0),0)</f>
        <v>0</v>
      </c>
      <c r="K4525" s="455">
        <f t="shared" ca="1" si="186"/>
        <v>-64484243565.677612</v>
      </c>
      <c r="L4525" s="455">
        <f t="shared" ca="1" si="187"/>
        <v>-15540702699328.305</v>
      </c>
      <c r="M4525" s="471">
        <f t="shared" si="189"/>
        <v>0.05</v>
      </c>
      <c r="N4525" s="475">
        <f t="shared" si="190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88"/>
        <v>-15540702699328.305</v>
      </c>
      <c r="J4526" s="455">
        <f t="array" ref="J4526">IFERROR(INDEX('Retirement Calculator'!J:J,MATCH('Isaac 401k'!N4526,'Retirement Calculator'!A:A,0),0),0)</f>
        <v>0</v>
      </c>
      <c r="K4526" s="455">
        <f t="shared" ca="1" si="186"/>
        <v>-64752927913.867928</v>
      </c>
      <c r="L4526" s="455">
        <f t="shared" ca="1" si="187"/>
        <v>-15605455627242.172</v>
      </c>
      <c r="M4526" s="471">
        <f t="shared" si="189"/>
        <v>0.05</v>
      </c>
      <c r="N4526" s="475">
        <f t="shared" si="190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88"/>
        <v>-15605455627242.172</v>
      </c>
      <c r="J4527" s="455">
        <f t="array" ref="J4527">IFERROR(INDEX('Retirement Calculator'!J:J,MATCH('Isaac 401k'!N4527,'Retirement Calculator'!A:A,0),0),0)</f>
        <v>0</v>
      </c>
      <c r="K4527" s="455">
        <f t="shared" ca="1" si="186"/>
        <v>-65022731780.175713</v>
      </c>
      <c r="L4527" s="455">
        <f t="shared" ca="1" si="187"/>
        <v>-15670478359022.348</v>
      </c>
      <c r="M4527" s="471">
        <f t="shared" si="189"/>
        <v>0.05</v>
      </c>
      <c r="N4527" s="475">
        <f t="shared" si="190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88"/>
        <v>-15670478359022.348</v>
      </c>
      <c r="J4528" s="455">
        <f t="array" ref="J4528">IFERROR(INDEX('Retirement Calculator'!J:J,MATCH('Isaac 401k'!N4528,'Retirement Calculator'!A:A,0),0),0)</f>
        <v>0</v>
      </c>
      <c r="K4528" s="455">
        <f t="shared" ca="1" si="186"/>
        <v>-65293659829.259781</v>
      </c>
      <c r="L4528" s="455">
        <f t="shared" ca="1" si="187"/>
        <v>-15735772018851.607</v>
      </c>
      <c r="M4528" s="471">
        <f t="shared" si="189"/>
        <v>0.05</v>
      </c>
      <c r="N4528" s="475">
        <f t="shared" si="190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88"/>
        <v>-15735772018851.607</v>
      </c>
      <c r="J4529" s="455">
        <f t="array" ref="J4529">IFERROR(INDEX('Retirement Calculator'!J:J,MATCH('Isaac 401k'!N4529,'Retirement Calculator'!A:A,0),0),0)</f>
        <v>0</v>
      </c>
      <c r="K4529" s="455">
        <f t="shared" ca="1" si="186"/>
        <v>-65565716745.215027</v>
      </c>
      <c r="L4529" s="455">
        <f t="shared" ca="1" si="187"/>
        <v>-15801337735596.822</v>
      </c>
      <c r="M4529" s="471">
        <f t="shared" si="189"/>
        <v>0.05</v>
      </c>
      <c r="N4529" s="475">
        <f t="shared" si="190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88"/>
        <v>-15801337735596.822</v>
      </c>
      <c r="J4530" s="455">
        <f t="array" ref="J4530">IFERROR(INDEX('Retirement Calculator'!J:J,MATCH('Isaac 401k'!N4530,'Retirement Calculator'!A:A,0),0),0)</f>
        <v>0</v>
      </c>
      <c r="K4530" s="455">
        <f t="shared" ca="1" si="186"/>
        <v>-65838907231.653427</v>
      </c>
      <c r="L4530" s="455">
        <f t="shared" ca="1" si="187"/>
        <v>-15867176642828.477</v>
      </c>
      <c r="M4530" s="471">
        <f t="shared" si="189"/>
        <v>0.05</v>
      </c>
      <c r="N4530" s="475">
        <f t="shared" si="190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88"/>
        <v>-15867176642828.477</v>
      </c>
      <c r="J4531" s="455">
        <f t="array" ref="J4531">IFERROR(INDEX('Retirement Calculator'!J:J,MATCH('Isaac 401k'!N4531,'Retirement Calculator'!A:A,0),0),0)</f>
        <v>0</v>
      </c>
      <c r="K4531" s="455">
        <f t="shared" ca="1" si="186"/>
        <v>-66113236011.785309</v>
      </c>
      <c r="L4531" s="455">
        <f t="shared" ca="1" si="187"/>
        <v>-15933289878840.262</v>
      </c>
      <c r="M4531" s="471">
        <f t="shared" si="189"/>
        <v>0.05</v>
      </c>
      <c r="N4531" s="475">
        <f t="shared" si="190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88"/>
        <v>-15933289878840.262</v>
      </c>
      <c r="J4532" s="455">
        <f t="array" ref="J4532">IFERROR(INDEX('Retirement Calculator'!J:J,MATCH('Isaac 401k'!N4532,'Retirement Calculator'!A:A,0),0),0)</f>
        <v>0</v>
      </c>
      <c r="K4532" s="455">
        <f t="shared" ca="1" si="186"/>
        <v>-66388707828.501091</v>
      </c>
      <c r="L4532" s="455">
        <f t="shared" ca="1" si="187"/>
        <v>-15999678586668.764</v>
      </c>
      <c r="M4532" s="471">
        <f t="shared" si="189"/>
        <v>0.05</v>
      </c>
      <c r="N4532" s="475">
        <f t="shared" si="190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88"/>
        <v>-15999678586668.764</v>
      </c>
      <c r="J4533" s="455">
        <f t="array" ref="J4533">IFERROR(INDEX('Retirement Calculator'!J:J,MATCH('Isaac 401k'!N4533,'Retirement Calculator'!A:A,0),0),0)</f>
        <v>0</v>
      </c>
      <c r="K4533" s="455">
        <f t="shared" ca="1" si="186"/>
        <v>-66665327444.453178</v>
      </c>
      <c r="L4533" s="455">
        <f t="shared" ca="1" si="187"/>
        <v>-16066343914113.217</v>
      </c>
      <c r="M4533" s="471">
        <f t="shared" si="189"/>
        <v>0.05</v>
      </c>
      <c r="N4533" s="475">
        <f t="shared" si="190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88"/>
        <v>-16066343914113.217</v>
      </c>
      <c r="J4534" s="455">
        <f t="array" ref="J4534">IFERROR(INDEX('Retirement Calculator'!J:J,MATCH('Isaac 401k'!N4534,'Retirement Calculator'!A:A,0),0),0)</f>
        <v>0</v>
      </c>
      <c r="K4534" s="455">
        <f t="shared" ca="1" si="186"/>
        <v>-66943099642.138405</v>
      </c>
      <c r="L4534" s="455">
        <f t="shared" ca="1" si="187"/>
        <v>-16133287013755.355</v>
      </c>
      <c r="M4534" s="471">
        <f t="shared" si="189"/>
        <v>0.05</v>
      </c>
      <c r="N4534" s="475">
        <f t="shared" si="190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88"/>
        <v>-16133287013755.355</v>
      </c>
      <c r="J4535" s="455">
        <f t="array" ref="J4535">IFERROR(INDEX('Retirement Calculator'!J:J,MATCH('Isaac 401k'!N4535,'Retirement Calculator'!A:A,0),0),0)</f>
        <v>0</v>
      </c>
      <c r="K4535" s="455">
        <f t="shared" ca="1" si="186"/>
        <v>-67222029223.980637</v>
      </c>
      <c r="L4535" s="455">
        <f t="shared" ca="1" si="187"/>
        <v>-16200509042979.336</v>
      </c>
      <c r="M4535" s="471">
        <f t="shared" si="189"/>
        <v>0.05</v>
      </c>
      <c r="N4535" s="475">
        <f t="shared" si="190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88"/>
        <v>-16200509042979.336</v>
      </c>
      <c r="J4536" s="455">
        <f t="array" ref="J4536">IFERROR(INDEX('Retirement Calculator'!J:J,MATCH('Isaac 401k'!N4536,'Retirement Calculator'!A:A,0),0),0)</f>
        <v>0</v>
      </c>
      <c r="K4536" s="455">
        <f t="shared" ca="1" si="186"/>
        <v>-67502121012.413902</v>
      </c>
      <c r="L4536" s="455">
        <f t="shared" ca="1" si="187"/>
        <v>-16268011163991.75</v>
      </c>
      <c r="M4536" s="471">
        <f t="shared" si="189"/>
        <v>0.05</v>
      </c>
      <c r="N4536" s="475">
        <f t="shared" si="190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88"/>
        <v>-16268011163991.75</v>
      </c>
      <c r="J4537" s="455">
        <f t="array" ref="J4537">IFERROR(INDEX('Retirement Calculator'!J:J,MATCH('Isaac 401k'!N4537,'Retirement Calculator'!A:A,0),0),0)</f>
        <v>0</v>
      </c>
      <c r="K4537" s="455">
        <f t="shared" ca="1" si="186"/>
        <v>-67783379849.965622</v>
      </c>
      <c r="L4537" s="455">
        <f t="shared" ca="1" si="187"/>
        <v>-16335794543841.715</v>
      </c>
      <c r="M4537" s="471">
        <f t="shared" si="189"/>
        <v>0.05</v>
      </c>
      <c r="N4537" s="475">
        <f t="shared" si="190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88"/>
        <v>-16335794543841.715</v>
      </c>
      <c r="J4538" s="455">
        <f t="array" ref="J4538">IFERROR(INDEX('Retirement Calculator'!J:J,MATCH('Isaac 401k'!N4538,'Retirement Calculator'!A:A,0),0),0)</f>
        <v>0</v>
      </c>
      <c r="K4538" s="455">
        <f t="shared" ca="1" si="186"/>
        <v>-68065810599.340477</v>
      </c>
      <c r="L4538" s="455">
        <f t="shared" ca="1" si="187"/>
        <v>-16403860354441.055</v>
      </c>
      <c r="M4538" s="471">
        <f t="shared" si="189"/>
        <v>0.05</v>
      </c>
      <c r="N4538" s="475">
        <f t="shared" si="190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88"/>
        <v>-16403860354441.055</v>
      </c>
      <c r="J4539" s="455">
        <f t="array" ref="J4539">IFERROR(INDEX('Retirement Calculator'!J:J,MATCH('Isaac 401k'!N4539,'Retirement Calculator'!A:A,0),0),0)</f>
        <v>0</v>
      </c>
      <c r="K4539" s="455">
        <f t="shared" ca="1" si="186"/>
        <v>-68349418143.504395</v>
      </c>
      <c r="L4539" s="455">
        <f t="shared" ca="1" si="187"/>
        <v>-16472209772584.559</v>
      </c>
      <c r="M4539" s="471">
        <f t="shared" si="189"/>
        <v>0.05</v>
      </c>
      <c r="N4539" s="475">
        <f t="shared" si="190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88"/>
        <v>-16472209772584.559</v>
      </c>
      <c r="J4540" s="455">
        <f t="array" ref="J4540">IFERROR(INDEX('Retirement Calculator'!J:J,MATCH('Isaac 401k'!N4540,'Retirement Calculator'!A:A,0),0),0)</f>
        <v>0</v>
      </c>
      <c r="K4540" s="455">
        <f t="shared" ca="1" si="186"/>
        <v>-68634207385.769005</v>
      </c>
      <c r="L4540" s="455">
        <f t="shared" ca="1" si="187"/>
        <v>-16540843979970.328</v>
      </c>
      <c r="M4540" s="471">
        <f t="shared" si="189"/>
        <v>0.05</v>
      </c>
      <c r="N4540" s="475">
        <f t="shared" si="190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88"/>
        <v>-16540843979970.328</v>
      </c>
      <c r="J4541" s="455">
        <f t="array" ref="J4541">IFERROR(INDEX('Retirement Calculator'!J:J,MATCH('Isaac 401k'!N4541,'Retirement Calculator'!A:A,0),0),0)</f>
        <v>0</v>
      </c>
      <c r="K4541" s="455">
        <f t="shared" ca="1" si="186"/>
        <v>-68920183249.876373</v>
      </c>
      <c r="L4541" s="455">
        <f t="shared" ca="1" si="187"/>
        <v>-16609764163220.205</v>
      </c>
      <c r="M4541" s="471">
        <f t="shared" si="189"/>
        <v>0.05</v>
      </c>
      <c r="N4541" s="475">
        <f t="shared" si="190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88"/>
        <v>-16609764163220.205</v>
      </c>
      <c r="J4542" s="455">
        <f t="array" ref="J4542">IFERROR(INDEX('Retirement Calculator'!J:J,MATCH('Isaac 401k'!N4542,'Retirement Calculator'!A:A,0),0),0)</f>
        <v>0</v>
      </c>
      <c r="K4542" s="455">
        <f t="shared" ca="1" si="186"/>
        <v>-69207350680.084183</v>
      </c>
      <c r="L4542" s="455">
        <f t="shared" ca="1" si="187"/>
        <v>-16678971513900.289</v>
      </c>
      <c r="M4542" s="471">
        <f t="shared" si="189"/>
        <v>0.05</v>
      </c>
      <c r="N4542" s="475">
        <f t="shared" si="190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88"/>
        <v>-16678971513900.289</v>
      </c>
      <c r="J4543" s="455">
        <f t="array" ref="J4543">IFERROR(INDEX('Retirement Calculator'!J:J,MATCH('Isaac 401k'!N4543,'Retirement Calculator'!A:A,0),0),0)</f>
        <v>0</v>
      </c>
      <c r="K4543" s="455">
        <f t="shared" ca="1" si="186"/>
        <v>-69495714641.251205</v>
      </c>
      <c r="L4543" s="455">
        <f t="shared" ca="1" si="187"/>
        <v>-16748467228541.541</v>
      </c>
      <c r="M4543" s="471">
        <f t="shared" si="189"/>
        <v>0.05</v>
      </c>
      <c r="N4543" s="475">
        <f t="shared" si="190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88"/>
        <v>-16748467228541.541</v>
      </c>
      <c r="J4544" s="455">
        <f t="array" ref="J4544">IFERROR(INDEX('Retirement Calculator'!J:J,MATCH('Isaac 401k'!N4544,'Retirement Calculator'!A:A,0),0),0)</f>
        <v>0</v>
      </c>
      <c r="K4544" s="455">
        <f t="shared" ca="1" si="186"/>
        <v>-69785280118.923096</v>
      </c>
      <c r="L4544" s="455">
        <f t="shared" ca="1" si="187"/>
        <v>-16818252508660.465</v>
      </c>
      <c r="M4544" s="471">
        <f t="shared" si="189"/>
        <v>0.05</v>
      </c>
      <c r="N4544" s="475">
        <f t="shared" si="190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88"/>
        <v>-16818252508660.465</v>
      </c>
      <c r="J4545" s="455">
        <f t="array" ref="J4545">IFERROR(INDEX('Retirement Calculator'!J:J,MATCH('Isaac 401k'!N4545,'Retirement Calculator'!A:A,0),0),0)</f>
        <v>0</v>
      </c>
      <c r="K4545" s="455">
        <f t="shared" ca="1" si="186"/>
        <v>-70076052119.41861</v>
      </c>
      <c r="L4545" s="455">
        <f t="shared" ca="1" si="187"/>
        <v>-16888328560779.883</v>
      </c>
      <c r="M4545" s="471">
        <f t="shared" si="189"/>
        <v>0.05</v>
      </c>
      <c r="N4545" s="475">
        <f t="shared" si="190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88"/>
        <v>-16888328560779.883</v>
      </c>
      <c r="J4546" s="455">
        <f t="array" ref="J4546">IFERROR(INDEX('Retirement Calculator'!J:J,MATCH('Isaac 401k'!N4546,'Retirement Calculator'!A:A,0),0),0)</f>
        <v>0</v>
      </c>
      <c r="K4546" s="455">
        <f t="shared" ca="1" si="186"/>
        <v>-70368035669.916183</v>
      </c>
      <c r="L4546" s="455">
        <f t="shared" ca="1" si="187"/>
        <v>-16958696596449.799</v>
      </c>
      <c r="M4546" s="471">
        <f t="shared" si="189"/>
        <v>0.05</v>
      </c>
      <c r="N4546" s="475">
        <f t="shared" si="190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88"/>
        <v>-16958696596449.799</v>
      </c>
      <c r="J4547" s="455">
        <f t="array" ref="J4547">IFERROR(INDEX('Retirement Calculator'!J:J,MATCH('Isaac 401k'!N4547,'Retirement Calculator'!A:A,0),0),0)</f>
        <v>0</v>
      </c>
      <c r="K4547" s="455">
        <f t="shared" ca="1" si="186"/>
        <v>-70661235818.540833</v>
      </c>
      <c r="L4547" s="455">
        <f t="shared" ca="1" si="187"/>
        <v>-17029357832268.34</v>
      </c>
      <c r="M4547" s="471">
        <f t="shared" si="189"/>
        <v>0.05</v>
      </c>
      <c r="N4547" s="475">
        <f t="shared" si="190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88"/>
        <v>-17029357832268.34</v>
      </c>
      <c r="J4548" s="455">
        <f t="array" ref="J4548">IFERROR(INDEX('Retirement Calculator'!J:J,MATCH('Isaac 401k'!N4548,'Retirement Calculator'!A:A,0),0),0)</f>
        <v>0</v>
      </c>
      <c r="K4548" s="455">
        <f t="shared" ca="1" si="186"/>
        <v>-70955657634.451416</v>
      </c>
      <c r="L4548" s="455">
        <f t="shared" ca="1" si="187"/>
        <v>-17100313489902.791</v>
      </c>
      <c r="M4548" s="471">
        <f t="shared" si="189"/>
        <v>0.05</v>
      </c>
      <c r="N4548" s="475">
        <f t="shared" si="190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88"/>
        <v>-17100313489902.791</v>
      </c>
      <c r="J4549" s="455">
        <f t="array" ref="J4549">IFERROR(INDEX('Retirement Calculator'!J:J,MATCH('Isaac 401k'!N4549,'Retirement Calculator'!A:A,0),0),0)</f>
        <v>0</v>
      </c>
      <c r="K4549" s="455">
        <f t="shared" ca="1" si="186"/>
        <v>-71251306207.928299</v>
      </c>
      <c r="L4549" s="455">
        <f t="shared" ca="1" si="187"/>
        <v>-17171564796110.719</v>
      </c>
      <c r="M4549" s="471">
        <f t="shared" si="189"/>
        <v>0.05</v>
      </c>
      <c r="N4549" s="475">
        <f t="shared" si="190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88"/>
        <v>-17171564796110.719</v>
      </c>
      <c r="J4550" s="455">
        <f t="array" ref="J4550">IFERROR(INDEX('Retirement Calculator'!J:J,MATCH('Isaac 401k'!N4550,'Retirement Calculator'!A:A,0),0),0)</f>
        <v>0</v>
      </c>
      <c r="K4550" s="455">
        <f t="shared" ca="1" si="186"/>
        <v>-71548186650.461319</v>
      </c>
      <c r="L4550" s="455">
        <f t="shared" ca="1" si="187"/>
        <v>-17243112982761.18</v>
      </c>
      <c r="M4550" s="471">
        <f t="shared" si="189"/>
        <v>0.05</v>
      </c>
      <c r="N4550" s="475">
        <f t="shared" si="190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88"/>
        <v>-17243112982761.18</v>
      </c>
      <c r="J4551" s="455">
        <f t="array" ref="J4551">IFERROR(INDEX('Retirement Calculator'!J:J,MATCH('Isaac 401k'!N4551,'Retirement Calculator'!A:A,0),0),0)</f>
        <v>0</v>
      </c>
      <c r="K4551" s="455">
        <f t="shared" ca="1" si="186"/>
        <v>-71846304094.838242</v>
      </c>
      <c r="L4551" s="455">
        <f t="shared" ca="1" si="187"/>
        <v>-17314959286856.018</v>
      </c>
      <c r="M4551" s="471">
        <f t="shared" si="189"/>
        <v>0.05</v>
      </c>
      <c r="N4551" s="475">
        <f t="shared" si="190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88"/>
        <v>-17314959286856.018</v>
      </c>
      <c r="J4552" s="455">
        <f t="array" ref="J4552">IFERROR(INDEX('Retirement Calculator'!J:J,MATCH('Isaac 401k'!N4552,'Retirement Calculator'!A:A,0),0),0)</f>
        <v>0</v>
      </c>
      <c r="K4552" s="455">
        <f t="shared" ca="1" si="186"/>
        <v>-72145663695.233398</v>
      </c>
      <c r="L4552" s="455">
        <f t="shared" ca="1" si="187"/>
        <v>-17387104950551.25</v>
      </c>
      <c r="M4552" s="471">
        <f t="shared" si="189"/>
        <v>0.05</v>
      </c>
      <c r="N4552" s="475">
        <f t="shared" si="190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88"/>
        <v>-17387104950551.25</v>
      </c>
      <c r="J4553" s="455">
        <f t="array" ref="J4553">IFERROR(INDEX('Retirement Calculator'!J:J,MATCH('Isaac 401k'!N4553,'Retirement Calculator'!A:A,0),0),0)</f>
        <v>0</v>
      </c>
      <c r="K4553" s="455">
        <f t="shared" ca="1" si="186"/>
        <v>-72446270627.296875</v>
      </c>
      <c r="L4553" s="455">
        <f t="shared" ca="1" si="187"/>
        <v>-17459551221178.547</v>
      </c>
      <c r="M4553" s="471">
        <f t="shared" si="189"/>
        <v>0.05</v>
      </c>
      <c r="N4553" s="475">
        <f t="shared" si="190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88"/>
        <v>-17459551221178.547</v>
      </c>
      <c r="J4554" s="455">
        <f t="array" ref="J4554">IFERROR(INDEX('Retirement Calculator'!J:J,MATCH('Isaac 401k'!N4554,'Retirement Calculator'!A:A,0),0),0)</f>
        <v>0</v>
      </c>
      <c r="K4554" s="455">
        <f t="shared" ca="1" si="186"/>
        <v>-72748130088.243942</v>
      </c>
      <c r="L4554" s="455">
        <f t="shared" ca="1" si="187"/>
        <v>-17532299351266.791</v>
      </c>
      <c r="M4554" s="471">
        <f t="shared" si="189"/>
        <v>0.05</v>
      </c>
      <c r="N4554" s="475">
        <f t="shared" si="190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88"/>
        <v>-17532299351266.791</v>
      </c>
      <c r="J4555" s="455">
        <f t="array" ref="J4555">IFERROR(INDEX('Retirement Calculator'!J:J,MATCH('Isaac 401k'!N4555,'Retirement Calculator'!A:A,0),0),0)</f>
        <v>0</v>
      </c>
      <c r="K4555" s="455">
        <f t="shared" ca="1" si="186"/>
        <v>-73051247296.944946</v>
      </c>
      <c r="L4555" s="455">
        <f t="shared" ca="1" si="187"/>
        <v>-17605350598563.734</v>
      </c>
      <c r="M4555" s="471">
        <f t="shared" si="189"/>
        <v>0.05</v>
      </c>
      <c r="N4555" s="475">
        <f t="shared" si="190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88"/>
        <v>-17605350598563.734</v>
      </c>
      <c r="J4556" s="455">
        <f t="array" ref="J4556">IFERROR(INDEX('Retirement Calculator'!J:J,MATCH('Isaac 401k'!N4556,'Retirement Calculator'!A:A,0),0),0)</f>
        <v>0</v>
      </c>
      <c r="K4556" s="455">
        <f t="shared" ca="1" si="186"/>
        <v>-73355627494.015564</v>
      </c>
      <c r="L4556" s="455">
        <f t="shared" ca="1" si="187"/>
        <v>-17678706226057.75</v>
      </c>
      <c r="M4556" s="471">
        <f t="shared" si="189"/>
        <v>0.05</v>
      </c>
      <c r="N4556" s="475">
        <f t="shared" si="190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88"/>
        <v>-17678706226057.75</v>
      </c>
      <c r="J4557" s="455">
        <f t="array" ref="J4557">IFERROR(INDEX('Retirement Calculator'!J:J,MATCH('Isaac 401k'!N4557,'Retirement Calculator'!A:A,0),0),0)</f>
        <v>0</v>
      </c>
      <c r="K4557" s="455">
        <f t="shared" ca="1" si="186"/>
        <v>-73661275941.907288</v>
      </c>
      <c r="L4557" s="455">
        <f t="shared" ca="1" si="187"/>
        <v>-17752367501999.656</v>
      </c>
      <c r="M4557" s="471">
        <f t="shared" si="189"/>
        <v>0.05</v>
      </c>
      <c r="N4557" s="475">
        <f t="shared" si="190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88"/>
        <v>-17752367501999.656</v>
      </c>
      <c r="J4558" s="455">
        <f t="array" ref="J4558">IFERROR(INDEX('Retirement Calculator'!J:J,MATCH('Isaac 401k'!N4558,'Retirement Calculator'!A:A,0),0),0)</f>
        <v>0</v>
      </c>
      <c r="K4558" s="455">
        <f t="shared" ca="1" si="186"/>
        <v>-73968197924.998566</v>
      </c>
      <c r="L4558" s="455">
        <f t="shared" ca="1" si="187"/>
        <v>-17826335699924.656</v>
      </c>
      <c r="M4558" s="471">
        <f t="shared" si="189"/>
        <v>0.05</v>
      </c>
      <c r="N4558" s="475">
        <f t="shared" si="190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88"/>
        <v>-17826335699924.656</v>
      </c>
      <c r="J4559" s="455">
        <f t="array" ref="J4559">IFERROR(INDEX('Retirement Calculator'!J:J,MATCH('Isaac 401k'!N4559,'Retirement Calculator'!A:A,0),0),0)</f>
        <v>0</v>
      </c>
      <c r="K4559" s="455">
        <f t="shared" ca="1" si="186"/>
        <v>-74276398749.686066</v>
      </c>
      <c r="L4559" s="455">
        <f t="shared" ca="1" si="187"/>
        <v>-17900612098674.344</v>
      </c>
      <c r="M4559" s="471">
        <f t="shared" si="189"/>
        <v>0.05</v>
      </c>
      <c r="N4559" s="475">
        <f t="shared" si="190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88"/>
        <v>-17900612098674.344</v>
      </c>
      <c r="J4560" s="455">
        <f t="array" ref="J4560">IFERROR(INDEX('Retirement Calculator'!J:J,MATCH('Isaac 401k'!N4560,'Retirement Calculator'!A:A,0),0),0)</f>
        <v>0</v>
      </c>
      <c r="K4560" s="455">
        <f t="shared" ca="1" si="186"/>
        <v>-74585883744.476425</v>
      </c>
      <c r="L4560" s="455">
        <f t="shared" ca="1" si="187"/>
        <v>-17975197982418.82</v>
      </c>
      <c r="M4560" s="471">
        <f t="shared" si="189"/>
        <v>0.05</v>
      </c>
      <c r="N4560" s="475">
        <f t="shared" si="190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88"/>
        <v>-17975197982418.82</v>
      </c>
      <c r="J4561" s="455">
        <f t="array" ref="J4561">IFERROR(INDEX('Retirement Calculator'!J:J,MATCH('Isaac 401k'!N4561,'Retirement Calculator'!A:A,0),0),0)</f>
        <v>0</v>
      </c>
      <c r="K4561" s="455">
        <f t="shared" ca="1" si="186"/>
        <v>-74896658260.078415</v>
      </c>
      <c r="L4561" s="455">
        <f t="shared" ca="1" si="187"/>
        <v>-18050094640678.898</v>
      </c>
      <c r="M4561" s="471">
        <f t="shared" si="189"/>
        <v>0.05</v>
      </c>
      <c r="N4561" s="475">
        <f t="shared" si="190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88"/>
        <v>-18050094640678.898</v>
      </c>
      <c r="J4562" s="455">
        <f t="array" ref="J4562">IFERROR(INDEX('Retirement Calculator'!J:J,MATCH('Isaac 401k'!N4562,'Retirement Calculator'!A:A,0),0),0)</f>
        <v>0</v>
      </c>
      <c r="K4562" s="455">
        <f t="shared" ca="1" si="186"/>
        <v>-75208727669.495407</v>
      </c>
      <c r="L4562" s="455">
        <f t="shared" ca="1" si="187"/>
        <v>-18125303368348.395</v>
      </c>
      <c r="M4562" s="471">
        <f t="shared" si="189"/>
        <v>0.05</v>
      </c>
      <c r="N4562" s="475">
        <f t="shared" si="190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88"/>
        <v>-18125303368348.395</v>
      </c>
      <c r="J4563" s="455">
        <f t="array" ref="J4563">IFERROR(INDEX('Retirement Calculator'!J:J,MATCH('Isaac 401k'!N4563,'Retirement Calculator'!A:A,0),0),0)</f>
        <v>0</v>
      </c>
      <c r="K4563" s="455">
        <f t="shared" ca="1" si="186"/>
        <v>-75522097368.118317</v>
      </c>
      <c r="L4563" s="455">
        <f t="shared" ca="1" si="187"/>
        <v>-18200825465716.512</v>
      </c>
      <c r="M4563" s="471">
        <f t="shared" si="189"/>
        <v>0.05</v>
      </c>
      <c r="N4563" s="475">
        <f t="shared" si="190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88"/>
        <v>-18200825465716.512</v>
      </c>
      <c r="J4564" s="455">
        <f t="array" ref="J4564">IFERROR(INDEX('Retirement Calculator'!J:J,MATCH('Isaac 401k'!N4564,'Retirement Calculator'!A:A,0),0),0)</f>
        <v>0</v>
      </c>
      <c r="K4564" s="455">
        <f t="shared" ca="1" si="186"/>
        <v>-75836772773.818802</v>
      </c>
      <c r="L4564" s="455">
        <f t="shared" ca="1" si="187"/>
        <v>-18276662238490.332</v>
      </c>
      <c r="M4564" s="471">
        <f t="shared" si="189"/>
        <v>0.05</v>
      </c>
      <c r="N4564" s="475">
        <f t="shared" si="190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88"/>
        <v>-18276662238490.332</v>
      </c>
      <c r="J4565" s="455">
        <f t="array" ref="J4565">IFERROR(INDEX('Retirement Calculator'!J:J,MATCH('Isaac 401k'!N4565,'Retirement Calculator'!A:A,0),0),0)</f>
        <v>0</v>
      </c>
      <c r="K4565" s="455">
        <f t="shared" ca="1" si="186"/>
        <v>-76152759327.043045</v>
      </c>
      <c r="L4565" s="455">
        <f t="shared" ca="1" si="187"/>
        <v>-18352814997817.375</v>
      </c>
      <c r="M4565" s="471">
        <f t="shared" si="189"/>
        <v>0.05</v>
      </c>
      <c r="N4565" s="475">
        <f t="shared" si="190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88"/>
        <v>-18352814997817.375</v>
      </c>
      <c r="J4566" s="455">
        <f t="array" ref="J4566">IFERROR(INDEX('Retirement Calculator'!J:J,MATCH('Isaac 401k'!N4566,'Retirement Calculator'!A:A,0),0),0)</f>
        <v>0</v>
      </c>
      <c r="K4566" s="455">
        <f t="shared" ca="1" si="186"/>
        <v>-76470062490.905731</v>
      </c>
      <c r="L4566" s="455">
        <f t="shared" ca="1" si="187"/>
        <v>-18429285060308.281</v>
      </c>
      <c r="M4566" s="471">
        <f t="shared" si="189"/>
        <v>0.05</v>
      </c>
      <c r="N4566" s="475">
        <f t="shared" si="190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88"/>
        <v>-18429285060308.281</v>
      </c>
      <c r="J4567" s="455">
        <f t="array" ref="J4567">IFERROR(INDEX('Retirement Calculator'!J:J,MATCH('Isaac 401k'!N4567,'Retirement Calculator'!A:A,0),0),0)</f>
        <v>0</v>
      </c>
      <c r="K4567" s="455">
        <f t="shared" ca="1" si="186"/>
        <v>-76788687751.2845</v>
      </c>
      <c r="L4567" s="455">
        <f t="shared" ca="1" si="187"/>
        <v>-18506073748059.566</v>
      </c>
      <c r="M4567" s="471">
        <f t="shared" si="189"/>
        <v>0.05</v>
      </c>
      <c r="N4567" s="475">
        <f t="shared" si="190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88"/>
        <v>-18506073748059.566</v>
      </c>
      <c r="J4568" s="455">
        <f t="array" ref="J4568">IFERROR(INDEX('Retirement Calculator'!J:J,MATCH('Isaac 401k'!N4568,'Retirement Calculator'!A:A,0),0),0)</f>
        <v>0</v>
      </c>
      <c r="K4568" s="455">
        <f t="shared" ca="1" si="186"/>
        <v>-77108640616.914856</v>
      </c>
      <c r="L4568" s="455">
        <f t="shared" ca="1" si="187"/>
        <v>-18583182388676.48</v>
      </c>
      <c r="M4568" s="471">
        <f t="shared" si="189"/>
        <v>0.05</v>
      </c>
      <c r="N4568" s="475">
        <f t="shared" si="190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88"/>
        <v>-18583182388676.48</v>
      </c>
      <c r="J4569" s="455">
        <f t="array" ref="J4569">IFERROR(INDEX('Retirement Calculator'!J:J,MATCH('Isaac 401k'!N4569,'Retirement Calculator'!A:A,0),0),0)</f>
        <v>0</v>
      </c>
      <c r="K4569" s="455">
        <f t="shared" ca="1" si="186"/>
        <v>-77429926619.485336</v>
      </c>
      <c r="L4569" s="455">
        <f t="shared" ca="1" si="187"/>
        <v>-18660612315295.965</v>
      </c>
      <c r="M4569" s="471">
        <f t="shared" si="189"/>
        <v>0.05</v>
      </c>
      <c r="N4569" s="475">
        <f t="shared" si="190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88"/>
        <v>-18660612315295.965</v>
      </c>
      <c r="J4570" s="455">
        <f t="array" ref="J4570">IFERROR(INDEX('Retirement Calculator'!J:J,MATCH('Isaac 401k'!N4570,'Retirement Calculator'!A:A,0),0),0)</f>
        <v>0</v>
      </c>
      <c r="K4570" s="455">
        <f t="shared" ca="1" si="186"/>
        <v>-77752551313.733185</v>
      </c>
      <c r="L4570" s="455">
        <f t="shared" ca="1" si="187"/>
        <v>-18738364866609.699</v>
      </c>
      <c r="M4570" s="471">
        <f t="shared" si="189"/>
        <v>0.05</v>
      </c>
      <c r="N4570" s="475">
        <f t="shared" si="190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88"/>
        <v>-18738364866609.699</v>
      </c>
      <c r="J4571" s="455">
        <f t="array" ref="J4571">IFERROR(INDEX('Retirement Calculator'!J:J,MATCH('Isaac 401k'!N4571,'Retirement Calculator'!A:A,0),0),0)</f>
        <v>0</v>
      </c>
      <c r="K4571" s="455">
        <f t="shared" ca="1" si="186"/>
        <v>-78076520277.540405</v>
      </c>
      <c r="L4571" s="455">
        <f t="shared" ca="1" si="187"/>
        <v>-18816441386887.238</v>
      </c>
      <c r="M4571" s="471">
        <f t="shared" si="189"/>
        <v>0.05</v>
      </c>
      <c r="N4571" s="475">
        <f t="shared" si="190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88"/>
        <v>-18816441386887.238</v>
      </c>
      <c r="J4572" s="455">
        <f t="array" ref="J4572">IFERROR(INDEX('Retirement Calculator'!J:J,MATCH('Isaac 401k'!N4572,'Retirement Calculator'!A:A,0),0),0)</f>
        <v>0</v>
      </c>
      <c r="K4572" s="455">
        <f t="shared" ca="1" si="186"/>
        <v>-78401839112.030151</v>
      </c>
      <c r="L4572" s="455">
        <f t="shared" ca="1" si="187"/>
        <v>-18894843225999.27</v>
      </c>
      <c r="M4572" s="471">
        <f t="shared" si="189"/>
        <v>0.05</v>
      </c>
      <c r="N4572" s="475">
        <f t="shared" si="190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88"/>
        <v>-18894843225999.27</v>
      </c>
      <c r="J4573" s="455">
        <f t="array" ref="J4573">IFERROR(INDEX('Retirement Calculator'!J:J,MATCH('Isaac 401k'!N4573,'Retirement Calculator'!A:A,0),0),0)</f>
        <v>0</v>
      </c>
      <c r="K4573" s="455">
        <f t="shared" ca="1" si="186"/>
        <v>-78728513441.66362</v>
      </c>
      <c r="L4573" s="455">
        <f t="shared" ca="1" si="187"/>
        <v>-18973571739440.934</v>
      </c>
      <c r="M4573" s="471">
        <f t="shared" si="189"/>
        <v>0.05</v>
      </c>
      <c r="N4573" s="475">
        <f t="shared" si="190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88"/>
        <v>-18973571739440.934</v>
      </c>
      <c r="J4574" s="455">
        <f t="array" ref="J4574">IFERROR(INDEX('Retirement Calculator'!J:J,MATCH('Isaac 401k'!N4574,'Retirement Calculator'!A:A,0),0),0)</f>
        <v>0</v>
      </c>
      <c r="K4574" s="455">
        <f t="shared" ca="1" si="186"/>
        <v>-79056548914.337219</v>
      </c>
      <c r="L4574" s="455">
        <f t="shared" ca="1" si="187"/>
        <v>-19052628288355.27</v>
      </c>
      <c r="M4574" s="471">
        <f t="shared" si="189"/>
        <v>0.05</v>
      </c>
      <c r="N4574" s="475">
        <f t="shared" si="190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88"/>
        <v>-19052628288355.27</v>
      </c>
      <c r="J4575" s="455">
        <f t="array" ref="J4575">IFERROR(INDEX('Retirement Calculator'!J:J,MATCH('Isaac 401k'!N4575,'Retirement Calculator'!A:A,0),0),0)</f>
        <v>0</v>
      </c>
      <c r="K4575" s="455">
        <f t="shared" ca="1" si="186"/>
        <v>-79385951201.480286</v>
      </c>
      <c r="L4575" s="455">
        <f t="shared" ca="1" si="187"/>
        <v>-19132014239556.75</v>
      </c>
      <c r="M4575" s="471">
        <f t="shared" si="189"/>
        <v>0.05</v>
      </c>
      <c r="N4575" s="475">
        <f t="shared" si="190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88"/>
        <v>-19132014239556.75</v>
      </c>
      <c r="J4576" s="455">
        <f t="array" ref="J4576">IFERROR(INDEX('Retirement Calculator'!J:J,MATCH('Isaac 401k'!N4576,'Retirement Calculator'!A:A,0),0),0)</f>
        <v>0</v>
      </c>
      <c r="K4576" s="455">
        <f t="shared" ca="1" si="186"/>
        <v>-79716725998.153122</v>
      </c>
      <c r="L4576" s="455">
        <f t="shared" ca="1" si="187"/>
        <v>-19211730965554.902</v>
      </c>
      <c r="M4576" s="471">
        <f t="shared" si="189"/>
        <v>0.05</v>
      </c>
      <c r="N4576" s="475">
        <f t="shared" si="190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88"/>
        <v>-19211730965554.902</v>
      </c>
      <c r="J4577" s="455">
        <f t="array" ref="J4577">IFERROR(INDEX('Retirement Calculator'!J:J,MATCH('Isaac 401k'!N4577,'Retirement Calculator'!A:A,0),0),0)</f>
        <v>0</v>
      </c>
      <c r="K4577" s="455">
        <f t="shared" ca="1" si="186"/>
        <v>-80048879023.145432</v>
      </c>
      <c r="L4577" s="455">
        <f t="shared" ca="1" si="187"/>
        <v>-19291779844578.047</v>
      </c>
      <c r="M4577" s="471">
        <f t="shared" si="189"/>
        <v>0.05</v>
      </c>
      <c r="N4577" s="475">
        <f t="shared" si="190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88"/>
        <v>-19291779844578.047</v>
      </c>
      <c r="J4578" s="455">
        <f t="array" ref="J4578">IFERROR(INDEX('Retirement Calculator'!J:J,MATCH('Isaac 401k'!N4578,'Retirement Calculator'!A:A,0),0),0)</f>
        <v>0</v>
      </c>
      <c r="K4578" s="455">
        <f t="shared" ca="1" si="186"/>
        <v>-80382416019.075195</v>
      </c>
      <c r="L4578" s="455">
        <f t="shared" ca="1" si="187"/>
        <v>-19372162260597.121</v>
      </c>
      <c r="M4578" s="471">
        <f t="shared" si="189"/>
        <v>0.05</v>
      </c>
      <c r="N4578" s="475">
        <f t="shared" si="190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88"/>
        <v>-19372162260597.121</v>
      </c>
      <c r="J4579" s="455">
        <f t="array" ref="J4579">IFERROR(INDEX('Retirement Calculator'!J:J,MATCH('Isaac 401k'!N4579,'Retirement Calculator'!A:A,0),0),0)</f>
        <v>0</v>
      </c>
      <c r="K4579" s="455">
        <f t="shared" ca="1" si="186"/>
        <v>-80717342752.488007</v>
      </c>
      <c r="L4579" s="455">
        <f t="shared" ca="1" si="187"/>
        <v>-19452879603349.609</v>
      </c>
      <c r="M4579" s="471">
        <f t="shared" si="189"/>
        <v>0.05</v>
      </c>
      <c r="N4579" s="475">
        <f t="shared" si="190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88"/>
        <v>-19452879603349.609</v>
      </c>
      <c r="J4580" s="455">
        <f t="array" ref="J4580">IFERROR(INDEX('Retirement Calculator'!J:J,MATCH('Isaac 401k'!N4580,'Retirement Calculator'!A:A,0),0),0)</f>
        <v>0</v>
      </c>
      <c r="K4580" s="455">
        <f t="shared" ca="1" si="186"/>
        <v>-81053665013.956711</v>
      </c>
      <c r="L4580" s="455">
        <f t="shared" ca="1" si="187"/>
        <v>-19533933268363.566</v>
      </c>
      <c r="M4580" s="471">
        <f t="shared" si="189"/>
        <v>0.05</v>
      </c>
      <c r="N4580" s="475">
        <f t="shared" si="190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88"/>
        <v>-19533933268363.566</v>
      </c>
      <c r="J4581" s="455">
        <f t="array" ref="J4581">IFERROR(INDEX('Retirement Calculator'!J:J,MATCH('Isaac 401k'!N4581,'Retirement Calculator'!A:A,0),0),0)</f>
        <v>0</v>
      </c>
      <c r="K4581" s="455">
        <f t="shared" ca="1" si="186"/>
        <v>-81391388618.181519</v>
      </c>
      <c r="L4581" s="455">
        <f t="shared" ca="1" si="187"/>
        <v>-19615324656981.746</v>
      </c>
      <c r="M4581" s="471">
        <f t="shared" si="189"/>
        <v>0.05</v>
      </c>
      <c r="N4581" s="475">
        <f t="shared" si="190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88"/>
        <v>-19615324656981.746</v>
      </c>
      <c r="J4582" s="455">
        <f t="array" ref="J4582">IFERROR(INDEX('Retirement Calculator'!J:J,MATCH('Isaac 401k'!N4582,'Retirement Calculator'!A:A,0),0),0)</f>
        <v>0</v>
      </c>
      <c r="K4582" s="455">
        <f t="shared" ca="1" si="186"/>
        <v>-81730519404.090607</v>
      </c>
      <c r="L4582" s="455">
        <f t="shared" ca="1" si="187"/>
        <v>-19697055176385.836</v>
      </c>
      <c r="M4582" s="471">
        <f t="shared" si="189"/>
        <v>0.05</v>
      </c>
      <c r="N4582" s="475">
        <f t="shared" si="190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88"/>
        <v>-19697055176385.836</v>
      </c>
      <c r="J4583" s="455">
        <f t="array" ref="J4583">IFERROR(INDEX('Retirement Calculator'!J:J,MATCH('Isaac 401k'!N4583,'Retirement Calculator'!A:A,0),0),0)</f>
        <v>0</v>
      </c>
      <c r="K4583" s="455">
        <f t="shared" ca="1" si="186"/>
        <v>-82071063234.940979</v>
      </c>
      <c r="L4583" s="455">
        <f t="shared" ca="1" si="187"/>
        <v>-19779126239620.777</v>
      </c>
      <c r="M4583" s="471">
        <f t="shared" si="189"/>
        <v>0.05</v>
      </c>
      <c r="N4583" s="475">
        <f t="shared" si="190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88"/>
        <v>-19779126239620.777</v>
      </c>
      <c r="J4584" s="455">
        <f t="array" ref="J4584">IFERROR(INDEX('Retirement Calculator'!J:J,MATCH('Isaac 401k'!N4584,'Retirement Calculator'!A:A,0),0),0)</f>
        <v>0</v>
      </c>
      <c r="K4584" s="455">
        <f t="shared" ca="1" si="186"/>
        <v>-82413025998.419907</v>
      </c>
      <c r="L4584" s="455">
        <f t="shared" ca="1" si="187"/>
        <v>-19861539265619.195</v>
      </c>
      <c r="M4584" s="471">
        <f t="shared" si="189"/>
        <v>0.05</v>
      </c>
      <c r="N4584" s="475">
        <f t="shared" si="190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88"/>
        <v>-19861539265619.195</v>
      </c>
      <c r="J4585" s="455">
        <f t="array" ref="J4585">IFERROR(INDEX('Retirement Calculator'!J:J,MATCH('Isaac 401k'!N4585,'Retirement Calculator'!A:A,0),0),0)</f>
        <v>0</v>
      </c>
      <c r="K4585" s="455">
        <f t="shared" ca="1" si="186"/>
        <v>-82756413606.746643</v>
      </c>
      <c r="L4585" s="455">
        <f t="shared" ca="1" si="187"/>
        <v>-19944295679225.941</v>
      </c>
      <c r="M4585" s="471">
        <f t="shared" si="189"/>
        <v>0.05</v>
      </c>
      <c r="N4585" s="475">
        <f t="shared" si="190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88"/>
        <v>-19944295679225.941</v>
      </c>
      <c r="J4586" s="455">
        <f t="array" ref="J4586">IFERROR(INDEX('Retirement Calculator'!J:J,MATCH('Isaac 401k'!N4586,'Retirement Calculator'!A:A,0),0),0)</f>
        <v>0</v>
      </c>
      <c r="K4586" s="455">
        <f t="shared" ca="1" si="186"/>
        <v>-83101231996.77475</v>
      </c>
      <c r="L4586" s="455">
        <f t="shared" ca="1" si="187"/>
        <v>-20027396911222.715</v>
      </c>
      <c r="M4586" s="471">
        <f t="shared" si="189"/>
        <v>0.05</v>
      </c>
      <c r="N4586" s="475">
        <f t="shared" si="190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88"/>
        <v>-20027396911222.715</v>
      </c>
      <c r="J4587" s="455">
        <f t="array" ref="J4587">IFERROR(INDEX('Retirement Calculator'!J:J,MATCH('Isaac 401k'!N4587,'Retirement Calculator'!A:A,0),0),0)</f>
        <v>0</v>
      </c>
      <c r="K4587" s="455">
        <f t="shared" ca="1" si="186"/>
        <v>-83447487130.09465</v>
      </c>
      <c r="L4587" s="455">
        <f t="shared" ca="1" si="187"/>
        <v>-20110844398352.809</v>
      </c>
      <c r="M4587" s="471">
        <f t="shared" si="189"/>
        <v>0.05</v>
      </c>
      <c r="N4587" s="475">
        <f t="shared" si="190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88"/>
        <v>-20110844398352.809</v>
      </c>
      <c r="J4588" s="455">
        <f t="array" ref="J4588">IFERROR(INDEX('Retirement Calculator'!J:J,MATCH('Isaac 401k'!N4588,'Retirement Calculator'!A:A,0),0),0)</f>
        <v>0</v>
      </c>
      <c r="K4588" s="455">
        <f t="shared" ca="1" si="186"/>
        <v>-83795184993.136703</v>
      </c>
      <c r="L4588" s="455">
        <f t="shared" ca="1" si="187"/>
        <v>-20194639583345.945</v>
      </c>
      <c r="M4588" s="471">
        <f t="shared" si="189"/>
        <v>0.05</v>
      </c>
      <c r="N4588" s="475">
        <f t="shared" si="190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88"/>
        <v>-20194639583345.945</v>
      </c>
      <c r="J4589" s="455">
        <f t="array" ref="J4589">IFERROR(INDEX('Retirement Calculator'!J:J,MATCH('Isaac 401k'!N4589,'Retirement Calculator'!A:A,0),0),0)</f>
        <v>0</v>
      </c>
      <c r="K4589" s="455">
        <f t="shared" ca="1" si="186"/>
        <v>-84144331597.274765</v>
      </c>
      <c r="L4589" s="455">
        <f t="shared" ca="1" si="187"/>
        <v>-20278783914943.219</v>
      </c>
      <c r="M4589" s="471">
        <f t="shared" si="189"/>
        <v>0.05</v>
      </c>
      <c r="N4589" s="475">
        <f t="shared" si="190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88"/>
        <v>-20278783914943.219</v>
      </c>
      <c r="J4590" s="455">
        <f t="array" ref="J4590">IFERROR(INDEX('Retirement Calculator'!J:J,MATCH('Isaac 401k'!N4590,'Retirement Calculator'!A:A,0),0),0)</f>
        <v>0</v>
      </c>
      <c r="K4590" s="455">
        <f t="shared" ca="1" si="186"/>
        <v>-84494932978.930084</v>
      </c>
      <c r="L4590" s="455">
        <f t="shared" ca="1" si="187"/>
        <v>-20363278847922.148</v>
      </c>
      <c r="M4590" s="471">
        <f t="shared" si="189"/>
        <v>0.05</v>
      </c>
      <c r="N4590" s="475">
        <f t="shared" si="190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88"/>
        <v>-20363278847922.148</v>
      </c>
      <c r="J4591" s="455">
        <f t="array" ref="J4591">IFERROR(INDEX('Retirement Calculator'!J:J,MATCH('Isaac 401k'!N4591,'Retirement Calculator'!A:A,0),0),0)</f>
        <v>0</v>
      </c>
      <c r="K4591" s="455">
        <f t="shared" ca="1" si="186"/>
        <v>-84846995199.675613</v>
      </c>
      <c r="L4591" s="455">
        <f t="shared" ca="1" si="187"/>
        <v>-20448125843121.824</v>
      </c>
      <c r="M4591" s="471">
        <f t="shared" si="189"/>
        <v>0.05</v>
      </c>
      <c r="N4591" s="475">
        <f t="shared" si="190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88"/>
        <v>-20448125843121.824</v>
      </c>
      <c r="J4592" s="455">
        <f t="array" ref="J4592">IFERROR(INDEX('Retirement Calculator'!J:J,MATCH('Isaac 401k'!N4592,'Retirement Calculator'!A:A,0),0),0)</f>
        <v>0</v>
      </c>
      <c r="K4592" s="455">
        <f t="shared" ca="1" si="186"/>
        <v>-85200524346.340927</v>
      </c>
      <c r="L4592" s="455">
        <f t="shared" ca="1" si="187"/>
        <v>-20533326367468.164</v>
      </c>
      <c r="M4592" s="471">
        <f t="shared" si="189"/>
        <v>0.05</v>
      </c>
      <c r="N4592" s="475">
        <f t="shared" si="190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88"/>
        <v>-20533326367468.164</v>
      </c>
      <c r="J4593" s="455">
        <f t="array" ref="J4593">IFERROR(INDEX('Retirement Calculator'!J:J,MATCH('Isaac 401k'!N4593,'Retirement Calculator'!A:A,0),0),0)</f>
        <v>0</v>
      </c>
      <c r="K4593" s="455">
        <f t="shared" ca="1" si="186"/>
        <v>-85555526531.117355</v>
      </c>
      <c r="L4593" s="455">
        <f t="shared" ca="1" si="187"/>
        <v>-20618881893999.281</v>
      </c>
      <c r="M4593" s="471">
        <f t="shared" si="189"/>
        <v>0.05</v>
      </c>
      <c r="N4593" s="475">
        <f t="shared" si="190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88"/>
        <v>-20618881893999.281</v>
      </c>
      <c r="J4594" s="455">
        <f t="array" ref="J4594">IFERROR(INDEX('Retirement Calculator'!J:J,MATCH('Isaac 401k'!N4594,'Retirement Calculator'!A:A,0),0),0)</f>
        <v>0</v>
      </c>
      <c r="K4594" s="455">
        <f t="shared" ca="1" si="186"/>
        <v>-85912007891.663666</v>
      </c>
      <c r="L4594" s="455">
        <f t="shared" ca="1" si="187"/>
        <v>-20704793901890.945</v>
      </c>
      <c r="M4594" s="471">
        <f t="shared" si="189"/>
        <v>0.05</v>
      </c>
      <c r="N4594" s="475">
        <f t="shared" si="190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88"/>
        <v>-20704793901890.945</v>
      </c>
      <c r="J4595" s="455">
        <f t="array" ref="J4595">IFERROR(INDEX('Retirement Calculator'!J:J,MATCH('Isaac 401k'!N4595,'Retirement Calculator'!A:A,0),0),0)</f>
        <v>0</v>
      </c>
      <c r="K4595" s="455">
        <f t="shared" ca="1" si="186"/>
        <v>-86269974591.212265</v>
      </c>
      <c r="L4595" s="455">
        <f t="shared" ca="1" si="187"/>
        <v>-20791063876482.156</v>
      </c>
      <c r="M4595" s="471">
        <f t="shared" si="189"/>
        <v>0.05</v>
      </c>
      <c r="N4595" s="475">
        <f t="shared" si="190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88"/>
        <v>-20791063876482.156</v>
      </c>
      <c r="J4596" s="455">
        <f t="array" ref="J4596">IFERROR(INDEX('Retirement Calculator'!J:J,MATCH('Isaac 401k'!N4596,'Retirement Calculator'!A:A,0),0),0)</f>
        <v>0</v>
      </c>
      <c r="K4596" s="455">
        <f t="shared" ca="1" si="186"/>
        <v>-86629432818.675644</v>
      </c>
      <c r="L4596" s="455">
        <f t="shared" ca="1" si="187"/>
        <v>-20877693309300.832</v>
      </c>
      <c r="M4596" s="471">
        <f t="shared" si="189"/>
        <v>0.05</v>
      </c>
      <c r="N4596" s="475">
        <f t="shared" si="190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88"/>
        <v>-20877693309300.832</v>
      </c>
      <c r="J4597" s="455">
        <f t="array" ref="J4597">IFERROR(INDEX('Retirement Calculator'!J:J,MATCH('Isaac 401k'!N4597,'Retirement Calculator'!A:A,0),0),0)</f>
        <v>0</v>
      </c>
      <c r="K4597" s="455">
        <f t="shared" ca="1" si="186"/>
        <v>-86990388788.753464</v>
      </c>
      <c r="L4597" s="455">
        <f t="shared" ca="1" si="187"/>
        <v>-20964683698089.586</v>
      </c>
      <c r="M4597" s="471">
        <f t="shared" si="189"/>
        <v>0.05</v>
      </c>
      <c r="N4597" s="475">
        <f t="shared" si="190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88"/>
        <v>-20964683698089.586</v>
      </c>
      <c r="J4598" s="455">
        <f t="array" ref="J4598">IFERROR(INDEX('Retirement Calculator'!J:J,MATCH('Isaac 401k'!N4598,'Retirement Calculator'!A:A,0),0),0)</f>
        <v>0</v>
      </c>
      <c r="K4598" s="455">
        <f t="shared" ref="K4598:K4852" ca="1" si="191">IPMT(M4598/12,1,12,-I4598+J4598,,0)</f>
        <v>-87352848742.039948</v>
      </c>
      <c r="L4598" s="455">
        <f t="shared" ref="L4598:L4852" ca="1" si="192">I4598-J4598+K4598</f>
        <v>-21052036546831.625</v>
      </c>
      <c r="M4598" s="471">
        <f t="shared" si="189"/>
        <v>0.05</v>
      </c>
      <c r="N4598" s="475">
        <f t="shared" si="190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93">L4598</f>
        <v>-21052036546831.625</v>
      </c>
      <c r="J4599" s="455">
        <f t="array" ref="J4599">IFERROR(INDEX('Retirement Calculator'!J:J,MATCH('Isaac 401k'!N4599,'Retirement Calculator'!A:A,0),0),0)</f>
        <v>0</v>
      </c>
      <c r="K4599" s="455">
        <f t="shared" ca="1" si="191"/>
        <v>-87716818945.131775</v>
      </c>
      <c r="L4599" s="455">
        <f t="shared" ca="1" si="192"/>
        <v>-21139753365776.758</v>
      </c>
      <c r="M4599" s="471">
        <f t="shared" ref="M4599:M4853" si="194">M4598</f>
        <v>0.05</v>
      </c>
      <c r="N4599" s="475">
        <f t="shared" ref="N4599:N4853" si="195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93"/>
        <v>-21139753365776.758</v>
      </c>
      <c r="J4600" s="455">
        <f t="array" ref="J4600">IFERROR(INDEX('Retirement Calculator'!J:J,MATCH('Isaac 401k'!N4600,'Retirement Calculator'!A:A,0),0),0)</f>
        <v>0</v>
      </c>
      <c r="K4600" s="455">
        <f t="shared" ca="1" si="191"/>
        <v>-88082305690.736496</v>
      </c>
      <c r="L4600" s="455">
        <f t="shared" ca="1" si="192"/>
        <v>-21227835671467.496</v>
      </c>
      <c r="M4600" s="471">
        <f t="shared" si="194"/>
        <v>0.05</v>
      </c>
      <c r="N4600" s="475">
        <f t="shared" si="195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93"/>
        <v>-21227835671467.496</v>
      </c>
      <c r="J4601" s="455">
        <f t="array" ref="J4601">IFERROR(INDEX('Retirement Calculator'!J:J,MATCH('Isaac 401k'!N4601,'Retirement Calculator'!A:A,0),0),0)</f>
        <v>0</v>
      </c>
      <c r="K4601" s="455">
        <f t="shared" ca="1" si="191"/>
        <v>-88449315297.781235</v>
      </c>
      <c r="L4601" s="455">
        <f t="shared" ca="1" si="192"/>
        <v>-21316284986765.277</v>
      </c>
      <c r="M4601" s="471">
        <f t="shared" si="194"/>
        <v>0.05</v>
      </c>
      <c r="N4601" s="475">
        <f t="shared" si="195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93"/>
        <v>-21316284986765.277</v>
      </c>
      <c r="J4602" s="455">
        <f t="array" ref="J4602">IFERROR(INDEX('Retirement Calculator'!J:J,MATCH('Isaac 401k'!N4602,'Retirement Calculator'!A:A,0),0),0)</f>
        <v>0</v>
      </c>
      <c r="K4602" s="455">
        <f t="shared" ca="1" si="191"/>
        <v>-88817854111.521988</v>
      </c>
      <c r="L4602" s="455">
        <f t="shared" ca="1" si="192"/>
        <v>-21405102840876.801</v>
      </c>
      <c r="M4602" s="471">
        <f t="shared" si="194"/>
        <v>0.05</v>
      </c>
      <c r="N4602" s="475">
        <f t="shared" si="195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93"/>
        <v>-21405102840876.801</v>
      </c>
      <c r="J4603" s="455">
        <f t="array" ref="J4603">IFERROR(INDEX('Retirement Calculator'!J:J,MATCH('Isaac 401k'!N4603,'Retirement Calculator'!A:A,0),0),0)</f>
        <v>0</v>
      </c>
      <c r="K4603" s="455">
        <f t="shared" ca="1" si="191"/>
        <v>-89187928503.653336</v>
      </c>
      <c r="L4603" s="455">
        <f t="shared" ca="1" si="192"/>
        <v>-21494290769380.453</v>
      </c>
      <c r="M4603" s="471">
        <f t="shared" si="194"/>
        <v>0.05</v>
      </c>
      <c r="N4603" s="475">
        <f t="shared" si="195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93"/>
        <v>-21494290769380.453</v>
      </c>
      <c r="J4604" s="455">
        <f t="array" ref="J4604">IFERROR(INDEX('Retirement Calculator'!J:J,MATCH('Isaac 401k'!N4604,'Retirement Calculator'!A:A,0),0),0)</f>
        <v>0</v>
      </c>
      <c r="K4604" s="455">
        <f t="shared" ca="1" si="191"/>
        <v>-89559544872.418549</v>
      </c>
      <c r="L4604" s="455">
        <f t="shared" ca="1" si="192"/>
        <v>-21583850314252.871</v>
      </c>
      <c r="M4604" s="471">
        <f t="shared" si="194"/>
        <v>0.05</v>
      </c>
      <c r="N4604" s="475">
        <f t="shared" si="195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93"/>
        <v>-21583850314252.871</v>
      </c>
      <c r="J4605" s="455">
        <f t="array" ref="J4605">IFERROR(INDEX('Retirement Calculator'!J:J,MATCH('Isaac 401k'!N4605,'Retirement Calculator'!A:A,0),0),0)</f>
        <v>0</v>
      </c>
      <c r="K4605" s="455">
        <f t="shared" ca="1" si="191"/>
        <v>-89932709642.720291</v>
      </c>
      <c r="L4605" s="455">
        <f t="shared" ca="1" si="192"/>
        <v>-21673783023895.59</v>
      </c>
      <c r="M4605" s="471">
        <f t="shared" si="194"/>
        <v>0.05</v>
      </c>
      <c r="N4605" s="475">
        <f t="shared" si="195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93"/>
        <v>-21673783023895.59</v>
      </c>
      <c r="J4606" s="455">
        <f t="array" ref="J4606">IFERROR(INDEX('Retirement Calculator'!J:J,MATCH('Isaac 401k'!N4606,'Retirement Calculator'!A:A,0),0),0)</f>
        <v>0</v>
      </c>
      <c r="K4606" s="455">
        <f t="shared" ca="1" si="191"/>
        <v>-90307429266.231628</v>
      </c>
      <c r="L4606" s="455">
        <f t="shared" ca="1" si="192"/>
        <v>-21764090453161.82</v>
      </c>
      <c r="M4606" s="471">
        <f t="shared" si="194"/>
        <v>0.05</v>
      </c>
      <c r="N4606" s="475">
        <f t="shared" si="195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93"/>
        <v>-21764090453161.82</v>
      </c>
      <c r="J4607" s="455">
        <f t="array" ref="J4607">IFERROR(INDEX('Retirement Calculator'!J:J,MATCH('Isaac 401k'!N4607,'Retirement Calculator'!A:A,0),0),0)</f>
        <v>0</v>
      </c>
      <c r="K4607" s="455">
        <f t="shared" ca="1" si="191"/>
        <v>-90683710221.507584</v>
      </c>
      <c r="L4607" s="455">
        <f t="shared" ca="1" si="192"/>
        <v>-21854774163383.328</v>
      </c>
      <c r="M4607" s="471">
        <f t="shared" si="194"/>
        <v>0.05</v>
      </c>
      <c r="N4607" s="475">
        <f t="shared" si="195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93"/>
        <v>-21854774163383.328</v>
      </c>
      <c r="J4608" s="455">
        <f t="array" ref="J4608">IFERROR(INDEX('Retirement Calculator'!J:J,MATCH('Isaac 401k'!N4608,'Retirement Calculator'!A:A,0),0),0)</f>
        <v>0</v>
      </c>
      <c r="K4608" s="455">
        <f t="shared" ca="1" si="191"/>
        <v>-91061559014.097198</v>
      </c>
      <c r="L4608" s="455">
        <f t="shared" ca="1" si="192"/>
        <v>-21945835722397.426</v>
      </c>
      <c r="M4608" s="471">
        <f t="shared" si="194"/>
        <v>0.05</v>
      </c>
      <c r="N4608" s="475">
        <f t="shared" si="195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93"/>
        <v>-21945835722397.426</v>
      </c>
      <c r="J4609" s="455">
        <f t="array" ref="J4609">IFERROR(INDEX('Retirement Calculator'!J:J,MATCH('Isaac 401k'!N4609,'Retirement Calculator'!A:A,0),0),0)</f>
        <v>0</v>
      </c>
      <c r="K4609" s="455">
        <f t="shared" ca="1" si="191"/>
        <v>-91440982176.655945</v>
      </c>
      <c r="L4609" s="455">
        <f t="shared" ca="1" si="192"/>
        <v>-22037276704574.082</v>
      </c>
      <c r="M4609" s="471">
        <f t="shared" si="194"/>
        <v>0.05</v>
      </c>
      <c r="N4609" s="475">
        <f t="shared" si="195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93"/>
        <v>-22037276704574.082</v>
      </c>
      <c r="J4610" s="455">
        <f t="array" ref="J4610">IFERROR(INDEX('Retirement Calculator'!J:J,MATCH('Isaac 401k'!N4610,'Retirement Calculator'!A:A,0),0),0)</f>
        <v>0</v>
      </c>
      <c r="K4610" s="455">
        <f t="shared" ca="1" si="191"/>
        <v>-91821986269.05867</v>
      </c>
      <c r="L4610" s="455">
        <f t="shared" ca="1" si="192"/>
        <v>-22129098690843.141</v>
      </c>
      <c r="M4610" s="471">
        <f t="shared" si="194"/>
        <v>0.05</v>
      </c>
      <c r="N4610" s="475">
        <f t="shared" si="195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93"/>
        <v>-22129098690843.141</v>
      </c>
      <c r="J4611" s="455">
        <f t="array" ref="J4611">IFERROR(INDEX('Retirement Calculator'!J:J,MATCH('Isaac 401k'!N4611,'Retirement Calculator'!A:A,0),0),0)</f>
        <v>0</v>
      </c>
      <c r="K4611" s="455">
        <f t="shared" ca="1" si="191"/>
        <v>-92204577878.513092</v>
      </c>
      <c r="L4611" s="455">
        <f t="shared" ca="1" si="192"/>
        <v>-22221303268721.652</v>
      </c>
      <c r="M4611" s="471">
        <f t="shared" si="194"/>
        <v>0.05</v>
      </c>
      <c r="N4611" s="475">
        <f t="shared" si="195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93"/>
        <v>-22221303268721.652</v>
      </c>
      <c r="J4612" s="455">
        <f t="array" ref="J4612">IFERROR(INDEX('Retirement Calculator'!J:J,MATCH('Isaac 401k'!N4612,'Retirement Calculator'!A:A,0),0),0)</f>
        <v>0</v>
      </c>
      <c r="K4612" s="455">
        <f t="shared" ca="1" si="191"/>
        <v>-92588763619.673553</v>
      </c>
      <c r="L4612" s="455">
        <f t="shared" ca="1" si="192"/>
        <v>-22313892032341.324</v>
      </c>
      <c r="M4612" s="471">
        <f t="shared" si="194"/>
        <v>0.05</v>
      </c>
      <c r="N4612" s="475">
        <f t="shared" si="195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93"/>
        <v>-22313892032341.324</v>
      </c>
      <c r="J4613" s="455">
        <f t="array" ref="J4613">IFERROR(INDEX('Retirement Calculator'!J:J,MATCH('Isaac 401k'!N4613,'Retirement Calculator'!A:A,0),0),0)</f>
        <v>0</v>
      </c>
      <c r="K4613" s="455">
        <f t="shared" ca="1" si="191"/>
        <v>-92974550134.755524</v>
      </c>
      <c r="L4613" s="455">
        <f t="shared" ca="1" si="192"/>
        <v>-22406866582476.078</v>
      </c>
      <c r="M4613" s="471">
        <f t="shared" si="194"/>
        <v>0.05</v>
      </c>
      <c r="N4613" s="475">
        <f t="shared" si="195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93"/>
        <v>-22406866582476.078</v>
      </c>
      <c r="J4614" s="455">
        <f t="array" ref="J4614">IFERROR(INDEX('Retirement Calculator'!J:J,MATCH('Isaac 401k'!N4614,'Retirement Calculator'!A:A,0),0),0)</f>
        <v>0</v>
      </c>
      <c r="K4614" s="455">
        <f t="shared" ca="1" si="191"/>
        <v>-93361944093.65033</v>
      </c>
      <c r="L4614" s="455">
        <f t="shared" ca="1" si="192"/>
        <v>-22500228526569.727</v>
      </c>
      <c r="M4614" s="471">
        <f t="shared" si="194"/>
        <v>0.05</v>
      </c>
      <c r="N4614" s="475">
        <f t="shared" si="195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93"/>
        <v>-22500228526569.727</v>
      </c>
      <c r="J4615" s="455">
        <f t="array" ref="J4615">IFERROR(INDEX('Retirement Calculator'!J:J,MATCH('Isaac 401k'!N4615,'Retirement Calculator'!A:A,0),0),0)</f>
        <v>0</v>
      </c>
      <c r="K4615" s="455">
        <f t="shared" ca="1" si="191"/>
        <v>-93750952194.040527</v>
      </c>
      <c r="L4615" s="455">
        <f t="shared" ca="1" si="192"/>
        <v>-22593979478763.766</v>
      </c>
      <c r="M4615" s="471">
        <f t="shared" si="194"/>
        <v>0.05</v>
      </c>
      <c r="N4615" s="475">
        <f t="shared" si="195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93"/>
        <v>-22593979478763.766</v>
      </c>
      <c r="J4616" s="455">
        <f t="array" ref="J4616">IFERROR(INDEX('Retirement Calculator'!J:J,MATCH('Isaac 401k'!N4616,'Retirement Calculator'!A:A,0),0),0)</f>
        <v>0</v>
      </c>
      <c r="K4616" s="455">
        <f t="shared" ca="1" si="191"/>
        <v>-94141581161.515686</v>
      </c>
      <c r="L4616" s="455">
        <f t="shared" ca="1" si="192"/>
        <v>-22688121059925.281</v>
      </c>
      <c r="M4616" s="471">
        <f t="shared" si="194"/>
        <v>0.05</v>
      </c>
      <c r="N4616" s="475">
        <f t="shared" si="195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93"/>
        <v>-22688121059925.281</v>
      </c>
      <c r="J4617" s="455">
        <f t="array" ref="J4617">IFERROR(INDEX('Retirement Calculator'!J:J,MATCH('Isaac 401k'!N4617,'Retirement Calculator'!A:A,0),0),0)</f>
        <v>0</v>
      </c>
      <c r="K4617" s="455">
        <f t="shared" ca="1" si="191"/>
        <v>-94533837749.688675</v>
      </c>
      <c r="L4617" s="455">
        <f t="shared" ca="1" si="192"/>
        <v>-22782654897674.969</v>
      </c>
      <c r="M4617" s="471">
        <f t="shared" si="194"/>
        <v>0.05</v>
      </c>
      <c r="N4617" s="475">
        <f t="shared" si="195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93"/>
        <v>-22782654897674.969</v>
      </c>
      <c r="J4618" s="455">
        <f t="array" ref="J4618">IFERROR(INDEX('Retirement Calculator'!J:J,MATCH('Isaac 401k'!N4618,'Retirement Calculator'!A:A,0),0),0)</f>
        <v>0</v>
      </c>
      <c r="K4618" s="455">
        <f t="shared" ca="1" si="191"/>
        <v>-94927728740.312363</v>
      </c>
      <c r="L4618" s="455">
        <f t="shared" ca="1" si="192"/>
        <v>-22877582626415.281</v>
      </c>
      <c r="M4618" s="471">
        <f t="shared" si="194"/>
        <v>0.05</v>
      </c>
      <c r="N4618" s="475">
        <f t="shared" si="195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93"/>
        <v>-22877582626415.281</v>
      </c>
      <c r="J4619" s="455">
        <f t="array" ref="J4619">IFERROR(INDEX('Retirement Calculator'!J:J,MATCH('Isaac 401k'!N4619,'Retirement Calculator'!A:A,0),0),0)</f>
        <v>0</v>
      </c>
      <c r="K4619" s="455">
        <f t="shared" ca="1" si="191"/>
        <v>-95323260943.397003</v>
      </c>
      <c r="L4619" s="455">
        <f t="shared" ca="1" si="192"/>
        <v>-22972905887358.68</v>
      </c>
      <c r="M4619" s="471">
        <f t="shared" si="194"/>
        <v>0.05</v>
      </c>
      <c r="N4619" s="475">
        <f t="shared" si="195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93"/>
        <v>-22972905887358.68</v>
      </c>
      <c r="J4620" s="455">
        <f t="array" ref="J4620">IFERROR(INDEX('Retirement Calculator'!J:J,MATCH('Isaac 401k'!N4620,'Retirement Calculator'!A:A,0),0),0)</f>
        <v>0</v>
      </c>
      <c r="K4620" s="455">
        <f t="shared" ca="1" si="191"/>
        <v>-95720441197.327835</v>
      </c>
      <c r="L4620" s="455">
        <f t="shared" ca="1" si="192"/>
        <v>-23068626328556.008</v>
      </c>
      <c r="M4620" s="471">
        <f t="shared" si="194"/>
        <v>0.05</v>
      </c>
      <c r="N4620" s="475">
        <f t="shared" si="195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93"/>
        <v>-23068626328556.008</v>
      </c>
      <c r="J4621" s="455">
        <f t="array" ref="J4621">IFERROR(INDEX('Retirement Calculator'!J:J,MATCH('Isaac 401k'!N4621,'Retirement Calculator'!A:A,0),0),0)</f>
        <v>0</v>
      </c>
      <c r="K4621" s="455">
        <f t="shared" ca="1" si="191"/>
        <v>-96119276368.983368</v>
      </c>
      <c r="L4621" s="455">
        <f t="shared" ca="1" si="192"/>
        <v>-23164745604924.992</v>
      </c>
      <c r="M4621" s="471">
        <f t="shared" si="194"/>
        <v>0.05</v>
      </c>
      <c r="N4621" s="475">
        <f t="shared" si="195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93"/>
        <v>-23164745604924.992</v>
      </c>
      <c r="J4622" s="455">
        <f t="array" ref="J4622">IFERROR(INDEX('Retirement Calculator'!J:J,MATCH('Isaac 401k'!N4622,'Retirement Calculator'!A:A,0),0),0)</f>
        <v>0</v>
      </c>
      <c r="K4622" s="455">
        <f t="shared" ca="1" si="191"/>
        <v>-96519773353.854126</v>
      </c>
      <c r="L4622" s="455">
        <f t="shared" ca="1" si="192"/>
        <v>-23261265378278.848</v>
      </c>
      <c r="M4622" s="471">
        <f t="shared" si="194"/>
        <v>0.05</v>
      </c>
      <c r="N4622" s="475">
        <f t="shared" si="195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93"/>
        <v>-23261265378278.848</v>
      </c>
      <c r="J4623" s="455">
        <f t="array" ref="J4623">IFERROR(INDEX('Retirement Calculator'!J:J,MATCH('Isaac 401k'!N4623,'Retirement Calculator'!A:A,0),0),0)</f>
        <v>0</v>
      </c>
      <c r="K4623" s="455">
        <f t="shared" ca="1" si="191"/>
        <v>-96921939076.161865</v>
      </c>
      <c r="L4623" s="455">
        <f t="shared" ca="1" si="192"/>
        <v>-23358187317355.008</v>
      </c>
      <c r="M4623" s="471">
        <f t="shared" si="194"/>
        <v>0.05</v>
      </c>
      <c r="N4623" s="475">
        <f t="shared" si="195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93"/>
        <v>-23358187317355.008</v>
      </c>
      <c r="J4624" s="455">
        <f t="array" ref="J4624">IFERROR(INDEX('Retirement Calculator'!J:J,MATCH('Isaac 401k'!N4624,'Retirement Calculator'!A:A,0),0),0)</f>
        <v>0</v>
      </c>
      <c r="K4624" s="455">
        <f t="shared" ca="1" si="191"/>
        <v>-97325780488.979202</v>
      </c>
      <c r="L4624" s="455">
        <f t="shared" ca="1" si="192"/>
        <v>-23455513097843.988</v>
      </c>
      <c r="M4624" s="471">
        <f t="shared" si="194"/>
        <v>0.05</v>
      </c>
      <c r="N4624" s="475">
        <f t="shared" si="195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93"/>
        <v>-23455513097843.988</v>
      </c>
      <c r="J4625" s="455">
        <f t="array" ref="J4625">IFERROR(INDEX('Retirement Calculator'!J:J,MATCH('Isaac 401k'!N4625,'Retirement Calculator'!A:A,0),0),0)</f>
        <v>0</v>
      </c>
      <c r="K4625" s="455">
        <f t="shared" ca="1" si="191"/>
        <v>-97731304574.349945</v>
      </c>
      <c r="L4625" s="455">
        <f t="shared" ca="1" si="192"/>
        <v>-23553244402418.34</v>
      </c>
      <c r="M4625" s="471">
        <f t="shared" si="194"/>
        <v>0.05</v>
      </c>
      <c r="N4625" s="475">
        <f t="shared" si="195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93"/>
        <v>-23553244402418.34</v>
      </c>
      <c r="J4626" s="455">
        <f t="array" ref="J4626">IFERROR(INDEX('Retirement Calculator'!J:J,MATCH('Isaac 401k'!N4626,'Retirement Calculator'!A:A,0),0),0)</f>
        <v>0</v>
      </c>
      <c r="K4626" s="455">
        <f t="shared" ca="1" si="191"/>
        <v>-98138518343.409744</v>
      </c>
      <c r="L4626" s="455">
        <f t="shared" ca="1" si="192"/>
        <v>-23651382920761.75</v>
      </c>
      <c r="M4626" s="471">
        <f t="shared" si="194"/>
        <v>0.05</v>
      </c>
      <c r="N4626" s="475">
        <f t="shared" si="195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93"/>
        <v>-23651382920761.75</v>
      </c>
      <c r="J4627" s="455">
        <f t="array" ref="J4627">IFERROR(INDEX('Retirement Calculator'!J:J,MATCH('Isaac 401k'!N4627,'Retirement Calculator'!A:A,0),0),0)</f>
        <v>0</v>
      </c>
      <c r="K4627" s="455">
        <f t="shared" ca="1" si="191"/>
        <v>-98547428836.507294</v>
      </c>
      <c r="L4627" s="455">
        <f t="shared" ca="1" si="192"/>
        <v>-23749930349598.258</v>
      </c>
      <c r="M4627" s="471">
        <f t="shared" si="194"/>
        <v>0.05</v>
      </c>
      <c r="N4627" s="475">
        <f t="shared" si="195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93"/>
        <v>-23749930349598.258</v>
      </c>
      <c r="J4628" s="455">
        <f t="array" ref="J4628">IFERROR(INDEX('Retirement Calculator'!J:J,MATCH('Isaac 401k'!N4628,'Retirement Calculator'!A:A,0),0),0)</f>
        <v>0</v>
      </c>
      <c r="K4628" s="455">
        <f t="shared" ca="1" si="191"/>
        <v>-98958043123.32608</v>
      </c>
      <c r="L4628" s="455">
        <f t="shared" ca="1" si="192"/>
        <v>-23848888392721.582</v>
      </c>
      <c r="M4628" s="471">
        <f t="shared" si="194"/>
        <v>0.05</v>
      </c>
      <c r="N4628" s="475">
        <f t="shared" si="195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93"/>
        <v>-23848888392721.582</v>
      </c>
      <c r="J4629" s="455">
        <f t="array" ref="J4629">IFERROR(INDEX('Retirement Calculator'!J:J,MATCH('Isaac 401k'!N4629,'Retirement Calculator'!A:A,0),0),0)</f>
        <v>0</v>
      </c>
      <c r="K4629" s="455">
        <f t="shared" ca="1" si="191"/>
        <v>-99370368303.006592</v>
      </c>
      <c r="L4629" s="455">
        <f t="shared" ca="1" si="192"/>
        <v>-23948258761024.59</v>
      </c>
      <c r="M4629" s="471">
        <f t="shared" si="194"/>
        <v>0.05</v>
      </c>
      <c r="N4629" s="475">
        <f t="shared" si="195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93"/>
        <v>-23948258761024.59</v>
      </c>
      <c r="J4630" s="455">
        <f t="array" ref="J4630">IFERROR(INDEX('Retirement Calculator'!J:J,MATCH('Isaac 401k'!N4630,'Retirement Calculator'!A:A,0),0),0)</f>
        <v>0</v>
      </c>
      <c r="K4630" s="455">
        <f t="shared" ca="1" si="191"/>
        <v>-99784411504.269119</v>
      </c>
      <c r="L4630" s="455">
        <f t="shared" ca="1" si="192"/>
        <v>-24048043172528.859</v>
      </c>
      <c r="M4630" s="471">
        <f t="shared" si="194"/>
        <v>0.05</v>
      </c>
      <c r="N4630" s="475">
        <f t="shared" si="195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93"/>
        <v>-24048043172528.859</v>
      </c>
      <c r="J4631" s="455">
        <f t="array" ref="J4631">IFERROR(INDEX('Retirement Calculator'!J:J,MATCH('Isaac 401k'!N4631,'Retirement Calculator'!A:A,0),0),0)</f>
        <v>0</v>
      </c>
      <c r="K4631" s="455">
        <f t="shared" ca="1" si="191"/>
        <v>-100200179885.53691</v>
      </c>
      <c r="L4631" s="455">
        <f t="shared" ca="1" si="192"/>
        <v>-24148243352414.395</v>
      </c>
      <c r="M4631" s="471">
        <f t="shared" si="194"/>
        <v>0.05</v>
      </c>
      <c r="N4631" s="475">
        <f t="shared" si="195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93"/>
        <v>-24148243352414.395</v>
      </c>
      <c r="J4632" s="455">
        <f t="array" ref="J4632">IFERROR(INDEX('Retirement Calculator'!J:J,MATCH('Isaac 401k'!N4632,'Retirement Calculator'!A:A,0),0),0)</f>
        <v>0</v>
      </c>
      <c r="K4632" s="455">
        <f t="shared" ca="1" si="191"/>
        <v>-100617680635.05998</v>
      </c>
      <c r="L4632" s="455">
        <f t="shared" ca="1" si="192"/>
        <v>-24248861033049.453</v>
      </c>
      <c r="M4632" s="471">
        <f t="shared" si="194"/>
        <v>0.05</v>
      </c>
      <c r="N4632" s="475">
        <f t="shared" si="195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93"/>
        <v>-24248861033049.453</v>
      </c>
      <c r="J4633" s="455">
        <f t="array" ref="J4633">IFERROR(INDEX('Retirement Calculator'!J:J,MATCH('Isaac 401k'!N4633,'Retirement Calculator'!A:A,0),0),0)</f>
        <v>0</v>
      </c>
      <c r="K4633" s="455">
        <f t="shared" ca="1" si="191"/>
        <v>-101036920971.03938</v>
      </c>
      <c r="L4633" s="455">
        <f t="shared" ca="1" si="192"/>
        <v>-24349897954020.492</v>
      </c>
      <c r="M4633" s="471">
        <f t="shared" si="194"/>
        <v>0.05</v>
      </c>
      <c r="N4633" s="475">
        <f t="shared" si="195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93"/>
        <v>-24349897954020.492</v>
      </c>
      <c r="J4634" s="455">
        <f t="array" ref="J4634">IFERROR(INDEX('Retirement Calculator'!J:J,MATCH('Isaac 401k'!N4634,'Retirement Calculator'!A:A,0),0),0)</f>
        <v>0</v>
      </c>
      <c r="K4634" s="455">
        <f t="shared" ca="1" si="191"/>
        <v>-101457908141.75204</v>
      </c>
      <c r="L4634" s="455">
        <f t="shared" ca="1" si="192"/>
        <v>-24451355862162.246</v>
      </c>
      <c r="M4634" s="471">
        <f t="shared" si="194"/>
        <v>0.05</v>
      </c>
      <c r="N4634" s="475">
        <f t="shared" si="195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93"/>
        <v>-24451355862162.246</v>
      </c>
      <c r="J4635" s="455">
        <f t="array" ref="J4635">IFERROR(INDEX('Retirement Calculator'!J:J,MATCH('Isaac 401k'!N4635,'Retirement Calculator'!A:A,0),0),0)</f>
        <v>0</v>
      </c>
      <c r="K4635" s="455">
        <f t="shared" ca="1" si="191"/>
        <v>-101880649425.67603</v>
      </c>
      <c r="L4635" s="455">
        <f t="shared" ca="1" si="192"/>
        <v>-24553236511587.922</v>
      </c>
      <c r="M4635" s="471">
        <f t="shared" si="194"/>
        <v>0.05</v>
      </c>
      <c r="N4635" s="475">
        <f t="shared" si="195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93"/>
        <v>-24553236511587.922</v>
      </c>
      <c r="J4636" s="455">
        <f t="array" ref="J4636">IFERROR(INDEX('Retirement Calculator'!J:J,MATCH('Isaac 401k'!N4636,'Retirement Calculator'!A:A,0),0),0)</f>
        <v>0</v>
      </c>
      <c r="K4636" s="455">
        <f t="shared" ca="1" si="191"/>
        <v>-102305152131.61633</v>
      </c>
      <c r="L4636" s="455">
        <f t="shared" ca="1" si="192"/>
        <v>-24655541663719.539</v>
      </c>
      <c r="M4636" s="471">
        <f t="shared" si="194"/>
        <v>0.05</v>
      </c>
      <c r="N4636" s="475">
        <f t="shared" si="195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93"/>
        <v>-24655541663719.539</v>
      </c>
      <c r="J4637" s="455">
        <f t="array" ref="J4637">IFERROR(INDEX('Retirement Calculator'!J:J,MATCH('Isaac 401k'!N4637,'Retirement Calculator'!A:A,0),0),0)</f>
        <v>0</v>
      </c>
      <c r="K4637" s="455">
        <f t="shared" ca="1" si="191"/>
        <v>-102731423598.83141</v>
      </c>
      <c r="L4637" s="455">
        <f t="shared" ca="1" si="192"/>
        <v>-24758273087318.371</v>
      </c>
      <c r="M4637" s="471">
        <f t="shared" si="194"/>
        <v>0.05</v>
      </c>
      <c r="N4637" s="475">
        <f t="shared" si="195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93"/>
        <v>-24758273087318.371</v>
      </c>
      <c r="J4638" s="455">
        <f t="array" ref="J4638">IFERROR(INDEX('Retirement Calculator'!J:J,MATCH('Isaac 401k'!N4638,'Retirement Calculator'!A:A,0),0),0)</f>
        <v>0</v>
      </c>
      <c r="K4638" s="455">
        <f t="shared" ca="1" si="191"/>
        <v>-103159471197.15988</v>
      </c>
      <c r="L4638" s="455">
        <f t="shared" ca="1" si="192"/>
        <v>-24861432558515.531</v>
      </c>
      <c r="M4638" s="471">
        <f t="shared" si="194"/>
        <v>0.05</v>
      </c>
      <c r="N4638" s="475">
        <f t="shared" si="195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93"/>
        <v>-24861432558515.531</v>
      </c>
      <c r="J4639" s="455">
        <f t="array" ref="J4639">IFERROR(INDEX('Retirement Calculator'!J:J,MATCH('Isaac 401k'!N4639,'Retirement Calculator'!A:A,0),0),0)</f>
        <v>0</v>
      </c>
      <c r="K4639" s="455">
        <f t="shared" ca="1" si="191"/>
        <v>-103589302327.14804</v>
      </c>
      <c r="L4639" s="455">
        <f t="shared" ca="1" si="192"/>
        <v>-24965021860842.68</v>
      </c>
      <c r="M4639" s="471">
        <f t="shared" si="194"/>
        <v>0.05</v>
      </c>
      <c r="N4639" s="475">
        <f t="shared" si="195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93"/>
        <v>-24965021860842.68</v>
      </c>
      <c r="J4640" s="455">
        <f t="array" ref="J4640">IFERROR(INDEX('Retirement Calculator'!J:J,MATCH('Isaac 401k'!N4640,'Retirement Calculator'!A:A,0),0),0)</f>
        <v>0</v>
      </c>
      <c r="K4640" s="455">
        <f t="shared" ca="1" si="191"/>
        <v>-104020924420.17783</v>
      </c>
      <c r="L4640" s="455">
        <f t="shared" ca="1" si="192"/>
        <v>-25069042785262.859</v>
      </c>
      <c r="M4640" s="471">
        <f t="shared" si="194"/>
        <v>0.05</v>
      </c>
      <c r="N4640" s="475">
        <f t="shared" si="195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93"/>
        <v>-25069042785262.859</v>
      </c>
      <c r="J4641" s="455">
        <f t="array" ref="J4641">IFERROR(INDEX('Retirement Calculator'!J:J,MATCH('Isaac 401k'!N4641,'Retirement Calculator'!A:A,0),0),0)</f>
        <v>0</v>
      </c>
      <c r="K4641" s="455">
        <f t="shared" ca="1" si="191"/>
        <v>-104454344938.59525</v>
      </c>
      <c r="L4641" s="455">
        <f t="shared" ca="1" si="192"/>
        <v>-25173497130201.453</v>
      </c>
      <c r="M4641" s="471">
        <f t="shared" si="194"/>
        <v>0.05</v>
      </c>
      <c r="N4641" s="475">
        <f t="shared" si="195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93"/>
        <v>-25173497130201.453</v>
      </c>
      <c r="J4642" s="455">
        <f t="array" ref="J4642">IFERROR(INDEX('Retirement Calculator'!J:J,MATCH('Isaac 401k'!N4642,'Retirement Calculator'!A:A,0),0),0)</f>
        <v>0</v>
      </c>
      <c r="K4642" s="455">
        <f t="shared" ca="1" si="191"/>
        <v>-104889571375.83939</v>
      </c>
      <c r="L4642" s="455">
        <f t="shared" ca="1" si="192"/>
        <v>-25278386701577.293</v>
      </c>
      <c r="M4642" s="471">
        <f t="shared" si="194"/>
        <v>0.05</v>
      </c>
      <c r="N4642" s="475">
        <f t="shared" si="195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93"/>
        <v>-25278386701577.293</v>
      </c>
      <c r="J4643" s="455">
        <f t="array" ref="J4643">IFERROR(INDEX('Retirement Calculator'!J:J,MATCH('Isaac 401k'!N4643,'Retirement Calculator'!A:A,0),0),0)</f>
        <v>0</v>
      </c>
      <c r="K4643" s="455">
        <f t="shared" ca="1" si="191"/>
        <v>-105326611256.57205</v>
      </c>
      <c r="L4643" s="455">
        <f t="shared" ca="1" si="192"/>
        <v>-25383713312833.863</v>
      </c>
      <c r="M4643" s="471">
        <f t="shared" si="194"/>
        <v>0.05</v>
      </c>
      <c r="N4643" s="475">
        <f t="shared" si="195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93"/>
        <v>-25383713312833.863</v>
      </c>
      <c r="J4644" s="455">
        <f t="array" ref="J4644">IFERROR(INDEX('Retirement Calculator'!J:J,MATCH('Isaac 401k'!N4644,'Retirement Calculator'!A:A,0),0),0)</f>
        <v>0</v>
      </c>
      <c r="K4644" s="455">
        <f t="shared" ca="1" si="191"/>
        <v>-105765472136.80777</v>
      </c>
      <c r="L4644" s="455">
        <f t="shared" ca="1" si="192"/>
        <v>-25489478784970.672</v>
      </c>
      <c r="M4644" s="471">
        <f t="shared" si="194"/>
        <v>0.05</v>
      </c>
      <c r="N4644" s="475">
        <f t="shared" si="195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93"/>
        <v>-25489478784970.672</v>
      </c>
      <c r="J4645" s="455">
        <f t="array" ref="J4645">IFERROR(INDEX('Retirement Calculator'!J:J,MATCH('Isaac 401k'!N4645,'Retirement Calculator'!A:A,0),0),0)</f>
        <v>0</v>
      </c>
      <c r="K4645" s="455">
        <f t="shared" ca="1" si="191"/>
        <v>-106206161604.04446</v>
      </c>
      <c r="L4645" s="455">
        <f t="shared" ca="1" si="192"/>
        <v>-25595684946574.715</v>
      </c>
      <c r="M4645" s="471">
        <f t="shared" si="194"/>
        <v>0.05</v>
      </c>
      <c r="N4645" s="475">
        <f t="shared" si="195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93"/>
        <v>-25595684946574.715</v>
      </c>
      <c r="J4646" s="455">
        <f t="array" ref="J4646">IFERROR(INDEX('Retirement Calculator'!J:J,MATCH('Isaac 401k'!N4646,'Retirement Calculator'!A:A,0),0),0)</f>
        <v>0</v>
      </c>
      <c r="K4646" s="455">
        <f t="shared" ca="1" si="191"/>
        <v>-106648687277.39464</v>
      </c>
      <c r="L4646" s="455">
        <f t="shared" ca="1" si="192"/>
        <v>-25702333633852.109</v>
      </c>
      <c r="M4646" s="471">
        <f t="shared" si="194"/>
        <v>0.05</v>
      </c>
      <c r="N4646" s="475">
        <f t="shared" si="195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93"/>
        <v>-25702333633852.109</v>
      </c>
      <c r="J4647" s="455">
        <f t="array" ref="J4647">IFERROR(INDEX('Retirement Calculator'!J:J,MATCH('Isaac 401k'!N4647,'Retirement Calculator'!A:A,0),0),0)</f>
        <v>0</v>
      </c>
      <c r="K4647" s="455">
        <f t="shared" ca="1" si="191"/>
        <v>-107093056807.71712</v>
      </c>
      <c r="L4647" s="455">
        <f t="shared" ca="1" si="192"/>
        <v>-25809426690659.828</v>
      </c>
      <c r="M4647" s="471">
        <f t="shared" si="194"/>
        <v>0.05</v>
      </c>
      <c r="N4647" s="475">
        <f t="shared" si="195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93"/>
        <v>-25809426690659.828</v>
      </c>
      <c r="J4648" s="455">
        <f t="array" ref="J4648">IFERROR(INDEX('Retirement Calculator'!J:J,MATCH('Isaac 401k'!N4648,'Retirement Calculator'!A:A,0),0),0)</f>
        <v>0</v>
      </c>
      <c r="K4648" s="455">
        <f t="shared" ca="1" si="191"/>
        <v>-107539277877.74928</v>
      </c>
      <c r="L4648" s="455">
        <f t="shared" ca="1" si="192"/>
        <v>-25916965968537.578</v>
      </c>
      <c r="M4648" s="471">
        <f t="shared" si="194"/>
        <v>0.05</v>
      </c>
      <c r="N4648" s="475">
        <f t="shared" si="195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93"/>
        <v>-25916965968537.578</v>
      </c>
      <c r="J4649" s="455">
        <f t="array" ref="J4649">IFERROR(INDEX('Retirement Calculator'!J:J,MATCH('Isaac 401k'!N4649,'Retirement Calculator'!A:A,0),0),0)</f>
        <v>0</v>
      </c>
      <c r="K4649" s="455">
        <f t="shared" ca="1" si="191"/>
        <v>-107987358202.23991</v>
      </c>
      <c r="L4649" s="455">
        <f t="shared" ca="1" si="192"/>
        <v>-26024953326739.816</v>
      </c>
      <c r="M4649" s="471">
        <f t="shared" si="194"/>
        <v>0.05</v>
      </c>
      <c r="N4649" s="475">
        <f t="shared" si="195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93"/>
        <v>-26024953326739.816</v>
      </c>
      <c r="J4650" s="455">
        <f t="array" ref="J4650">IFERROR(INDEX('Retirement Calculator'!J:J,MATCH('Isaac 401k'!N4650,'Retirement Calculator'!A:A,0),0),0)</f>
        <v>0</v>
      </c>
      <c r="K4650" s="455">
        <f t="shared" ca="1" si="191"/>
        <v>-108437305528.08257</v>
      </c>
      <c r="L4650" s="455">
        <f t="shared" ca="1" si="192"/>
        <v>-26133390632267.898</v>
      </c>
      <c r="M4650" s="471">
        <f t="shared" si="194"/>
        <v>0.05</v>
      </c>
      <c r="N4650" s="475">
        <f t="shared" si="195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93"/>
        <v>-26133390632267.898</v>
      </c>
      <c r="J4651" s="455">
        <f t="array" ref="J4651">IFERROR(INDEX('Retirement Calculator'!J:J,MATCH('Isaac 401k'!N4651,'Retirement Calculator'!A:A,0),0),0)</f>
        <v>0</v>
      </c>
      <c r="K4651" s="455">
        <f t="shared" ca="1" si="191"/>
        <v>-108889127634.44957</v>
      </c>
      <c r="L4651" s="455">
        <f t="shared" ca="1" si="192"/>
        <v>-26242279759902.348</v>
      </c>
      <c r="M4651" s="471">
        <f t="shared" si="194"/>
        <v>0.05</v>
      </c>
      <c r="N4651" s="475">
        <f t="shared" si="195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93"/>
        <v>-26242279759902.348</v>
      </c>
      <c r="J4652" s="455">
        <f t="array" ref="J4652">IFERROR(INDEX('Retirement Calculator'!J:J,MATCH('Isaac 401k'!N4652,'Retirement Calculator'!A:A,0),0),0)</f>
        <v>0</v>
      </c>
      <c r="K4652" s="455">
        <f t="shared" ca="1" si="191"/>
        <v>-109342832332.92645</v>
      </c>
      <c r="L4652" s="455">
        <f t="shared" ca="1" si="192"/>
        <v>-26351622592235.273</v>
      </c>
      <c r="M4652" s="471">
        <f t="shared" si="194"/>
        <v>0.05</v>
      </c>
      <c r="N4652" s="475">
        <f t="shared" si="195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93"/>
        <v>-26351622592235.273</v>
      </c>
      <c r="J4653" s="455">
        <f t="array" ref="J4653">IFERROR(INDEX('Retirement Calculator'!J:J,MATCH('Isaac 401k'!N4653,'Retirement Calculator'!A:A,0),0),0)</f>
        <v>0</v>
      </c>
      <c r="K4653" s="455">
        <f t="shared" ca="1" si="191"/>
        <v>-109798427467.64697</v>
      </c>
      <c r="L4653" s="455">
        <f t="shared" ca="1" si="192"/>
        <v>-26461421019702.922</v>
      </c>
      <c r="M4653" s="471">
        <f t="shared" si="194"/>
        <v>0.05</v>
      </c>
      <c r="N4653" s="475">
        <f t="shared" si="195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93"/>
        <v>-26461421019702.922</v>
      </c>
      <c r="J4654" s="455">
        <f t="array" ref="J4654">IFERROR(INDEX('Retirement Calculator'!J:J,MATCH('Isaac 401k'!N4654,'Retirement Calculator'!A:A,0),0),0)</f>
        <v>0</v>
      </c>
      <c r="K4654" s="455">
        <f t="shared" ca="1" si="191"/>
        <v>-110255920915.42883</v>
      </c>
      <c r="L4654" s="455">
        <f t="shared" ca="1" si="192"/>
        <v>-26571676940618.352</v>
      </c>
      <c r="M4654" s="471">
        <f t="shared" si="194"/>
        <v>0.05</v>
      </c>
      <c r="N4654" s="475">
        <f t="shared" si="195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93"/>
        <v>-26571676940618.352</v>
      </c>
      <c r="J4655" s="455">
        <f t="array" ref="J4655">IFERROR(INDEX('Retirement Calculator'!J:J,MATCH('Isaac 401k'!N4655,'Retirement Calculator'!A:A,0),0),0)</f>
        <v>0</v>
      </c>
      <c r="K4655" s="455">
        <f t="shared" ca="1" si="191"/>
        <v>-110715320585.90979</v>
      </c>
      <c r="L4655" s="455">
        <f t="shared" ca="1" si="192"/>
        <v>-26682392261204.262</v>
      </c>
      <c r="M4655" s="471">
        <f t="shared" si="194"/>
        <v>0.05</v>
      </c>
      <c r="N4655" s="475">
        <f t="shared" si="195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93"/>
        <v>-26682392261204.262</v>
      </c>
      <c r="J4656" s="455">
        <f t="array" ref="J4656">IFERROR(INDEX('Retirement Calculator'!J:J,MATCH('Isaac 401k'!N4656,'Retirement Calculator'!A:A,0),0),0)</f>
        <v>0</v>
      </c>
      <c r="K4656" s="455">
        <f t="shared" ca="1" si="191"/>
        <v>-111176634421.68442</v>
      </c>
      <c r="L4656" s="455">
        <f t="shared" ca="1" si="192"/>
        <v>-26793568895625.945</v>
      </c>
      <c r="M4656" s="471">
        <f t="shared" si="194"/>
        <v>0.05</v>
      </c>
      <c r="N4656" s="475">
        <f t="shared" si="195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93"/>
        <v>-26793568895625.945</v>
      </c>
      <c r="J4657" s="455">
        <f t="array" ref="J4657">IFERROR(INDEX('Retirement Calculator'!J:J,MATCH('Isaac 401k'!N4657,'Retirement Calculator'!A:A,0),0),0)</f>
        <v>0</v>
      </c>
      <c r="K4657" s="455">
        <f t="shared" ca="1" si="191"/>
        <v>-111639870398.44144</v>
      </c>
      <c r="L4657" s="455">
        <f t="shared" ca="1" si="192"/>
        <v>-26905208766024.387</v>
      </c>
      <c r="M4657" s="471">
        <f t="shared" si="194"/>
        <v>0.05</v>
      </c>
      <c r="N4657" s="475">
        <f t="shared" si="195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93"/>
        <v>-26905208766024.387</v>
      </c>
      <c r="J4658" s="455">
        <f t="array" ref="J4658">IFERROR(INDEX('Retirement Calculator'!J:J,MATCH('Isaac 401k'!N4658,'Retirement Calculator'!A:A,0),0),0)</f>
        <v>0</v>
      </c>
      <c r="K4658" s="455">
        <f t="shared" ca="1" si="191"/>
        <v>-112105036525.10161</v>
      </c>
      <c r="L4658" s="455">
        <f t="shared" ca="1" si="192"/>
        <v>-27017313802549.488</v>
      </c>
      <c r="M4658" s="471">
        <f t="shared" si="194"/>
        <v>0.05</v>
      </c>
      <c r="N4658" s="475">
        <f t="shared" si="195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93"/>
        <v>-27017313802549.488</v>
      </c>
      <c r="J4659" s="455">
        <f t="array" ref="J4659">IFERROR(INDEX('Retirement Calculator'!J:J,MATCH('Isaac 401k'!N4659,'Retirement Calculator'!A:A,0),0),0)</f>
        <v>0</v>
      </c>
      <c r="K4659" s="455">
        <f t="shared" ca="1" si="191"/>
        <v>-112572140843.95619</v>
      </c>
      <c r="L4659" s="455">
        <f t="shared" ca="1" si="192"/>
        <v>-27129885943393.445</v>
      </c>
      <c r="M4659" s="471">
        <f t="shared" si="194"/>
        <v>0.05</v>
      </c>
      <c r="N4659" s="475">
        <f t="shared" si="195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93"/>
        <v>-27129885943393.445</v>
      </c>
      <c r="J4660" s="455">
        <f t="array" ref="J4660">IFERROR(INDEX('Retirement Calculator'!J:J,MATCH('Isaac 401k'!N4660,'Retirement Calculator'!A:A,0),0),0)</f>
        <v>0</v>
      </c>
      <c r="K4660" s="455">
        <f t="shared" ca="1" si="191"/>
        <v>-113041191430.80602</v>
      </c>
      <c r="L4660" s="455">
        <f t="shared" ca="1" si="192"/>
        <v>-27242927134824.25</v>
      </c>
      <c r="M4660" s="471">
        <f t="shared" si="194"/>
        <v>0.05</v>
      </c>
      <c r="N4660" s="475">
        <f t="shared" si="195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93"/>
        <v>-27242927134824.25</v>
      </c>
      <c r="J4661" s="455">
        <f t="array" ref="J4661">IFERROR(INDEX('Retirement Calculator'!J:J,MATCH('Isaac 401k'!N4661,'Retirement Calculator'!A:A,0),0),0)</f>
        <v>0</v>
      </c>
      <c r="K4661" s="455">
        <f t="shared" ca="1" si="191"/>
        <v>-113512196395.10104</v>
      </c>
      <c r="L4661" s="455">
        <f t="shared" ca="1" si="192"/>
        <v>-27356439331219.352</v>
      </c>
      <c r="M4661" s="471">
        <f t="shared" si="194"/>
        <v>0.05</v>
      </c>
      <c r="N4661" s="475">
        <f t="shared" si="195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93"/>
        <v>-27356439331219.352</v>
      </c>
      <c r="J4662" s="455">
        <f t="array" ref="J4662">IFERROR(INDEX('Retirement Calculator'!J:J,MATCH('Isaac 401k'!N4662,'Retirement Calculator'!A:A,0),0),0)</f>
        <v>0</v>
      </c>
      <c r="K4662" s="455">
        <f t="shared" ca="1" si="191"/>
        <v>-113985163880.08063</v>
      </c>
      <c r="L4662" s="455">
        <f t="shared" ca="1" si="192"/>
        <v>-27470424495099.434</v>
      </c>
      <c r="M4662" s="471">
        <f t="shared" si="194"/>
        <v>0.05</v>
      </c>
      <c r="N4662" s="475">
        <f t="shared" si="195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93"/>
        <v>-27470424495099.434</v>
      </c>
      <c r="J4663" s="455">
        <f t="array" ref="J4663">IFERROR(INDEX('Retirement Calculator'!J:J,MATCH('Isaac 401k'!N4663,'Retirement Calculator'!A:A,0),0),0)</f>
        <v>0</v>
      </c>
      <c r="K4663" s="455">
        <f t="shared" ca="1" si="191"/>
        <v>-114460102062.91431</v>
      </c>
      <c r="L4663" s="455">
        <f t="shared" ca="1" si="192"/>
        <v>-27584884597162.348</v>
      </c>
      <c r="M4663" s="471">
        <f t="shared" si="194"/>
        <v>0.05</v>
      </c>
      <c r="N4663" s="475">
        <f t="shared" si="195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93"/>
        <v>-27584884597162.348</v>
      </c>
      <c r="J4664" s="455">
        <f t="array" ref="J4664">IFERROR(INDEX('Retirement Calculator'!J:J,MATCH('Isaac 401k'!N4664,'Retirement Calculator'!A:A,0),0),0)</f>
        <v>0</v>
      </c>
      <c r="K4664" s="455">
        <f t="shared" ca="1" si="191"/>
        <v>-114937019154.84311</v>
      </c>
      <c r="L4664" s="455">
        <f t="shared" ca="1" si="192"/>
        <v>-27699821616317.191</v>
      </c>
      <c r="M4664" s="471">
        <f t="shared" si="194"/>
        <v>0.05</v>
      </c>
      <c r="N4664" s="475">
        <f t="shared" si="195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93"/>
        <v>-27699821616317.191</v>
      </c>
      <c r="J4665" s="455">
        <f t="array" ref="J4665">IFERROR(INDEX('Retirement Calculator'!J:J,MATCH('Isaac 401k'!N4665,'Retirement Calculator'!A:A,0),0),0)</f>
        <v>0</v>
      </c>
      <c r="K4665" s="455">
        <f t="shared" ca="1" si="191"/>
        <v>-115415923401.32162</v>
      </c>
      <c r="L4665" s="455">
        <f t="shared" ca="1" si="192"/>
        <v>-27815237539718.512</v>
      </c>
      <c r="M4665" s="471">
        <f t="shared" si="194"/>
        <v>0.05</v>
      </c>
      <c r="N4665" s="475">
        <f t="shared" si="195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93"/>
        <v>-27815237539718.512</v>
      </c>
      <c r="J4666" s="455">
        <f t="array" ref="J4666">IFERROR(INDEX('Retirement Calculator'!J:J,MATCH('Isaac 401k'!N4666,'Retirement Calculator'!A:A,0),0),0)</f>
        <v>0</v>
      </c>
      <c r="K4666" s="455">
        <f t="shared" ca="1" si="191"/>
        <v>-115896823082.16046</v>
      </c>
      <c r="L4666" s="455">
        <f t="shared" ca="1" si="192"/>
        <v>-27931134362800.672</v>
      </c>
      <c r="M4666" s="471">
        <f t="shared" si="194"/>
        <v>0.05</v>
      </c>
      <c r="N4666" s="475">
        <f t="shared" si="195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93"/>
        <v>-27931134362800.672</v>
      </c>
      <c r="J4667" s="455">
        <f t="array" ref="J4667">IFERROR(INDEX('Retirement Calculator'!J:J,MATCH('Isaac 401k'!N4667,'Retirement Calculator'!A:A,0),0),0)</f>
        <v>0</v>
      </c>
      <c r="K4667" s="455">
        <f t="shared" ca="1" si="191"/>
        <v>-116379726511.66946</v>
      </c>
      <c r="L4667" s="455">
        <f t="shared" ca="1" si="192"/>
        <v>-28047514089312.34</v>
      </c>
      <c r="M4667" s="471">
        <f t="shared" si="194"/>
        <v>0.05</v>
      </c>
      <c r="N4667" s="475">
        <f t="shared" si="195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93"/>
        <v>-28047514089312.34</v>
      </c>
      <c r="J4668" s="455">
        <f t="array" ref="J4668">IFERROR(INDEX('Retirement Calculator'!J:J,MATCH('Isaac 401k'!N4668,'Retirement Calculator'!A:A,0),0),0)</f>
        <v>0</v>
      </c>
      <c r="K4668" s="455">
        <f t="shared" ca="1" si="191"/>
        <v>-116864642038.80141</v>
      </c>
      <c r="L4668" s="455">
        <f t="shared" ca="1" si="192"/>
        <v>-28164378731351.141</v>
      </c>
      <c r="M4668" s="471">
        <f t="shared" si="194"/>
        <v>0.05</v>
      </c>
      <c r="N4668" s="475">
        <f t="shared" si="195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93"/>
        <v>-28164378731351.141</v>
      </c>
      <c r="J4669" s="455">
        <f t="array" ref="J4669">IFERROR(INDEX('Retirement Calculator'!J:J,MATCH('Isaac 401k'!N4669,'Retirement Calculator'!A:A,0),0),0)</f>
        <v>0</v>
      </c>
      <c r="K4669" s="455">
        <f t="shared" ca="1" si="191"/>
        <v>-117351578047.29642</v>
      </c>
      <c r="L4669" s="455">
        <f t="shared" ca="1" si="192"/>
        <v>-28281730309398.438</v>
      </c>
      <c r="M4669" s="471">
        <f t="shared" si="194"/>
        <v>0.05</v>
      </c>
      <c r="N4669" s="475">
        <f t="shared" si="195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93"/>
        <v>-28281730309398.438</v>
      </c>
      <c r="J4670" s="455">
        <f t="array" ref="J4670">IFERROR(INDEX('Retirement Calculator'!J:J,MATCH('Isaac 401k'!N4670,'Retirement Calculator'!A:A,0),0),0)</f>
        <v>0</v>
      </c>
      <c r="K4670" s="455">
        <f t="shared" ca="1" si="191"/>
        <v>-117840542955.82683</v>
      </c>
      <c r="L4670" s="455">
        <f t="shared" ca="1" si="192"/>
        <v>-28399570852354.266</v>
      </c>
      <c r="M4670" s="471">
        <f t="shared" si="194"/>
        <v>0.05</v>
      </c>
      <c r="N4670" s="475">
        <f t="shared" si="195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93"/>
        <v>-28399570852354.266</v>
      </c>
      <c r="J4671" s="455">
        <f t="array" ref="J4671">IFERROR(INDEX('Retirement Calculator'!J:J,MATCH('Isaac 401k'!N4671,'Retirement Calculator'!A:A,0),0),0)</f>
        <v>0</v>
      </c>
      <c r="K4671" s="455">
        <f t="shared" ca="1" si="191"/>
        <v>-118331545218.14276</v>
      </c>
      <c r="L4671" s="455">
        <f t="shared" ca="1" si="192"/>
        <v>-28517902397572.41</v>
      </c>
      <c r="M4671" s="471">
        <f t="shared" si="194"/>
        <v>0.05</v>
      </c>
      <c r="N4671" s="475">
        <f t="shared" si="195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93"/>
        <v>-28517902397572.41</v>
      </c>
      <c r="J4672" s="455">
        <f t="array" ref="J4672">IFERROR(INDEX('Retirement Calculator'!J:J,MATCH('Isaac 401k'!N4672,'Retirement Calculator'!A:A,0),0),0)</f>
        <v>0</v>
      </c>
      <c r="K4672" s="455">
        <f t="shared" ca="1" si="191"/>
        <v>-118824593323.21835</v>
      </c>
      <c r="L4672" s="455">
        <f t="shared" ca="1" si="192"/>
        <v>-28636726990895.629</v>
      </c>
      <c r="M4672" s="471">
        <f t="shared" si="194"/>
        <v>0.05</v>
      </c>
      <c r="N4672" s="475">
        <f t="shared" si="195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93"/>
        <v>-28636726990895.629</v>
      </c>
      <c r="J4673" s="455">
        <f t="array" ref="J4673">IFERROR(INDEX('Retirement Calculator'!J:J,MATCH('Isaac 401k'!N4673,'Retirement Calculator'!A:A,0),0),0)</f>
        <v>0</v>
      </c>
      <c r="K4673" s="455">
        <f t="shared" ca="1" si="191"/>
        <v>-119319695795.39845</v>
      </c>
      <c r="L4673" s="455">
        <f t="shared" ca="1" si="192"/>
        <v>-28756046686691.027</v>
      </c>
      <c r="M4673" s="471">
        <f t="shared" si="194"/>
        <v>0.05</v>
      </c>
      <c r="N4673" s="475">
        <f t="shared" si="195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93"/>
        <v>-28756046686691.027</v>
      </c>
      <c r="J4674" s="455">
        <f t="array" ref="J4674">IFERROR(INDEX('Retirement Calculator'!J:J,MATCH('Isaac 401k'!N4674,'Retirement Calculator'!A:A,0),0),0)</f>
        <v>0</v>
      </c>
      <c r="K4674" s="455">
        <f t="shared" ca="1" si="191"/>
        <v>-119816861194.54594</v>
      </c>
      <c r="L4674" s="455">
        <f t="shared" ca="1" si="192"/>
        <v>-28875863547885.574</v>
      </c>
      <c r="M4674" s="471">
        <f t="shared" si="194"/>
        <v>0.05</v>
      </c>
      <c r="N4674" s="475">
        <f t="shared" si="195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93"/>
        <v>-28875863547885.574</v>
      </c>
      <c r="J4675" s="455">
        <f t="array" ref="J4675">IFERROR(INDEX('Retirement Calculator'!J:J,MATCH('Isaac 401k'!N4675,'Retirement Calculator'!A:A,0),0),0)</f>
        <v>0</v>
      </c>
      <c r="K4675" s="455">
        <f t="shared" ca="1" si="191"/>
        <v>-120316098116.1899</v>
      </c>
      <c r="L4675" s="455">
        <f t="shared" ca="1" si="192"/>
        <v>-28996179646001.766</v>
      </c>
      <c r="M4675" s="471">
        <f t="shared" si="194"/>
        <v>0.05</v>
      </c>
      <c r="N4675" s="475">
        <f t="shared" si="195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93"/>
        <v>-28996179646001.766</v>
      </c>
      <c r="J4676" s="455">
        <f t="array" ref="J4676">IFERROR(INDEX('Retirement Calculator'!J:J,MATCH('Isaac 401k'!N4676,'Retirement Calculator'!A:A,0),0),0)</f>
        <v>0</v>
      </c>
      <c r="K4676" s="455">
        <f t="shared" ca="1" si="191"/>
        <v>-120817415191.67401</v>
      </c>
      <c r="L4676" s="455">
        <f t="shared" ca="1" si="192"/>
        <v>-29116997061193.441</v>
      </c>
      <c r="M4676" s="471">
        <f t="shared" si="194"/>
        <v>0.05</v>
      </c>
      <c r="N4676" s="475">
        <f t="shared" si="195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93"/>
        <v>-29116997061193.441</v>
      </c>
      <c r="J4677" s="455">
        <f t="array" ref="J4677">IFERROR(INDEX('Retirement Calculator'!J:J,MATCH('Isaac 401k'!N4677,'Retirement Calculator'!A:A,0),0),0)</f>
        <v>0</v>
      </c>
      <c r="K4677" s="455">
        <f t="shared" ca="1" si="191"/>
        <v>-121320821088.30598</v>
      </c>
      <c r="L4677" s="455">
        <f t="shared" ca="1" si="192"/>
        <v>-29238317882281.746</v>
      </c>
      <c r="M4677" s="471">
        <f t="shared" si="194"/>
        <v>0.05</v>
      </c>
      <c r="N4677" s="475">
        <f t="shared" si="195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93"/>
        <v>-29238317882281.746</v>
      </c>
      <c r="J4678" s="455">
        <f t="array" ref="J4678">IFERROR(INDEX('Retirement Calculator'!J:J,MATCH('Isaac 401k'!N4678,'Retirement Calculator'!A:A,0),0),0)</f>
        <v>0</v>
      </c>
      <c r="K4678" s="455">
        <f t="shared" ca="1" si="191"/>
        <v>-121826324509.50728</v>
      </c>
      <c r="L4678" s="455">
        <f t="shared" ca="1" si="192"/>
        <v>-29360144206791.254</v>
      </c>
      <c r="M4678" s="471">
        <f t="shared" si="194"/>
        <v>0.05</v>
      </c>
      <c r="N4678" s="475">
        <f t="shared" si="195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93"/>
        <v>-29360144206791.254</v>
      </c>
      <c r="J4679" s="455">
        <f t="array" ref="J4679">IFERROR(INDEX('Retirement Calculator'!J:J,MATCH('Isaac 401k'!N4679,'Retirement Calculator'!A:A,0),0),0)</f>
        <v>0</v>
      </c>
      <c r="K4679" s="455">
        <f t="shared" ca="1" si="191"/>
        <v>-122333934194.96356</v>
      </c>
      <c r="L4679" s="455">
        <f t="shared" ca="1" si="192"/>
        <v>-29482478140986.219</v>
      </c>
      <c r="M4679" s="471">
        <f t="shared" si="194"/>
        <v>0.05</v>
      </c>
      <c r="N4679" s="475">
        <f t="shared" si="195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93"/>
        <v>-29482478140986.219</v>
      </c>
      <c r="J4680" s="455">
        <f t="array" ref="J4680">IFERROR(INDEX('Retirement Calculator'!J:J,MATCH('Isaac 401k'!N4680,'Retirement Calculator'!A:A,0),0),0)</f>
        <v>0</v>
      </c>
      <c r="K4680" s="455">
        <f t="shared" ca="1" si="191"/>
        <v>-122843658920.77591</v>
      </c>
      <c r="L4680" s="455">
        <f t="shared" ca="1" si="192"/>
        <v>-29605321799906.996</v>
      </c>
      <c r="M4680" s="471">
        <f t="shared" si="194"/>
        <v>0.05</v>
      </c>
      <c r="N4680" s="475">
        <f t="shared" si="195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93"/>
        <v>-29605321799906.996</v>
      </c>
      <c r="J4681" s="455">
        <f t="array" ref="J4681">IFERROR(INDEX('Retirement Calculator'!J:J,MATCH('Isaac 401k'!N4681,'Retirement Calculator'!A:A,0),0),0)</f>
        <v>0</v>
      </c>
      <c r="K4681" s="455">
        <f t="shared" ca="1" si="191"/>
        <v>-123355507499.61247</v>
      </c>
      <c r="L4681" s="455">
        <f t="shared" ca="1" si="192"/>
        <v>-29728677307406.609</v>
      </c>
      <c r="M4681" s="471">
        <f t="shared" si="194"/>
        <v>0.05</v>
      </c>
      <c r="N4681" s="475">
        <f t="shared" si="195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93"/>
        <v>-29728677307406.609</v>
      </c>
      <c r="J4682" s="455">
        <f t="array" ref="J4682">IFERROR(INDEX('Retirement Calculator'!J:J,MATCH('Isaac 401k'!N4682,'Retirement Calculator'!A:A,0),0),0)</f>
        <v>0</v>
      </c>
      <c r="K4682" s="455">
        <f t="shared" ca="1" si="191"/>
        <v>-123869488780.86086</v>
      </c>
      <c r="L4682" s="455">
        <f t="shared" ca="1" si="192"/>
        <v>-29852546796187.469</v>
      </c>
      <c r="M4682" s="471">
        <f t="shared" si="194"/>
        <v>0.05</v>
      </c>
      <c r="N4682" s="475">
        <f t="shared" si="195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93"/>
        <v>-29852546796187.469</v>
      </c>
      <c r="J4683" s="455">
        <f t="array" ref="J4683">IFERROR(INDEX('Retirement Calculator'!J:J,MATCH('Isaac 401k'!N4683,'Retirement Calculator'!A:A,0),0),0)</f>
        <v>0</v>
      </c>
      <c r="K4683" s="455">
        <f t="shared" ca="1" si="191"/>
        <v>-124385611650.7811</v>
      </c>
      <c r="L4683" s="455">
        <f t="shared" ca="1" si="192"/>
        <v>-29976932407838.25</v>
      </c>
      <c r="M4683" s="471">
        <f t="shared" si="194"/>
        <v>0.05</v>
      </c>
      <c r="N4683" s="475">
        <f t="shared" si="195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93"/>
        <v>-29976932407838.25</v>
      </c>
      <c r="J4684" s="455">
        <f t="array" ref="J4684">IFERROR(INDEX('Retirement Calculator'!J:J,MATCH('Isaac 401k'!N4684,'Retirement Calculator'!A:A,0),0),0)</f>
        <v>0</v>
      </c>
      <c r="K4684" s="455">
        <f t="shared" ca="1" si="191"/>
        <v>-124903885032.65938</v>
      </c>
      <c r="L4684" s="455">
        <f t="shared" ca="1" si="192"/>
        <v>-30101836292870.91</v>
      </c>
      <c r="M4684" s="471">
        <f t="shared" si="194"/>
        <v>0.05</v>
      </c>
      <c r="N4684" s="475">
        <f t="shared" si="195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93"/>
        <v>-30101836292870.91</v>
      </c>
      <c r="J4685" s="455">
        <f t="array" ref="J4685">IFERROR(INDEX('Retirement Calculator'!J:J,MATCH('Isaac 401k'!N4685,'Retirement Calculator'!A:A,0),0),0)</f>
        <v>0</v>
      </c>
      <c r="K4685" s="455">
        <f t="shared" ca="1" si="191"/>
        <v>-125424317886.96211</v>
      </c>
      <c r="L4685" s="455">
        <f t="shared" ca="1" si="192"/>
        <v>-30227260610757.871</v>
      </c>
      <c r="M4685" s="471">
        <f t="shared" si="194"/>
        <v>0.05</v>
      </c>
      <c r="N4685" s="475">
        <f t="shared" si="195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93"/>
        <v>-30227260610757.871</v>
      </c>
      <c r="J4686" s="455">
        <f t="array" ref="J4686">IFERROR(INDEX('Retirement Calculator'!J:J,MATCH('Isaac 401k'!N4686,'Retirement Calculator'!A:A,0),0),0)</f>
        <v>0</v>
      </c>
      <c r="K4686" s="455">
        <f t="shared" ca="1" si="191"/>
        <v>-125946919211.49113</v>
      </c>
      <c r="L4686" s="455">
        <f t="shared" ca="1" si="192"/>
        <v>-30353207529969.363</v>
      </c>
      <c r="M4686" s="471">
        <f t="shared" si="194"/>
        <v>0.05</v>
      </c>
      <c r="N4686" s="475">
        <f t="shared" si="195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93"/>
        <v>-30353207529969.363</v>
      </c>
      <c r="J4687" s="455">
        <f t="array" ref="J4687">IFERROR(INDEX('Retirement Calculator'!J:J,MATCH('Isaac 401k'!N4687,'Retirement Calculator'!A:A,0),0),0)</f>
        <v>0</v>
      </c>
      <c r="K4687" s="455">
        <f t="shared" ca="1" si="191"/>
        <v>-126471698041.53902</v>
      </c>
      <c r="L4687" s="455">
        <f t="shared" ca="1" si="192"/>
        <v>-30479679228010.902</v>
      </c>
      <c r="M4687" s="471">
        <f t="shared" si="194"/>
        <v>0.05</v>
      </c>
      <c r="N4687" s="475">
        <f t="shared" si="195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93"/>
        <v>-30479679228010.902</v>
      </c>
      <c r="J4688" s="455">
        <f t="array" ref="J4688">IFERROR(INDEX('Retirement Calculator'!J:J,MATCH('Isaac 401k'!N4688,'Retirement Calculator'!A:A,0),0),0)</f>
        <v>0</v>
      </c>
      <c r="K4688" s="455">
        <f t="shared" ca="1" si="191"/>
        <v>-126998663450.04543</v>
      </c>
      <c r="L4688" s="455">
        <f t="shared" ca="1" si="192"/>
        <v>-30606677891460.949</v>
      </c>
      <c r="M4688" s="471">
        <f t="shared" si="194"/>
        <v>0.05</v>
      </c>
      <c r="N4688" s="475">
        <f t="shared" si="195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93"/>
        <v>-30606677891460.949</v>
      </c>
      <c r="J4689" s="455">
        <f t="array" ref="J4689">IFERROR(INDEX('Retirement Calculator'!J:J,MATCH('Isaac 401k'!N4689,'Retirement Calculator'!A:A,0),0),0)</f>
        <v>0</v>
      </c>
      <c r="K4689" s="455">
        <f t="shared" ca="1" si="191"/>
        <v>-127527824547.75397</v>
      </c>
      <c r="L4689" s="455">
        <f t="shared" ca="1" si="192"/>
        <v>-30734205716008.703</v>
      </c>
      <c r="M4689" s="471">
        <f t="shared" si="194"/>
        <v>0.05</v>
      </c>
      <c r="N4689" s="475">
        <f t="shared" si="195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93"/>
        <v>-30734205716008.703</v>
      </c>
      <c r="J4690" s="455">
        <f t="array" ref="J4690">IFERROR(INDEX('Retirement Calculator'!J:J,MATCH('Isaac 401k'!N4690,'Retirement Calculator'!A:A,0),0),0)</f>
        <v>0</v>
      </c>
      <c r="K4690" s="455">
        <f t="shared" ca="1" si="191"/>
        <v>-128059190483.36958</v>
      </c>
      <c r="L4690" s="455">
        <f t="shared" ca="1" si="192"/>
        <v>-30862264906492.074</v>
      </c>
      <c r="M4690" s="471">
        <f t="shared" si="194"/>
        <v>0.05</v>
      </c>
      <c r="N4690" s="475">
        <f t="shared" si="195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93"/>
        <v>-30862264906492.074</v>
      </c>
      <c r="J4691" s="455">
        <f t="array" ref="J4691">IFERROR(INDEX('Retirement Calculator'!J:J,MATCH('Isaac 401k'!N4691,'Retirement Calculator'!A:A,0),0),0)</f>
        <v>0</v>
      </c>
      <c r="K4691" s="455">
        <f t="shared" ca="1" si="191"/>
        <v>-128592770443.71696</v>
      </c>
      <c r="L4691" s="455">
        <f t="shared" ca="1" si="192"/>
        <v>-30990857676935.793</v>
      </c>
      <c r="M4691" s="471">
        <f t="shared" si="194"/>
        <v>0.05</v>
      </c>
      <c r="N4691" s="475">
        <f t="shared" si="195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93"/>
        <v>-30990857676935.793</v>
      </c>
      <c r="J4692" s="455">
        <f t="array" ref="J4692">IFERROR(INDEX('Retirement Calculator'!J:J,MATCH('Isaac 401k'!N4692,'Retirement Calculator'!A:A,0),0),0)</f>
        <v>0</v>
      </c>
      <c r="K4692" s="455">
        <f t="shared" ca="1" si="191"/>
        <v>-129128573653.89915</v>
      </c>
      <c r="L4692" s="455">
        <f t="shared" ca="1" si="192"/>
        <v>-31119986250589.691</v>
      </c>
      <c r="M4692" s="471">
        <f t="shared" si="194"/>
        <v>0.05</v>
      </c>
      <c r="N4692" s="475">
        <f t="shared" si="195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93"/>
        <v>-31119986250589.691</v>
      </c>
      <c r="J4693" s="455">
        <f t="array" ref="J4693">IFERROR(INDEX('Retirement Calculator'!J:J,MATCH('Isaac 401k'!N4693,'Retirement Calculator'!A:A,0),0),0)</f>
        <v>0</v>
      </c>
      <c r="K4693" s="455">
        <f t="shared" ca="1" si="191"/>
        <v>-129666609377.45706</v>
      </c>
      <c r="L4693" s="455">
        <f t="shared" ca="1" si="192"/>
        <v>-31249652859967.148</v>
      </c>
      <c r="M4693" s="471">
        <f t="shared" si="194"/>
        <v>0.05</v>
      </c>
      <c r="N4693" s="475">
        <f t="shared" si="195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93"/>
        <v>-31249652859967.148</v>
      </c>
      <c r="J4694" s="455">
        <f t="array" ref="J4694">IFERROR(INDEX('Retirement Calculator'!J:J,MATCH('Isaac 401k'!N4694,'Retirement Calculator'!A:A,0),0),0)</f>
        <v>0</v>
      </c>
      <c r="K4694" s="455">
        <f t="shared" ca="1" si="191"/>
        <v>-130206886916.52979</v>
      </c>
      <c r="L4694" s="455">
        <f t="shared" ca="1" si="192"/>
        <v>-31379859746883.68</v>
      </c>
      <c r="M4694" s="471">
        <f t="shared" si="194"/>
        <v>0.05</v>
      </c>
      <c r="N4694" s="475">
        <f t="shared" si="195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93"/>
        <v>-31379859746883.68</v>
      </c>
      <c r="J4695" s="455">
        <f t="array" ref="J4695">IFERROR(INDEX('Retirement Calculator'!J:J,MATCH('Isaac 401k'!N4695,'Retirement Calculator'!A:A,0),0),0)</f>
        <v>0</v>
      </c>
      <c r="K4695" s="455">
        <f t="shared" ca="1" si="191"/>
        <v>-130749415612.01534</v>
      </c>
      <c r="L4695" s="455">
        <f t="shared" ca="1" si="192"/>
        <v>-31510609162495.695</v>
      </c>
      <c r="M4695" s="471">
        <f t="shared" si="194"/>
        <v>0.05</v>
      </c>
      <c r="N4695" s="475">
        <f t="shared" si="195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93"/>
        <v>-31510609162495.695</v>
      </c>
      <c r="J4696" s="455">
        <f t="array" ref="J4696">IFERROR(INDEX('Retirement Calculator'!J:J,MATCH('Isaac 401k'!N4696,'Retirement Calculator'!A:A,0),0),0)</f>
        <v>0</v>
      </c>
      <c r="K4696" s="455">
        <f t="shared" ca="1" si="191"/>
        <v>-131294204843.73206</v>
      </c>
      <c r="L4696" s="455">
        <f t="shared" ca="1" si="192"/>
        <v>-31641903367339.426</v>
      </c>
      <c r="M4696" s="471">
        <f t="shared" si="194"/>
        <v>0.05</v>
      </c>
      <c r="N4696" s="475">
        <f t="shared" si="195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93"/>
        <v>-31641903367339.426</v>
      </c>
      <c r="J4697" s="455">
        <f t="array" ref="J4697">IFERROR(INDEX('Retirement Calculator'!J:J,MATCH('Isaac 401k'!N4697,'Retirement Calculator'!A:A,0),0),0)</f>
        <v>0</v>
      </c>
      <c r="K4697" s="455">
        <f t="shared" ca="1" si="191"/>
        <v>-131841264030.58095</v>
      </c>
      <c r="L4697" s="455">
        <f t="shared" ca="1" si="192"/>
        <v>-31773744631370.008</v>
      </c>
      <c r="M4697" s="471">
        <f t="shared" si="194"/>
        <v>0.05</v>
      </c>
      <c r="N4697" s="475">
        <f t="shared" si="195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93"/>
        <v>-31773744631370.008</v>
      </c>
      <c r="J4698" s="455">
        <f t="array" ref="J4698">IFERROR(INDEX('Retirement Calculator'!J:J,MATCH('Isaac 401k'!N4698,'Retirement Calculator'!A:A,0),0),0)</f>
        <v>0</v>
      </c>
      <c r="K4698" s="455">
        <f t="shared" ca="1" si="191"/>
        <v>-132390602630.70836</v>
      </c>
      <c r="L4698" s="455">
        <f t="shared" ca="1" si="192"/>
        <v>-31906135234000.715</v>
      </c>
      <c r="M4698" s="471">
        <f t="shared" si="194"/>
        <v>0.05</v>
      </c>
      <c r="N4698" s="475">
        <f t="shared" si="195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93"/>
        <v>-31906135234000.715</v>
      </c>
      <c r="J4699" s="455">
        <f t="array" ref="J4699">IFERROR(INDEX('Retirement Calculator'!J:J,MATCH('Isaac 401k'!N4699,'Retirement Calculator'!A:A,0),0),0)</f>
        <v>0</v>
      </c>
      <c r="K4699" s="455">
        <f t="shared" ca="1" si="191"/>
        <v>-132942230141.66963</v>
      </c>
      <c r="L4699" s="455">
        <f t="shared" ca="1" si="192"/>
        <v>-32039077464142.383</v>
      </c>
      <c r="M4699" s="471">
        <f t="shared" si="194"/>
        <v>0.05</v>
      </c>
      <c r="N4699" s="475">
        <f t="shared" si="195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93"/>
        <v>-32039077464142.383</v>
      </c>
      <c r="J4700" s="455">
        <f t="array" ref="J4700">IFERROR(INDEX('Retirement Calculator'!J:J,MATCH('Isaac 401k'!N4700,'Retirement Calculator'!A:A,0),0),0)</f>
        <v>0</v>
      </c>
      <c r="K4700" s="455">
        <f t="shared" ca="1" si="191"/>
        <v>-133496156100.59326</v>
      </c>
      <c r="L4700" s="455">
        <f t="shared" ca="1" si="192"/>
        <v>-32172573620242.977</v>
      </c>
      <c r="M4700" s="471">
        <f t="shared" si="194"/>
        <v>0.05</v>
      </c>
      <c r="N4700" s="475">
        <f t="shared" si="195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93"/>
        <v>-32172573620242.977</v>
      </c>
      <c r="J4701" s="455">
        <f t="array" ref="J4701">IFERROR(INDEX('Retirement Calculator'!J:J,MATCH('Isaac 401k'!N4701,'Retirement Calculator'!A:A,0),0),0)</f>
        <v>0</v>
      </c>
      <c r="K4701" s="455">
        <f t="shared" ca="1" si="191"/>
        <v>-134052390084.34573</v>
      </c>
      <c r="L4701" s="455">
        <f t="shared" ca="1" si="192"/>
        <v>-32306626010327.324</v>
      </c>
      <c r="M4701" s="471">
        <f t="shared" si="194"/>
        <v>0.05</v>
      </c>
      <c r="N4701" s="475">
        <f t="shared" si="195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93"/>
        <v>-32306626010327.324</v>
      </c>
      <c r="J4702" s="455">
        <f t="array" ref="J4702">IFERROR(INDEX('Retirement Calculator'!J:J,MATCH('Isaac 401k'!N4702,'Retirement Calculator'!A:A,0),0),0)</f>
        <v>0</v>
      </c>
      <c r="K4702" s="455">
        <f t="shared" ca="1" si="191"/>
        <v>-134610941709.6972</v>
      </c>
      <c r="L4702" s="455">
        <f t="shared" ca="1" si="192"/>
        <v>-32441236952037.02</v>
      </c>
      <c r="M4702" s="471">
        <f t="shared" si="194"/>
        <v>0.05</v>
      </c>
      <c r="N4702" s="475">
        <f t="shared" si="195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93"/>
        <v>-32441236952037.02</v>
      </c>
      <c r="J4703" s="455">
        <f t="array" ref="J4703">IFERROR(INDEX('Retirement Calculator'!J:J,MATCH('Isaac 401k'!N4703,'Retirement Calculator'!A:A,0),0),0)</f>
        <v>0</v>
      </c>
      <c r="K4703" s="455">
        <f t="shared" ca="1" si="191"/>
        <v>-135171820633.48759</v>
      </c>
      <c r="L4703" s="455">
        <f t="shared" ca="1" si="192"/>
        <v>-32576408772670.508</v>
      </c>
      <c r="M4703" s="471">
        <f t="shared" si="194"/>
        <v>0.05</v>
      </c>
      <c r="N4703" s="475">
        <f t="shared" si="195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93"/>
        <v>-32576408772670.508</v>
      </c>
      <c r="J4704" s="455">
        <f t="array" ref="J4704">IFERROR(INDEX('Retirement Calculator'!J:J,MATCH('Isaac 401k'!N4704,'Retirement Calculator'!A:A,0),0),0)</f>
        <v>0</v>
      </c>
      <c r="K4704" s="455">
        <f t="shared" ca="1" si="191"/>
        <v>-135735036552.79379</v>
      </c>
      <c r="L4704" s="455">
        <f t="shared" ca="1" si="192"/>
        <v>-32712143809223.301</v>
      </c>
      <c r="M4704" s="471">
        <f t="shared" si="194"/>
        <v>0.05</v>
      </c>
      <c r="N4704" s="475">
        <f t="shared" si="195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93"/>
        <v>-32712143809223.301</v>
      </c>
      <c r="J4705" s="455">
        <f t="array" ref="J4705">IFERROR(INDEX('Retirement Calculator'!J:J,MATCH('Isaac 401k'!N4705,'Retirement Calculator'!A:A,0),0),0)</f>
        <v>0</v>
      </c>
      <c r="K4705" s="455">
        <f t="shared" ca="1" si="191"/>
        <v>-136300599205.09709</v>
      </c>
      <c r="L4705" s="455">
        <f t="shared" ca="1" si="192"/>
        <v>-32848444408428.398</v>
      </c>
      <c r="M4705" s="471">
        <f t="shared" si="194"/>
        <v>0.05</v>
      </c>
      <c r="N4705" s="475">
        <f t="shared" si="195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93"/>
        <v>-32848444408428.398</v>
      </c>
      <c r="J4706" s="455">
        <f t="array" ref="J4706">IFERROR(INDEX('Retirement Calculator'!J:J,MATCH('Isaac 401k'!N4706,'Retirement Calculator'!A:A,0),0),0)</f>
        <v>0</v>
      </c>
      <c r="K4706" s="455">
        <f t="shared" ca="1" si="191"/>
        <v>-136868518368.45164</v>
      </c>
      <c r="L4706" s="455">
        <f t="shared" ca="1" si="192"/>
        <v>-32985312926796.852</v>
      </c>
      <c r="M4706" s="471">
        <f t="shared" si="194"/>
        <v>0.05</v>
      </c>
      <c r="N4706" s="475">
        <f t="shared" si="195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93"/>
        <v>-32985312926796.852</v>
      </c>
      <c r="J4707" s="455">
        <f t="array" ref="J4707">IFERROR(INDEX('Retirement Calculator'!J:J,MATCH('Isaac 401k'!N4707,'Retirement Calculator'!A:A,0),0),0)</f>
        <v>0</v>
      </c>
      <c r="K4707" s="455">
        <f t="shared" ca="1" si="191"/>
        <v>-137438803861.65356</v>
      </c>
      <c r="L4707" s="455">
        <f t="shared" ca="1" si="192"/>
        <v>-33122751730658.504</v>
      </c>
      <c r="M4707" s="471">
        <f t="shared" si="194"/>
        <v>0.05</v>
      </c>
      <c r="N4707" s="475">
        <f t="shared" si="195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93"/>
        <v>-33122751730658.504</v>
      </c>
      <c r="J4708" s="455">
        <f t="array" ref="J4708">IFERROR(INDEX('Retirement Calculator'!J:J,MATCH('Isaac 401k'!N4708,'Retirement Calculator'!A:A,0),0),0)</f>
        <v>0</v>
      </c>
      <c r="K4708" s="455">
        <f t="shared" ca="1" si="191"/>
        <v>-138011465544.41046</v>
      </c>
      <c r="L4708" s="455">
        <f t="shared" ca="1" si="192"/>
        <v>-33260763196202.914</v>
      </c>
      <c r="M4708" s="471">
        <f t="shared" si="194"/>
        <v>0.05</v>
      </c>
      <c r="N4708" s="475">
        <f t="shared" si="195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93"/>
        <v>-33260763196202.914</v>
      </c>
      <c r="J4709" s="455">
        <f t="array" ref="J4709">IFERROR(INDEX('Retirement Calculator'!J:J,MATCH('Isaac 401k'!N4709,'Retirement Calculator'!A:A,0),0),0)</f>
        <v>0</v>
      </c>
      <c r="K4709" s="455">
        <f t="shared" ca="1" si="191"/>
        <v>-138586513317.51215</v>
      </c>
      <c r="L4709" s="455">
        <f t="shared" ca="1" si="192"/>
        <v>-33399349709520.426</v>
      </c>
      <c r="M4709" s="471">
        <f t="shared" si="194"/>
        <v>0.05</v>
      </c>
      <c r="N4709" s="475">
        <f t="shared" si="195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93"/>
        <v>-33399349709520.426</v>
      </c>
      <c r="J4710" s="455">
        <f t="array" ref="J4710">IFERROR(INDEX('Retirement Calculator'!J:J,MATCH('Isaac 401k'!N4710,'Retirement Calculator'!A:A,0),0),0)</f>
        <v>0</v>
      </c>
      <c r="K4710" s="455">
        <f t="shared" ca="1" si="191"/>
        <v>-139163957123.00177</v>
      </c>
      <c r="L4710" s="455">
        <f t="shared" ca="1" si="192"/>
        <v>-33538513666643.426</v>
      </c>
      <c r="M4710" s="471">
        <f t="shared" si="194"/>
        <v>0.05</v>
      </c>
      <c r="N4710" s="475">
        <f t="shared" si="195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93"/>
        <v>-33538513666643.426</v>
      </c>
      <c r="J4711" s="455">
        <f t="array" ref="J4711">IFERROR(INDEX('Retirement Calculator'!J:J,MATCH('Isaac 401k'!N4711,'Retirement Calculator'!A:A,0),0),0)</f>
        <v>0</v>
      </c>
      <c r="K4711" s="455">
        <f t="shared" ca="1" si="191"/>
        <v>-139743806944.3476</v>
      </c>
      <c r="L4711" s="455">
        <f t="shared" ca="1" si="192"/>
        <v>-33678257473587.773</v>
      </c>
      <c r="M4711" s="471">
        <f t="shared" si="194"/>
        <v>0.05</v>
      </c>
      <c r="N4711" s="475">
        <f t="shared" si="195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93"/>
        <v>-33678257473587.773</v>
      </c>
      <c r="J4712" s="455">
        <f t="array" ref="J4712">IFERROR(INDEX('Retirement Calculator'!J:J,MATCH('Isaac 401k'!N4712,'Retirement Calculator'!A:A,0),0),0)</f>
        <v>0</v>
      </c>
      <c r="K4712" s="455">
        <f t="shared" ca="1" si="191"/>
        <v>-140326072806.61572</v>
      </c>
      <c r="L4712" s="455">
        <f t="shared" ca="1" si="192"/>
        <v>-33818583546394.391</v>
      </c>
      <c r="M4712" s="471">
        <f t="shared" si="194"/>
        <v>0.05</v>
      </c>
      <c r="N4712" s="475">
        <f t="shared" si="195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93"/>
        <v>-33818583546394.391</v>
      </c>
      <c r="J4713" s="455">
        <f t="array" ref="J4713">IFERROR(INDEX('Retirement Calculator'!J:J,MATCH('Isaac 401k'!N4713,'Retirement Calculator'!A:A,0),0),0)</f>
        <v>0</v>
      </c>
      <c r="K4713" s="455">
        <f t="shared" ca="1" si="191"/>
        <v>-140910764776.64328</v>
      </c>
      <c r="L4713" s="455">
        <f t="shared" ca="1" si="192"/>
        <v>-33959494311171.035</v>
      </c>
      <c r="M4713" s="471">
        <f t="shared" si="194"/>
        <v>0.05</v>
      </c>
      <c r="N4713" s="475">
        <f t="shared" si="195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93"/>
        <v>-33959494311171.035</v>
      </c>
      <c r="J4714" s="455">
        <f t="array" ref="J4714">IFERROR(INDEX('Retirement Calculator'!J:J,MATCH('Isaac 401k'!N4714,'Retirement Calculator'!A:A,0),0),0)</f>
        <v>0</v>
      </c>
      <c r="K4714" s="455">
        <f t="shared" ca="1" si="191"/>
        <v>-141497892963.21265</v>
      </c>
      <c r="L4714" s="455">
        <f t="shared" ca="1" si="192"/>
        <v>-34100992204134.246</v>
      </c>
      <c r="M4714" s="471">
        <f t="shared" si="194"/>
        <v>0.05</v>
      </c>
      <c r="N4714" s="475">
        <f t="shared" si="195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93"/>
        <v>-34100992204134.246</v>
      </c>
      <c r="J4715" s="455">
        <f t="array" ref="J4715">IFERROR(INDEX('Retirement Calculator'!J:J,MATCH('Isaac 401k'!N4715,'Retirement Calculator'!A:A,0),0),0)</f>
        <v>0</v>
      </c>
      <c r="K4715" s="455">
        <f t="shared" ca="1" si="191"/>
        <v>-142087467517.22601</v>
      </c>
      <c r="L4715" s="455">
        <f t="shared" ca="1" si="192"/>
        <v>-34243079671651.473</v>
      </c>
      <c r="M4715" s="471">
        <f t="shared" si="194"/>
        <v>0.05</v>
      </c>
      <c r="N4715" s="475">
        <f t="shared" si="195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93"/>
        <v>-34243079671651.473</v>
      </c>
      <c r="J4716" s="455">
        <f t="array" ref="J4716">IFERROR(INDEX('Retirement Calculator'!J:J,MATCH('Isaac 401k'!N4716,'Retirement Calculator'!A:A,0),0),0)</f>
        <v>0</v>
      </c>
      <c r="K4716" s="455">
        <f t="shared" ca="1" si="191"/>
        <v>-142679498631.88113</v>
      </c>
      <c r="L4716" s="455">
        <f t="shared" ca="1" si="192"/>
        <v>-34385759170283.355</v>
      </c>
      <c r="M4716" s="471">
        <f t="shared" si="194"/>
        <v>0.05</v>
      </c>
      <c r="N4716" s="475">
        <f t="shared" si="195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93"/>
        <v>-34385759170283.355</v>
      </c>
      <c r="J4717" s="455">
        <f t="array" ref="J4717">IFERROR(INDEX('Retirement Calculator'!J:J,MATCH('Isaac 401k'!N4717,'Retirement Calculator'!A:A,0),0),0)</f>
        <v>0</v>
      </c>
      <c r="K4717" s="455">
        <f t="shared" ca="1" si="191"/>
        <v>-143273996542.84732</v>
      </c>
      <c r="L4717" s="455">
        <f t="shared" ca="1" si="192"/>
        <v>-34529033166826.203</v>
      </c>
      <c r="M4717" s="471">
        <f t="shared" si="194"/>
        <v>0.05</v>
      </c>
      <c r="N4717" s="475">
        <f t="shared" si="195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93"/>
        <v>-34529033166826.203</v>
      </c>
      <c r="J4718" s="455">
        <f t="array" ref="J4718">IFERROR(INDEX('Retirement Calculator'!J:J,MATCH('Isaac 401k'!N4718,'Retirement Calculator'!A:A,0),0),0)</f>
        <v>0</v>
      </c>
      <c r="K4718" s="455">
        <f t="shared" ca="1" si="191"/>
        <v>-143870971528.4425</v>
      </c>
      <c r="L4718" s="455">
        <f t="shared" ca="1" si="192"/>
        <v>-34672904138354.645</v>
      </c>
      <c r="M4718" s="471">
        <f t="shared" si="194"/>
        <v>0.05</v>
      </c>
      <c r="N4718" s="475">
        <f t="shared" si="195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93"/>
        <v>-34672904138354.645</v>
      </c>
      <c r="J4719" s="455">
        <f t="array" ref="J4719">IFERROR(INDEX('Retirement Calculator'!J:J,MATCH('Isaac 401k'!N4719,'Retirement Calculator'!A:A,0),0),0)</f>
        <v>0</v>
      </c>
      <c r="K4719" s="455">
        <f t="shared" ca="1" si="191"/>
        <v>-144470433909.81104</v>
      </c>
      <c r="L4719" s="455">
        <f t="shared" ca="1" si="192"/>
        <v>-34817374572264.457</v>
      </c>
      <c r="M4719" s="471">
        <f t="shared" si="194"/>
        <v>0.05</v>
      </c>
      <c r="N4719" s="475">
        <f t="shared" si="195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93"/>
        <v>-34817374572264.457</v>
      </c>
      <c r="J4720" s="455">
        <f t="array" ref="J4720">IFERROR(INDEX('Retirement Calculator'!J:J,MATCH('Isaac 401k'!N4720,'Retirement Calculator'!A:A,0),0),0)</f>
        <v>0</v>
      </c>
      <c r="K4720" s="455">
        <f t="shared" ca="1" si="191"/>
        <v>-145072394051.10193</v>
      </c>
      <c r="L4720" s="455">
        <f t="shared" ca="1" si="192"/>
        <v>-34962446966315.559</v>
      </c>
      <c r="M4720" s="471">
        <f t="shared" si="194"/>
        <v>0.05</v>
      </c>
      <c r="N4720" s="475">
        <f t="shared" si="195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93"/>
        <v>-34962446966315.559</v>
      </c>
      <c r="J4721" s="455">
        <f t="array" ref="J4721">IFERROR(INDEX('Retirement Calculator'!J:J,MATCH('Isaac 401k'!N4721,'Retirement Calculator'!A:A,0),0),0)</f>
        <v>0</v>
      </c>
      <c r="K4721" s="455">
        <f t="shared" ca="1" si="191"/>
        <v>-145676862359.64813</v>
      </c>
      <c r="L4721" s="455">
        <f t="shared" ca="1" si="192"/>
        <v>-35108123828675.207</v>
      </c>
      <c r="M4721" s="471">
        <f t="shared" si="194"/>
        <v>0.05</v>
      </c>
      <c r="N4721" s="475">
        <f t="shared" si="195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93"/>
        <v>-35108123828675.207</v>
      </c>
      <c r="J4722" s="455">
        <f t="array" ref="J4722">IFERROR(INDEX('Retirement Calculator'!J:J,MATCH('Isaac 401k'!N4722,'Retirement Calculator'!A:A,0),0),0)</f>
        <v>0</v>
      </c>
      <c r="K4722" s="455">
        <f t="shared" ca="1" si="191"/>
        <v>-146283849286.14667</v>
      </c>
      <c r="L4722" s="455">
        <f t="shared" ca="1" si="192"/>
        <v>-35254407677961.352</v>
      </c>
      <c r="M4722" s="471">
        <f t="shared" si="194"/>
        <v>0.05</v>
      </c>
      <c r="N4722" s="475">
        <f t="shared" si="195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93"/>
        <v>-35254407677961.352</v>
      </c>
      <c r="J4723" s="455">
        <f t="array" ref="J4723">IFERROR(INDEX('Retirement Calculator'!J:J,MATCH('Isaac 401k'!N4723,'Retirement Calculator'!A:A,0),0),0)</f>
        <v>0</v>
      </c>
      <c r="K4723" s="455">
        <f t="shared" ca="1" si="191"/>
        <v>-146893365324.83896</v>
      </c>
      <c r="L4723" s="455">
        <f t="shared" ca="1" si="192"/>
        <v>-35401301043286.188</v>
      </c>
      <c r="M4723" s="471">
        <f t="shared" si="194"/>
        <v>0.05</v>
      </c>
      <c r="N4723" s="475">
        <f t="shared" si="195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93"/>
        <v>-35401301043286.188</v>
      </c>
      <c r="J4724" s="455">
        <f t="array" ref="J4724">IFERROR(INDEX('Retirement Calculator'!J:J,MATCH('Isaac 401k'!N4724,'Retirement Calculator'!A:A,0),0),0)</f>
        <v>0</v>
      </c>
      <c r="K4724" s="455">
        <f t="shared" ca="1" si="191"/>
        <v>-147505421013.69244</v>
      </c>
      <c r="L4724" s="455">
        <f t="shared" ca="1" si="192"/>
        <v>-35548806464299.883</v>
      </c>
      <c r="M4724" s="471">
        <f t="shared" si="194"/>
        <v>0.05</v>
      </c>
      <c r="N4724" s="475">
        <f t="shared" si="195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93"/>
        <v>-35548806464299.883</v>
      </c>
      <c r="J4725" s="455">
        <f t="array" ref="J4725">IFERROR(INDEX('Retirement Calculator'!J:J,MATCH('Isaac 401k'!N4725,'Retirement Calculator'!A:A,0),0),0)</f>
        <v>0</v>
      </c>
      <c r="K4725" s="455">
        <f t="shared" ca="1" si="191"/>
        <v>-148120026934.58286</v>
      </c>
      <c r="L4725" s="455">
        <f t="shared" ca="1" si="192"/>
        <v>-35696926491234.469</v>
      </c>
      <c r="M4725" s="471">
        <f t="shared" si="194"/>
        <v>0.05</v>
      </c>
      <c r="N4725" s="475">
        <f t="shared" si="195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93"/>
        <v>-35696926491234.469</v>
      </c>
      <c r="J4726" s="455">
        <f t="array" ref="J4726">IFERROR(INDEX('Retirement Calculator'!J:J,MATCH('Isaac 401k'!N4726,'Retirement Calculator'!A:A,0),0),0)</f>
        <v>0</v>
      </c>
      <c r="K4726" s="455">
        <f t="shared" ca="1" si="191"/>
        <v>-148737193713.47696</v>
      </c>
      <c r="L4726" s="455">
        <f t="shared" ca="1" si="192"/>
        <v>-35845663684947.945</v>
      </c>
      <c r="M4726" s="471">
        <f t="shared" si="194"/>
        <v>0.05</v>
      </c>
      <c r="N4726" s="475">
        <f t="shared" si="195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93"/>
        <v>-35845663684947.945</v>
      </c>
      <c r="J4727" s="455">
        <f t="array" ref="J4727">IFERROR(INDEX('Retirement Calculator'!J:J,MATCH('Isaac 401k'!N4727,'Retirement Calculator'!A:A,0),0),0)</f>
        <v>0</v>
      </c>
      <c r="K4727" s="455">
        <f t="shared" ca="1" si="191"/>
        <v>-149356932020.61642</v>
      </c>
      <c r="L4727" s="455">
        <f t="shared" ca="1" si="192"/>
        <v>-35995020616968.563</v>
      </c>
      <c r="M4727" s="471">
        <f t="shared" si="194"/>
        <v>0.05</v>
      </c>
      <c r="N4727" s="475">
        <f t="shared" si="195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93"/>
        <v>-35995020616968.563</v>
      </c>
      <c r="J4728" s="455">
        <f t="array" ref="J4728">IFERROR(INDEX('Retirement Calculator'!J:J,MATCH('Isaac 401k'!N4728,'Retirement Calculator'!A:A,0),0),0)</f>
        <v>0</v>
      </c>
      <c r="K4728" s="455">
        <f t="shared" ca="1" si="191"/>
        <v>-149979252570.70233</v>
      </c>
      <c r="L4728" s="455">
        <f t="shared" ca="1" si="192"/>
        <v>-36144999869539.266</v>
      </c>
      <c r="M4728" s="471">
        <f t="shared" si="194"/>
        <v>0.05</v>
      </c>
      <c r="N4728" s="475">
        <f t="shared" si="195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93"/>
        <v>-36144999869539.266</v>
      </c>
      <c r="J4729" s="455">
        <f t="array" ref="J4729">IFERROR(INDEX('Retirement Calculator'!J:J,MATCH('Isaac 401k'!N4729,'Retirement Calculator'!A:A,0),0),0)</f>
        <v>0</v>
      </c>
      <c r="K4729" s="455">
        <f t="shared" ca="1" si="191"/>
        <v>-150604166123.08026</v>
      </c>
      <c r="L4729" s="455">
        <f t="shared" ca="1" si="192"/>
        <v>-36295604035662.344</v>
      </c>
      <c r="M4729" s="471">
        <f t="shared" si="194"/>
        <v>0.05</v>
      </c>
      <c r="N4729" s="475">
        <f t="shared" si="195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93"/>
        <v>-36295604035662.344</v>
      </c>
      <c r="J4730" s="455">
        <f t="array" ref="J4730">IFERROR(INDEX('Retirement Calculator'!J:J,MATCH('Isaac 401k'!N4730,'Retirement Calculator'!A:A,0),0),0)</f>
        <v>0</v>
      </c>
      <c r="K4730" s="455">
        <f t="shared" ca="1" si="191"/>
        <v>-151231683481.92642</v>
      </c>
      <c r="L4730" s="455">
        <f t="shared" ca="1" si="192"/>
        <v>-36446835719144.273</v>
      </c>
      <c r="M4730" s="471">
        <f t="shared" si="194"/>
        <v>0.05</v>
      </c>
      <c r="N4730" s="475">
        <f t="shared" si="195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93"/>
        <v>-36446835719144.273</v>
      </c>
      <c r="J4731" s="455">
        <f t="array" ref="J4731">IFERROR(INDEX('Retirement Calculator'!J:J,MATCH('Isaac 401k'!N4731,'Retirement Calculator'!A:A,0),0),0)</f>
        <v>0</v>
      </c>
      <c r="K4731" s="455">
        <f t="shared" ca="1" si="191"/>
        <v>-151861815496.43448</v>
      </c>
      <c r="L4731" s="455">
        <f t="shared" ca="1" si="192"/>
        <v>-36598697534640.711</v>
      </c>
      <c r="M4731" s="471">
        <f t="shared" si="194"/>
        <v>0.05</v>
      </c>
      <c r="N4731" s="475">
        <f t="shared" si="195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93"/>
        <v>-36598697534640.711</v>
      </c>
      <c r="J4732" s="455">
        <f t="array" ref="J4732">IFERROR(INDEX('Retirement Calculator'!J:J,MATCH('Isaac 401k'!N4732,'Retirement Calculator'!A:A,0),0),0)</f>
        <v>0</v>
      </c>
      <c r="K4732" s="455">
        <f t="shared" ca="1" si="191"/>
        <v>-152494573061.00296</v>
      </c>
      <c r="L4732" s="455">
        <f t="shared" ca="1" si="192"/>
        <v>-36751192107701.711</v>
      </c>
      <c r="M4732" s="471">
        <f t="shared" si="194"/>
        <v>0.05</v>
      </c>
      <c r="N4732" s="475">
        <f t="shared" si="195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93"/>
        <v>-36751192107701.711</v>
      </c>
      <c r="J4733" s="455">
        <f t="array" ref="J4733">IFERROR(INDEX('Retirement Calculator'!J:J,MATCH('Isaac 401k'!N4733,'Retirement Calculator'!A:A,0),0),0)</f>
        <v>0</v>
      </c>
      <c r="K4733" s="455">
        <f t="shared" ca="1" si="191"/>
        <v>-153129967115.4238</v>
      </c>
      <c r="L4733" s="455">
        <f t="shared" ca="1" si="192"/>
        <v>-36904322074817.133</v>
      </c>
      <c r="M4733" s="471">
        <f t="shared" si="194"/>
        <v>0.05</v>
      </c>
      <c r="N4733" s="475">
        <f t="shared" si="195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93"/>
        <v>-36904322074817.133</v>
      </c>
      <c r="J4734" s="455">
        <f t="array" ref="J4734">IFERROR(INDEX('Retirement Calculator'!J:J,MATCH('Isaac 401k'!N4734,'Retirement Calculator'!A:A,0),0),0)</f>
        <v>0</v>
      </c>
      <c r="K4734" s="455">
        <f t="shared" ca="1" si="191"/>
        <v>-153768008645.07138</v>
      </c>
      <c r="L4734" s="455">
        <f t="shared" ca="1" si="192"/>
        <v>-37058090083462.203</v>
      </c>
      <c r="M4734" s="471">
        <f t="shared" si="194"/>
        <v>0.05</v>
      </c>
      <c r="N4734" s="475">
        <f t="shared" si="195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93"/>
        <v>-37058090083462.203</v>
      </c>
      <c r="J4735" s="455">
        <f t="array" ref="J4735">IFERROR(INDEX('Retirement Calculator'!J:J,MATCH('Isaac 401k'!N4735,'Retirement Calculator'!A:A,0),0),0)</f>
        <v>0</v>
      </c>
      <c r="K4735" s="455">
        <f t="shared" ca="1" si="191"/>
        <v>-154408708681.0925</v>
      </c>
      <c r="L4735" s="455">
        <f t="shared" ca="1" si="192"/>
        <v>-37212498792143.297</v>
      </c>
      <c r="M4735" s="471">
        <f t="shared" si="194"/>
        <v>0.05</v>
      </c>
      <c r="N4735" s="475">
        <f t="shared" si="195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93"/>
        <v>-37212498792143.297</v>
      </c>
      <c r="J4736" s="455">
        <f t="array" ref="J4736">IFERROR(INDEX('Retirement Calculator'!J:J,MATCH('Isaac 401k'!N4736,'Retirement Calculator'!A:A,0),0),0)</f>
        <v>0</v>
      </c>
      <c r="K4736" s="455">
        <f t="shared" ca="1" si="191"/>
        <v>-155052078300.59708</v>
      </c>
      <c r="L4736" s="455">
        <f t="shared" ca="1" si="192"/>
        <v>-37367550870443.891</v>
      </c>
      <c r="M4736" s="471">
        <f t="shared" si="194"/>
        <v>0.05</v>
      </c>
      <c r="N4736" s="475">
        <f t="shared" si="195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93"/>
        <v>-37367550870443.891</v>
      </c>
      <c r="J4737" s="455">
        <f t="array" ref="J4737">IFERROR(INDEX('Retirement Calculator'!J:J,MATCH('Isaac 401k'!N4737,'Retirement Calculator'!A:A,0),0),0)</f>
        <v>0</v>
      </c>
      <c r="K4737" s="455">
        <f t="shared" ca="1" si="191"/>
        <v>-155698128626.84955</v>
      </c>
      <c r="L4737" s="455">
        <f t="shared" ca="1" si="192"/>
        <v>-37523248999070.742</v>
      </c>
      <c r="M4737" s="471">
        <f t="shared" si="194"/>
        <v>0.05</v>
      </c>
      <c r="N4737" s="475">
        <f t="shared" si="195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93"/>
        <v>-37523248999070.742</v>
      </c>
      <c r="J4738" s="455">
        <f t="array" ref="J4738">IFERROR(INDEX('Retirement Calculator'!J:J,MATCH('Isaac 401k'!N4738,'Retirement Calculator'!A:A,0),0),0)</f>
        <v>0</v>
      </c>
      <c r="K4738" s="455">
        <f t="shared" ca="1" si="191"/>
        <v>-156346870829.46143</v>
      </c>
      <c r="L4738" s="455">
        <f t="shared" ca="1" si="192"/>
        <v>-37679595869900.203</v>
      </c>
      <c r="M4738" s="471">
        <f t="shared" si="194"/>
        <v>0.05</v>
      </c>
      <c r="N4738" s="475">
        <f t="shared" si="195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93"/>
        <v>-37679595869900.203</v>
      </c>
      <c r="J4739" s="455">
        <f t="array" ref="J4739">IFERROR(INDEX('Retirement Calculator'!J:J,MATCH('Isaac 401k'!N4739,'Retirement Calculator'!A:A,0),0),0)</f>
        <v>0</v>
      </c>
      <c r="K4739" s="455">
        <f t="shared" ca="1" si="191"/>
        <v>-156998316124.58417</v>
      </c>
      <c r="L4739" s="455">
        <f t="shared" ca="1" si="192"/>
        <v>-37836594186024.789</v>
      </c>
      <c r="M4739" s="471">
        <f t="shared" si="194"/>
        <v>0.05</v>
      </c>
      <c r="N4739" s="475">
        <f t="shared" si="195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93"/>
        <v>-37836594186024.789</v>
      </c>
      <c r="J4740" s="455">
        <f t="array" ref="J4740">IFERROR(INDEX('Retirement Calculator'!J:J,MATCH('Isaac 401k'!N4740,'Retirement Calculator'!A:A,0),0),0)</f>
        <v>0</v>
      </c>
      <c r="K4740" s="455">
        <f t="shared" ca="1" si="191"/>
        <v>-157652475775.10327</v>
      </c>
      <c r="L4740" s="455">
        <f t="shared" ca="1" si="192"/>
        <v>-37994246661799.891</v>
      </c>
      <c r="M4740" s="471">
        <f t="shared" si="194"/>
        <v>0.05</v>
      </c>
      <c r="N4740" s="475">
        <f t="shared" si="195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93"/>
        <v>-37994246661799.891</v>
      </c>
      <c r="J4741" s="455">
        <f t="array" ref="J4741">IFERROR(INDEX('Retirement Calculator'!J:J,MATCH('Isaac 401k'!N4741,'Retirement Calculator'!A:A,0),0),0)</f>
        <v>0</v>
      </c>
      <c r="K4741" s="455">
        <f t="shared" ca="1" si="191"/>
        <v>-158309361090.83289</v>
      </c>
      <c r="L4741" s="455">
        <f t="shared" ca="1" si="192"/>
        <v>-38152556022890.727</v>
      </c>
      <c r="M4741" s="471">
        <f t="shared" si="194"/>
        <v>0.05</v>
      </c>
      <c r="N4741" s="475">
        <f t="shared" si="195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93"/>
        <v>-38152556022890.727</v>
      </c>
      <c r="J4742" s="455">
        <f t="array" ref="J4742">IFERROR(INDEX('Retirement Calculator'!J:J,MATCH('Isaac 401k'!N4742,'Retirement Calculator'!A:A,0),0),0)</f>
        <v>0</v>
      </c>
      <c r="K4742" s="455">
        <f t="shared" ca="1" si="191"/>
        <v>-158968983428.71136</v>
      </c>
      <c r="L4742" s="455">
        <f t="shared" ca="1" si="192"/>
        <v>-38311525006319.438</v>
      </c>
      <c r="M4742" s="471">
        <f t="shared" si="194"/>
        <v>0.05</v>
      </c>
      <c r="N4742" s="475">
        <f t="shared" si="195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93"/>
        <v>-38311525006319.438</v>
      </c>
      <c r="J4743" s="455">
        <f t="array" ref="J4743">IFERROR(INDEX('Retirement Calculator'!J:J,MATCH('Isaac 401k'!N4743,'Retirement Calculator'!A:A,0),0),0)</f>
        <v>0</v>
      </c>
      <c r="K4743" s="455">
        <f t="shared" ca="1" si="191"/>
        <v>-159631354192.99765</v>
      </c>
      <c r="L4743" s="455">
        <f t="shared" ca="1" si="192"/>
        <v>-38471156360512.438</v>
      </c>
      <c r="M4743" s="471">
        <f t="shared" si="194"/>
        <v>0.05</v>
      </c>
      <c r="N4743" s="475">
        <f t="shared" si="195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93"/>
        <v>-38471156360512.438</v>
      </c>
      <c r="J4744" s="455">
        <f t="array" ref="J4744">IFERROR(INDEX('Retirement Calculator'!J:J,MATCH('Isaac 401k'!N4744,'Retirement Calculator'!A:A,0),0),0)</f>
        <v>0</v>
      </c>
      <c r="K4744" s="455">
        <f t="shared" ca="1" si="191"/>
        <v>-160296484835.46848</v>
      </c>
      <c r="L4744" s="455">
        <f t="shared" ca="1" si="192"/>
        <v>-38631452845347.906</v>
      </c>
      <c r="M4744" s="471">
        <f t="shared" si="194"/>
        <v>0.05</v>
      </c>
      <c r="N4744" s="475">
        <f t="shared" si="195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93"/>
        <v>-38631452845347.906</v>
      </c>
      <c r="J4745" s="455">
        <f t="array" ref="J4745">IFERROR(INDEX('Retirement Calculator'!J:J,MATCH('Isaac 401k'!N4745,'Retirement Calculator'!A:A,0),0),0)</f>
        <v>0</v>
      </c>
      <c r="K4745" s="455">
        <f t="shared" ca="1" si="191"/>
        <v>-160964386855.61627</v>
      </c>
      <c r="L4745" s="455">
        <f t="shared" ca="1" si="192"/>
        <v>-38792417232203.523</v>
      </c>
      <c r="M4745" s="471">
        <f t="shared" si="194"/>
        <v>0.05</v>
      </c>
      <c r="N4745" s="475">
        <f t="shared" si="195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93"/>
        <v>-38792417232203.523</v>
      </c>
      <c r="J4746" s="455">
        <f t="array" ref="J4746">IFERROR(INDEX('Retirement Calculator'!J:J,MATCH('Isaac 401k'!N4746,'Retirement Calculator'!A:A,0),0),0)</f>
        <v>0</v>
      </c>
      <c r="K4746" s="455">
        <f t="shared" ca="1" si="191"/>
        <v>-161635071800.84802</v>
      </c>
      <c r="L4746" s="455">
        <f t="shared" ca="1" si="192"/>
        <v>-38954052304004.375</v>
      </c>
      <c r="M4746" s="471">
        <f t="shared" si="194"/>
        <v>0.05</v>
      </c>
      <c r="N4746" s="475">
        <f t="shared" si="195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93"/>
        <v>-38954052304004.375</v>
      </c>
      <c r="J4747" s="455">
        <f t="array" ref="J4747">IFERROR(INDEX('Retirement Calculator'!J:J,MATCH('Isaac 401k'!N4747,'Retirement Calculator'!A:A,0),0),0)</f>
        <v>0</v>
      </c>
      <c r="K4747" s="455">
        <f t="shared" ca="1" si="191"/>
        <v>-162308551266.68491</v>
      </c>
      <c r="L4747" s="455">
        <f t="shared" ca="1" si="192"/>
        <v>-39116360855271.063</v>
      </c>
      <c r="M4747" s="471">
        <f t="shared" si="194"/>
        <v>0.05</v>
      </c>
      <c r="N4747" s="475">
        <f t="shared" si="195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93"/>
        <v>-39116360855271.063</v>
      </c>
      <c r="J4748" s="455">
        <f t="array" ref="J4748">IFERROR(INDEX('Retirement Calculator'!J:J,MATCH('Isaac 401k'!N4748,'Retirement Calculator'!A:A,0),0),0)</f>
        <v>0</v>
      </c>
      <c r="K4748" s="455">
        <f t="shared" ca="1" si="191"/>
        <v>-162984836896.96277</v>
      </c>
      <c r="L4748" s="455">
        <f t="shared" ca="1" si="192"/>
        <v>-39279345692168.023</v>
      </c>
      <c r="M4748" s="471">
        <f t="shared" si="194"/>
        <v>0.05</v>
      </c>
      <c r="N4748" s="475">
        <f t="shared" si="195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93"/>
        <v>-39279345692168.023</v>
      </c>
      <c r="J4749" s="455">
        <f t="array" ref="J4749">IFERROR(INDEX('Retirement Calculator'!J:J,MATCH('Isaac 401k'!N4749,'Retirement Calculator'!A:A,0),0),0)</f>
        <v>0</v>
      </c>
      <c r="K4749" s="455">
        <f t="shared" ca="1" si="191"/>
        <v>-163663940384.03342</v>
      </c>
      <c r="L4749" s="455">
        <f t="shared" ca="1" si="192"/>
        <v>-39443009632552.055</v>
      </c>
      <c r="M4749" s="471">
        <f t="shared" si="194"/>
        <v>0.05</v>
      </c>
      <c r="N4749" s="475">
        <f t="shared" si="195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93"/>
        <v>-39443009632552.055</v>
      </c>
      <c r="J4750" s="455">
        <f t="array" ref="J4750">IFERROR(INDEX('Retirement Calculator'!J:J,MATCH('Isaac 401k'!N4750,'Retirement Calculator'!A:A,0),0),0)</f>
        <v>0</v>
      </c>
      <c r="K4750" s="455">
        <f t="shared" ca="1" si="191"/>
        <v>-164345873468.96689</v>
      </c>
      <c r="L4750" s="455">
        <f t="shared" ca="1" si="192"/>
        <v>-39607355506021.023</v>
      </c>
      <c r="M4750" s="471">
        <f t="shared" si="194"/>
        <v>0.05</v>
      </c>
      <c r="N4750" s="475">
        <f t="shared" si="195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93"/>
        <v>-39607355506021.023</v>
      </c>
      <c r="J4751" s="455">
        <f t="array" ref="J4751">IFERROR(INDEX('Retirement Calculator'!J:J,MATCH('Isaac 401k'!N4751,'Retirement Calculator'!A:A,0),0),0)</f>
        <v>0</v>
      </c>
      <c r="K4751" s="455">
        <f t="shared" ca="1" si="191"/>
        <v>-165030647941.75427</v>
      </c>
      <c r="L4751" s="455">
        <f t="shared" ca="1" si="192"/>
        <v>-39772386153962.781</v>
      </c>
      <c r="M4751" s="471">
        <f t="shared" si="194"/>
        <v>0.05</v>
      </c>
      <c r="N4751" s="475">
        <f t="shared" si="195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93"/>
        <v>-39772386153962.781</v>
      </c>
      <c r="J4752" s="455">
        <f t="array" ref="J4752">IFERROR(INDEX('Retirement Calculator'!J:J,MATCH('Isaac 401k'!N4752,'Retirement Calculator'!A:A,0),0),0)</f>
        <v>0</v>
      </c>
      <c r="K4752" s="455">
        <f t="shared" ca="1" si="191"/>
        <v>-165718275641.5116</v>
      </c>
      <c r="L4752" s="455">
        <f t="shared" ca="1" si="192"/>
        <v>-39938104429604.289</v>
      </c>
      <c r="M4752" s="471">
        <f t="shared" si="194"/>
        <v>0.05</v>
      </c>
      <c r="N4752" s="475">
        <f t="shared" si="195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93"/>
        <v>-39938104429604.289</v>
      </c>
      <c r="J4753" s="455">
        <f t="array" ref="J4753">IFERROR(INDEX('Retirement Calculator'!J:J,MATCH('Isaac 401k'!N4753,'Retirement Calculator'!A:A,0),0),0)</f>
        <v>0</v>
      </c>
      <c r="K4753" s="455">
        <f t="shared" ca="1" si="191"/>
        <v>-166408768456.68454</v>
      </c>
      <c r="L4753" s="455">
        <f t="shared" ca="1" si="192"/>
        <v>-40104513198060.977</v>
      </c>
      <c r="M4753" s="471">
        <f t="shared" si="194"/>
        <v>0.05</v>
      </c>
      <c r="N4753" s="475">
        <f t="shared" si="195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93"/>
        <v>-40104513198060.977</v>
      </c>
      <c r="J4754" s="455">
        <f t="array" ref="J4754">IFERROR(INDEX('Retirement Calculator'!J:J,MATCH('Isaac 401k'!N4754,'Retirement Calculator'!A:A,0),0),0)</f>
        <v>0</v>
      </c>
      <c r="K4754" s="455">
        <f t="shared" ca="1" si="191"/>
        <v>-167102138325.25406</v>
      </c>
      <c r="L4754" s="455">
        <f t="shared" ca="1" si="192"/>
        <v>-40271615336386.234</v>
      </c>
      <c r="M4754" s="471">
        <f t="shared" si="194"/>
        <v>0.05</v>
      </c>
      <c r="N4754" s="475">
        <f t="shared" si="195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93"/>
        <v>-40271615336386.234</v>
      </c>
      <c r="J4755" s="455">
        <f t="array" ref="J4755">IFERROR(INDEX('Retirement Calculator'!J:J,MATCH('Isaac 401k'!N4755,'Retirement Calculator'!A:A,0),0),0)</f>
        <v>0</v>
      </c>
      <c r="K4755" s="455">
        <f t="shared" ca="1" si="191"/>
        <v>-167798397234.94263</v>
      </c>
      <c r="L4755" s="455">
        <f t="shared" ca="1" si="192"/>
        <v>-40439413733621.18</v>
      </c>
      <c r="M4755" s="471">
        <f t="shared" si="194"/>
        <v>0.05</v>
      </c>
      <c r="N4755" s="475">
        <f t="shared" si="195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93"/>
        <v>-40439413733621.18</v>
      </c>
      <c r="J4756" s="455">
        <f t="array" ref="J4756">IFERROR(INDEX('Retirement Calculator'!J:J,MATCH('Isaac 401k'!N4756,'Retirement Calculator'!A:A,0),0),0)</f>
        <v>0</v>
      </c>
      <c r="K4756" s="455">
        <f t="shared" ca="1" si="191"/>
        <v>-168497557223.42157</v>
      </c>
      <c r="L4756" s="455">
        <f t="shared" ca="1" si="192"/>
        <v>-40607911290844.602</v>
      </c>
      <c r="M4756" s="471">
        <f t="shared" si="194"/>
        <v>0.05</v>
      </c>
      <c r="N4756" s="475">
        <f t="shared" si="195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93"/>
        <v>-40607911290844.602</v>
      </c>
      <c r="J4757" s="455">
        <f t="array" ref="J4757">IFERROR(INDEX('Retirement Calculator'!J:J,MATCH('Isaac 401k'!N4757,'Retirement Calculator'!A:A,0),0),0)</f>
        <v>0</v>
      </c>
      <c r="K4757" s="455">
        <f t="shared" ca="1" si="191"/>
        <v>-169199630378.51917</v>
      </c>
      <c r="L4757" s="455">
        <f t="shared" ca="1" si="192"/>
        <v>-40777110921223.117</v>
      </c>
      <c r="M4757" s="471">
        <f t="shared" si="194"/>
        <v>0.05</v>
      </c>
      <c r="N4757" s="475">
        <f t="shared" si="195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93"/>
        <v>-40777110921223.117</v>
      </c>
      <c r="J4758" s="455">
        <f t="array" ref="J4758">IFERROR(INDEX('Retirement Calculator'!J:J,MATCH('Isaac 401k'!N4758,'Retirement Calculator'!A:A,0),0),0)</f>
        <v>0</v>
      </c>
      <c r="K4758" s="455">
        <f t="shared" ca="1" si="191"/>
        <v>-169904628838.42966</v>
      </c>
      <c r="L4758" s="455">
        <f t="shared" ca="1" si="192"/>
        <v>-40947015550061.547</v>
      </c>
      <c r="M4758" s="471">
        <f t="shared" si="194"/>
        <v>0.05</v>
      </c>
      <c r="N4758" s="475">
        <f t="shared" si="195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93"/>
        <v>-40947015550061.547</v>
      </c>
      <c r="J4759" s="455">
        <f t="array" ref="J4759">IFERROR(INDEX('Retirement Calculator'!J:J,MATCH('Isaac 401k'!N4759,'Retirement Calculator'!A:A,0),0),0)</f>
        <v>0</v>
      </c>
      <c r="K4759" s="455">
        <f t="shared" ca="1" si="191"/>
        <v>-170612564791.9231</v>
      </c>
      <c r="L4759" s="455">
        <f t="shared" ca="1" si="192"/>
        <v>-41117628114853.469</v>
      </c>
      <c r="M4759" s="471">
        <f t="shared" si="194"/>
        <v>0.05</v>
      </c>
      <c r="N4759" s="475">
        <f t="shared" si="195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93"/>
        <v>-41117628114853.469</v>
      </c>
      <c r="J4760" s="455">
        <f t="array" ref="J4760">IFERROR(INDEX('Retirement Calculator'!J:J,MATCH('Isaac 401k'!N4760,'Retirement Calculator'!A:A,0),0),0)</f>
        <v>0</v>
      </c>
      <c r="K4760" s="455">
        <f t="shared" ca="1" si="191"/>
        <v>-171323450478.55612</v>
      </c>
      <c r="L4760" s="455">
        <f t="shared" ca="1" si="192"/>
        <v>-41288951565332.023</v>
      </c>
      <c r="M4760" s="471">
        <f t="shared" si="194"/>
        <v>0.05</v>
      </c>
      <c r="N4760" s="475">
        <f t="shared" si="195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93"/>
        <v>-41288951565332.023</v>
      </c>
      <c r="J4761" s="455">
        <f t="array" ref="J4761">IFERROR(INDEX('Retirement Calculator'!J:J,MATCH('Isaac 401k'!N4761,'Retirement Calculator'!A:A,0),0),0)</f>
        <v>0</v>
      </c>
      <c r="K4761" s="455">
        <f t="shared" ca="1" si="191"/>
        <v>-172037298188.88342</v>
      </c>
      <c r="L4761" s="455">
        <f t="shared" ca="1" si="192"/>
        <v>-41460988863520.906</v>
      </c>
      <c r="M4761" s="471">
        <f t="shared" si="194"/>
        <v>0.05</v>
      </c>
      <c r="N4761" s="475">
        <f t="shared" si="195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93"/>
        <v>-41460988863520.906</v>
      </c>
      <c r="J4762" s="455">
        <f t="array" ref="J4762">IFERROR(INDEX('Retirement Calculator'!J:J,MATCH('Isaac 401k'!N4762,'Retirement Calculator'!A:A,0),0),0)</f>
        <v>0</v>
      </c>
      <c r="K4762" s="455">
        <f t="shared" ca="1" si="191"/>
        <v>-172754120264.67044</v>
      </c>
      <c r="L4762" s="455">
        <f t="shared" ca="1" si="192"/>
        <v>-41633742983785.578</v>
      </c>
      <c r="M4762" s="471">
        <f t="shared" si="194"/>
        <v>0.05</v>
      </c>
      <c r="N4762" s="475">
        <f t="shared" si="195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93"/>
        <v>-41633742983785.578</v>
      </c>
      <c r="J4763" s="455">
        <f t="array" ref="J4763">IFERROR(INDEX('Retirement Calculator'!J:J,MATCH('Isaac 401k'!N4763,'Retirement Calculator'!A:A,0),0),0)</f>
        <v>0</v>
      </c>
      <c r="K4763" s="455">
        <f t="shared" ca="1" si="191"/>
        <v>-173473929099.10657</v>
      </c>
      <c r="L4763" s="455">
        <f t="shared" ca="1" si="192"/>
        <v>-41807216912884.688</v>
      </c>
      <c r="M4763" s="471">
        <f t="shared" si="194"/>
        <v>0.05</v>
      </c>
      <c r="N4763" s="475">
        <f t="shared" si="195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93"/>
        <v>-41807216912884.688</v>
      </c>
      <c r="J4764" s="455">
        <f t="array" ref="J4764">IFERROR(INDEX('Retirement Calculator'!J:J,MATCH('Isaac 401k'!N4764,'Retirement Calculator'!A:A,0),0),0)</f>
        <v>0</v>
      </c>
      <c r="K4764" s="455">
        <f t="shared" ca="1" si="191"/>
        <v>-174196737137.01953</v>
      </c>
      <c r="L4764" s="455">
        <f t="shared" ca="1" si="192"/>
        <v>-41981413650021.703</v>
      </c>
      <c r="M4764" s="471">
        <f t="shared" si="194"/>
        <v>0.05</v>
      </c>
      <c r="N4764" s="475">
        <f t="shared" si="195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93"/>
        <v>-41981413650021.703</v>
      </c>
      <c r="J4765" s="455">
        <f t="array" ref="J4765">IFERROR(INDEX('Retirement Calculator'!J:J,MATCH('Isaac 401k'!N4765,'Retirement Calculator'!A:A,0),0),0)</f>
        <v>0</v>
      </c>
      <c r="K4765" s="455">
        <f t="shared" ca="1" si="191"/>
        <v>-174922556875.09042</v>
      </c>
      <c r="L4765" s="455">
        <f t="shared" ca="1" si="192"/>
        <v>-42156336206896.797</v>
      </c>
      <c r="M4765" s="471">
        <f t="shared" si="194"/>
        <v>0.05</v>
      </c>
      <c r="N4765" s="475">
        <f t="shared" si="195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93"/>
        <v>-42156336206896.797</v>
      </c>
      <c r="J4766" s="455">
        <f t="array" ref="J4766">IFERROR(INDEX('Retirement Calculator'!J:J,MATCH('Isaac 401k'!N4766,'Retirement Calculator'!A:A,0),0),0)</f>
        <v>0</v>
      </c>
      <c r="K4766" s="455">
        <f t="shared" ca="1" si="191"/>
        <v>-175651400862.06998</v>
      </c>
      <c r="L4766" s="455">
        <f t="shared" ca="1" si="192"/>
        <v>-42331987607758.867</v>
      </c>
      <c r="M4766" s="471">
        <f t="shared" si="194"/>
        <v>0.05</v>
      </c>
      <c r="N4766" s="475">
        <f t="shared" si="195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93"/>
        <v>-42331987607758.867</v>
      </c>
      <c r="J4767" s="455">
        <f t="array" ref="J4767">IFERROR(INDEX('Retirement Calculator'!J:J,MATCH('Isaac 401k'!N4767,'Retirement Calculator'!A:A,0),0),0)</f>
        <v>0</v>
      </c>
      <c r="K4767" s="455">
        <f t="shared" ca="1" si="191"/>
        <v>-176383281698.99527</v>
      </c>
      <c r="L4767" s="455">
        <f t="shared" ca="1" si="192"/>
        <v>-42508370889457.859</v>
      </c>
      <c r="M4767" s="471">
        <f t="shared" si="194"/>
        <v>0.05</v>
      </c>
      <c r="N4767" s="475">
        <f t="shared" si="195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93"/>
        <v>-42508370889457.859</v>
      </c>
      <c r="J4768" s="455">
        <f t="array" ref="J4768">IFERROR(INDEX('Retirement Calculator'!J:J,MATCH('Isaac 401k'!N4768,'Retirement Calculator'!A:A,0),0),0)</f>
        <v>0</v>
      </c>
      <c r="K4768" s="455">
        <f t="shared" ca="1" si="191"/>
        <v>-177118212039.40775</v>
      </c>
      <c r="L4768" s="455">
        <f t="shared" ca="1" si="192"/>
        <v>-42685489101497.266</v>
      </c>
      <c r="M4768" s="471">
        <f t="shared" si="194"/>
        <v>0.05</v>
      </c>
      <c r="N4768" s="475">
        <f t="shared" si="195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93"/>
        <v>-42685489101497.266</v>
      </c>
      <c r="J4769" s="455">
        <f t="array" ref="J4769">IFERROR(INDEX('Retirement Calculator'!J:J,MATCH('Isaac 401k'!N4769,'Retirement Calculator'!A:A,0),0),0)</f>
        <v>0</v>
      </c>
      <c r="K4769" s="455">
        <f t="shared" ca="1" si="191"/>
        <v>-177856204589.57193</v>
      </c>
      <c r="L4769" s="455">
        <f t="shared" ca="1" si="192"/>
        <v>-42863345306086.836</v>
      </c>
      <c r="M4769" s="471">
        <f t="shared" si="194"/>
        <v>0.05</v>
      </c>
      <c r="N4769" s="475">
        <f t="shared" si="195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93"/>
        <v>-42863345306086.836</v>
      </c>
      <c r="J4770" s="455">
        <f t="array" ref="J4770">IFERROR(INDEX('Retirement Calculator'!J:J,MATCH('Isaac 401k'!N4770,'Retirement Calculator'!A:A,0),0),0)</f>
        <v>0</v>
      </c>
      <c r="K4770" s="455">
        <f t="shared" ca="1" si="191"/>
        <v>-178597272108.69516</v>
      </c>
      <c r="L4770" s="455">
        <f t="shared" ca="1" si="192"/>
        <v>-43041942578195.531</v>
      </c>
      <c r="M4770" s="471">
        <f t="shared" si="194"/>
        <v>0.05</v>
      </c>
      <c r="N4770" s="475">
        <f t="shared" si="195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93"/>
        <v>-43041942578195.531</v>
      </c>
      <c r="J4771" s="455">
        <f t="array" ref="J4771">IFERROR(INDEX('Retirement Calculator'!J:J,MATCH('Isaac 401k'!N4771,'Retirement Calculator'!A:A,0),0),0)</f>
        <v>0</v>
      </c>
      <c r="K4771" s="455">
        <f t="shared" ca="1" si="191"/>
        <v>-179341427409.14804</v>
      </c>
      <c r="L4771" s="455">
        <f t="shared" ca="1" si="192"/>
        <v>-43221284005604.68</v>
      </c>
      <c r="M4771" s="471">
        <f t="shared" si="194"/>
        <v>0.05</v>
      </c>
      <c r="N4771" s="475">
        <f t="shared" si="195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93"/>
        <v>-43221284005604.68</v>
      </c>
      <c r="J4772" s="455">
        <f t="array" ref="J4772">IFERROR(INDEX('Retirement Calculator'!J:J,MATCH('Isaac 401k'!N4772,'Retirement Calculator'!A:A,0),0),0)</f>
        <v>0</v>
      </c>
      <c r="K4772" s="455">
        <f t="shared" ca="1" si="191"/>
        <v>-180088683356.68616</v>
      </c>
      <c r="L4772" s="455">
        <f t="shared" ca="1" si="192"/>
        <v>-43401372688961.367</v>
      </c>
      <c r="M4772" s="471">
        <f t="shared" si="194"/>
        <v>0.05</v>
      </c>
      <c r="N4772" s="475">
        <f t="shared" si="195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93"/>
        <v>-43401372688961.367</v>
      </c>
      <c r="J4773" s="455">
        <f t="array" ref="J4773">IFERROR(INDEX('Retirement Calculator'!J:J,MATCH('Isaac 401k'!N4773,'Retirement Calculator'!A:A,0),0),0)</f>
        <v>0</v>
      </c>
      <c r="K4773" s="455">
        <f t="shared" ca="1" si="191"/>
        <v>-180839052870.67236</v>
      </c>
      <c r="L4773" s="455">
        <f t="shared" ca="1" si="192"/>
        <v>-43582211741832.039</v>
      </c>
      <c r="M4773" s="471">
        <f t="shared" si="194"/>
        <v>0.05</v>
      </c>
      <c r="N4773" s="475">
        <f t="shared" si="195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93"/>
        <v>-43582211741832.039</v>
      </c>
      <c r="J4774" s="455">
        <f t="array" ref="J4774">IFERROR(INDEX('Retirement Calculator'!J:J,MATCH('Isaac 401k'!N4774,'Retirement Calculator'!A:A,0),0),0)</f>
        <v>0</v>
      </c>
      <c r="K4774" s="455">
        <f t="shared" ca="1" si="191"/>
        <v>-181592548924.30017</v>
      </c>
      <c r="L4774" s="455">
        <f t="shared" ca="1" si="192"/>
        <v>-43763804290756.336</v>
      </c>
      <c r="M4774" s="471">
        <f t="shared" si="194"/>
        <v>0.05</v>
      </c>
      <c r="N4774" s="475">
        <f t="shared" si="195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93"/>
        <v>-43763804290756.336</v>
      </c>
      <c r="J4775" s="455">
        <f t="array" ref="J4775">IFERROR(INDEX('Retirement Calculator'!J:J,MATCH('Isaac 401k'!N4775,'Retirement Calculator'!A:A,0),0),0)</f>
        <v>0</v>
      </c>
      <c r="K4775" s="455">
        <f t="shared" ca="1" si="191"/>
        <v>-182349184544.81805</v>
      </c>
      <c r="L4775" s="455">
        <f t="shared" ca="1" si="192"/>
        <v>-43946153475301.156</v>
      </c>
      <c r="M4775" s="471">
        <f t="shared" si="194"/>
        <v>0.05</v>
      </c>
      <c r="N4775" s="475">
        <f t="shared" si="195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93"/>
        <v>-43946153475301.156</v>
      </c>
      <c r="J4776" s="455">
        <f t="array" ref="J4776">IFERROR(INDEX('Retirement Calculator'!J:J,MATCH('Isaac 401k'!N4776,'Retirement Calculator'!A:A,0),0),0)</f>
        <v>0</v>
      </c>
      <c r="K4776" s="455">
        <f t="shared" ca="1" si="191"/>
        <v>-183108972813.75482</v>
      </c>
      <c r="L4776" s="455">
        <f t="shared" ca="1" si="192"/>
        <v>-44129262448114.914</v>
      </c>
      <c r="M4776" s="471">
        <f t="shared" si="194"/>
        <v>0.05</v>
      </c>
      <c r="N4776" s="475">
        <f t="shared" si="195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93"/>
        <v>-44129262448114.914</v>
      </c>
      <c r="J4777" s="455">
        <f t="array" ref="J4777">IFERROR(INDEX('Retirement Calculator'!J:J,MATCH('Isaac 401k'!N4777,'Retirement Calculator'!A:A,0),0),0)</f>
        <v>0</v>
      </c>
      <c r="K4777" s="455">
        <f t="shared" ca="1" si="191"/>
        <v>-183871926867.14548</v>
      </c>
      <c r="L4777" s="455">
        <f t="shared" ca="1" si="192"/>
        <v>-44313134374982.063</v>
      </c>
      <c r="M4777" s="471">
        <f t="shared" si="194"/>
        <v>0.05</v>
      </c>
      <c r="N4777" s="475">
        <f t="shared" si="195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93"/>
        <v>-44313134374982.063</v>
      </c>
      <c r="J4778" s="455">
        <f t="array" ref="J4778">IFERROR(INDEX('Retirement Calculator'!J:J,MATCH('Isaac 401k'!N4778,'Retirement Calculator'!A:A,0),0),0)</f>
        <v>0</v>
      </c>
      <c r="K4778" s="455">
        <f t="shared" ca="1" si="191"/>
        <v>-184638059895.75861</v>
      </c>
      <c r="L4778" s="455">
        <f t="shared" ca="1" si="192"/>
        <v>-44497772434877.82</v>
      </c>
      <c r="M4778" s="471">
        <f t="shared" si="194"/>
        <v>0.05</v>
      </c>
      <c r="N4778" s="475">
        <f t="shared" si="195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93"/>
        <v>-44497772434877.82</v>
      </c>
      <c r="J4779" s="455">
        <f t="array" ref="J4779">IFERROR(INDEX('Retirement Calculator'!J:J,MATCH('Isaac 401k'!N4779,'Retirement Calculator'!A:A,0),0),0)</f>
        <v>0</v>
      </c>
      <c r="K4779" s="455">
        <f t="shared" ca="1" si="191"/>
        <v>-185407385145.32425</v>
      </c>
      <c r="L4779" s="455">
        <f t="shared" ca="1" si="192"/>
        <v>-44683179820023.148</v>
      </c>
      <c r="M4779" s="471">
        <f t="shared" si="194"/>
        <v>0.05</v>
      </c>
      <c r="N4779" s="475">
        <f t="shared" si="195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93"/>
        <v>-44683179820023.148</v>
      </c>
      <c r="J4780" s="455">
        <f t="array" ref="J4780">IFERROR(INDEX('Retirement Calculator'!J:J,MATCH('Isaac 401k'!N4780,'Retirement Calculator'!A:A,0),0),0)</f>
        <v>0</v>
      </c>
      <c r="K4780" s="455">
        <f t="shared" ca="1" si="191"/>
        <v>-186179915916.76312</v>
      </c>
      <c r="L4780" s="455">
        <f t="shared" ca="1" si="192"/>
        <v>-44869359735939.914</v>
      </c>
      <c r="M4780" s="471">
        <f t="shared" si="194"/>
        <v>0.05</v>
      </c>
      <c r="N4780" s="475">
        <f t="shared" si="195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93"/>
        <v>-44869359735939.914</v>
      </c>
      <c r="J4781" s="455">
        <f t="array" ref="J4781">IFERROR(INDEX('Retirement Calculator'!J:J,MATCH('Isaac 401k'!N4781,'Retirement Calculator'!A:A,0),0),0)</f>
        <v>0</v>
      </c>
      <c r="K4781" s="455">
        <f t="shared" ca="1" si="191"/>
        <v>-186955665566.41632</v>
      </c>
      <c r="L4781" s="455">
        <f t="shared" ca="1" si="192"/>
        <v>-45056315401506.328</v>
      </c>
      <c r="M4781" s="471">
        <f t="shared" si="194"/>
        <v>0.05</v>
      </c>
      <c r="N4781" s="475">
        <f t="shared" si="195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93"/>
        <v>-45056315401506.328</v>
      </c>
      <c r="J4782" s="455">
        <f t="array" ref="J4782">IFERROR(INDEX('Retirement Calculator'!J:J,MATCH('Isaac 401k'!N4782,'Retirement Calculator'!A:A,0),0),0)</f>
        <v>0</v>
      </c>
      <c r="K4782" s="455">
        <f t="shared" ca="1" si="191"/>
        <v>-187734647506.27637</v>
      </c>
      <c r="L4782" s="455">
        <f t="shared" ca="1" si="192"/>
        <v>-45244050049012.602</v>
      </c>
      <c r="M4782" s="471">
        <f t="shared" si="194"/>
        <v>0.05</v>
      </c>
      <c r="N4782" s="475">
        <f t="shared" si="195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93"/>
        <v>-45244050049012.602</v>
      </c>
      <c r="J4783" s="455">
        <f t="array" ref="J4783">IFERROR(INDEX('Retirement Calculator'!J:J,MATCH('Isaac 401k'!N4783,'Retirement Calculator'!A:A,0),0),0)</f>
        <v>0</v>
      </c>
      <c r="K4783" s="455">
        <f t="shared" ca="1" si="191"/>
        <v>-188516875204.21918</v>
      </c>
      <c r="L4783" s="455">
        <f t="shared" ca="1" si="192"/>
        <v>-45432566924216.82</v>
      </c>
      <c r="M4783" s="471">
        <f t="shared" si="194"/>
        <v>0.05</v>
      </c>
      <c r="N4783" s="475">
        <f t="shared" si="195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93"/>
        <v>-45432566924216.82</v>
      </c>
      <c r="J4784" s="455">
        <f t="array" ref="J4784">IFERROR(INDEX('Retirement Calculator'!J:J,MATCH('Isaac 401k'!N4784,'Retirement Calculator'!A:A,0),0),0)</f>
        <v>0</v>
      </c>
      <c r="K4784" s="455">
        <f t="shared" ca="1" si="191"/>
        <v>-189302362184.23676</v>
      </c>
      <c r="L4784" s="455">
        <f t="shared" ca="1" si="192"/>
        <v>-45621869286401.055</v>
      </c>
      <c r="M4784" s="471">
        <f t="shared" si="194"/>
        <v>0.05</v>
      </c>
      <c r="N4784" s="475">
        <f t="shared" si="195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93"/>
        <v>-45621869286401.055</v>
      </c>
      <c r="J4785" s="455">
        <f t="array" ref="J4785">IFERROR(INDEX('Retirement Calculator'!J:J,MATCH('Isaac 401k'!N4785,'Retirement Calculator'!A:A,0),0),0)</f>
        <v>0</v>
      </c>
      <c r="K4785" s="455">
        <f t="shared" ca="1" si="191"/>
        <v>-190091122026.67105</v>
      </c>
      <c r="L4785" s="455">
        <f t="shared" ca="1" si="192"/>
        <v>-45811960408427.727</v>
      </c>
      <c r="M4785" s="471">
        <f t="shared" si="194"/>
        <v>0.05</v>
      </c>
      <c r="N4785" s="475">
        <f t="shared" si="195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93"/>
        <v>-45811960408427.727</v>
      </c>
      <c r="J4786" s="455">
        <f t="array" ref="J4786">IFERROR(INDEX('Retirement Calculator'!J:J,MATCH('Isaac 401k'!N4786,'Retirement Calculator'!A:A,0),0),0)</f>
        <v>0</v>
      </c>
      <c r="K4786" s="455">
        <f t="shared" ca="1" si="191"/>
        <v>-190883168368.44885</v>
      </c>
      <c r="L4786" s="455">
        <f t="shared" ca="1" si="192"/>
        <v>-46002843576796.172</v>
      </c>
      <c r="M4786" s="471">
        <f t="shared" si="194"/>
        <v>0.05</v>
      </c>
      <c r="N4786" s="475">
        <f t="shared" si="195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93"/>
        <v>-46002843576796.172</v>
      </c>
      <c r="J4787" s="455">
        <f t="array" ref="J4787">IFERROR(INDEX('Retirement Calculator'!J:J,MATCH('Isaac 401k'!N4787,'Retirement Calculator'!A:A,0),0),0)</f>
        <v>0</v>
      </c>
      <c r="K4787" s="455">
        <f t="shared" ca="1" si="191"/>
        <v>-191678514903.31738</v>
      </c>
      <c r="L4787" s="455">
        <f t="shared" ca="1" si="192"/>
        <v>-46194522091699.492</v>
      </c>
      <c r="M4787" s="471">
        <f t="shared" si="194"/>
        <v>0.05</v>
      </c>
      <c r="N4787" s="475">
        <f t="shared" si="195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93"/>
        <v>-46194522091699.492</v>
      </c>
      <c r="J4788" s="455">
        <f t="array" ref="J4788">IFERROR(INDEX('Retirement Calculator'!J:J,MATCH('Isaac 401k'!N4788,'Retirement Calculator'!A:A,0),0),0)</f>
        <v>0</v>
      </c>
      <c r="K4788" s="455">
        <f t="shared" ca="1" si="191"/>
        <v>-192477175382.08121</v>
      </c>
      <c r="L4788" s="455">
        <f t="shared" ca="1" si="192"/>
        <v>-46386999267081.57</v>
      </c>
      <c r="M4788" s="471">
        <f t="shared" si="194"/>
        <v>0.05</v>
      </c>
      <c r="N4788" s="475">
        <f t="shared" si="195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93"/>
        <v>-46386999267081.57</v>
      </c>
      <c r="J4789" s="455">
        <f t="array" ref="J4789">IFERROR(INDEX('Retirement Calculator'!J:J,MATCH('Isaac 401k'!N4789,'Retirement Calculator'!A:A,0),0),0)</f>
        <v>0</v>
      </c>
      <c r="K4789" s="455">
        <f t="shared" ca="1" si="191"/>
        <v>-193279163612.83987</v>
      </c>
      <c r="L4789" s="455">
        <f t="shared" ca="1" si="192"/>
        <v>-46580278430694.414</v>
      </c>
      <c r="M4789" s="471">
        <f t="shared" si="194"/>
        <v>0.05</v>
      </c>
      <c r="N4789" s="475">
        <f t="shared" si="195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93"/>
        <v>-46580278430694.414</v>
      </c>
      <c r="J4790" s="455">
        <f t="array" ref="J4790">IFERROR(INDEX('Retirement Calculator'!J:J,MATCH('Isaac 401k'!N4790,'Retirement Calculator'!A:A,0),0),0)</f>
        <v>0</v>
      </c>
      <c r="K4790" s="455">
        <f t="shared" ca="1" si="191"/>
        <v>-194084493461.22672</v>
      </c>
      <c r="L4790" s="455">
        <f t="shared" ca="1" si="192"/>
        <v>-46774362924155.641</v>
      </c>
      <c r="M4790" s="471">
        <f t="shared" si="194"/>
        <v>0.05</v>
      </c>
      <c r="N4790" s="475">
        <f t="shared" si="195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93"/>
        <v>-46774362924155.641</v>
      </c>
      <c r="J4791" s="455">
        <f t="array" ref="J4791">IFERROR(INDEX('Retirement Calculator'!J:J,MATCH('Isaac 401k'!N4791,'Retirement Calculator'!A:A,0),0),0)</f>
        <v>0</v>
      </c>
      <c r="K4791" s="455">
        <f t="shared" ca="1" si="191"/>
        <v>-194893178850.6485</v>
      </c>
      <c r="L4791" s="455">
        <f t="shared" ca="1" si="192"/>
        <v>-46969256103006.289</v>
      </c>
      <c r="M4791" s="471">
        <f t="shared" si="194"/>
        <v>0.05</v>
      </c>
      <c r="N4791" s="475">
        <f t="shared" si="195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93"/>
        <v>-46969256103006.289</v>
      </c>
      <c r="J4792" s="455">
        <f t="array" ref="J4792">IFERROR(INDEX('Retirement Calculator'!J:J,MATCH('Isaac 401k'!N4792,'Retirement Calculator'!A:A,0),0),0)</f>
        <v>0</v>
      </c>
      <c r="K4792" s="455">
        <f t="shared" ca="1" si="191"/>
        <v>-195705233762.52621</v>
      </c>
      <c r="L4792" s="455">
        <f t="shared" ca="1" si="192"/>
        <v>-47164961336768.813</v>
      </c>
      <c r="M4792" s="471">
        <f t="shared" si="194"/>
        <v>0.05</v>
      </c>
      <c r="N4792" s="475">
        <f t="shared" si="195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93"/>
        <v>-47164961336768.813</v>
      </c>
      <c r="J4793" s="455">
        <f t="array" ref="J4793">IFERROR(INDEX('Retirement Calculator'!J:J,MATCH('Isaac 401k'!N4793,'Retirement Calculator'!A:A,0),0),0)</f>
        <v>0</v>
      </c>
      <c r="K4793" s="455">
        <f t="shared" ca="1" si="191"/>
        <v>-196520672236.53671</v>
      </c>
      <c r="L4793" s="455">
        <f t="shared" ca="1" si="192"/>
        <v>-47361482009005.352</v>
      </c>
      <c r="M4793" s="471">
        <f t="shared" si="194"/>
        <v>0.05</v>
      </c>
      <c r="N4793" s="475">
        <f t="shared" si="195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93"/>
        <v>-47361482009005.352</v>
      </c>
      <c r="J4794" s="455">
        <f t="array" ref="J4794">IFERROR(INDEX('Retirement Calculator'!J:J,MATCH('Isaac 401k'!N4794,'Retirement Calculator'!A:A,0),0),0)</f>
        <v>0</v>
      </c>
      <c r="K4794" s="455">
        <f t="shared" ca="1" si="191"/>
        <v>-197339508370.85562</v>
      </c>
      <c r="L4794" s="455">
        <f t="shared" ca="1" si="192"/>
        <v>-47558821517376.211</v>
      </c>
      <c r="M4794" s="471">
        <f t="shared" si="194"/>
        <v>0.05</v>
      </c>
      <c r="N4794" s="475">
        <f t="shared" si="195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93"/>
        <v>-47558821517376.211</v>
      </c>
      <c r="J4795" s="455">
        <f t="array" ref="J4795">IFERROR(INDEX('Retirement Calculator'!J:J,MATCH('Isaac 401k'!N4795,'Retirement Calculator'!A:A,0),0),0)</f>
        <v>0</v>
      </c>
      <c r="K4795" s="455">
        <f t="shared" ca="1" si="191"/>
        <v>-198161756322.40088</v>
      </c>
      <c r="L4795" s="455">
        <f t="shared" ca="1" si="192"/>
        <v>-47756983273698.609</v>
      </c>
      <c r="M4795" s="471">
        <f t="shared" si="194"/>
        <v>0.05</v>
      </c>
      <c r="N4795" s="475">
        <f t="shared" si="195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93"/>
        <v>-47756983273698.609</v>
      </c>
      <c r="J4796" s="455">
        <f t="array" ref="J4796">IFERROR(INDEX('Retirement Calculator'!J:J,MATCH('Isaac 401k'!N4796,'Retirement Calculator'!A:A,0),0),0)</f>
        <v>0</v>
      </c>
      <c r="K4796" s="455">
        <f t="shared" ca="1" si="191"/>
        <v>-198987430307.07755</v>
      </c>
      <c r="L4796" s="455">
        <f t="shared" ca="1" si="192"/>
        <v>-47955970704005.688</v>
      </c>
      <c r="M4796" s="471">
        <f t="shared" si="194"/>
        <v>0.05</v>
      </c>
      <c r="N4796" s="475">
        <f t="shared" si="195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93"/>
        <v>-47955970704005.688</v>
      </c>
      <c r="J4797" s="455">
        <f t="array" ref="J4797">IFERROR(INDEX('Retirement Calculator'!J:J,MATCH('Isaac 401k'!N4797,'Retirement Calculator'!A:A,0),0),0)</f>
        <v>0</v>
      </c>
      <c r="K4797" s="455">
        <f t="shared" ca="1" si="191"/>
        <v>-199816544600.02368</v>
      </c>
      <c r="L4797" s="455">
        <f t="shared" ca="1" si="192"/>
        <v>-48155787248605.711</v>
      </c>
      <c r="M4797" s="471">
        <f t="shared" si="194"/>
        <v>0.05</v>
      </c>
      <c r="N4797" s="475">
        <f t="shared" si="195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93"/>
        <v>-48155787248605.711</v>
      </c>
      <c r="J4798" s="455">
        <f t="array" ref="J4798">IFERROR(INDEX('Retirement Calculator'!J:J,MATCH('Isaac 401k'!N4798,'Retirement Calculator'!A:A,0),0),0)</f>
        <v>0</v>
      </c>
      <c r="K4798" s="455">
        <f t="shared" ca="1" si="191"/>
        <v>-200649113535.85712</v>
      </c>
      <c r="L4798" s="455">
        <f t="shared" ca="1" si="192"/>
        <v>-48356436362141.57</v>
      </c>
      <c r="M4798" s="471">
        <f t="shared" si="194"/>
        <v>0.05</v>
      </c>
      <c r="N4798" s="475">
        <f t="shared" si="195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93"/>
        <v>-48356436362141.57</v>
      </c>
      <c r="J4799" s="455">
        <f t="array" ref="J4799">IFERROR(INDEX('Retirement Calculator'!J:J,MATCH('Isaac 401k'!N4799,'Retirement Calculator'!A:A,0),0),0)</f>
        <v>0</v>
      </c>
      <c r="K4799" s="455">
        <f t="shared" ca="1" si="191"/>
        <v>-201485151508.92322</v>
      </c>
      <c r="L4799" s="455">
        <f t="shared" ca="1" si="192"/>
        <v>-48557921513650.492</v>
      </c>
      <c r="M4799" s="471">
        <f t="shared" si="194"/>
        <v>0.05</v>
      </c>
      <c r="N4799" s="475">
        <f t="shared" si="195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93"/>
        <v>-48557921513650.492</v>
      </c>
      <c r="J4800" s="455">
        <f t="array" ref="J4800">IFERROR(INDEX('Retirement Calculator'!J:J,MATCH('Isaac 401k'!N4800,'Retirement Calculator'!A:A,0),0),0)</f>
        <v>0</v>
      </c>
      <c r="K4800" s="455">
        <f t="shared" ca="1" si="191"/>
        <v>-202324672973.5437</v>
      </c>
      <c r="L4800" s="455">
        <f t="shared" ca="1" si="192"/>
        <v>-48760246186624.039</v>
      </c>
      <c r="M4800" s="471">
        <f t="shared" si="194"/>
        <v>0.05</v>
      </c>
      <c r="N4800" s="475">
        <f t="shared" si="195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93"/>
        <v>-48760246186624.039</v>
      </c>
      <c r="J4801" s="455">
        <f t="array" ref="J4801">IFERROR(INDEX('Retirement Calculator'!J:J,MATCH('Isaac 401k'!N4801,'Retirement Calculator'!A:A,0),0),0)</f>
        <v>0</v>
      </c>
      <c r="K4801" s="455">
        <f t="shared" ca="1" si="191"/>
        <v>-203167692444.26682</v>
      </c>
      <c r="L4801" s="455">
        <f t="shared" ca="1" si="192"/>
        <v>-48963413879068.305</v>
      </c>
      <c r="M4801" s="471">
        <f t="shared" si="194"/>
        <v>0.05</v>
      </c>
      <c r="N4801" s="475">
        <f t="shared" si="195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93"/>
        <v>-48963413879068.305</v>
      </c>
      <c r="J4802" s="455">
        <f t="array" ref="J4802">IFERROR(INDEX('Retirement Calculator'!J:J,MATCH('Isaac 401k'!N4802,'Retirement Calculator'!A:A,0),0),0)</f>
        <v>0</v>
      </c>
      <c r="K4802" s="455">
        <f t="shared" ca="1" si="191"/>
        <v>-204014224496.11792</v>
      </c>
      <c r="L4802" s="455">
        <f t="shared" ca="1" si="192"/>
        <v>-49167428103564.422</v>
      </c>
      <c r="M4802" s="471">
        <f t="shared" si="194"/>
        <v>0.05</v>
      </c>
      <c r="N4802" s="475">
        <f t="shared" si="195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93"/>
        <v>-49167428103564.422</v>
      </c>
      <c r="J4803" s="455">
        <f t="array" ref="J4803">IFERROR(INDEX('Retirement Calculator'!J:J,MATCH('Isaac 401k'!N4803,'Retirement Calculator'!A:A,0),0),0)</f>
        <v>0</v>
      </c>
      <c r="K4803" s="455">
        <f t="shared" ca="1" si="191"/>
        <v>-204864283764.85175</v>
      </c>
      <c r="L4803" s="455">
        <f t="shared" ca="1" si="192"/>
        <v>-49372292387329.273</v>
      </c>
      <c r="M4803" s="471">
        <f t="shared" si="194"/>
        <v>0.05</v>
      </c>
      <c r="N4803" s="475">
        <f t="shared" si="195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93"/>
        <v>-49372292387329.273</v>
      </c>
      <c r="J4804" s="455">
        <f t="array" ref="J4804">IFERROR(INDEX('Retirement Calculator'!J:J,MATCH('Isaac 401k'!N4804,'Retirement Calculator'!A:A,0),0),0)</f>
        <v>0</v>
      </c>
      <c r="K4804" s="455">
        <f t="shared" ca="1" si="191"/>
        <v>-205717884947.20529</v>
      </c>
      <c r="L4804" s="455">
        <f t="shared" ca="1" si="192"/>
        <v>-49578010272276.477</v>
      </c>
      <c r="M4804" s="471">
        <f t="shared" si="194"/>
        <v>0.05</v>
      </c>
      <c r="N4804" s="475">
        <f t="shared" si="195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93"/>
        <v>-49578010272276.477</v>
      </c>
      <c r="J4805" s="455">
        <f t="array" ref="J4805">IFERROR(INDEX('Retirement Calculator'!J:J,MATCH('Isaac 401k'!N4805,'Retirement Calculator'!A:A,0),0),0)</f>
        <v>0</v>
      </c>
      <c r="K4805" s="455">
        <f t="shared" ca="1" si="191"/>
        <v>-206575042801.15198</v>
      </c>
      <c r="L4805" s="455">
        <f t="shared" ca="1" si="192"/>
        <v>-49784585315077.625</v>
      </c>
      <c r="M4805" s="471">
        <f t="shared" si="194"/>
        <v>0.05</v>
      </c>
      <c r="N4805" s="475">
        <f t="shared" si="195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93"/>
        <v>-49784585315077.625</v>
      </c>
      <c r="J4806" s="455">
        <f t="array" ref="J4806">IFERROR(INDEX('Retirement Calculator'!J:J,MATCH('Isaac 401k'!N4806,'Retirement Calculator'!A:A,0),0),0)</f>
        <v>0</v>
      </c>
      <c r="K4806" s="455">
        <f t="shared" ca="1" si="191"/>
        <v>-207435772146.15677</v>
      </c>
      <c r="L4806" s="455">
        <f t="shared" ca="1" si="192"/>
        <v>-49992021087223.781</v>
      </c>
      <c r="M4806" s="471">
        <f t="shared" si="194"/>
        <v>0.05</v>
      </c>
      <c r="N4806" s="475">
        <f t="shared" si="195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93"/>
        <v>-49992021087223.781</v>
      </c>
      <c r="J4807" s="455">
        <f t="array" ref="J4807">IFERROR(INDEX('Retirement Calculator'!J:J,MATCH('Isaac 401k'!N4807,'Retirement Calculator'!A:A,0),0),0)</f>
        <v>0</v>
      </c>
      <c r="K4807" s="455">
        <f t="shared" ca="1" si="191"/>
        <v>-208300087863.43243</v>
      </c>
      <c r="L4807" s="455">
        <f t="shared" ca="1" si="192"/>
        <v>-50200321175087.211</v>
      </c>
      <c r="M4807" s="471">
        <f t="shared" si="194"/>
        <v>0.05</v>
      </c>
      <c r="N4807" s="475">
        <f t="shared" si="195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93"/>
        <v>-50200321175087.211</v>
      </c>
      <c r="J4808" s="455">
        <f t="array" ref="J4808">IFERROR(INDEX('Retirement Calculator'!J:J,MATCH('Isaac 401k'!N4808,'Retirement Calculator'!A:A,0),0),0)</f>
        <v>0</v>
      </c>
      <c r="K4808" s="455">
        <f t="shared" ca="1" si="191"/>
        <v>-209168004896.19672</v>
      </c>
      <c r="L4808" s="455">
        <f t="shared" ca="1" si="192"/>
        <v>-50409489179983.406</v>
      </c>
      <c r="M4808" s="471">
        <f t="shared" si="194"/>
        <v>0.05</v>
      </c>
      <c r="N4808" s="475">
        <f t="shared" si="195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93"/>
        <v>-50409489179983.406</v>
      </c>
      <c r="J4809" s="455">
        <f t="array" ref="J4809">IFERROR(INDEX('Retirement Calculator'!J:J,MATCH('Isaac 401k'!N4809,'Retirement Calculator'!A:A,0),0),0)</f>
        <v>0</v>
      </c>
      <c r="K4809" s="455">
        <f t="shared" ca="1" si="191"/>
        <v>-210039538249.93085</v>
      </c>
      <c r="L4809" s="455">
        <f t="shared" ca="1" si="192"/>
        <v>-50619528718233.336</v>
      </c>
      <c r="M4809" s="471">
        <f t="shared" si="194"/>
        <v>0.05</v>
      </c>
      <c r="N4809" s="475">
        <f t="shared" si="195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93"/>
        <v>-50619528718233.336</v>
      </c>
      <c r="J4810" s="455">
        <f t="array" ref="J4810">IFERROR(INDEX('Retirement Calculator'!J:J,MATCH('Isaac 401k'!N4810,'Retirement Calculator'!A:A,0),0),0)</f>
        <v>0</v>
      </c>
      <c r="K4810" s="455">
        <f t="shared" ca="1" si="191"/>
        <v>-210914702992.63889</v>
      </c>
      <c r="L4810" s="455">
        <f t="shared" ca="1" si="192"/>
        <v>-50830443421225.977</v>
      </c>
      <c r="M4810" s="471">
        <f t="shared" si="194"/>
        <v>0.05</v>
      </c>
      <c r="N4810" s="475">
        <f t="shared" si="195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93"/>
        <v>-50830443421225.977</v>
      </c>
      <c r="J4811" s="455">
        <f t="array" ref="J4811">IFERROR(INDEX('Retirement Calculator'!J:J,MATCH('Isaac 401k'!N4811,'Retirement Calculator'!A:A,0),0),0)</f>
        <v>0</v>
      </c>
      <c r="K4811" s="455">
        <f t="shared" ca="1" si="191"/>
        <v>-211793514255.10825</v>
      </c>
      <c r="L4811" s="455">
        <f t="shared" ca="1" si="192"/>
        <v>-51042236935481.086</v>
      </c>
      <c r="M4811" s="471">
        <f t="shared" si="194"/>
        <v>0.05</v>
      </c>
      <c r="N4811" s="475">
        <f t="shared" si="195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93"/>
        <v>-51042236935481.086</v>
      </c>
      <c r="J4812" s="455">
        <f t="array" ref="J4812">IFERROR(INDEX('Retirement Calculator'!J:J,MATCH('Isaac 401k'!N4812,'Retirement Calculator'!A:A,0),0),0)</f>
        <v>0</v>
      </c>
      <c r="K4812" s="455">
        <f t="shared" ca="1" si="191"/>
        <v>-212675987231.1712</v>
      </c>
      <c r="L4812" s="455">
        <f t="shared" ca="1" si="192"/>
        <v>-51254912922712.258</v>
      </c>
      <c r="M4812" s="471">
        <f t="shared" si="194"/>
        <v>0.05</v>
      </c>
      <c r="N4812" s="475">
        <f t="shared" si="195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93"/>
        <v>-51254912922712.258</v>
      </c>
      <c r="J4813" s="455">
        <f t="array" ref="J4813">IFERROR(INDEX('Retirement Calculator'!J:J,MATCH('Isaac 401k'!N4813,'Retirement Calculator'!A:A,0),0),0)</f>
        <v>0</v>
      </c>
      <c r="K4813" s="455">
        <f t="shared" ca="1" si="191"/>
        <v>-213562137177.96774</v>
      </c>
      <c r="L4813" s="455">
        <f t="shared" ca="1" si="192"/>
        <v>-51468475059890.227</v>
      </c>
      <c r="M4813" s="471">
        <f t="shared" si="194"/>
        <v>0.05</v>
      </c>
      <c r="N4813" s="475">
        <f t="shared" si="195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93"/>
        <v>-51468475059890.227</v>
      </c>
      <c r="J4814" s="455">
        <f t="array" ref="J4814">IFERROR(INDEX('Retirement Calculator'!J:J,MATCH('Isaac 401k'!N4814,'Retirement Calculator'!A:A,0),0),0)</f>
        <v>0</v>
      </c>
      <c r="K4814" s="455">
        <f t="shared" ca="1" si="191"/>
        <v>-214451979416.20929</v>
      </c>
      <c r="L4814" s="455">
        <f t="shared" ca="1" si="192"/>
        <v>-51682927039306.438</v>
      </c>
      <c r="M4814" s="471">
        <f t="shared" si="194"/>
        <v>0.05</v>
      </c>
      <c r="N4814" s="475">
        <f t="shared" si="195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93"/>
        <v>-51682927039306.438</v>
      </c>
      <c r="J4815" s="455">
        <f t="array" ref="J4815">IFERROR(INDEX('Retirement Calculator'!J:J,MATCH('Isaac 401k'!N4815,'Retirement Calculator'!A:A,0),0),0)</f>
        <v>0</v>
      </c>
      <c r="K4815" s="455">
        <f t="shared" ca="1" si="191"/>
        <v>-215345529330.44348</v>
      </c>
      <c r="L4815" s="455">
        <f t="shared" ca="1" si="192"/>
        <v>-51898272568636.883</v>
      </c>
      <c r="M4815" s="471">
        <f t="shared" si="194"/>
        <v>0.05</v>
      </c>
      <c r="N4815" s="475">
        <f t="shared" si="195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93"/>
        <v>-51898272568636.883</v>
      </c>
      <c r="J4816" s="455">
        <f t="array" ref="J4816">IFERROR(INDEX('Retirement Calculator'!J:J,MATCH('Isaac 401k'!N4816,'Retirement Calculator'!A:A,0),0),0)</f>
        <v>0</v>
      </c>
      <c r="K4816" s="455">
        <f t="shared" ca="1" si="191"/>
        <v>-216242802369.32034</v>
      </c>
      <c r="L4816" s="455">
        <f t="shared" ca="1" si="192"/>
        <v>-52114515371006.203</v>
      </c>
      <c r="M4816" s="471">
        <f t="shared" si="194"/>
        <v>0.05</v>
      </c>
      <c r="N4816" s="475">
        <f t="shared" si="195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93"/>
        <v>-52114515371006.203</v>
      </c>
      <c r="J4817" s="455">
        <f t="array" ref="J4817">IFERROR(INDEX('Retirement Calculator'!J:J,MATCH('Isaac 401k'!N4817,'Retirement Calculator'!A:A,0),0),0)</f>
        <v>0</v>
      </c>
      <c r="K4817" s="455">
        <f t="shared" ca="1" si="191"/>
        <v>-217143814045.85919</v>
      </c>
      <c r="L4817" s="455">
        <f t="shared" ca="1" si="192"/>
        <v>-52331659185052.063</v>
      </c>
      <c r="M4817" s="471">
        <f t="shared" si="194"/>
        <v>0.05</v>
      </c>
      <c r="N4817" s="475">
        <f t="shared" si="195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93"/>
        <v>-52331659185052.063</v>
      </c>
      <c r="J4818" s="455">
        <f t="array" ref="J4818">IFERROR(INDEX('Retirement Calculator'!J:J,MATCH('Isaac 401k'!N4818,'Retirement Calculator'!A:A,0),0),0)</f>
        <v>0</v>
      </c>
      <c r="K4818" s="455">
        <f t="shared" ca="1" si="191"/>
        <v>-218048579937.71692</v>
      </c>
      <c r="L4818" s="455">
        <f t="shared" ca="1" si="192"/>
        <v>-52549707764989.781</v>
      </c>
      <c r="M4818" s="471">
        <f t="shared" si="194"/>
        <v>0.05</v>
      </c>
      <c r="N4818" s="475">
        <f t="shared" si="195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93"/>
        <v>-52549707764989.781</v>
      </c>
      <c r="J4819" s="455">
        <f t="array" ref="J4819">IFERROR(INDEX('Retirement Calculator'!J:J,MATCH('Isaac 401k'!N4819,'Retirement Calculator'!A:A,0),0),0)</f>
        <v>0</v>
      </c>
      <c r="K4819" s="455">
        <f t="shared" ca="1" si="191"/>
        <v>-218957115687.45743</v>
      </c>
      <c r="L4819" s="455">
        <f t="shared" ca="1" si="192"/>
        <v>-52768664880677.242</v>
      </c>
      <c r="M4819" s="471">
        <f t="shared" si="194"/>
        <v>0.05</v>
      </c>
      <c r="N4819" s="475">
        <f t="shared" si="195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93"/>
        <v>-52768664880677.242</v>
      </c>
      <c r="J4820" s="455">
        <f t="array" ref="J4820">IFERROR(INDEX('Retirement Calculator'!J:J,MATCH('Isaac 401k'!N4820,'Retirement Calculator'!A:A,0),0),0)</f>
        <v>0</v>
      </c>
      <c r="K4820" s="455">
        <f t="shared" ca="1" si="191"/>
        <v>-219869437002.82184</v>
      </c>
      <c r="L4820" s="455">
        <f t="shared" ca="1" si="192"/>
        <v>-52988534317680.063</v>
      </c>
      <c r="M4820" s="471">
        <f t="shared" si="194"/>
        <v>0.05</v>
      </c>
      <c r="N4820" s="475">
        <f t="shared" si="195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93"/>
        <v>-52988534317680.063</v>
      </c>
      <c r="J4821" s="455">
        <f t="array" ref="J4821">IFERROR(INDEX('Retirement Calculator'!J:J,MATCH('Isaac 401k'!N4821,'Retirement Calculator'!A:A,0),0),0)</f>
        <v>0</v>
      </c>
      <c r="K4821" s="455">
        <f t="shared" ca="1" si="191"/>
        <v>-220785559657.00024</v>
      </c>
      <c r="L4821" s="455">
        <f t="shared" ca="1" si="192"/>
        <v>-53209319877337.063</v>
      </c>
      <c r="M4821" s="471">
        <f t="shared" si="194"/>
        <v>0.05</v>
      </c>
      <c r="N4821" s="475">
        <f t="shared" si="195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93"/>
        <v>-53209319877337.063</v>
      </c>
      <c r="J4822" s="455">
        <f t="array" ref="J4822">IFERROR(INDEX('Retirement Calculator'!J:J,MATCH('Isaac 401k'!N4822,'Retirement Calculator'!A:A,0),0),0)</f>
        <v>0</v>
      </c>
      <c r="K4822" s="455">
        <f t="shared" ca="1" si="191"/>
        <v>-221705499488.90442</v>
      </c>
      <c r="L4822" s="455">
        <f t="shared" ca="1" si="192"/>
        <v>-53431025376825.969</v>
      </c>
      <c r="M4822" s="471">
        <f t="shared" si="194"/>
        <v>0.05</v>
      </c>
      <c r="N4822" s="475">
        <f t="shared" si="195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93"/>
        <v>-53431025376825.969</v>
      </c>
      <c r="J4823" s="455">
        <f t="array" ref="J4823">IFERROR(INDEX('Retirement Calculator'!J:J,MATCH('Isaac 401k'!N4823,'Retirement Calculator'!A:A,0),0),0)</f>
        <v>0</v>
      </c>
      <c r="K4823" s="455">
        <f t="shared" ca="1" si="191"/>
        <v>-222629272403.44153</v>
      </c>
      <c r="L4823" s="455">
        <f t="shared" ca="1" si="192"/>
        <v>-53653654649229.414</v>
      </c>
      <c r="M4823" s="471">
        <f t="shared" si="194"/>
        <v>0.05</v>
      </c>
      <c r="N4823" s="475">
        <f t="shared" si="195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93"/>
        <v>-53653654649229.414</v>
      </c>
      <c r="J4824" s="455">
        <f t="array" ref="J4824">IFERROR(INDEX('Retirement Calculator'!J:J,MATCH('Isaac 401k'!N4824,'Retirement Calculator'!A:A,0),0),0)</f>
        <v>0</v>
      </c>
      <c r="K4824" s="455">
        <f t="shared" ca="1" si="191"/>
        <v>-223556894371.78922</v>
      </c>
      <c r="L4824" s="455">
        <f t="shared" ca="1" si="192"/>
        <v>-53877211543601.203</v>
      </c>
      <c r="M4824" s="471">
        <f t="shared" si="194"/>
        <v>0.05</v>
      </c>
      <c r="N4824" s="475">
        <f t="shared" si="195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93"/>
        <v>-53877211543601.203</v>
      </c>
      <c r="J4825" s="455">
        <f t="array" ref="J4825">IFERROR(INDEX('Retirement Calculator'!J:J,MATCH('Isaac 401k'!N4825,'Retirement Calculator'!A:A,0),0),0)</f>
        <v>0</v>
      </c>
      <c r="K4825" s="455">
        <f t="shared" ca="1" si="191"/>
        <v>-224488381431.67166</v>
      </c>
      <c r="L4825" s="455">
        <f t="shared" ca="1" si="192"/>
        <v>-54101699925032.875</v>
      </c>
      <c r="M4825" s="471">
        <f t="shared" si="194"/>
        <v>0.05</v>
      </c>
      <c r="N4825" s="475">
        <f t="shared" si="195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93"/>
        <v>-54101699925032.875</v>
      </c>
      <c r="J4826" s="455">
        <f t="array" ref="J4826">IFERROR(INDEX('Retirement Calculator'!J:J,MATCH('Isaac 401k'!N4826,'Retirement Calculator'!A:A,0),0),0)</f>
        <v>0</v>
      </c>
      <c r="K4826" s="455">
        <f t="shared" ca="1" si="191"/>
        <v>-225423749687.63696</v>
      </c>
      <c r="L4826" s="455">
        <f t="shared" ca="1" si="192"/>
        <v>-54327123674720.516</v>
      </c>
      <c r="M4826" s="471">
        <f t="shared" si="194"/>
        <v>0.05</v>
      </c>
      <c r="N4826" s="475">
        <f t="shared" si="195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93"/>
        <v>-54327123674720.516</v>
      </c>
      <c r="J4827" s="455">
        <f t="array" ref="J4827">IFERROR(INDEX('Retirement Calculator'!J:J,MATCH('Isaac 401k'!N4827,'Retirement Calculator'!A:A,0),0),0)</f>
        <v>0</v>
      </c>
      <c r="K4827" s="455">
        <f t="shared" ca="1" si="191"/>
        <v>-226363015311.33548</v>
      </c>
      <c r="L4827" s="455">
        <f t="shared" ca="1" si="192"/>
        <v>-54553486690031.852</v>
      </c>
      <c r="M4827" s="471">
        <f t="shared" si="194"/>
        <v>0.05</v>
      </c>
      <c r="N4827" s="475">
        <f t="shared" si="195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93"/>
        <v>-54553486690031.852</v>
      </c>
      <c r="J4828" s="455">
        <f t="array" ref="J4828">IFERROR(INDEX('Retirement Calculator'!J:J,MATCH('Isaac 401k'!N4828,'Retirement Calculator'!A:A,0),0),0)</f>
        <v>0</v>
      </c>
      <c r="K4828" s="455">
        <f t="shared" ca="1" si="191"/>
        <v>-227306194541.79938</v>
      </c>
      <c r="L4828" s="455">
        <f t="shared" ca="1" si="192"/>
        <v>-54780792884573.648</v>
      </c>
      <c r="M4828" s="471">
        <f t="shared" si="194"/>
        <v>0.05</v>
      </c>
      <c r="N4828" s="475">
        <f t="shared" si="195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93"/>
        <v>-54780792884573.648</v>
      </c>
      <c r="J4829" s="455">
        <f t="array" ref="J4829">IFERROR(INDEX('Retirement Calculator'!J:J,MATCH('Isaac 401k'!N4829,'Retirement Calculator'!A:A,0),0),0)</f>
        <v>0</v>
      </c>
      <c r="K4829" s="455">
        <f t="shared" ca="1" si="191"/>
        <v>-228253303685.72354</v>
      </c>
      <c r="L4829" s="455">
        <f t="shared" ca="1" si="192"/>
        <v>-55009046188259.375</v>
      </c>
      <c r="M4829" s="471">
        <f t="shared" si="194"/>
        <v>0.05</v>
      </c>
      <c r="N4829" s="475">
        <f t="shared" si="195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93"/>
        <v>-55009046188259.375</v>
      </c>
      <c r="J4830" s="455">
        <f t="array" ref="J4830">IFERROR(INDEX('Retirement Calculator'!J:J,MATCH('Isaac 401k'!N4830,'Retirement Calculator'!A:A,0),0),0)</f>
        <v>0</v>
      </c>
      <c r="K4830" s="455">
        <f t="shared" ca="1" si="191"/>
        <v>-229204359117.74741</v>
      </c>
      <c r="L4830" s="455">
        <f t="shared" ca="1" si="192"/>
        <v>-55238250547377.125</v>
      </c>
      <c r="M4830" s="471">
        <f t="shared" si="194"/>
        <v>0.05</v>
      </c>
      <c r="N4830" s="475">
        <f t="shared" si="195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93"/>
        <v>-55238250547377.125</v>
      </c>
      <c r="J4831" s="455">
        <f t="array" ref="J4831">IFERROR(INDEX('Retirement Calculator'!J:J,MATCH('Isaac 401k'!N4831,'Retirement Calculator'!A:A,0),0),0)</f>
        <v>0</v>
      </c>
      <c r="K4831" s="455">
        <f t="shared" ca="1" si="191"/>
        <v>-230159377280.73801</v>
      </c>
      <c r="L4831" s="455">
        <f t="shared" ca="1" si="192"/>
        <v>-55468409924657.859</v>
      </c>
      <c r="M4831" s="471">
        <f t="shared" si="194"/>
        <v>0.05</v>
      </c>
      <c r="N4831" s="475">
        <f t="shared" si="195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93"/>
        <v>-55468409924657.859</v>
      </c>
      <c r="J4832" s="455">
        <f t="array" ref="J4832">IFERROR(INDEX('Retirement Calculator'!J:J,MATCH('Isaac 401k'!N4832,'Retirement Calculator'!A:A,0),0),0)</f>
        <v>0</v>
      </c>
      <c r="K4832" s="455">
        <f t="shared" ca="1" si="191"/>
        <v>-231118374686.0744</v>
      </c>
      <c r="L4832" s="455">
        <f t="shared" ca="1" si="192"/>
        <v>-55699528299343.938</v>
      </c>
      <c r="M4832" s="471">
        <f t="shared" si="194"/>
        <v>0.05</v>
      </c>
      <c r="N4832" s="475">
        <f t="shared" si="195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93"/>
        <v>-55699528299343.938</v>
      </c>
      <c r="J4833" s="455">
        <f t="array" ref="J4833">IFERROR(INDEX('Retirement Calculator'!J:J,MATCH('Isaac 401k'!N4833,'Retirement Calculator'!A:A,0),0),0)</f>
        <v>0</v>
      </c>
      <c r="K4833" s="455">
        <f t="shared" ca="1" si="191"/>
        <v>-232081367913.93307</v>
      </c>
      <c r="L4833" s="455">
        <f t="shared" ca="1" si="192"/>
        <v>-55931609667257.867</v>
      </c>
      <c r="M4833" s="471">
        <f t="shared" si="194"/>
        <v>0.05</v>
      </c>
      <c r="N4833" s="475">
        <f t="shared" si="195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93"/>
        <v>-55931609667257.867</v>
      </c>
      <c r="J4834" s="455">
        <f t="array" ref="J4834">IFERROR(INDEX('Retirement Calculator'!J:J,MATCH('Isaac 401k'!N4834,'Retirement Calculator'!A:A,0),0),0)</f>
        <v>0</v>
      </c>
      <c r="K4834" s="455">
        <f t="shared" ca="1" si="191"/>
        <v>-233048373613.57443</v>
      </c>
      <c r="L4834" s="455">
        <f t="shared" ca="1" si="192"/>
        <v>-56164658040871.445</v>
      </c>
      <c r="M4834" s="471">
        <f t="shared" si="194"/>
        <v>0.05</v>
      </c>
      <c r="N4834" s="475">
        <f t="shared" si="195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93"/>
        <v>-56164658040871.445</v>
      </c>
      <c r="J4835" s="455">
        <f t="array" ref="J4835">IFERROR(INDEX('Retirement Calculator'!J:J,MATCH('Isaac 401k'!N4835,'Retirement Calculator'!A:A,0),0),0)</f>
        <v>0</v>
      </c>
      <c r="K4835" s="455">
        <f t="shared" ca="1" si="191"/>
        <v>-234019408503.63101</v>
      </c>
      <c r="L4835" s="455">
        <f t="shared" ca="1" si="192"/>
        <v>-56398677449375.078</v>
      </c>
      <c r="M4835" s="471">
        <f t="shared" si="194"/>
        <v>0.05</v>
      </c>
      <c r="N4835" s="475">
        <f t="shared" si="195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93"/>
        <v>-56398677449375.078</v>
      </c>
      <c r="J4836" s="455">
        <f t="array" ref="J4836">IFERROR(INDEX('Retirement Calculator'!J:J,MATCH('Isaac 401k'!N4836,'Retirement Calculator'!A:A,0),0),0)</f>
        <v>0</v>
      </c>
      <c r="K4836" s="455">
        <f t="shared" ca="1" si="191"/>
        <v>-234994489372.39612</v>
      </c>
      <c r="L4836" s="455">
        <f t="shared" ca="1" si="192"/>
        <v>-56633671938747.477</v>
      </c>
      <c r="M4836" s="471">
        <f t="shared" si="194"/>
        <v>0.05</v>
      </c>
      <c r="N4836" s="475">
        <f t="shared" si="195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93"/>
        <v>-56633671938747.477</v>
      </c>
      <c r="J4837" s="455">
        <f t="array" ref="J4837">IFERROR(INDEX('Retirement Calculator'!J:J,MATCH('Isaac 401k'!N4837,'Retirement Calculator'!A:A,0),0),0)</f>
        <v>0</v>
      </c>
      <c r="K4837" s="455">
        <f t="shared" ca="1" si="191"/>
        <v>-235973633078.1145</v>
      </c>
      <c r="L4837" s="455">
        <f t="shared" ca="1" si="192"/>
        <v>-56869645571825.594</v>
      </c>
      <c r="M4837" s="471">
        <f t="shared" si="194"/>
        <v>0.05</v>
      </c>
      <c r="N4837" s="475">
        <f t="shared" si="195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93"/>
        <v>-56869645571825.594</v>
      </c>
      <c r="J4838" s="455">
        <f t="array" ref="J4838">IFERROR(INDEX('Retirement Calculator'!J:J,MATCH('Isaac 401k'!N4838,'Retirement Calculator'!A:A,0),0),0)</f>
        <v>0</v>
      </c>
      <c r="K4838" s="455">
        <f t="shared" ca="1" si="191"/>
        <v>-236956856549.27332</v>
      </c>
      <c r="L4838" s="455">
        <f t="shared" ca="1" si="192"/>
        <v>-57106602428374.867</v>
      </c>
      <c r="M4838" s="471">
        <f t="shared" si="194"/>
        <v>0.05</v>
      </c>
      <c r="N4838" s="475">
        <f t="shared" si="195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93"/>
        <v>-57106602428374.867</v>
      </c>
      <c r="J4839" s="455">
        <f t="array" ref="J4839">IFERROR(INDEX('Retirement Calculator'!J:J,MATCH('Isaac 401k'!N4839,'Retirement Calculator'!A:A,0),0),0)</f>
        <v>0</v>
      </c>
      <c r="K4839" s="455">
        <f t="shared" ca="1" si="191"/>
        <v>-237944176784.89526</v>
      </c>
      <c r="L4839" s="455">
        <f t="shared" ca="1" si="192"/>
        <v>-57344546605159.766</v>
      </c>
      <c r="M4839" s="471">
        <f t="shared" si="194"/>
        <v>0.05</v>
      </c>
      <c r="N4839" s="475">
        <f t="shared" si="195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93"/>
        <v>-57344546605159.766</v>
      </c>
      <c r="J4840" s="455">
        <f t="array" ref="J4840">IFERROR(INDEX('Retirement Calculator'!J:J,MATCH('Isaac 401k'!N4840,'Retirement Calculator'!A:A,0),0),0)</f>
        <v>0</v>
      </c>
      <c r="K4840" s="455">
        <f t="shared" ca="1" si="191"/>
        <v>-238935610854.83231</v>
      </c>
      <c r="L4840" s="455">
        <f t="shared" ca="1" si="192"/>
        <v>-57583482216014.602</v>
      </c>
      <c r="M4840" s="471">
        <f t="shared" si="194"/>
        <v>0.05</v>
      </c>
      <c r="N4840" s="475">
        <f t="shared" si="195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93"/>
        <v>-57583482216014.602</v>
      </c>
      <c r="J4841" s="455">
        <f t="array" ref="J4841">IFERROR(INDEX('Retirement Calculator'!J:J,MATCH('Isaac 401k'!N4841,'Retirement Calculator'!A:A,0),0),0)</f>
        <v>0</v>
      </c>
      <c r="K4841" s="455">
        <f t="shared" ca="1" si="191"/>
        <v>-239931175900.06082</v>
      </c>
      <c r="L4841" s="455">
        <f t="shared" ca="1" si="192"/>
        <v>-57823413391914.664</v>
      </c>
      <c r="M4841" s="471">
        <f t="shared" si="194"/>
        <v>0.05</v>
      </c>
      <c r="N4841" s="475">
        <f t="shared" si="195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93"/>
        <v>-57823413391914.664</v>
      </c>
      <c r="J4842" s="455">
        <f t="array" ref="J4842">IFERROR(INDEX('Retirement Calculator'!J:J,MATCH('Isaac 401k'!N4842,'Retirement Calculator'!A:A,0),0),0)</f>
        <v>0</v>
      </c>
      <c r="K4842" s="455">
        <f t="shared" ca="1" si="191"/>
        <v>-240930889132.97775</v>
      </c>
      <c r="L4842" s="455">
        <f t="shared" ca="1" si="192"/>
        <v>-58064344281047.641</v>
      </c>
      <c r="M4842" s="471">
        <f t="shared" si="194"/>
        <v>0.05</v>
      </c>
      <c r="N4842" s="475">
        <f t="shared" si="195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93"/>
        <v>-58064344281047.641</v>
      </c>
      <c r="J4843" s="455">
        <f t="array" ref="J4843">IFERROR(INDEX('Retirement Calculator'!J:J,MATCH('Isaac 401k'!N4843,'Retirement Calculator'!A:A,0),0),0)</f>
        <v>0</v>
      </c>
      <c r="K4843" s="455">
        <f t="shared" ca="1" si="191"/>
        <v>-241934767837.69852</v>
      </c>
      <c r="L4843" s="455">
        <f t="shared" ca="1" si="192"/>
        <v>-58306279048885.336</v>
      </c>
      <c r="M4843" s="471">
        <f t="shared" si="194"/>
        <v>0.05</v>
      </c>
      <c r="N4843" s="475">
        <f t="shared" si="195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93"/>
        <v>-58306279048885.336</v>
      </c>
      <c r="J4844" s="455">
        <f t="array" ref="J4844">IFERROR(INDEX('Retirement Calculator'!J:J,MATCH('Isaac 401k'!N4844,'Retirement Calculator'!A:A,0),0),0)</f>
        <v>0</v>
      </c>
      <c r="K4844" s="455">
        <f t="shared" ca="1" si="191"/>
        <v>-242942829370.35559</v>
      </c>
      <c r="L4844" s="455">
        <f t="shared" ca="1" si="192"/>
        <v>-58549221878255.695</v>
      </c>
      <c r="M4844" s="471">
        <f t="shared" si="194"/>
        <v>0.05</v>
      </c>
      <c r="N4844" s="475">
        <f t="shared" si="195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93"/>
        <v>-58549221878255.695</v>
      </c>
      <c r="J4845" s="455">
        <f t="array" ref="J4845">IFERROR(INDEX('Retirement Calculator'!J:J,MATCH('Isaac 401k'!N4845,'Retirement Calculator'!A:A,0),0),0)</f>
        <v>0</v>
      </c>
      <c r="K4845" s="455">
        <f t="shared" ca="1" si="191"/>
        <v>-243955091159.39871</v>
      </c>
      <c r="L4845" s="455">
        <f t="shared" ca="1" si="192"/>
        <v>-58793176969415.094</v>
      </c>
      <c r="M4845" s="471">
        <f t="shared" si="194"/>
        <v>0.05</v>
      </c>
      <c r="N4845" s="475">
        <f t="shared" si="195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93"/>
        <v>-58793176969415.094</v>
      </c>
      <c r="J4846" s="455">
        <f t="array" ref="J4846">IFERROR(INDEX('Retirement Calculator'!J:J,MATCH('Isaac 401k'!N4846,'Retirement Calculator'!A:A,0),0),0)</f>
        <v>0</v>
      </c>
      <c r="K4846" s="455">
        <f t="shared" ca="1" si="191"/>
        <v>-244971570705.89624</v>
      </c>
      <c r="L4846" s="455">
        <f t="shared" ca="1" si="192"/>
        <v>-59038148540120.992</v>
      </c>
      <c r="M4846" s="471">
        <f t="shared" si="194"/>
        <v>0.05</v>
      </c>
      <c r="N4846" s="475">
        <f t="shared" si="195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93"/>
        <v>-59038148540120.992</v>
      </c>
      <c r="J4847" s="455">
        <f t="array" ref="J4847">IFERROR(INDEX('Retirement Calculator'!J:J,MATCH('Isaac 401k'!N4847,'Retirement Calculator'!A:A,0),0),0)</f>
        <v>0</v>
      </c>
      <c r="K4847" s="455">
        <f t="shared" ca="1" si="191"/>
        <v>-245992285583.83746</v>
      </c>
      <c r="L4847" s="455">
        <f t="shared" ca="1" si="192"/>
        <v>-59284140825704.828</v>
      </c>
      <c r="M4847" s="471">
        <f t="shared" si="194"/>
        <v>0.05</v>
      </c>
      <c r="N4847" s="475">
        <f t="shared" si="195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93"/>
        <v>-59284140825704.828</v>
      </c>
      <c r="J4848" s="455">
        <f t="array" ref="J4848">IFERROR(INDEX('Retirement Calculator'!J:J,MATCH('Isaac 401k'!N4848,'Retirement Calculator'!A:A,0),0),0)</f>
        <v>0</v>
      </c>
      <c r="K4848" s="455">
        <f t="shared" ca="1" si="191"/>
        <v>-247017253440.43677</v>
      </c>
      <c r="L4848" s="455">
        <f t="shared" ca="1" si="192"/>
        <v>-59531158079145.266</v>
      </c>
      <c r="M4848" s="471">
        <f t="shared" si="194"/>
        <v>0.05</v>
      </c>
      <c r="N4848" s="475">
        <f t="shared" si="195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93"/>
        <v>-59531158079145.266</v>
      </c>
      <c r="J4849" s="455">
        <f t="array" ref="J4849">IFERROR(INDEX('Retirement Calculator'!J:J,MATCH('Isaac 401k'!N4849,'Retirement Calculator'!A:A,0),0),0)</f>
        <v>0</v>
      </c>
      <c r="K4849" s="455">
        <f t="shared" ca="1" si="191"/>
        <v>-248046491996.4386</v>
      </c>
      <c r="L4849" s="455">
        <f t="shared" ca="1" si="192"/>
        <v>-59779204571141.703</v>
      </c>
      <c r="M4849" s="471">
        <f t="shared" si="194"/>
        <v>0.05</v>
      </c>
      <c r="N4849" s="475">
        <f t="shared" si="195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93"/>
        <v>-59779204571141.703</v>
      </c>
      <c r="J4850" s="455">
        <f t="array" ref="J4850">IFERROR(INDEX('Retirement Calculator'!J:J,MATCH('Isaac 401k'!N4850,'Retirement Calculator'!A:A,0),0),0)</f>
        <v>0</v>
      </c>
      <c r="K4850" s="455">
        <f t="shared" ca="1" si="191"/>
        <v>-249080019046.42377</v>
      </c>
      <c r="L4850" s="455">
        <f t="shared" ca="1" si="192"/>
        <v>-60028284590188.125</v>
      </c>
      <c r="M4850" s="471">
        <f t="shared" si="194"/>
        <v>0.05</v>
      </c>
      <c r="N4850" s="475">
        <f t="shared" si="195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93"/>
        <v>-60028284590188.125</v>
      </c>
      <c r="J4851" s="455">
        <f t="array" ref="J4851">IFERROR(INDEX('Retirement Calculator'!J:J,MATCH('Isaac 401k'!N4851,'Retirement Calculator'!A:A,0),0),0)</f>
        <v>0</v>
      </c>
      <c r="K4851" s="455">
        <f t="shared" ca="1" si="191"/>
        <v>-250117852459.11719</v>
      </c>
      <c r="L4851" s="455">
        <f t="shared" ca="1" si="192"/>
        <v>-60278402442647.242</v>
      </c>
      <c r="M4851" s="471">
        <f t="shared" si="194"/>
        <v>0.05</v>
      </c>
      <c r="N4851" s="475">
        <f t="shared" si="195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93"/>
        <v>-60278402442647.242</v>
      </c>
      <c r="J4852" s="455">
        <f t="array" ref="J4852">IFERROR(INDEX('Retirement Calculator'!J:J,MATCH('Isaac 401k'!N4852,'Retirement Calculator'!A:A,0),0),0)</f>
        <v>0</v>
      </c>
      <c r="K4852" s="455">
        <f t="shared" ca="1" si="191"/>
        <v>-251160010177.69687</v>
      </c>
      <c r="L4852" s="455">
        <f t="shared" ca="1" si="192"/>
        <v>-60529562452824.938</v>
      </c>
      <c r="M4852" s="471">
        <f t="shared" si="194"/>
        <v>0.05</v>
      </c>
      <c r="N4852" s="475">
        <f t="shared" si="195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93"/>
        <v>-60529562452824.938</v>
      </c>
      <c r="J4853" s="455">
        <f t="array" ref="J4853">IFERROR(INDEX('Retirement Calculator'!J:J,MATCH('Isaac 401k'!N4853,'Retirement Calculator'!A:A,0),0),0)</f>
        <v>0</v>
      </c>
      <c r="K4853" s="455">
        <f t="shared" ref="K4853:K5107" ca="1" si="196">IPMT(M4853/12,1,12,-I4853+J4853,,0)</f>
        <v>-252206510220.10391</v>
      </c>
      <c r="L4853" s="455">
        <f t="shared" ref="L4853:L5107" ca="1" si="197">I4853-J4853+K4853</f>
        <v>-60781768963045.039</v>
      </c>
      <c r="M4853" s="471">
        <f t="shared" si="194"/>
        <v>0.05</v>
      </c>
      <c r="N4853" s="475">
        <f t="shared" si="195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98">L4853</f>
        <v>-60781768963045.039</v>
      </c>
      <c r="J4854" s="455">
        <f t="array" ref="J4854">IFERROR(INDEX('Retirement Calculator'!J:J,MATCH('Isaac 401k'!N4854,'Retirement Calculator'!A:A,0),0),0)</f>
        <v>0</v>
      </c>
      <c r="K4854" s="455">
        <f t="shared" ca="1" si="196"/>
        <v>-253257370679.35434</v>
      </c>
      <c r="L4854" s="455">
        <f t="shared" ca="1" si="197"/>
        <v>-61035026333724.391</v>
      </c>
      <c r="M4854" s="471">
        <f t="shared" ref="M4854:M5108" si="199">M4853</f>
        <v>0.05</v>
      </c>
      <c r="N4854" s="475">
        <f t="shared" ref="N4854:N5108" si="200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98"/>
        <v>-61035026333724.391</v>
      </c>
      <c r="J4855" s="455">
        <f t="array" ref="J4855">IFERROR(INDEX('Retirement Calculator'!J:J,MATCH('Isaac 401k'!N4855,'Retirement Calculator'!A:A,0),0),0)</f>
        <v>0</v>
      </c>
      <c r="K4855" s="455">
        <f t="shared" ca="1" si="196"/>
        <v>-254312609723.85165</v>
      </c>
      <c r="L4855" s="455">
        <f t="shared" ca="1" si="197"/>
        <v>-61289338943448.242</v>
      </c>
      <c r="M4855" s="471">
        <f t="shared" si="199"/>
        <v>0.05</v>
      </c>
      <c r="N4855" s="475">
        <f t="shared" si="200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98"/>
        <v>-61289338943448.242</v>
      </c>
      <c r="J4856" s="455">
        <f t="array" ref="J4856">IFERROR(INDEX('Retirement Calculator'!J:J,MATCH('Isaac 401k'!N4856,'Retirement Calculator'!A:A,0),0),0)</f>
        <v>0</v>
      </c>
      <c r="K4856" s="455">
        <f t="shared" ca="1" si="196"/>
        <v>-255372245597.70102</v>
      </c>
      <c r="L4856" s="455">
        <f t="shared" ca="1" si="197"/>
        <v>-61544711189045.945</v>
      </c>
      <c r="M4856" s="471">
        <f t="shared" si="199"/>
        <v>0.05</v>
      </c>
      <c r="N4856" s="475">
        <f t="shared" si="200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98"/>
        <v>-61544711189045.945</v>
      </c>
      <c r="J4857" s="455">
        <f t="array" ref="J4857">IFERROR(INDEX('Retirement Calculator'!J:J,MATCH('Isaac 401k'!N4857,'Retirement Calculator'!A:A,0),0),0)</f>
        <v>0</v>
      </c>
      <c r="K4857" s="455">
        <f t="shared" ca="1" si="196"/>
        <v>-256436296621.02478</v>
      </c>
      <c r="L4857" s="455">
        <f t="shared" ca="1" si="197"/>
        <v>-61801147485666.969</v>
      </c>
      <c r="M4857" s="471">
        <f t="shared" si="199"/>
        <v>0.05</v>
      </c>
      <c r="N4857" s="475">
        <f t="shared" si="200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98"/>
        <v>-61801147485666.969</v>
      </c>
      <c r="J4858" s="455">
        <f t="array" ref="J4858">IFERROR(INDEX('Retirement Calculator'!J:J,MATCH('Isaac 401k'!N4858,'Retirement Calculator'!A:A,0),0),0)</f>
        <v>0</v>
      </c>
      <c r="K4858" s="455">
        <f t="shared" ca="1" si="196"/>
        <v>-257504781190.27902</v>
      </c>
      <c r="L4858" s="455">
        <f t="shared" ca="1" si="197"/>
        <v>-62058652266857.25</v>
      </c>
      <c r="M4858" s="471">
        <f t="shared" si="199"/>
        <v>0.05</v>
      </c>
      <c r="N4858" s="475">
        <f t="shared" si="200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98"/>
        <v>-62058652266857.25</v>
      </c>
      <c r="J4859" s="455">
        <f t="array" ref="J4859">IFERROR(INDEX('Retirement Calculator'!J:J,MATCH('Isaac 401k'!N4859,'Retirement Calculator'!A:A,0),0),0)</f>
        <v>0</v>
      </c>
      <c r="K4859" s="455">
        <f t="shared" ca="1" si="196"/>
        <v>-258577717778.5719</v>
      </c>
      <c r="L4859" s="455">
        <f t="shared" ca="1" si="197"/>
        <v>-62317229984635.82</v>
      </c>
      <c r="M4859" s="471">
        <f t="shared" si="199"/>
        <v>0.05</v>
      </c>
      <c r="N4859" s="475">
        <f t="shared" si="200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98"/>
        <v>-62317229984635.82</v>
      </c>
      <c r="J4860" s="455">
        <f t="array" ref="J4860">IFERROR(INDEX('Retirement Calculator'!J:J,MATCH('Isaac 401k'!N4860,'Retirement Calculator'!A:A,0),0),0)</f>
        <v>0</v>
      </c>
      <c r="K4860" s="455">
        <f t="shared" ca="1" si="196"/>
        <v>-259655124935.9826</v>
      </c>
      <c r="L4860" s="455">
        <f t="shared" ca="1" si="197"/>
        <v>-62576885109571.805</v>
      </c>
      <c r="M4860" s="471">
        <f t="shared" si="199"/>
        <v>0.05</v>
      </c>
      <c r="N4860" s="475">
        <f t="shared" si="200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98"/>
        <v>-62576885109571.805</v>
      </c>
      <c r="J4861" s="455">
        <f t="array" ref="J4861">IFERROR(INDEX('Retirement Calculator'!J:J,MATCH('Isaac 401k'!N4861,'Retirement Calculator'!A:A,0),0),0)</f>
        <v>0</v>
      </c>
      <c r="K4861" s="455">
        <f t="shared" ca="1" si="196"/>
        <v>-260737021289.88248</v>
      </c>
      <c r="L4861" s="455">
        <f t="shared" ca="1" si="197"/>
        <v>-62837622130861.688</v>
      </c>
      <c r="M4861" s="471">
        <f t="shared" si="199"/>
        <v>0.05</v>
      </c>
      <c r="N4861" s="475">
        <f t="shared" si="200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98"/>
        <v>-62837622130861.688</v>
      </c>
      <c r="J4862" s="455">
        <f t="array" ref="J4862">IFERROR(INDEX('Retirement Calculator'!J:J,MATCH('Isaac 401k'!N4862,'Retirement Calculator'!A:A,0),0),0)</f>
        <v>0</v>
      </c>
      <c r="K4862" s="455">
        <f t="shared" ca="1" si="196"/>
        <v>-261823425545.25702</v>
      </c>
      <c r="L4862" s="455">
        <f t="shared" ca="1" si="197"/>
        <v>-63099445556406.945</v>
      </c>
      <c r="M4862" s="471">
        <f t="shared" si="199"/>
        <v>0.05</v>
      </c>
      <c r="N4862" s="475">
        <f t="shared" si="200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98"/>
        <v>-63099445556406.945</v>
      </c>
      <c r="J4863" s="455">
        <f t="array" ref="J4863">IFERROR(INDEX('Retirement Calculator'!J:J,MATCH('Isaac 401k'!N4863,'Retirement Calculator'!A:A,0),0),0)</f>
        <v>0</v>
      </c>
      <c r="K4863" s="455">
        <f t="shared" ca="1" si="196"/>
        <v>-262914356485.0289</v>
      </c>
      <c r="L4863" s="455">
        <f t="shared" ca="1" si="197"/>
        <v>-63362359912891.977</v>
      </c>
      <c r="M4863" s="471">
        <f t="shared" si="199"/>
        <v>0.05</v>
      </c>
      <c r="N4863" s="475">
        <f t="shared" si="200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98"/>
        <v>-63362359912891.977</v>
      </c>
      <c r="J4864" s="455">
        <f t="array" ref="J4864">IFERROR(INDEX('Retirement Calculator'!J:J,MATCH('Isaac 401k'!N4864,'Retirement Calculator'!A:A,0),0),0)</f>
        <v>0</v>
      </c>
      <c r="K4864" s="455">
        <f t="shared" ca="1" si="196"/>
        <v>-264009832970.38327</v>
      </c>
      <c r="L4864" s="455">
        <f t="shared" ca="1" si="197"/>
        <v>-63626369745862.359</v>
      </c>
      <c r="M4864" s="471">
        <f t="shared" si="199"/>
        <v>0.05</v>
      </c>
      <c r="N4864" s="475">
        <f t="shared" si="200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98"/>
        <v>-63626369745862.359</v>
      </c>
      <c r="J4865" s="455">
        <f t="array" ref="J4865">IFERROR(INDEX('Retirement Calculator'!J:J,MATCH('Isaac 401k'!N4865,'Retirement Calculator'!A:A,0),0),0)</f>
        <v>0</v>
      </c>
      <c r="K4865" s="455">
        <f t="shared" ca="1" si="196"/>
        <v>-265109873941.09314</v>
      </c>
      <c r="L4865" s="455">
        <f t="shared" ca="1" si="197"/>
        <v>-63891479619803.453</v>
      </c>
      <c r="M4865" s="471">
        <f t="shared" si="199"/>
        <v>0.05</v>
      </c>
      <c r="N4865" s="475">
        <f t="shared" si="200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98"/>
        <v>-63891479619803.453</v>
      </c>
      <c r="J4866" s="455">
        <f t="array" ref="J4866">IFERROR(INDEX('Retirement Calculator'!J:J,MATCH('Isaac 401k'!N4866,'Retirement Calculator'!A:A,0),0),0)</f>
        <v>0</v>
      </c>
      <c r="K4866" s="455">
        <f t="shared" ca="1" si="196"/>
        <v>-266214498415.84772</v>
      </c>
      <c r="L4866" s="455">
        <f t="shared" ca="1" si="197"/>
        <v>-64157694118219.305</v>
      </c>
      <c r="M4866" s="471">
        <f t="shared" si="199"/>
        <v>0.05</v>
      </c>
      <c r="N4866" s="475">
        <f t="shared" si="200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98"/>
        <v>-64157694118219.305</v>
      </c>
      <c r="J4867" s="455">
        <f t="array" ref="J4867">IFERROR(INDEX('Retirement Calculator'!J:J,MATCH('Isaac 401k'!N4867,'Retirement Calculator'!A:A,0),0),0)</f>
        <v>0</v>
      </c>
      <c r="K4867" s="455">
        <f t="shared" ca="1" si="196"/>
        <v>-267323725492.58047</v>
      </c>
      <c r="L4867" s="455">
        <f t="shared" ca="1" si="197"/>
        <v>-64425017843711.883</v>
      </c>
      <c r="M4867" s="471">
        <f t="shared" si="199"/>
        <v>0.05</v>
      </c>
      <c r="N4867" s="475">
        <f t="shared" si="200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98"/>
        <v>-64425017843711.883</v>
      </c>
      <c r="J4868" s="455">
        <f t="array" ref="J4868">IFERROR(INDEX('Retirement Calculator'!J:J,MATCH('Isaac 401k'!N4868,'Retirement Calculator'!A:A,0),0),0)</f>
        <v>0</v>
      </c>
      <c r="K4868" s="455">
        <f t="shared" ca="1" si="196"/>
        <v>-268437574348.79947</v>
      </c>
      <c r="L4868" s="455">
        <f t="shared" ca="1" si="197"/>
        <v>-64693455418060.68</v>
      </c>
      <c r="M4868" s="471">
        <f t="shared" si="199"/>
        <v>0.05</v>
      </c>
      <c r="N4868" s="475">
        <f t="shared" si="200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98"/>
        <v>-64693455418060.68</v>
      </c>
      <c r="J4869" s="455">
        <f t="array" ref="J4869">IFERROR(INDEX('Retirement Calculator'!J:J,MATCH('Isaac 401k'!N4869,'Retirement Calculator'!A:A,0),0),0)</f>
        <v>0</v>
      </c>
      <c r="K4869" s="455">
        <f t="shared" ca="1" si="196"/>
        <v>-269556064241.91949</v>
      </c>
      <c r="L4869" s="455">
        <f t="shared" ca="1" si="197"/>
        <v>-64963011482302.602</v>
      </c>
      <c r="M4869" s="471">
        <f t="shared" si="199"/>
        <v>0.05</v>
      </c>
      <c r="N4869" s="475">
        <f t="shared" si="200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98"/>
        <v>-64963011482302.602</v>
      </c>
      <c r="J4870" s="455">
        <f t="array" ref="J4870">IFERROR(INDEX('Retirement Calculator'!J:J,MATCH('Isaac 401k'!N4870,'Retirement Calculator'!A:A,0),0),0)</f>
        <v>0</v>
      </c>
      <c r="K4870" s="455">
        <f t="shared" ca="1" si="196"/>
        <v>-270679214509.59418</v>
      </c>
      <c r="L4870" s="455">
        <f t="shared" ca="1" si="197"/>
        <v>-65233690696812.195</v>
      </c>
      <c r="M4870" s="471">
        <f t="shared" si="199"/>
        <v>0.05</v>
      </c>
      <c r="N4870" s="475">
        <f t="shared" si="200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98"/>
        <v>-65233690696812.195</v>
      </c>
      <c r="J4871" s="455">
        <f t="array" ref="J4871">IFERROR(INDEX('Retirement Calculator'!J:J,MATCH('Isaac 401k'!N4871,'Retirement Calculator'!A:A,0),0),0)</f>
        <v>0</v>
      </c>
      <c r="K4871" s="455">
        <f t="shared" ca="1" si="196"/>
        <v>-271807044570.05081</v>
      </c>
      <c r="L4871" s="455">
        <f t="shared" ca="1" si="197"/>
        <v>-65505497741382.25</v>
      </c>
      <c r="M4871" s="471">
        <f t="shared" si="199"/>
        <v>0.05</v>
      </c>
      <c r="N4871" s="475">
        <f t="shared" si="200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98"/>
        <v>-65505497741382.25</v>
      </c>
      <c r="J4872" s="455">
        <f t="array" ref="J4872">IFERROR(INDEX('Retirement Calculator'!J:J,MATCH('Isaac 401k'!N4872,'Retirement Calculator'!A:A,0),0),0)</f>
        <v>0</v>
      </c>
      <c r="K4872" s="455">
        <f t="shared" ca="1" si="196"/>
        <v>-272939573922.42599</v>
      </c>
      <c r="L4872" s="455">
        <f t="shared" ca="1" si="197"/>
        <v>-65778437315304.68</v>
      </c>
      <c r="M4872" s="471">
        <f t="shared" si="199"/>
        <v>0.05</v>
      </c>
      <c r="N4872" s="475">
        <f t="shared" si="200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98"/>
        <v>-65778437315304.68</v>
      </c>
      <c r="J4873" s="455">
        <f t="array" ref="J4873">IFERROR(INDEX('Retirement Calculator'!J:J,MATCH('Isaac 401k'!N4873,'Retirement Calculator'!A:A,0),0),0)</f>
        <v>0</v>
      </c>
      <c r="K4873" s="455">
        <f t="shared" ca="1" si="196"/>
        <v>-274076822147.10281</v>
      </c>
      <c r="L4873" s="455">
        <f t="shared" ca="1" si="197"/>
        <v>-66052514137451.781</v>
      </c>
      <c r="M4873" s="471">
        <f t="shared" si="199"/>
        <v>0.05</v>
      </c>
      <c r="N4873" s="475">
        <f t="shared" si="200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98"/>
        <v>-66052514137451.781</v>
      </c>
      <c r="J4874" s="455">
        <f t="array" ref="J4874">IFERROR(INDEX('Retirement Calculator'!J:J,MATCH('Isaac 401k'!N4874,'Retirement Calculator'!A:A,0),0),0)</f>
        <v>0</v>
      </c>
      <c r="K4874" s="455">
        <f t="shared" ca="1" si="196"/>
        <v>-275218808906.04907</v>
      </c>
      <c r="L4874" s="455">
        <f t="shared" ca="1" si="197"/>
        <v>-66327732946357.828</v>
      </c>
      <c r="M4874" s="471">
        <f t="shared" si="199"/>
        <v>0.05</v>
      </c>
      <c r="N4874" s="475">
        <f t="shared" si="200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98"/>
        <v>-66327732946357.828</v>
      </c>
      <c r="J4875" s="455">
        <f t="array" ref="J4875">IFERROR(INDEX('Retirement Calculator'!J:J,MATCH('Isaac 401k'!N4875,'Retirement Calculator'!A:A,0),0),0)</f>
        <v>0</v>
      </c>
      <c r="K4875" s="455">
        <f t="shared" ca="1" si="196"/>
        <v>-276365553943.15759</v>
      </c>
      <c r="L4875" s="455">
        <f t="shared" ca="1" si="197"/>
        <v>-66604098500300.984</v>
      </c>
      <c r="M4875" s="471">
        <f t="shared" si="199"/>
        <v>0.05</v>
      </c>
      <c r="N4875" s="475">
        <f t="shared" si="200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98"/>
        <v>-66604098500300.984</v>
      </c>
      <c r="J4876" s="455">
        <f t="array" ref="J4876">IFERROR(INDEX('Retirement Calculator'!J:J,MATCH('Isaac 401k'!N4876,'Retirement Calculator'!A:A,0),0),0)</f>
        <v>0</v>
      </c>
      <c r="K4876" s="455">
        <f t="shared" ca="1" si="196"/>
        <v>-277517077084.5874</v>
      </c>
      <c r="L4876" s="455">
        <f t="shared" ca="1" si="197"/>
        <v>-66881615577385.57</v>
      </c>
      <c r="M4876" s="471">
        <f t="shared" si="199"/>
        <v>0.05</v>
      </c>
      <c r="N4876" s="475">
        <f t="shared" si="200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98"/>
        <v>-66881615577385.57</v>
      </c>
      <c r="J4877" s="455">
        <f t="array" ref="J4877">IFERROR(INDEX('Retirement Calculator'!J:J,MATCH('Isaac 401k'!N4877,'Retirement Calculator'!A:A,0),0),0)</f>
        <v>0</v>
      </c>
      <c r="K4877" s="455">
        <f t="shared" ca="1" si="196"/>
        <v>-278673398239.10657</v>
      </c>
      <c r="L4877" s="455">
        <f t="shared" ca="1" si="197"/>
        <v>-67160288975624.68</v>
      </c>
      <c r="M4877" s="471">
        <f t="shared" si="199"/>
        <v>0.05</v>
      </c>
      <c r="N4877" s="475">
        <f t="shared" si="200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98"/>
        <v>-67160288975624.68</v>
      </c>
      <c r="J4878" s="455">
        <f t="array" ref="J4878">IFERROR(INDEX('Retirement Calculator'!J:J,MATCH('Isaac 401k'!N4878,'Retirement Calculator'!A:A,0),0),0)</f>
        <v>0</v>
      </c>
      <c r="K4878" s="455">
        <f t="shared" ca="1" si="196"/>
        <v>-279834537398.43616</v>
      </c>
      <c r="L4878" s="455">
        <f t="shared" ca="1" si="197"/>
        <v>-67440123513023.117</v>
      </c>
      <c r="M4878" s="471">
        <f t="shared" si="199"/>
        <v>0.05</v>
      </c>
      <c r="N4878" s="475">
        <f t="shared" si="200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98"/>
        <v>-67440123513023.117</v>
      </c>
      <c r="J4879" s="455">
        <f t="array" ref="J4879">IFERROR(INDEX('Retirement Calculator'!J:J,MATCH('Isaac 401k'!N4879,'Retirement Calculator'!A:A,0),0),0)</f>
        <v>0</v>
      </c>
      <c r="K4879" s="455">
        <f t="shared" ca="1" si="196"/>
        <v>-281000514637.59631</v>
      </c>
      <c r="L4879" s="455">
        <f t="shared" ca="1" si="197"/>
        <v>-67721124027660.711</v>
      </c>
      <c r="M4879" s="471">
        <f t="shared" si="199"/>
        <v>0.05</v>
      </c>
      <c r="N4879" s="475">
        <f t="shared" si="200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98"/>
        <v>-67721124027660.711</v>
      </c>
      <c r="J4880" s="455">
        <f t="array" ref="J4880">IFERROR(INDEX('Retirement Calculator'!J:J,MATCH('Isaac 401k'!N4880,'Retirement Calculator'!A:A,0),0),0)</f>
        <v>0</v>
      </c>
      <c r="K4880" s="455">
        <f t="shared" ca="1" si="196"/>
        <v>-282171350115.25299</v>
      </c>
      <c r="L4880" s="455">
        <f t="shared" ca="1" si="197"/>
        <v>-68003295377775.961</v>
      </c>
      <c r="M4880" s="471">
        <f t="shared" si="199"/>
        <v>0.05</v>
      </c>
      <c r="N4880" s="475">
        <f t="shared" si="200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98"/>
        <v>-68003295377775.961</v>
      </c>
      <c r="J4881" s="455">
        <f t="array" ref="J4881">IFERROR(INDEX('Retirement Calculator'!J:J,MATCH('Isaac 401k'!N4881,'Retirement Calculator'!A:A,0),0),0)</f>
        <v>0</v>
      </c>
      <c r="K4881" s="455">
        <f t="shared" ca="1" si="196"/>
        <v>-283347064074.06653</v>
      </c>
      <c r="L4881" s="455">
        <f t="shared" ca="1" si="197"/>
        <v>-68286642441850.031</v>
      </c>
      <c r="M4881" s="471">
        <f t="shared" si="199"/>
        <v>0.05</v>
      </c>
      <c r="N4881" s="475">
        <f t="shared" si="200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98"/>
        <v>-68286642441850.031</v>
      </c>
      <c r="J4882" s="455">
        <f t="array" ref="J4882">IFERROR(INDEX('Retirement Calculator'!J:J,MATCH('Isaac 401k'!N4882,'Retirement Calculator'!A:A,0),0),0)</f>
        <v>0</v>
      </c>
      <c r="K4882" s="455">
        <f t="shared" ca="1" si="196"/>
        <v>-284527676841.04175</v>
      </c>
      <c r="L4882" s="455">
        <f t="shared" ca="1" si="197"/>
        <v>-68571170118691.07</v>
      </c>
      <c r="M4882" s="471">
        <f t="shared" si="199"/>
        <v>0.05</v>
      </c>
      <c r="N4882" s="475">
        <f t="shared" si="200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98"/>
        <v>-68571170118691.07</v>
      </c>
      <c r="J4883" s="455">
        <f t="array" ref="J4883">IFERROR(INDEX('Retirement Calculator'!J:J,MATCH('Isaac 401k'!N4883,'Retirement Calculator'!A:A,0),0),0)</f>
        <v>0</v>
      </c>
      <c r="K4883" s="455">
        <f t="shared" ca="1" si="196"/>
        <v>-285713208827.87946</v>
      </c>
      <c r="L4883" s="455">
        <f t="shared" ca="1" si="197"/>
        <v>-68856883327518.953</v>
      </c>
      <c r="M4883" s="471">
        <f t="shared" si="199"/>
        <v>0.05</v>
      </c>
      <c r="N4883" s="475">
        <f t="shared" si="200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98"/>
        <v>-68856883327518.953</v>
      </c>
      <c r="J4884" s="455">
        <f t="array" ref="J4884">IFERROR(INDEX('Retirement Calculator'!J:J,MATCH('Isaac 401k'!N4884,'Retirement Calculator'!A:A,0),0),0)</f>
        <v>0</v>
      </c>
      <c r="K4884" s="455">
        <f t="shared" ca="1" si="196"/>
        <v>-286903680531.32898</v>
      </c>
      <c r="L4884" s="455">
        <f t="shared" ca="1" si="197"/>
        <v>-69143787008050.281</v>
      </c>
      <c r="M4884" s="471">
        <f t="shared" si="199"/>
        <v>0.05</v>
      </c>
      <c r="N4884" s="475">
        <f t="shared" si="200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98"/>
        <v>-69143787008050.281</v>
      </c>
      <c r="J4885" s="455">
        <f t="array" ref="J4885">IFERROR(INDEX('Retirement Calculator'!J:J,MATCH('Isaac 401k'!N4885,'Retirement Calculator'!A:A,0),0),0)</f>
        <v>0</v>
      </c>
      <c r="K4885" s="455">
        <f t="shared" ca="1" si="196"/>
        <v>-288099112533.54285</v>
      </c>
      <c r="L4885" s="455">
        <f t="shared" ca="1" si="197"/>
        <v>-69431886120583.82</v>
      </c>
      <c r="M4885" s="471">
        <f t="shared" si="199"/>
        <v>0.05</v>
      </c>
      <c r="N4885" s="475">
        <f t="shared" si="200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98"/>
        <v>-69431886120583.82</v>
      </c>
      <c r="J4886" s="455">
        <f t="array" ref="J4886">IFERROR(INDEX('Retirement Calculator'!J:J,MATCH('Isaac 401k'!N4886,'Retirement Calculator'!A:A,0),0),0)</f>
        <v>0</v>
      </c>
      <c r="K4886" s="455">
        <f t="shared" ca="1" si="196"/>
        <v>-289299525502.43256</v>
      </c>
      <c r="L4886" s="455">
        <f t="shared" ca="1" si="197"/>
        <v>-69721185646086.25</v>
      </c>
      <c r="M4886" s="471">
        <f t="shared" si="199"/>
        <v>0.05</v>
      </c>
      <c r="N4886" s="475">
        <f t="shared" si="200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98"/>
        <v>-69721185646086.25</v>
      </c>
      <c r="J4887" s="455">
        <f t="array" ref="J4887">IFERROR(INDEX('Retirement Calculator'!J:J,MATCH('Isaac 401k'!N4887,'Retirement Calculator'!A:A,0),0),0)</f>
        <v>0</v>
      </c>
      <c r="K4887" s="455">
        <f t="shared" ca="1" si="196"/>
        <v>-290504940192.02606</v>
      </c>
      <c r="L4887" s="455">
        <f t="shared" ca="1" si="197"/>
        <v>-70011690586278.273</v>
      </c>
      <c r="M4887" s="471">
        <f t="shared" si="199"/>
        <v>0.05</v>
      </c>
      <c r="N4887" s="475">
        <f t="shared" si="200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98"/>
        <v>-70011690586278.273</v>
      </c>
      <c r="J4888" s="455">
        <f t="array" ref="J4888">IFERROR(INDEX('Retirement Calculator'!J:J,MATCH('Isaac 401k'!N4888,'Retirement Calculator'!A:A,0),0),0)</f>
        <v>0</v>
      </c>
      <c r="K4888" s="455">
        <f t="shared" ca="1" si="196"/>
        <v>-291715377442.82611</v>
      </c>
      <c r="L4888" s="455">
        <f t="shared" ca="1" si="197"/>
        <v>-70303405963721.102</v>
      </c>
      <c r="M4888" s="471">
        <f t="shared" si="199"/>
        <v>0.05</v>
      </c>
      <c r="N4888" s="475">
        <f t="shared" si="200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98"/>
        <v>-70303405963721.102</v>
      </c>
      <c r="J4889" s="455">
        <f t="array" ref="J4889">IFERROR(INDEX('Retirement Calculator'!J:J,MATCH('Isaac 401k'!N4889,'Retirement Calculator'!A:A,0),0),0)</f>
        <v>0</v>
      </c>
      <c r="K4889" s="455">
        <f t="shared" ca="1" si="196"/>
        <v>-292930858182.17126</v>
      </c>
      <c r="L4889" s="455">
        <f t="shared" ca="1" si="197"/>
        <v>-70596336821903.266</v>
      </c>
      <c r="M4889" s="471">
        <f t="shared" si="199"/>
        <v>0.05</v>
      </c>
      <c r="N4889" s="475">
        <f t="shared" si="200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98"/>
        <v>-70596336821903.266</v>
      </c>
      <c r="J4890" s="455">
        <f t="array" ref="J4890">IFERROR(INDEX('Retirement Calculator'!J:J,MATCH('Isaac 401k'!N4890,'Retirement Calculator'!A:A,0),0),0)</f>
        <v>0</v>
      </c>
      <c r="K4890" s="455">
        <f t="shared" ca="1" si="196"/>
        <v>-294151403424.59692</v>
      </c>
      <c r="L4890" s="455">
        <f t="shared" ca="1" si="197"/>
        <v>-70890488225327.859</v>
      </c>
      <c r="M4890" s="471">
        <f t="shared" si="199"/>
        <v>0.05</v>
      </c>
      <c r="N4890" s="475">
        <f t="shared" si="200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98"/>
        <v>-70890488225327.859</v>
      </c>
      <c r="J4891" s="455">
        <f t="array" ref="J4891">IFERROR(INDEX('Retirement Calculator'!J:J,MATCH('Isaac 401k'!N4891,'Retirement Calculator'!A:A,0),0),0)</f>
        <v>0</v>
      </c>
      <c r="K4891" s="455">
        <f t="shared" ca="1" si="196"/>
        <v>-295377034272.1994</v>
      </c>
      <c r="L4891" s="455">
        <f t="shared" ca="1" si="197"/>
        <v>-71185865259600.063</v>
      </c>
      <c r="M4891" s="471">
        <f t="shared" si="199"/>
        <v>0.05</v>
      </c>
      <c r="N4891" s="475">
        <f t="shared" si="200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98"/>
        <v>-71185865259600.063</v>
      </c>
      <c r="J4892" s="455">
        <f t="array" ref="J4892">IFERROR(INDEX('Retirement Calculator'!J:J,MATCH('Isaac 401k'!N4892,'Retirement Calculator'!A:A,0),0),0)</f>
        <v>0</v>
      </c>
      <c r="K4892" s="455">
        <f t="shared" ca="1" si="196"/>
        <v>-296607771915.00024</v>
      </c>
      <c r="L4892" s="455">
        <f t="shared" ca="1" si="197"/>
        <v>-71482473031515.063</v>
      </c>
      <c r="M4892" s="471">
        <f t="shared" si="199"/>
        <v>0.05</v>
      </c>
      <c r="N4892" s="475">
        <f t="shared" si="200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98"/>
        <v>-71482473031515.063</v>
      </c>
      <c r="J4893" s="455">
        <f t="array" ref="J4893">IFERROR(INDEX('Retirement Calculator'!J:J,MATCH('Isaac 401k'!N4893,'Retirement Calculator'!A:A,0),0),0)</f>
        <v>0</v>
      </c>
      <c r="K4893" s="455">
        <f t="shared" ca="1" si="196"/>
        <v>-297843637631.31274</v>
      </c>
      <c r="L4893" s="455">
        <f t="shared" ca="1" si="197"/>
        <v>-71780316669146.375</v>
      </c>
      <c r="M4893" s="471">
        <f t="shared" si="199"/>
        <v>0.05</v>
      </c>
      <c r="N4893" s="475">
        <f t="shared" si="200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98"/>
        <v>-71780316669146.375</v>
      </c>
      <c r="J4894" s="455">
        <f t="array" ref="J4894">IFERROR(INDEX('Retirement Calculator'!J:J,MATCH('Isaac 401k'!N4894,'Retirement Calculator'!A:A,0),0),0)</f>
        <v>0</v>
      </c>
      <c r="K4894" s="455">
        <f t="shared" ca="1" si="196"/>
        <v>-299084652788.10986</v>
      </c>
      <c r="L4894" s="455">
        <f t="shared" ca="1" si="197"/>
        <v>-72079401321934.484</v>
      </c>
      <c r="M4894" s="471">
        <f t="shared" si="199"/>
        <v>0.05</v>
      </c>
      <c r="N4894" s="475">
        <f t="shared" si="200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98"/>
        <v>-72079401321934.484</v>
      </c>
      <c r="J4895" s="455">
        <f t="array" ref="J4895">IFERROR(INDEX('Retirement Calculator'!J:J,MATCH('Isaac 401k'!N4895,'Retirement Calculator'!A:A,0),0),0)</f>
        <v>0</v>
      </c>
      <c r="K4895" s="455">
        <f t="shared" ca="1" si="196"/>
        <v>-300330838841.39368</v>
      </c>
      <c r="L4895" s="455">
        <f t="shared" ca="1" si="197"/>
        <v>-72379732160775.875</v>
      </c>
      <c r="M4895" s="471">
        <f t="shared" si="199"/>
        <v>0.05</v>
      </c>
      <c r="N4895" s="475">
        <f t="shared" si="200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98"/>
        <v>-72379732160775.875</v>
      </c>
      <c r="J4896" s="455">
        <f t="array" ref="J4896">IFERROR(INDEX('Retirement Calculator'!J:J,MATCH('Isaac 401k'!N4896,'Retirement Calculator'!A:A,0),0),0)</f>
        <v>0</v>
      </c>
      <c r="K4896" s="455">
        <f t="shared" ca="1" si="196"/>
        <v>-301582217336.56616</v>
      </c>
      <c r="L4896" s="455">
        <f t="shared" ca="1" si="197"/>
        <v>-72681314378112.438</v>
      </c>
      <c r="M4896" s="471">
        <f t="shared" si="199"/>
        <v>0.05</v>
      </c>
      <c r="N4896" s="475">
        <f t="shared" si="200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98"/>
        <v>-72681314378112.438</v>
      </c>
      <c r="J4897" s="455">
        <f t="array" ref="J4897">IFERROR(INDEX('Retirement Calculator'!J:J,MATCH('Isaac 401k'!N4897,'Retirement Calculator'!A:A,0),0),0)</f>
        <v>0</v>
      </c>
      <c r="K4897" s="455">
        <f t="shared" ca="1" si="196"/>
        <v>-302838809908.80182</v>
      </c>
      <c r="L4897" s="455">
        <f t="shared" ca="1" si="197"/>
        <v>-72984153188021.234</v>
      </c>
      <c r="M4897" s="471">
        <f t="shared" si="199"/>
        <v>0.05</v>
      </c>
      <c r="N4897" s="475">
        <f t="shared" si="200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98"/>
        <v>-72984153188021.234</v>
      </c>
      <c r="J4898" s="455">
        <f t="array" ref="J4898">IFERROR(INDEX('Retirement Calculator'!J:J,MATCH('Isaac 401k'!N4898,'Retirement Calculator'!A:A,0),0),0)</f>
        <v>0</v>
      </c>
      <c r="K4898" s="455">
        <f t="shared" ca="1" si="196"/>
        <v>-304100638283.42181</v>
      </c>
      <c r="L4898" s="455">
        <f t="shared" ca="1" si="197"/>
        <v>-73288253826304.656</v>
      </c>
      <c r="M4898" s="471">
        <f t="shared" si="199"/>
        <v>0.05</v>
      </c>
      <c r="N4898" s="475">
        <f t="shared" si="200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98"/>
        <v>-73288253826304.656</v>
      </c>
      <c r="J4899" s="455">
        <f t="array" ref="J4899">IFERROR(INDEX('Retirement Calculator'!J:J,MATCH('Isaac 401k'!N4899,'Retirement Calculator'!A:A,0),0),0)</f>
        <v>0</v>
      </c>
      <c r="K4899" s="455">
        <f t="shared" ca="1" si="196"/>
        <v>-305367724276.26941</v>
      </c>
      <c r="L4899" s="455">
        <f t="shared" ca="1" si="197"/>
        <v>-73593621550580.922</v>
      </c>
      <c r="M4899" s="471">
        <f t="shared" si="199"/>
        <v>0.05</v>
      </c>
      <c r="N4899" s="475">
        <f t="shared" si="200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98"/>
        <v>-73593621550580.922</v>
      </c>
      <c r="J4900" s="455">
        <f t="array" ref="J4900">IFERROR(INDEX('Retirement Calculator'!J:J,MATCH('Isaac 401k'!N4900,'Retirement Calculator'!A:A,0),0),0)</f>
        <v>0</v>
      </c>
      <c r="K4900" s="455">
        <f t="shared" ca="1" si="196"/>
        <v>-306640089794.08716</v>
      </c>
      <c r="L4900" s="455">
        <f t="shared" ca="1" si="197"/>
        <v>-73900261640375.016</v>
      </c>
      <c r="M4900" s="471">
        <f t="shared" si="199"/>
        <v>0.05</v>
      </c>
      <c r="N4900" s="475">
        <f t="shared" si="200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98"/>
        <v>-73900261640375.016</v>
      </c>
      <c r="J4901" s="455">
        <f t="array" ref="J4901">IFERROR(INDEX('Retirement Calculator'!J:J,MATCH('Isaac 401k'!N4901,'Retirement Calculator'!A:A,0),0),0)</f>
        <v>0</v>
      </c>
      <c r="K4901" s="455">
        <f t="shared" ca="1" si="196"/>
        <v>-307917756834.89587</v>
      </c>
      <c r="L4901" s="455">
        <f t="shared" ca="1" si="197"/>
        <v>-74208179397209.906</v>
      </c>
      <c r="M4901" s="471">
        <f t="shared" si="199"/>
        <v>0.05</v>
      </c>
      <c r="N4901" s="475">
        <f t="shared" si="200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98"/>
        <v>-74208179397209.906</v>
      </c>
      <c r="J4902" s="455">
        <f t="array" ref="J4902">IFERROR(INDEX('Retirement Calculator'!J:J,MATCH('Isaac 401k'!N4902,'Retirement Calculator'!A:A,0),0),0)</f>
        <v>0</v>
      </c>
      <c r="K4902" s="455">
        <f t="shared" ca="1" si="196"/>
        <v>-309200747488.37463</v>
      </c>
      <c r="L4902" s="455">
        <f t="shared" ca="1" si="197"/>
        <v>-74517380144698.281</v>
      </c>
      <c r="M4902" s="471">
        <f t="shared" si="199"/>
        <v>0.05</v>
      </c>
      <c r="N4902" s="475">
        <f t="shared" si="200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98"/>
        <v>-74517380144698.281</v>
      </c>
      <c r="J4903" s="455">
        <f t="array" ref="J4903">IFERROR(INDEX('Retirement Calculator'!J:J,MATCH('Isaac 401k'!N4903,'Retirement Calculator'!A:A,0),0),0)</f>
        <v>0</v>
      </c>
      <c r="K4903" s="455">
        <f t="shared" ca="1" si="196"/>
        <v>-310489083936.24286</v>
      </c>
      <c r="L4903" s="455">
        <f t="shared" ca="1" si="197"/>
        <v>-74827869228634.531</v>
      </c>
      <c r="M4903" s="471">
        <f t="shared" si="199"/>
        <v>0.05</v>
      </c>
      <c r="N4903" s="475">
        <f t="shared" si="200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98"/>
        <v>-74827869228634.531</v>
      </c>
      <c r="J4904" s="455">
        <f t="array" ref="J4904">IFERROR(INDEX('Retirement Calculator'!J:J,MATCH('Isaac 401k'!N4904,'Retirement Calculator'!A:A,0),0),0)</f>
        <v>0</v>
      </c>
      <c r="K4904" s="455">
        <f t="shared" ca="1" si="196"/>
        <v>-311782788452.64386</v>
      </c>
      <c r="L4904" s="455">
        <f t="shared" ca="1" si="197"/>
        <v>-75139652017087.172</v>
      </c>
      <c r="M4904" s="471">
        <f t="shared" si="199"/>
        <v>0.05</v>
      </c>
      <c r="N4904" s="475">
        <f t="shared" si="200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98"/>
        <v>-75139652017087.172</v>
      </c>
      <c r="J4905" s="455">
        <f t="array" ref="J4905">IFERROR(INDEX('Retirement Calculator'!J:J,MATCH('Isaac 401k'!N4905,'Retirement Calculator'!A:A,0),0),0)</f>
        <v>0</v>
      </c>
      <c r="K4905" s="455">
        <f t="shared" ca="1" si="196"/>
        <v>-313081883404.52991</v>
      </c>
      <c r="L4905" s="455">
        <f t="shared" ca="1" si="197"/>
        <v>-75452733900491.703</v>
      </c>
      <c r="M4905" s="471">
        <f t="shared" si="199"/>
        <v>0.05</v>
      </c>
      <c r="N4905" s="475">
        <f t="shared" si="200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98"/>
        <v>-75452733900491.703</v>
      </c>
      <c r="J4906" s="455">
        <f t="array" ref="J4906">IFERROR(INDEX('Retirement Calculator'!J:J,MATCH('Isaac 401k'!N4906,'Retirement Calculator'!A:A,0),0),0)</f>
        <v>0</v>
      </c>
      <c r="K4906" s="455">
        <f t="shared" ca="1" si="196"/>
        <v>-314386391252.04877</v>
      </c>
      <c r="L4906" s="455">
        <f t="shared" ca="1" si="197"/>
        <v>-75767120291743.75</v>
      </c>
      <c r="M4906" s="471">
        <f t="shared" si="199"/>
        <v>0.05</v>
      </c>
      <c r="N4906" s="475">
        <f t="shared" si="200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98"/>
        <v>-75767120291743.75</v>
      </c>
      <c r="J4907" s="455">
        <f t="array" ref="J4907">IFERROR(INDEX('Retirement Calculator'!J:J,MATCH('Isaac 401k'!N4907,'Retirement Calculator'!A:A,0),0),0)</f>
        <v>0</v>
      </c>
      <c r="K4907" s="455">
        <f t="shared" ca="1" si="196"/>
        <v>-315696334548.93231</v>
      </c>
      <c r="L4907" s="455">
        <f t="shared" ca="1" si="197"/>
        <v>-76082816626292.688</v>
      </c>
      <c r="M4907" s="471">
        <f t="shared" si="199"/>
        <v>0.05</v>
      </c>
      <c r="N4907" s="475">
        <f t="shared" si="200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98"/>
        <v>-76082816626292.688</v>
      </c>
      <c r="J4908" s="455">
        <f t="array" ref="J4908">IFERROR(INDEX('Retirement Calculator'!J:J,MATCH('Isaac 401k'!N4908,'Retirement Calculator'!A:A,0),0),0)</f>
        <v>0</v>
      </c>
      <c r="K4908" s="455">
        <f t="shared" ca="1" si="196"/>
        <v>-317011735942.88617</v>
      </c>
      <c r="L4908" s="455">
        <f t="shared" ca="1" si="197"/>
        <v>-76399828362235.578</v>
      </c>
      <c r="M4908" s="471">
        <f t="shared" si="199"/>
        <v>0.05</v>
      </c>
      <c r="N4908" s="475">
        <f t="shared" si="200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98"/>
        <v>-76399828362235.578</v>
      </c>
      <c r="J4909" s="455">
        <f t="array" ref="J4909">IFERROR(INDEX('Retirement Calculator'!J:J,MATCH('Isaac 401k'!N4909,'Retirement Calculator'!A:A,0),0),0)</f>
        <v>0</v>
      </c>
      <c r="K4909" s="455">
        <f t="shared" ca="1" si="196"/>
        <v>-318332618175.98157</v>
      </c>
      <c r="L4909" s="455">
        <f t="shared" ca="1" si="197"/>
        <v>-76718160980411.563</v>
      </c>
      <c r="M4909" s="471">
        <f t="shared" si="199"/>
        <v>0.05</v>
      </c>
      <c r="N4909" s="475">
        <f t="shared" si="200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98"/>
        <v>-76718160980411.563</v>
      </c>
      <c r="J4910" s="455">
        <f t="array" ref="J4910">IFERROR(INDEX('Retirement Calculator'!J:J,MATCH('Isaac 401k'!N4910,'Retirement Calculator'!A:A,0),0),0)</f>
        <v>0</v>
      </c>
      <c r="K4910" s="455">
        <f t="shared" ca="1" si="196"/>
        <v>-319659004085.04816</v>
      </c>
      <c r="L4910" s="455">
        <f t="shared" ca="1" si="197"/>
        <v>-77037819984496.609</v>
      </c>
      <c r="M4910" s="471">
        <f t="shared" si="199"/>
        <v>0.05</v>
      </c>
      <c r="N4910" s="475">
        <f t="shared" si="200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98"/>
        <v>-77037819984496.609</v>
      </c>
      <c r="J4911" s="455">
        <f t="array" ref="J4911">IFERROR(INDEX('Retirement Calculator'!J:J,MATCH('Isaac 401k'!N4911,'Retirement Calculator'!A:A,0),0),0)</f>
        <v>0</v>
      </c>
      <c r="K4911" s="455">
        <f t="shared" ca="1" si="196"/>
        <v>-320990916602.06921</v>
      </c>
      <c r="L4911" s="455">
        <f t="shared" ca="1" si="197"/>
        <v>-77358810901098.672</v>
      </c>
      <c r="M4911" s="471">
        <f t="shared" si="199"/>
        <v>0.05</v>
      </c>
      <c r="N4911" s="475">
        <f t="shared" si="200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98"/>
        <v>-77358810901098.672</v>
      </c>
      <c r="J4912" s="455">
        <f t="array" ref="J4912">IFERROR(INDEX('Retirement Calculator'!J:J,MATCH('Isaac 401k'!N4912,'Retirement Calculator'!A:A,0),0),0)</f>
        <v>0</v>
      </c>
      <c r="K4912" s="455">
        <f t="shared" ca="1" si="196"/>
        <v>-322328378754.57782</v>
      </c>
      <c r="L4912" s="455">
        <f t="shared" ca="1" si="197"/>
        <v>-77681139279853.25</v>
      </c>
      <c r="M4912" s="471">
        <f t="shared" si="199"/>
        <v>0.05</v>
      </c>
      <c r="N4912" s="475">
        <f t="shared" si="200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98"/>
        <v>-77681139279853.25</v>
      </c>
      <c r="J4913" s="455">
        <f t="array" ref="J4913">IFERROR(INDEX('Retirement Calculator'!J:J,MATCH('Isaac 401k'!N4913,'Retirement Calculator'!A:A,0),0),0)</f>
        <v>0</v>
      </c>
      <c r="K4913" s="455">
        <f t="shared" ca="1" si="196"/>
        <v>-323671413666.05518</v>
      </c>
      <c r="L4913" s="455">
        <f t="shared" ca="1" si="197"/>
        <v>-78004810693519.313</v>
      </c>
      <c r="M4913" s="471">
        <f t="shared" si="199"/>
        <v>0.05</v>
      </c>
      <c r="N4913" s="475">
        <f t="shared" si="200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98"/>
        <v>-78004810693519.313</v>
      </c>
      <c r="J4914" s="455">
        <f t="array" ref="J4914">IFERROR(INDEX('Retirement Calculator'!J:J,MATCH('Isaac 401k'!N4914,'Retirement Calculator'!A:A,0),0),0)</f>
        <v>0</v>
      </c>
      <c r="K4914" s="455">
        <f t="shared" ca="1" si="196"/>
        <v>-325020044556.33044</v>
      </c>
      <c r="L4914" s="455">
        <f t="shared" ca="1" si="197"/>
        <v>-78329830738075.641</v>
      </c>
      <c r="M4914" s="471">
        <f t="shared" si="199"/>
        <v>0.05</v>
      </c>
      <c r="N4914" s="475">
        <f t="shared" si="200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98"/>
        <v>-78329830738075.641</v>
      </c>
      <c r="J4915" s="455">
        <f t="array" ref="J4915">IFERROR(INDEX('Retirement Calculator'!J:J,MATCH('Isaac 401k'!N4915,'Retirement Calculator'!A:A,0),0),0)</f>
        <v>0</v>
      </c>
      <c r="K4915" s="455">
        <f t="shared" ca="1" si="196"/>
        <v>-326374294741.98181</v>
      </c>
      <c r="L4915" s="455">
        <f t="shared" ca="1" si="197"/>
        <v>-78656205032817.625</v>
      </c>
      <c r="M4915" s="471">
        <f t="shared" si="199"/>
        <v>0.05</v>
      </c>
      <c r="N4915" s="475">
        <f t="shared" si="200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98"/>
        <v>-78656205032817.625</v>
      </c>
      <c r="J4916" s="455">
        <f t="array" ref="J4916">IFERROR(INDEX('Retirement Calculator'!J:J,MATCH('Isaac 401k'!N4916,'Retirement Calculator'!A:A,0),0),0)</f>
        <v>0</v>
      </c>
      <c r="K4916" s="455">
        <f t="shared" ca="1" si="196"/>
        <v>-327734187636.74011</v>
      </c>
      <c r="L4916" s="455">
        <f t="shared" ca="1" si="197"/>
        <v>-78983939220454.359</v>
      </c>
      <c r="M4916" s="471">
        <f t="shared" si="199"/>
        <v>0.05</v>
      </c>
      <c r="N4916" s="475">
        <f t="shared" si="200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98"/>
        <v>-78983939220454.359</v>
      </c>
      <c r="J4917" s="455">
        <f t="array" ref="J4917">IFERROR(INDEX('Retirement Calculator'!J:J,MATCH('Isaac 401k'!N4917,'Retirement Calculator'!A:A,0),0),0)</f>
        <v>0</v>
      </c>
      <c r="K4917" s="455">
        <f t="shared" ca="1" si="196"/>
        <v>-329099746751.89319</v>
      </c>
      <c r="L4917" s="455">
        <f t="shared" ca="1" si="197"/>
        <v>-79313038967206.25</v>
      </c>
      <c r="M4917" s="471">
        <f t="shared" si="199"/>
        <v>0.05</v>
      </c>
      <c r="N4917" s="475">
        <f t="shared" si="200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98"/>
        <v>-79313038967206.25</v>
      </c>
      <c r="J4918" s="455">
        <f t="array" ref="J4918">IFERROR(INDEX('Retirement Calculator'!J:J,MATCH('Isaac 401k'!N4918,'Retirement Calculator'!A:A,0),0),0)</f>
        <v>0</v>
      </c>
      <c r="K4918" s="455">
        <f t="shared" ca="1" si="196"/>
        <v>-330470995696.69269</v>
      </c>
      <c r="L4918" s="455">
        <f t="shared" ca="1" si="197"/>
        <v>-79643509962902.938</v>
      </c>
      <c r="M4918" s="471">
        <f t="shared" si="199"/>
        <v>0.05</v>
      </c>
      <c r="N4918" s="475">
        <f t="shared" si="200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98"/>
        <v>-79643509962902.938</v>
      </c>
      <c r="J4919" s="455">
        <f t="array" ref="J4919">IFERROR(INDEX('Retirement Calculator'!J:J,MATCH('Isaac 401k'!N4919,'Retirement Calculator'!A:A,0),0),0)</f>
        <v>0</v>
      </c>
      <c r="K4919" s="455">
        <f t="shared" ca="1" si="196"/>
        <v>-331847958178.76221</v>
      </c>
      <c r="L4919" s="455">
        <f t="shared" ca="1" si="197"/>
        <v>-79975357921081.703</v>
      </c>
      <c r="M4919" s="471">
        <f t="shared" si="199"/>
        <v>0.05</v>
      </c>
      <c r="N4919" s="475">
        <f t="shared" si="200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98"/>
        <v>-79975357921081.703</v>
      </c>
      <c r="J4920" s="455">
        <f t="array" ref="J4920">IFERROR(INDEX('Retirement Calculator'!J:J,MATCH('Isaac 401k'!N4920,'Retirement Calculator'!A:A,0),0),0)</f>
        <v>0</v>
      </c>
      <c r="K4920" s="455">
        <f t="shared" ca="1" si="196"/>
        <v>-333230658004.50708</v>
      </c>
      <c r="L4920" s="455">
        <f t="shared" ca="1" si="197"/>
        <v>-80308588579086.203</v>
      </c>
      <c r="M4920" s="471">
        <f t="shared" si="199"/>
        <v>0.05</v>
      </c>
      <c r="N4920" s="475">
        <f t="shared" si="200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98"/>
        <v>-80308588579086.203</v>
      </c>
      <c r="J4921" s="455">
        <f t="array" ref="J4921">IFERROR(INDEX('Retirement Calculator'!J:J,MATCH('Isaac 401k'!N4921,'Retirement Calculator'!A:A,0),0),0)</f>
        <v>0</v>
      </c>
      <c r="K4921" s="455">
        <f t="shared" ca="1" si="196"/>
        <v>-334619119079.52582</v>
      </c>
      <c r="L4921" s="455">
        <f t="shared" ca="1" si="197"/>
        <v>-80643207698165.734</v>
      </c>
      <c r="M4921" s="471">
        <f t="shared" si="199"/>
        <v>0.05</v>
      </c>
      <c r="N4921" s="475">
        <f t="shared" si="200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98"/>
        <v>-80643207698165.734</v>
      </c>
      <c r="J4922" s="455">
        <f t="array" ref="J4922">IFERROR(INDEX('Retirement Calculator'!J:J,MATCH('Isaac 401k'!N4922,'Retirement Calculator'!A:A,0),0),0)</f>
        <v>0</v>
      </c>
      <c r="K4922" s="455">
        <f t="shared" ca="1" si="196"/>
        <v>-336013365409.02386</v>
      </c>
      <c r="L4922" s="455">
        <f t="shared" ca="1" si="197"/>
        <v>-80979221063574.766</v>
      </c>
      <c r="M4922" s="471">
        <f t="shared" si="199"/>
        <v>0.05</v>
      </c>
      <c r="N4922" s="475">
        <f t="shared" si="200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98"/>
        <v>-80979221063574.766</v>
      </c>
      <c r="J4923" s="455">
        <f t="array" ref="J4923">IFERROR(INDEX('Retirement Calculator'!J:J,MATCH('Isaac 401k'!N4923,'Retirement Calculator'!A:A,0),0),0)</f>
        <v>0</v>
      </c>
      <c r="K4923" s="455">
        <f t="shared" ca="1" si="196"/>
        <v>-337413421098.22821</v>
      </c>
      <c r="L4923" s="455">
        <f t="shared" ca="1" si="197"/>
        <v>-81316634484673</v>
      </c>
      <c r="M4923" s="471">
        <f t="shared" si="199"/>
        <v>0.05</v>
      </c>
      <c r="N4923" s="475">
        <f t="shared" si="200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98"/>
        <v>-81316634484673</v>
      </c>
      <c r="J4924" s="455">
        <f t="array" ref="J4924">IFERROR(INDEX('Retirement Calculator'!J:J,MATCH('Isaac 401k'!N4924,'Retirement Calculator'!A:A,0),0),0)</f>
        <v>0</v>
      </c>
      <c r="K4924" s="455">
        <f t="shared" ca="1" si="196"/>
        <v>-338819310352.80414</v>
      </c>
      <c r="L4924" s="455">
        <f t="shared" ca="1" si="197"/>
        <v>-81655453795025.797</v>
      </c>
      <c r="M4924" s="471">
        <f t="shared" si="199"/>
        <v>0.05</v>
      </c>
      <c r="N4924" s="475">
        <f t="shared" si="200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98"/>
        <v>-81655453795025.797</v>
      </c>
      <c r="J4925" s="455">
        <f t="array" ref="J4925">IFERROR(INDEX('Retirement Calculator'!J:J,MATCH('Isaac 401k'!N4925,'Retirement Calculator'!A:A,0),0),0)</f>
        <v>0</v>
      </c>
      <c r="K4925" s="455">
        <f t="shared" ca="1" si="196"/>
        <v>-340231057479.27417</v>
      </c>
      <c r="L4925" s="455">
        <f t="shared" ca="1" si="197"/>
        <v>-81995684852505.078</v>
      </c>
      <c r="M4925" s="471">
        <f t="shared" si="199"/>
        <v>0.05</v>
      </c>
      <c r="N4925" s="475">
        <f t="shared" si="200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98"/>
        <v>-81995684852505.078</v>
      </c>
      <c r="J4926" s="455">
        <f t="array" ref="J4926">IFERROR(INDEX('Retirement Calculator'!J:J,MATCH('Isaac 401k'!N4926,'Retirement Calculator'!A:A,0),0),0)</f>
        <v>0</v>
      </c>
      <c r="K4926" s="455">
        <f t="shared" ca="1" si="196"/>
        <v>-341648686885.43781</v>
      </c>
      <c r="L4926" s="455">
        <f t="shared" ca="1" si="197"/>
        <v>-82337333539390.516</v>
      </c>
      <c r="M4926" s="471">
        <f t="shared" si="199"/>
        <v>0.05</v>
      </c>
      <c r="N4926" s="475">
        <f t="shared" si="200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98"/>
        <v>-82337333539390.516</v>
      </c>
      <c r="J4927" s="455">
        <f t="array" ref="J4927">IFERROR(INDEX('Retirement Calculator'!J:J,MATCH('Isaac 401k'!N4927,'Retirement Calculator'!A:A,0),0),0)</f>
        <v>0</v>
      </c>
      <c r="K4927" s="455">
        <f t="shared" ca="1" si="196"/>
        <v>-343072223080.79382</v>
      </c>
      <c r="L4927" s="455">
        <f t="shared" ca="1" si="197"/>
        <v>-82680405762471.313</v>
      </c>
      <c r="M4927" s="471">
        <f t="shared" si="199"/>
        <v>0.05</v>
      </c>
      <c r="N4927" s="475">
        <f t="shared" si="200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98"/>
        <v>-82680405762471.313</v>
      </c>
      <c r="J4928" s="455">
        <f t="array" ref="J4928">IFERROR(INDEX('Retirement Calculator'!J:J,MATCH('Isaac 401k'!N4928,'Retirement Calculator'!A:A,0),0),0)</f>
        <v>0</v>
      </c>
      <c r="K4928" s="455">
        <f t="shared" ca="1" si="196"/>
        <v>-344501690676.96381</v>
      </c>
      <c r="L4928" s="455">
        <f t="shared" ca="1" si="197"/>
        <v>-83024907453148.281</v>
      </c>
      <c r="M4928" s="471">
        <f t="shared" si="199"/>
        <v>0.05</v>
      </c>
      <c r="N4928" s="475">
        <f t="shared" si="200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98"/>
        <v>-83024907453148.281</v>
      </c>
      <c r="J4929" s="455">
        <f t="array" ref="J4929">IFERROR(INDEX('Retirement Calculator'!J:J,MATCH('Isaac 401k'!N4929,'Retirement Calculator'!A:A,0),0),0)</f>
        <v>0</v>
      </c>
      <c r="K4929" s="455">
        <f t="shared" ca="1" si="196"/>
        <v>-345937114388.11786</v>
      </c>
      <c r="L4929" s="455">
        <f t="shared" ca="1" si="197"/>
        <v>-83370844567536.406</v>
      </c>
      <c r="M4929" s="471">
        <f t="shared" si="199"/>
        <v>0.05</v>
      </c>
      <c r="N4929" s="475">
        <f t="shared" si="200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98"/>
        <v>-83370844567536.406</v>
      </c>
      <c r="J4930" s="455">
        <f t="array" ref="J4930">IFERROR(INDEX('Retirement Calculator'!J:J,MATCH('Isaac 401k'!N4930,'Retirement Calculator'!A:A,0),0),0)</f>
        <v>0</v>
      </c>
      <c r="K4930" s="455">
        <f t="shared" ca="1" si="196"/>
        <v>-347378519031.40167</v>
      </c>
      <c r="L4930" s="455">
        <f t="shared" ca="1" si="197"/>
        <v>-83718223086567.813</v>
      </c>
      <c r="M4930" s="471">
        <f t="shared" si="199"/>
        <v>0.05</v>
      </c>
      <c r="N4930" s="475">
        <f t="shared" si="200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98"/>
        <v>-83718223086567.813</v>
      </c>
      <c r="J4931" s="455">
        <f t="array" ref="J4931">IFERROR(INDEX('Retirement Calculator'!J:J,MATCH('Isaac 401k'!N4931,'Retirement Calculator'!A:A,0),0),0)</f>
        <v>0</v>
      </c>
      <c r="K4931" s="455">
        <f t="shared" ca="1" si="196"/>
        <v>-348825929527.36591</v>
      </c>
      <c r="L4931" s="455">
        <f t="shared" ca="1" si="197"/>
        <v>-84067049016095.172</v>
      </c>
      <c r="M4931" s="471">
        <f t="shared" si="199"/>
        <v>0.05</v>
      </c>
      <c r="N4931" s="475">
        <f t="shared" si="200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98"/>
        <v>-84067049016095.172</v>
      </c>
      <c r="J4932" s="455">
        <f t="array" ref="J4932">IFERROR(INDEX('Retirement Calculator'!J:J,MATCH('Isaac 401k'!N4932,'Retirement Calculator'!A:A,0),0),0)</f>
        <v>0</v>
      </c>
      <c r="K4932" s="455">
        <f t="shared" ca="1" si="196"/>
        <v>-350279370900.39655</v>
      </c>
      <c r="L4932" s="455">
        <f t="shared" ca="1" si="197"/>
        <v>-84417328386995.563</v>
      </c>
      <c r="M4932" s="471">
        <f t="shared" si="199"/>
        <v>0.05</v>
      </c>
      <c r="N4932" s="475">
        <f t="shared" si="200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98"/>
        <v>-84417328386995.563</v>
      </c>
      <c r="J4933" s="455">
        <f t="array" ref="J4933">IFERROR(INDEX('Retirement Calculator'!J:J,MATCH('Isaac 401k'!N4933,'Retirement Calculator'!A:A,0),0),0)</f>
        <v>0</v>
      </c>
      <c r="K4933" s="455">
        <f t="shared" ca="1" si="196"/>
        <v>-351738868279.14819</v>
      </c>
      <c r="L4933" s="455">
        <f t="shared" ca="1" si="197"/>
        <v>-84769067255274.703</v>
      </c>
      <c r="M4933" s="471">
        <f t="shared" si="199"/>
        <v>0.05</v>
      </c>
      <c r="N4933" s="475">
        <f t="shared" si="200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98"/>
        <v>-84769067255274.703</v>
      </c>
      <c r="J4934" s="455">
        <f t="array" ref="J4934">IFERROR(INDEX('Retirement Calculator'!J:J,MATCH('Isaac 401k'!N4934,'Retirement Calculator'!A:A,0),0),0)</f>
        <v>0</v>
      </c>
      <c r="K4934" s="455">
        <f t="shared" ca="1" si="196"/>
        <v>-353204446896.97791</v>
      </c>
      <c r="L4934" s="455">
        <f t="shared" ca="1" si="197"/>
        <v>-85122271702171.688</v>
      </c>
      <c r="M4934" s="471">
        <f t="shared" si="199"/>
        <v>0.05</v>
      </c>
      <c r="N4934" s="475">
        <f t="shared" si="200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98"/>
        <v>-85122271702171.688</v>
      </c>
      <c r="J4935" s="455">
        <f t="array" ref="J4935">IFERROR(INDEX('Retirement Calculator'!J:J,MATCH('Isaac 401k'!N4935,'Retirement Calculator'!A:A,0),0),0)</f>
        <v>0</v>
      </c>
      <c r="K4935" s="455">
        <f t="shared" ca="1" si="196"/>
        <v>-354676132092.38202</v>
      </c>
      <c r="L4935" s="455">
        <f t="shared" ca="1" si="197"/>
        <v>-85476947834264.063</v>
      </c>
      <c r="M4935" s="471">
        <f t="shared" si="199"/>
        <v>0.05</v>
      </c>
      <c r="N4935" s="475">
        <f t="shared" si="200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98"/>
        <v>-85476947834264.063</v>
      </c>
      <c r="J4936" s="455">
        <f t="array" ref="J4936">IFERROR(INDEX('Retirement Calculator'!J:J,MATCH('Isaac 401k'!N4936,'Retirement Calculator'!A:A,0),0),0)</f>
        <v>0</v>
      </c>
      <c r="K4936" s="455">
        <f t="shared" ca="1" si="196"/>
        <v>-356153949309.43359</v>
      </c>
      <c r="L4936" s="455">
        <f t="shared" ca="1" si="197"/>
        <v>-85833101783573.5</v>
      </c>
      <c r="M4936" s="471">
        <f t="shared" si="199"/>
        <v>0.05</v>
      </c>
      <c r="N4936" s="475">
        <f t="shared" si="200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98"/>
        <v>-85833101783573.5</v>
      </c>
      <c r="J4937" s="455">
        <f t="array" ref="J4937">IFERROR(INDEX('Retirement Calculator'!J:J,MATCH('Isaac 401k'!N4937,'Retirement Calculator'!A:A,0),0),0)</f>
        <v>0</v>
      </c>
      <c r="K4937" s="455">
        <f t="shared" ca="1" si="196"/>
        <v>-357637924098.2229</v>
      </c>
      <c r="L4937" s="455">
        <f t="shared" ca="1" si="197"/>
        <v>-86190739707671.719</v>
      </c>
      <c r="M4937" s="471">
        <f t="shared" si="199"/>
        <v>0.05</v>
      </c>
      <c r="N4937" s="475">
        <f t="shared" si="200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98"/>
        <v>-86190739707671.719</v>
      </c>
      <c r="J4938" s="455">
        <f t="array" ref="J4938">IFERROR(INDEX('Retirement Calculator'!J:J,MATCH('Isaac 401k'!N4938,'Retirement Calculator'!A:A,0),0),0)</f>
        <v>0</v>
      </c>
      <c r="K4938" s="455">
        <f t="shared" ca="1" si="196"/>
        <v>-359128082115.29883</v>
      </c>
      <c r="L4938" s="455">
        <f t="shared" ca="1" si="197"/>
        <v>-86549867789787.016</v>
      </c>
      <c r="M4938" s="471">
        <f t="shared" si="199"/>
        <v>0.05</v>
      </c>
      <c r="N4938" s="475">
        <f t="shared" si="200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98"/>
        <v>-86549867789787.016</v>
      </c>
      <c r="J4939" s="455">
        <f t="array" ref="J4939">IFERROR(INDEX('Retirement Calculator'!J:J,MATCH('Isaac 401k'!N4939,'Retirement Calculator'!A:A,0),0),0)</f>
        <v>0</v>
      </c>
      <c r="K4939" s="455">
        <f t="shared" ca="1" si="196"/>
        <v>-360624449124.11255</v>
      </c>
      <c r="L4939" s="455">
        <f t="shared" ca="1" si="197"/>
        <v>-86910492238911.125</v>
      </c>
      <c r="M4939" s="471">
        <f t="shared" si="199"/>
        <v>0.05</v>
      </c>
      <c r="N4939" s="475">
        <f t="shared" si="200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98"/>
        <v>-86910492238911.125</v>
      </c>
      <c r="J4940" s="455">
        <f t="array" ref="J4940">IFERROR(INDEX('Retirement Calculator'!J:J,MATCH('Isaac 401k'!N4940,'Retirement Calculator'!A:A,0),0),0)</f>
        <v>0</v>
      </c>
      <c r="K4940" s="455">
        <f t="shared" ca="1" si="196"/>
        <v>-362127050995.46301</v>
      </c>
      <c r="L4940" s="455">
        <f t="shared" ca="1" si="197"/>
        <v>-87272619289906.594</v>
      </c>
      <c r="M4940" s="471">
        <f t="shared" si="199"/>
        <v>0.05</v>
      </c>
      <c r="N4940" s="475">
        <f t="shared" si="200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98"/>
        <v>-87272619289906.594</v>
      </c>
      <c r="J4941" s="455">
        <f t="array" ref="J4941">IFERROR(INDEX('Retirement Calculator'!J:J,MATCH('Isaac 401k'!N4941,'Retirement Calculator'!A:A,0),0),0)</f>
        <v>0</v>
      </c>
      <c r="K4941" s="455">
        <f t="shared" ca="1" si="196"/>
        <v>-363635913707.94415</v>
      </c>
      <c r="L4941" s="455">
        <f t="shared" ca="1" si="197"/>
        <v>-87636255203614.531</v>
      </c>
      <c r="M4941" s="471">
        <f t="shared" si="199"/>
        <v>0.05</v>
      </c>
      <c r="N4941" s="475">
        <f t="shared" si="200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98"/>
        <v>-87636255203614.531</v>
      </c>
      <c r="J4942" s="455">
        <f t="array" ref="J4942">IFERROR(INDEX('Retirement Calculator'!J:J,MATCH('Isaac 401k'!N4942,'Retirement Calculator'!A:A,0),0),0)</f>
        <v>0</v>
      </c>
      <c r="K4942" s="455">
        <f t="shared" ca="1" si="196"/>
        <v>-365151063348.39386</v>
      </c>
      <c r="L4942" s="455">
        <f t="shared" ca="1" si="197"/>
        <v>-88001406266962.922</v>
      </c>
      <c r="M4942" s="471">
        <f t="shared" si="199"/>
        <v>0.05</v>
      </c>
      <c r="N4942" s="475">
        <f t="shared" si="200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98"/>
        <v>-88001406266962.922</v>
      </c>
      <c r="J4943" s="455">
        <f t="array" ref="J4943">IFERROR(INDEX('Retirement Calculator'!J:J,MATCH('Isaac 401k'!N4943,'Retirement Calculator'!A:A,0),0),0)</f>
        <v>0</v>
      </c>
      <c r="K4943" s="455">
        <f t="shared" ca="1" si="196"/>
        <v>-366672526112.34552</v>
      </c>
      <c r="L4943" s="455">
        <f t="shared" ca="1" si="197"/>
        <v>-88368078793075.266</v>
      </c>
      <c r="M4943" s="471">
        <f t="shared" si="199"/>
        <v>0.05</v>
      </c>
      <c r="N4943" s="475">
        <f t="shared" si="200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98"/>
        <v>-88368078793075.266</v>
      </c>
      <c r="J4944" s="455">
        <f t="array" ref="J4944">IFERROR(INDEX('Retirement Calculator'!J:J,MATCH('Isaac 401k'!N4944,'Retirement Calculator'!A:A,0),0),0)</f>
        <v>0</v>
      </c>
      <c r="K4944" s="455">
        <f t="shared" ca="1" si="196"/>
        <v>-368200328304.48029</v>
      </c>
      <c r="L4944" s="455">
        <f t="shared" ca="1" si="197"/>
        <v>-88736279121379.75</v>
      </c>
      <c r="M4944" s="471">
        <f t="shared" si="199"/>
        <v>0.05</v>
      </c>
      <c r="N4944" s="475">
        <f t="shared" si="200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98"/>
        <v>-88736279121379.75</v>
      </c>
      <c r="J4945" s="455">
        <f t="array" ref="J4945">IFERROR(INDEX('Retirement Calculator'!J:J,MATCH('Isaac 401k'!N4945,'Retirement Calculator'!A:A,0),0),0)</f>
        <v>0</v>
      </c>
      <c r="K4945" s="455">
        <f t="shared" ca="1" si="196"/>
        <v>-369734496339.08228</v>
      </c>
      <c r="L4945" s="455">
        <f t="shared" ca="1" si="197"/>
        <v>-89106013617718.828</v>
      </c>
      <c r="M4945" s="471">
        <f t="shared" si="199"/>
        <v>0.05</v>
      </c>
      <c r="N4945" s="475">
        <f t="shared" si="200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98"/>
        <v>-89106013617718.828</v>
      </c>
      <c r="J4946" s="455">
        <f t="array" ref="J4946">IFERROR(INDEX('Retirement Calculator'!J:J,MATCH('Isaac 401k'!N4946,'Retirement Calculator'!A:A,0),0),0)</f>
        <v>0</v>
      </c>
      <c r="K4946" s="455">
        <f t="shared" ca="1" si="196"/>
        <v>-371275056740.49512</v>
      </c>
      <c r="L4946" s="455">
        <f t="shared" ca="1" si="197"/>
        <v>-89477288674459.328</v>
      </c>
      <c r="M4946" s="471">
        <f t="shared" si="199"/>
        <v>0.05</v>
      </c>
      <c r="N4946" s="475">
        <f t="shared" si="200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98"/>
        <v>-89477288674459.328</v>
      </c>
      <c r="J4947" s="455">
        <f t="array" ref="J4947">IFERROR(INDEX('Retirement Calculator'!J:J,MATCH('Isaac 401k'!N4947,'Retirement Calculator'!A:A,0),0),0)</f>
        <v>0</v>
      </c>
      <c r="K4947" s="455">
        <f t="shared" ca="1" si="196"/>
        <v>-372822036143.58051</v>
      </c>
      <c r="L4947" s="455">
        <f t="shared" ca="1" si="197"/>
        <v>-89850110710602.906</v>
      </c>
      <c r="M4947" s="471">
        <f t="shared" si="199"/>
        <v>0.05</v>
      </c>
      <c r="N4947" s="475">
        <f t="shared" si="200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98"/>
        <v>-89850110710602.906</v>
      </c>
      <c r="J4948" s="455">
        <f t="array" ref="J4948">IFERROR(INDEX('Retirement Calculator'!J:J,MATCH('Isaac 401k'!N4948,'Retirement Calculator'!A:A,0),0),0)</f>
        <v>0</v>
      </c>
      <c r="K4948" s="455">
        <f t="shared" ca="1" si="196"/>
        <v>-374375461294.17877</v>
      </c>
      <c r="L4948" s="455">
        <f t="shared" ca="1" si="197"/>
        <v>-90224486171897.078</v>
      </c>
      <c r="M4948" s="471">
        <f t="shared" si="199"/>
        <v>0.05</v>
      </c>
      <c r="N4948" s="475">
        <f t="shared" si="200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98"/>
        <v>-90224486171897.078</v>
      </c>
      <c r="J4949" s="455">
        <f t="array" ref="J4949">IFERROR(INDEX('Retirement Calculator'!J:J,MATCH('Isaac 401k'!N4949,'Retirement Calculator'!A:A,0),0),0)</f>
        <v>0</v>
      </c>
      <c r="K4949" s="455">
        <f t="shared" ca="1" si="196"/>
        <v>-375935359049.57117</v>
      </c>
      <c r="L4949" s="455">
        <f t="shared" ca="1" si="197"/>
        <v>-90600421530946.656</v>
      </c>
      <c r="M4949" s="471">
        <f t="shared" si="199"/>
        <v>0.05</v>
      </c>
      <c r="N4949" s="475">
        <f t="shared" si="200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98"/>
        <v>-90600421530946.656</v>
      </c>
      <c r="J4950" s="455">
        <f t="array" ref="J4950">IFERROR(INDEX('Retirement Calculator'!J:J,MATCH('Isaac 401k'!N4950,'Retirement Calculator'!A:A,0),0),0)</f>
        <v>0</v>
      </c>
      <c r="K4950" s="455">
        <f t="shared" ca="1" si="196"/>
        <v>-377501756378.9444</v>
      </c>
      <c r="L4950" s="455">
        <f t="shared" ca="1" si="197"/>
        <v>-90977923287325.594</v>
      </c>
      <c r="M4950" s="471">
        <f t="shared" si="199"/>
        <v>0.05</v>
      </c>
      <c r="N4950" s="475">
        <f t="shared" si="200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98"/>
        <v>-90977923287325.594</v>
      </c>
      <c r="J4951" s="455">
        <f t="array" ref="J4951">IFERROR(INDEX('Retirement Calculator'!J:J,MATCH('Isaac 401k'!N4951,'Retirement Calculator'!A:A,0),0),0)</f>
        <v>0</v>
      </c>
      <c r="K4951" s="455">
        <f t="shared" ca="1" si="196"/>
        <v>-379074680363.85663</v>
      </c>
      <c r="L4951" s="455">
        <f t="shared" ca="1" si="197"/>
        <v>-91356997967689.453</v>
      </c>
      <c r="M4951" s="471">
        <f t="shared" si="199"/>
        <v>0.05</v>
      </c>
      <c r="N4951" s="475">
        <f t="shared" si="200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98"/>
        <v>-91356997967689.453</v>
      </c>
      <c r="J4952" s="455">
        <f t="array" ref="J4952">IFERROR(INDEX('Retirement Calculator'!J:J,MATCH('Isaac 401k'!N4952,'Retirement Calculator'!A:A,0),0),0)</f>
        <v>0</v>
      </c>
      <c r="K4952" s="455">
        <f t="shared" ca="1" si="196"/>
        <v>-380654158198.70605</v>
      </c>
      <c r="L4952" s="455">
        <f t="shared" ca="1" si="197"/>
        <v>-91737652125888.156</v>
      </c>
      <c r="M4952" s="471">
        <f t="shared" si="199"/>
        <v>0.05</v>
      </c>
      <c r="N4952" s="475">
        <f t="shared" si="200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98"/>
        <v>-91737652125888.156</v>
      </c>
      <c r="J4953" s="455">
        <f t="array" ref="J4953">IFERROR(INDEX('Retirement Calculator'!J:J,MATCH('Isaac 401k'!N4953,'Retirement Calculator'!A:A,0),0),0)</f>
        <v>0</v>
      </c>
      <c r="K4953" s="455">
        <f t="shared" ca="1" si="196"/>
        <v>-382240217191.20062</v>
      </c>
      <c r="L4953" s="455">
        <f t="shared" ca="1" si="197"/>
        <v>-92119892343079.359</v>
      </c>
      <c r="M4953" s="471">
        <f t="shared" si="199"/>
        <v>0.05</v>
      </c>
      <c r="N4953" s="475">
        <f t="shared" si="200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98"/>
        <v>-92119892343079.359</v>
      </c>
      <c r="J4954" s="455">
        <f t="array" ref="J4954">IFERROR(INDEX('Retirement Calculator'!J:J,MATCH('Isaac 401k'!N4954,'Retirement Calculator'!A:A,0),0),0)</f>
        <v>0</v>
      </c>
      <c r="K4954" s="455">
        <f t="shared" ca="1" si="196"/>
        <v>-383832884762.83069</v>
      </c>
      <c r="L4954" s="455">
        <f t="shared" ca="1" si="197"/>
        <v>-92503725227842.188</v>
      </c>
      <c r="M4954" s="471">
        <f t="shared" si="199"/>
        <v>0.05</v>
      </c>
      <c r="N4954" s="475">
        <f t="shared" si="200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98"/>
        <v>-92503725227842.188</v>
      </c>
      <c r="J4955" s="455">
        <f t="array" ref="J4955">IFERROR(INDEX('Retirement Calculator'!J:J,MATCH('Isaac 401k'!N4955,'Retirement Calculator'!A:A,0),0),0)</f>
        <v>0</v>
      </c>
      <c r="K4955" s="455">
        <f t="shared" ca="1" si="196"/>
        <v>-385432188449.34247</v>
      </c>
      <c r="L4955" s="455">
        <f t="shared" ca="1" si="197"/>
        <v>-92889157416291.531</v>
      </c>
      <c r="M4955" s="471">
        <f t="shared" si="199"/>
        <v>0.05</v>
      </c>
      <c r="N4955" s="475">
        <f t="shared" si="200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98"/>
        <v>-92889157416291.531</v>
      </c>
      <c r="J4956" s="455">
        <f t="array" ref="J4956">IFERROR(INDEX('Retirement Calculator'!J:J,MATCH('Isaac 401k'!N4956,'Retirement Calculator'!A:A,0),0),0)</f>
        <v>0</v>
      </c>
      <c r="K4956" s="455">
        <f t="shared" ca="1" si="196"/>
        <v>-387038155901.21472</v>
      </c>
      <c r="L4956" s="455">
        <f t="shared" ca="1" si="197"/>
        <v>-93276195572192.75</v>
      </c>
      <c r="M4956" s="471">
        <f t="shared" si="199"/>
        <v>0.05</v>
      </c>
      <c r="N4956" s="475">
        <f t="shared" si="200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98"/>
        <v>-93276195572192.75</v>
      </c>
      <c r="J4957" s="455">
        <f t="array" ref="J4957">IFERROR(INDEX('Retirement Calculator'!J:J,MATCH('Isaac 401k'!N4957,'Retirement Calculator'!A:A,0),0),0)</f>
        <v>0</v>
      </c>
      <c r="K4957" s="455">
        <f t="shared" ca="1" si="196"/>
        <v>-388650814884.13647</v>
      </c>
      <c r="L4957" s="455">
        <f t="shared" ca="1" si="197"/>
        <v>-93664846387076.891</v>
      </c>
      <c r="M4957" s="471">
        <f t="shared" si="199"/>
        <v>0.05</v>
      </c>
      <c r="N4957" s="475">
        <f t="shared" si="200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98"/>
        <v>-93664846387076.891</v>
      </c>
      <c r="J4958" s="455">
        <f t="array" ref="J4958">IFERROR(INDEX('Retirement Calculator'!J:J,MATCH('Isaac 401k'!N4958,'Retirement Calculator'!A:A,0),0),0)</f>
        <v>0</v>
      </c>
      <c r="K4958" s="455">
        <f t="shared" ca="1" si="196"/>
        <v>-390270193279.48706</v>
      </c>
      <c r="L4958" s="455">
        <f t="shared" ca="1" si="197"/>
        <v>-94055116580356.375</v>
      </c>
      <c r="M4958" s="471">
        <f t="shared" si="199"/>
        <v>0.05</v>
      </c>
      <c r="N4958" s="475">
        <f t="shared" si="200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98"/>
        <v>-94055116580356.375</v>
      </c>
      <c r="J4959" s="455">
        <f t="array" ref="J4959">IFERROR(INDEX('Retirement Calculator'!J:J,MATCH('Isaac 401k'!N4959,'Retirement Calculator'!A:A,0),0),0)</f>
        <v>0</v>
      </c>
      <c r="K4959" s="455">
        <f t="shared" ca="1" si="196"/>
        <v>-391896319084.81824</v>
      </c>
      <c r="L4959" s="455">
        <f t="shared" ca="1" si="197"/>
        <v>-94447012899441.188</v>
      </c>
      <c r="M4959" s="471">
        <f t="shared" si="199"/>
        <v>0.05</v>
      </c>
      <c r="N4959" s="475">
        <f t="shared" si="200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98"/>
        <v>-94447012899441.188</v>
      </c>
      <c r="J4960" s="455">
        <f t="array" ref="J4960">IFERROR(INDEX('Retirement Calculator'!J:J,MATCH('Isaac 401k'!N4960,'Retirement Calculator'!A:A,0),0),0)</f>
        <v>0</v>
      </c>
      <c r="K4960" s="455">
        <f t="shared" ca="1" si="196"/>
        <v>-393529220414.33826</v>
      </c>
      <c r="L4960" s="455">
        <f t="shared" ca="1" si="197"/>
        <v>-94840542119855.531</v>
      </c>
      <c r="M4960" s="471">
        <f t="shared" si="199"/>
        <v>0.05</v>
      </c>
      <c r="N4960" s="475">
        <f t="shared" si="200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98"/>
        <v>-94840542119855.531</v>
      </c>
      <c r="J4961" s="455">
        <f t="array" ref="J4961">IFERROR(INDEX('Retirement Calculator'!J:J,MATCH('Isaac 401k'!N4961,'Retirement Calculator'!A:A,0),0),0)</f>
        <v>0</v>
      </c>
      <c r="K4961" s="455">
        <f t="shared" ca="1" si="196"/>
        <v>-395168925499.39807</v>
      </c>
      <c r="L4961" s="455">
        <f t="shared" ca="1" si="197"/>
        <v>-95235711045354.922</v>
      </c>
      <c r="M4961" s="471">
        <f t="shared" si="199"/>
        <v>0.05</v>
      </c>
      <c r="N4961" s="475">
        <f t="shared" si="200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98"/>
        <v>-95235711045354.922</v>
      </c>
      <c r="J4962" s="455">
        <f t="array" ref="J4962">IFERROR(INDEX('Retirement Calculator'!J:J,MATCH('Isaac 401k'!N4962,'Retirement Calculator'!A:A,0),0),0)</f>
        <v>0</v>
      </c>
      <c r="K4962" s="455">
        <f t="shared" ca="1" si="196"/>
        <v>-396815462688.97882</v>
      </c>
      <c r="L4962" s="455">
        <f t="shared" ca="1" si="197"/>
        <v>-95632526508043.906</v>
      </c>
      <c r="M4962" s="471">
        <f t="shared" si="199"/>
        <v>0.05</v>
      </c>
      <c r="N4962" s="475">
        <f t="shared" si="200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98"/>
        <v>-95632526508043.906</v>
      </c>
      <c r="J4963" s="455">
        <f t="array" ref="J4963">IFERROR(INDEX('Retirement Calculator'!J:J,MATCH('Isaac 401k'!N4963,'Retirement Calculator'!A:A,0),0),0)</f>
        <v>0</v>
      </c>
      <c r="K4963" s="455">
        <f t="shared" ca="1" si="196"/>
        <v>-398468860450.18292</v>
      </c>
      <c r="L4963" s="455">
        <f t="shared" ca="1" si="197"/>
        <v>-96030995368494.094</v>
      </c>
      <c r="M4963" s="471">
        <f t="shared" si="199"/>
        <v>0.05</v>
      </c>
      <c r="N4963" s="475">
        <f t="shared" si="200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98"/>
        <v>-96030995368494.094</v>
      </c>
      <c r="J4964" s="455">
        <f t="array" ref="J4964">IFERROR(INDEX('Retirement Calculator'!J:J,MATCH('Isaac 401k'!N4964,'Retirement Calculator'!A:A,0),0),0)</f>
        <v>0</v>
      </c>
      <c r="K4964" s="455">
        <f t="shared" ca="1" si="196"/>
        <v>-400129147368.7254</v>
      </c>
      <c r="L4964" s="455">
        <f t="shared" ca="1" si="197"/>
        <v>-96431124515862.813</v>
      </c>
      <c r="M4964" s="471">
        <f t="shared" si="199"/>
        <v>0.05</v>
      </c>
      <c r="N4964" s="475">
        <f t="shared" si="200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98"/>
        <v>-96431124515862.813</v>
      </c>
      <c r="J4965" s="455">
        <f t="array" ref="J4965">IFERROR(INDEX('Retirement Calculator'!J:J,MATCH('Isaac 401k'!N4965,'Retirement Calculator'!A:A,0),0),0)</f>
        <v>0</v>
      </c>
      <c r="K4965" s="455">
        <f t="shared" ca="1" si="196"/>
        <v>-401796352149.42841</v>
      </c>
      <c r="L4965" s="455">
        <f t="shared" ca="1" si="197"/>
        <v>-96832920868012.234</v>
      </c>
      <c r="M4965" s="471">
        <f t="shared" si="199"/>
        <v>0.05</v>
      </c>
      <c r="N4965" s="475">
        <f t="shared" si="200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98"/>
        <v>-96832920868012.234</v>
      </c>
      <c r="J4966" s="455">
        <f t="array" ref="J4966">IFERROR(INDEX('Retirement Calculator'!J:J,MATCH('Isaac 401k'!N4966,'Retirement Calculator'!A:A,0),0),0)</f>
        <v>0</v>
      </c>
      <c r="K4966" s="455">
        <f t="shared" ca="1" si="196"/>
        <v>-403470503616.71765</v>
      </c>
      <c r="L4966" s="455">
        <f t="shared" ca="1" si="197"/>
        <v>-97236391371628.953</v>
      </c>
      <c r="M4966" s="471">
        <f t="shared" si="199"/>
        <v>0.05</v>
      </c>
      <c r="N4966" s="475">
        <f t="shared" si="200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98"/>
        <v>-97236391371628.953</v>
      </c>
      <c r="J4967" s="455">
        <f t="array" ref="J4967">IFERROR(INDEX('Retirement Calculator'!J:J,MATCH('Isaac 401k'!N4967,'Retirement Calculator'!A:A,0),0),0)</f>
        <v>0</v>
      </c>
      <c r="K4967" s="455">
        <f t="shared" ca="1" si="196"/>
        <v>-405151630715.12061</v>
      </c>
      <c r="L4967" s="455">
        <f t="shared" ca="1" si="197"/>
        <v>-97641543002344.078</v>
      </c>
      <c r="M4967" s="471">
        <f t="shared" si="199"/>
        <v>0.05</v>
      </c>
      <c r="N4967" s="475">
        <f t="shared" si="200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98"/>
        <v>-97641543002344.078</v>
      </c>
      <c r="J4968" s="455">
        <f t="array" ref="J4968">IFERROR(INDEX('Retirement Calculator'!J:J,MATCH('Isaac 401k'!N4968,'Retirement Calculator'!A:A,0),0),0)</f>
        <v>0</v>
      </c>
      <c r="K4968" s="455">
        <f t="shared" ca="1" si="196"/>
        <v>-406839762509.76697</v>
      </c>
      <c r="L4968" s="455">
        <f t="shared" ca="1" si="197"/>
        <v>-98048382764853.844</v>
      </c>
      <c r="M4968" s="471">
        <f t="shared" si="199"/>
        <v>0.05</v>
      </c>
      <c r="N4968" s="475">
        <f t="shared" si="200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98"/>
        <v>-98048382764853.844</v>
      </c>
      <c r="J4969" s="455">
        <f t="array" ref="J4969">IFERROR(INDEX('Retirement Calculator'!J:J,MATCH('Isaac 401k'!N4969,'Retirement Calculator'!A:A,0),0),0)</f>
        <v>0</v>
      </c>
      <c r="K4969" s="455">
        <f t="shared" ca="1" si="196"/>
        <v>-408534928186.89099</v>
      </c>
      <c r="L4969" s="455">
        <f t="shared" ca="1" si="197"/>
        <v>-98456917693040.734</v>
      </c>
      <c r="M4969" s="471">
        <f t="shared" si="199"/>
        <v>0.05</v>
      </c>
      <c r="N4969" s="475">
        <f t="shared" si="200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98"/>
        <v>-98456917693040.734</v>
      </c>
      <c r="J4970" s="455">
        <f t="array" ref="J4970">IFERROR(INDEX('Retirement Calculator'!J:J,MATCH('Isaac 401k'!N4970,'Retirement Calculator'!A:A,0),0),0)</f>
        <v>0</v>
      </c>
      <c r="K4970" s="455">
        <f t="shared" ca="1" si="196"/>
        <v>-410237157054.33636</v>
      </c>
      <c r="L4970" s="455">
        <f t="shared" ca="1" si="197"/>
        <v>-98867154850095.078</v>
      </c>
      <c r="M4970" s="471">
        <f t="shared" si="199"/>
        <v>0.05</v>
      </c>
      <c r="N4970" s="475">
        <f t="shared" si="200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98"/>
        <v>-98867154850095.078</v>
      </c>
      <c r="J4971" s="455">
        <f t="array" ref="J4971">IFERROR(INDEX('Retirement Calculator'!J:J,MATCH('Isaac 401k'!N4971,'Retirement Calculator'!A:A,0),0),0)</f>
        <v>0</v>
      </c>
      <c r="K4971" s="455">
        <f t="shared" ca="1" si="196"/>
        <v>-411946478542.06281</v>
      </c>
      <c r="L4971" s="455">
        <f t="shared" ca="1" si="197"/>
        <v>-99279101328637.141</v>
      </c>
      <c r="M4971" s="471">
        <f t="shared" si="199"/>
        <v>0.05</v>
      </c>
      <c r="N4971" s="475">
        <f t="shared" si="200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98"/>
        <v>-99279101328637.141</v>
      </c>
      <c r="J4972" s="455">
        <f t="array" ref="J4972">IFERROR(INDEX('Retirement Calculator'!J:J,MATCH('Isaac 401k'!N4972,'Retirement Calculator'!A:A,0),0),0)</f>
        <v>0</v>
      </c>
      <c r="K4972" s="455">
        <f t="shared" ca="1" si="196"/>
        <v>-413662922202.65472</v>
      </c>
      <c r="L4972" s="455">
        <f t="shared" ca="1" si="197"/>
        <v>-99692764250839.797</v>
      </c>
      <c r="M4972" s="471">
        <f t="shared" si="199"/>
        <v>0.05</v>
      </c>
      <c r="N4972" s="475">
        <f t="shared" si="200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98"/>
        <v>-99692764250839.797</v>
      </c>
      <c r="J4973" s="455">
        <f t="array" ref="J4973">IFERROR(INDEX('Retirement Calculator'!J:J,MATCH('Isaac 401k'!N4973,'Retirement Calculator'!A:A,0),0),0)</f>
        <v>0</v>
      </c>
      <c r="K4973" s="455">
        <f t="shared" ca="1" si="196"/>
        <v>-415386517711.83246</v>
      </c>
      <c r="L4973" s="455">
        <f t="shared" ca="1" si="197"/>
        <v>-100108150768551.63</v>
      </c>
      <c r="M4973" s="471">
        <f t="shared" si="199"/>
        <v>0.05</v>
      </c>
      <c r="N4973" s="475">
        <f t="shared" si="200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98"/>
        <v>-100108150768551.63</v>
      </c>
      <c r="J4974" s="455">
        <f t="array" ref="J4974">IFERROR(INDEX('Retirement Calculator'!J:J,MATCH('Isaac 401k'!N4974,'Retirement Calculator'!A:A,0),0),0)</f>
        <v>0</v>
      </c>
      <c r="K4974" s="455">
        <f t="shared" ca="1" si="196"/>
        <v>-417117294868.96509</v>
      </c>
      <c r="L4974" s="455">
        <f t="shared" ca="1" si="197"/>
        <v>-100525268063420.59</v>
      </c>
      <c r="M4974" s="471">
        <f t="shared" si="199"/>
        <v>0.05</v>
      </c>
      <c r="N4974" s="475">
        <f t="shared" si="200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98"/>
        <v>-100525268063420.59</v>
      </c>
      <c r="J4975" s="455">
        <f t="array" ref="J4975">IFERROR(INDEX('Retirement Calculator'!J:J,MATCH('Isaac 401k'!N4975,'Retirement Calculator'!A:A,0),0),0)</f>
        <v>0</v>
      </c>
      <c r="K4975" s="455">
        <f t="shared" ca="1" si="196"/>
        <v>-418855283597.58582</v>
      </c>
      <c r="L4975" s="455">
        <f t="shared" ca="1" si="197"/>
        <v>-100944123347018.17</v>
      </c>
      <c r="M4975" s="471">
        <f t="shared" si="199"/>
        <v>0.05</v>
      </c>
      <c r="N4975" s="475">
        <f t="shared" si="200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98"/>
        <v>-100944123347018.17</v>
      </c>
      <c r="J4976" s="455">
        <f t="array" ref="J4976">IFERROR(INDEX('Retirement Calculator'!J:J,MATCH('Isaac 401k'!N4976,'Retirement Calculator'!A:A,0),0),0)</f>
        <v>0</v>
      </c>
      <c r="K4976" s="455">
        <f t="shared" ca="1" si="196"/>
        <v>-420600513945.90906</v>
      </c>
      <c r="L4976" s="455">
        <f t="shared" ca="1" si="197"/>
        <v>-101364723860964.08</v>
      </c>
      <c r="M4976" s="471">
        <f t="shared" si="199"/>
        <v>0.05</v>
      </c>
      <c r="N4976" s="475">
        <f t="shared" si="200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98"/>
        <v>-101364723860964.08</v>
      </c>
      <c r="J4977" s="455">
        <f t="array" ref="J4977">IFERROR(INDEX('Retirement Calculator'!J:J,MATCH('Isaac 401k'!N4977,'Retirement Calculator'!A:A,0),0),0)</f>
        <v>0</v>
      </c>
      <c r="K4977" s="455">
        <f t="shared" ca="1" si="196"/>
        <v>-422353016087.35034</v>
      </c>
      <c r="L4977" s="455">
        <f t="shared" ca="1" si="197"/>
        <v>-101787076877051.42</v>
      </c>
      <c r="M4977" s="471">
        <f t="shared" si="199"/>
        <v>0.05</v>
      </c>
      <c r="N4977" s="475">
        <f t="shared" si="200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98"/>
        <v>-101787076877051.42</v>
      </c>
      <c r="J4978" s="455">
        <f t="array" ref="J4978">IFERROR(INDEX('Retirement Calculator'!J:J,MATCH('Isaac 401k'!N4978,'Retirement Calculator'!A:A,0),0),0)</f>
        <v>0</v>
      </c>
      <c r="K4978" s="455">
        <f t="shared" ca="1" si="196"/>
        <v>-424112820321.04761</v>
      </c>
      <c r="L4978" s="455">
        <f t="shared" ca="1" si="197"/>
        <v>-102211189697372.47</v>
      </c>
      <c r="M4978" s="471">
        <f t="shared" si="199"/>
        <v>0.05</v>
      </c>
      <c r="N4978" s="475">
        <f t="shared" si="200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98"/>
        <v>-102211189697372.47</v>
      </c>
      <c r="J4979" s="455">
        <f t="array" ref="J4979">IFERROR(INDEX('Retirement Calculator'!J:J,MATCH('Isaac 401k'!N4979,'Retirement Calculator'!A:A,0),0),0)</f>
        <v>0</v>
      </c>
      <c r="K4979" s="455">
        <f t="shared" ca="1" si="196"/>
        <v>-425879957072.38525</v>
      </c>
      <c r="L4979" s="455">
        <f t="shared" ca="1" si="197"/>
        <v>-102637069654444.86</v>
      </c>
      <c r="M4979" s="471">
        <f t="shared" si="199"/>
        <v>0.05</v>
      </c>
      <c r="N4979" s="475">
        <f t="shared" si="200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98"/>
        <v>-102637069654444.86</v>
      </c>
      <c r="J4980" s="455">
        <f t="array" ref="J4980">IFERROR(INDEX('Retirement Calculator'!J:J,MATCH('Isaac 401k'!N4980,'Retirement Calculator'!A:A,0),0),0)</f>
        <v>0</v>
      </c>
      <c r="K4980" s="455">
        <f t="shared" ca="1" si="196"/>
        <v>-427654456893.52026</v>
      </c>
      <c r="L4980" s="455">
        <f t="shared" ca="1" si="197"/>
        <v>-103064724111338.38</v>
      </c>
      <c r="M4980" s="471">
        <f t="shared" si="199"/>
        <v>0.05</v>
      </c>
      <c r="N4980" s="475">
        <f t="shared" si="200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98"/>
        <v>-103064724111338.38</v>
      </c>
      <c r="J4981" s="455">
        <f t="array" ref="J4981">IFERROR(INDEX('Retirement Calculator'!J:J,MATCH('Isaac 401k'!N4981,'Retirement Calculator'!A:A,0),0),0)</f>
        <v>0</v>
      </c>
      <c r="K4981" s="455">
        <f t="shared" ca="1" si="196"/>
        <v>-429436350463.90991</v>
      </c>
      <c r="L4981" s="455">
        <f t="shared" ca="1" si="197"/>
        <v>-103494160461802.28</v>
      </c>
      <c r="M4981" s="471">
        <f t="shared" si="199"/>
        <v>0.05</v>
      </c>
      <c r="N4981" s="475">
        <f t="shared" si="200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98"/>
        <v>-103494160461802.28</v>
      </c>
      <c r="J4982" s="455">
        <f t="array" ref="J4982">IFERROR(INDEX('Retirement Calculator'!J:J,MATCH('Isaac 401k'!N4982,'Retirement Calculator'!A:A,0),0),0)</f>
        <v>0</v>
      </c>
      <c r="K4982" s="455">
        <f t="shared" ca="1" si="196"/>
        <v>-431225668590.84283</v>
      </c>
      <c r="L4982" s="455">
        <f t="shared" ca="1" si="197"/>
        <v>-103925386130393.13</v>
      </c>
      <c r="M4982" s="471">
        <f t="shared" si="199"/>
        <v>0.05</v>
      </c>
      <c r="N4982" s="475">
        <f t="shared" si="200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98"/>
        <v>-103925386130393.13</v>
      </c>
      <c r="J4983" s="455">
        <f t="array" ref="J4983">IFERROR(INDEX('Retirement Calculator'!J:J,MATCH('Isaac 401k'!N4983,'Retirement Calculator'!A:A,0),0),0)</f>
        <v>0</v>
      </c>
      <c r="K4983" s="455">
        <f t="shared" ca="1" si="196"/>
        <v>-433022442209.97137</v>
      </c>
      <c r="L4983" s="455">
        <f t="shared" ca="1" si="197"/>
        <v>-104358408572603.09</v>
      </c>
      <c r="M4983" s="471">
        <f t="shared" si="199"/>
        <v>0.05</v>
      </c>
      <c r="N4983" s="475">
        <f t="shared" si="200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98"/>
        <v>-104358408572603.09</v>
      </c>
      <c r="J4984" s="455">
        <f t="array" ref="J4984">IFERROR(INDEX('Retirement Calculator'!J:J,MATCH('Isaac 401k'!N4984,'Retirement Calculator'!A:A,0),0),0)</f>
        <v>0</v>
      </c>
      <c r="K4984" s="455">
        <f t="shared" ca="1" si="196"/>
        <v>-434826702385.84619</v>
      </c>
      <c r="L4984" s="455">
        <f t="shared" ca="1" si="197"/>
        <v>-104793235274988.94</v>
      </c>
      <c r="M4984" s="471">
        <f t="shared" si="199"/>
        <v>0.05</v>
      </c>
      <c r="N4984" s="475">
        <f t="shared" si="200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98"/>
        <v>-104793235274988.94</v>
      </c>
      <c r="J4985" s="455">
        <f t="array" ref="J4985">IFERROR(INDEX('Retirement Calculator'!J:J,MATCH('Isaac 401k'!N4985,'Retirement Calculator'!A:A,0),0),0)</f>
        <v>0</v>
      </c>
      <c r="K4985" s="455">
        <f t="shared" ca="1" si="196"/>
        <v>-436638480312.45392</v>
      </c>
      <c r="L4985" s="455">
        <f t="shared" ca="1" si="197"/>
        <v>-105229873755301.39</v>
      </c>
      <c r="M4985" s="471">
        <f t="shared" si="199"/>
        <v>0.05</v>
      </c>
      <c r="N4985" s="475">
        <f t="shared" si="200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98"/>
        <v>-105229873755301.39</v>
      </c>
      <c r="J4986" s="455">
        <f t="array" ref="J4986">IFERROR(INDEX('Retirement Calculator'!J:J,MATCH('Isaac 401k'!N4986,'Retirement Calculator'!A:A,0),0),0)</f>
        <v>0</v>
      </c>
      <c r="K4986" s="455">
        <f t="shared" ca="1" si="196"/>
        <v>-438457807313.7558</v>
      </c>
      <c r="L4986" s="455">
        <f t="shared" ca="1" si="197"/>
        <v>-105668331562615.14</v>
      </c>
      <c r="M4986" s="471">
        <f t="shared" si="199"/>
        <v>0.05</v>
      </c>
      <c r="N4986" s="475">
        <f t="shared" si="200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98"/>
        <v>-105668331562615.14</v>
      </c>
      <c r="J4987" s="455">
        <f t="array" ref="J4987">IFERROR(INDEX('Retirement Calculator'!J:J,MATCH('Isaac 401k'!N4987,'Retirement Calculator'!A:A,0),0),0)</f>
        <v>0</v>
      </c>
      <c r="K4987" s="455">
        <f t="shared" ca="1" si="196"/>
        <v>-440284714844.22974</v>
      </c>
      <c r="L4987" s="455">
        <f t="shared" ca="1" si="197"/>
        <v>-106108616277459.38</v>
      </c>
      <c r="M4987" s="471">
        <f t="shared" si="199"/>
        <v>0.05</v>
      </c>
      <c r="N4987" s="475">
        <f t="shared" si="200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98"/>
        <v>-106108616277459.38</v>
      </c>
      <c r="J4988" s="455">
        <f t="array" ref="J4988">IFERROR(INDEX('Retirement Calculator'!J:J,MATCH('Isaac 401k'!N4988,'Retirement Calculator'!A:A,0),0),0)</f>
        <v>0</v>
      </c>
      <c r="K4988" s="455">
        <f t="shared" ca="1" si="196"/>
        <v>-442119234489.41406</v>
      </c>
      <c r="L4988" s="455">
        <f t="shared" ca="1" si="197"/>
        <v>-106550735511948.78</v>
      </c>
      <c r="M4988" s="471">
        <f t="shared" si="199"/>
        <v>0.05</v>
      </c>
      <c r="N4988" s="475">
        <f t="shared" si="200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98"/>
        <v>-106550735511948.78</v>
      </c>
      <c r="J4989" s="455">
        <f t="array" ref="J4989">IFERROR(INDEX('Retirement Calculator'!J:J,MATCH('Isaac 401k'!N4989,'Retirement Calculator'!A:A,0),0),0)</f>
        <v>0</v>
      </c>
      <c r="K4989" s="455">
        <f t="shared" ca="1" si="196"/>
        <v>-443961397966.45325</v>
      </c>
      <c r="L4989" s="455">
        <f t="shared" ca="1" si="197"/>
        <v>-106994696909915.23</v>
      </c>
      <c r="M4989" s="471">
        <f t="shared" si="199"/>
        <v>0.05</v>
      </c>
      <c r="N4989" s="475">
        <f t="shared" si="200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98"/>
        <v>-106994696909915.23</v>
      </c>
      <c r="J4990" s="455">
        <f t="array" ref="J4990">IFERROR(INDEX('Retirement Calculator'!J:J,MATCH('Isaac 401k'!N4990,'Retirement Calculator'!A:A,0),0),0)</f>
        <v>0</v>
      </c>
      <c r="K4990" s="455">
        <f t="shared" ca="1" si="196"/>
        <v>-445811237124.64679</v>
      </c>
      <c r="L4990" s="455">
        <f t="shared" ca="1" si="197"/>
        <v>-107440508147039.88</v>
      </c>
      <c r="M4990" s="471">
        <f t="shared" si="199"/>
        <v>0.05</v>
      </c>
      <c r="N4990" s="475">
        <f t="shared" si="200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98"/>
        <v>-107440508147039.88</v>
      </c>
      <c r="J4991" s="455">
        <f t="array" ref="J4991">IFERROR(INDEX('Retirement Calculator'!J:J,MATCH('Isaac 401k'!N4991,'Retirement Calculator'!A:A,0),0),0)</f>
        <v>0</v>
      </c>
      <c r="K4991" s="455">
        <f t="shared" ca="1" si="196"/>
        <v>-447668783945.99945</v>
      </c>
      <c r="L4991" s="455">
        <f t="shared" ca="1" si="197"/>
        <v>-107888176930985.88</v>
      </c>
      <c r="M4991" s="471">
        <f t="shared" si="199"/>
        <v>0.05</v>
      </c>
      <c r="N4991" s="475">
        <f t="shared" si="200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98"/>
        <v>-107888176930985.88</v>
      </c>
      <c r="J4992" s="455">
        <f t="array" ref="J4992">IFERROR(INDEX('Retirement Calculator'!J:J,MATCH('Isaac 401k'!N4992,'Retirement Calculator'!A:A,0),0),0)</f>
        <v>0</v>
      </c>
      <c r="K4992" s="455">
        <f t="shared" ca="1" si="196"/>
        <v>-449534070545.77448</v>
      </c>
      <c r="L4992" s="455">
        <f t="shared" ca="1" si="197"/>
        <v>-108337711001531.66</v>
      </c>
      <c r="M4992" s="471">
        <f t="shared" si="199"/>
        <v>0.05</v>
      </c>
      <c r="N4992" s="475">
        <f t="shared" si="200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98"/>
        <v>-108337711001531.66</v>
      </c>
      <c r="J4993" s="455">
        <f t="array" ref="J4993">IFERROR(INDEX('Retirement Calculator'!J:J,MATCH('Isaac 401k'!N4993,'Retirement Calculator'!A:A,0),0),0)</f>
        <v>0</v>
      </c>
      <c r="K4993" s="455">
        <f t="shared" ca="1" si="196"/>
        <v>-451407129173.04858</v>
      </c>
      <c r="L4993" s="455">
        <f t="shared" ca="1" si="197"/>
        <v>-108789118130704.7</v>
      </c>
      <c r="M4993" s="471">
        <f t="shared" si="199"/>
        <v>0.05</v>
      </c>
      <c r="N4993" s="475">
        <f t="shared" si="200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98"/>
        <v>-108789118130704.7</v>
      </c>
      <c r="J4994" s="455">
        <f t="array" ref="J4994">IFERROR(INDEX('Retirement Calculator'!J:J,MATCH('Isaac 401k'!N4994,'Retirement Calculator'!A:A,0),0),0)</f>
        <v>0</v>
      </c>
      <c r="K4994" s="455">
        <f t="shared" ca="1" si="196"/>
        <v>-453287992211.26959</v>
      </c>
      <c r="L4994" s="455">
        <f t="shared" ca="1" si="197"/>
        <v>-109242406122915.97</v>
      </c>
      <c r="M4994" s="471">
        <f t="shared" si="199"/>
        <v>0.05</v>
      </c>
      <c r="N4994" s="475">
        <f t="shared" si="200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98"/>
        <v>-109242406122915.97</v>
      </c>
      <c r="J4995" s="455">
        <f t="array" ref="J4995">IFERROR(INDEX('Retirement Calculator'!J:J,MATCH('Isaac 401k'!N4995,'Retirement Calculator'!A:A,0),0),0)</f>
        <v>0</v>
      </c>
      <c r="K4995" s="455">
        <f t="shared" ca="1" si="196"/>
        <v>-455176692178.81653</v>
      </c>
      <c r="L4995" s="455">
        <f t="shared" ca="1" si="197"/>
        <v>-109697582815094.78</v>
      </c>
      <c r="M4995" s="471">
        <f t="shared" si="199"/>
        <v>0.05</v>
      </c>
      <c r="N4995" s="475">
        <f t="shared" si="200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98"/>
        <v>-109697582815094.78</v>
      </c>
      <c r="J4996" s="455">
        <f t="array" ref="J4996">IFERROR(INDEX('Retirement Calculator'!J:J,MATCH('Isaac 401k'!N4996,'Retirement Calculator'!A:A,0),0),0)</f>
        <v>0</v>
      </c>
      <c r="K4996" s="455">
        <f t="shared" ca="1" si="196"/>
        <v>-457073261729.56158</v>
      </c>
      <c r="L4996" s="455">
        <f t="shared" ca="1" si="197"/>
        <v>-110154656076824.34</v>
      </c>
      <c r="M4996" s="471">
        <f t="shared" si="199"/>
        <v>0.05</v>
      </c>
      <c r="N4996" s="475">
        <f t="shared" si="200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98"/>
        <v>-110154656076824.34</v>
      </c>
      <c r="J4997" s="455">
        <f t="array" ref="J4997">IFERROR(INDEX('Retirement Calculator'!J:J,MATCH('Isaac 401k'!N4997,'Retirement Calculator'!A:A,0),0),0)</f>
        <v>0</v>
      </c>
      <c r="K4997" s="455">
        <f t="shared" ca="1" si="196"/>
        <v>-458977733653.43475</v>
      </c>
      <c r="L4997" s="455">
        <f t="shared" ca="1" si="197"/>
        <v>-110613633810477.78</v>
      </c>
      <c r="M4997" s="471">
        <f t="shared" si="199"/>
        <v>0.05</v>
      </c>
      <c r="N4997" s="475">
        <f t="shared" si="200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98"/>
        <v>-110613633810477.78</v>
      </c>
      <c r="J4998" s="455">
        <f t="array" ref="J4998">IFERROR(INDEX('Retirement Calculator'!J:J,MATCH('Isaac 401k'!N4998,'Retirement Calculator'!A:A,0),0),0)</f>
        <v>0</v>
      </c>
      <c r="K4998" s="455">
        <f t="shared" ca="1" si="196"/>
        <v>-460890140876.99072</v>
      </c>
      <c r="L4998" s="455">
        <f t="shared" ca="1" si="197"/>
        <v>-111074523951354.77</v>
      </c>
      <c r="M4998" s="471">
        <f t="shared" si="199"/>
        <v>0.05</v>
      </c>
      <c r="N4998" s="475">
        <f t="shared" si="200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98"/>
        <v>-111074523951354.77</v>
      </c>
      <c r="J4999" s="455">
        <f t="array" ref="J4999">IFERROR(INDEX('Retirement Calculator'!J:J,MATCH('Isaac 401k'!N4999,'Retirement Calculator'!A:A,0),0),0)</f>
        <v>0</v>
      </c>
      <c r="K4999" s="455">
        <f t="shared" ca="1" si="196"/>
        <v>-462810516463.97809</v>
      </c>
      <c r="L4999" s="455">
        <f t="shared" ca="1" si="197"/>
        <v>-111537334467818.75</v>
      </c>
      <c r="M4999" s="471">
        <f t="shared" si="199"/>
        <v>0.05</v>
      </c>
      <c r="N4999" s="475">
        <f t="shared" si="200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98"/>
        <v>-111537334467818.75</v>
      </c>
      <c r="J5000" s="455">
        <f t="array" ref="J5000">IFERROR(INDEX('Retirement Calculator'!J:J,MATCH('Isaac 401k'!N5000,'Retirement Calculator'!A:A,0),0),0)</f>
        <v>0</v>
      </c>
      <c r="K5000" s="455">
        <f t="shared" ca="1" si="196"/>
        <v>-464738893615.91144</v>
      </c>
      <c r="L5000" s="455">
        <f t="shared" ca="1" si="197"/>
        <v>-112002073361434.66</v>
      </c>
      <c r="M5000" s="471">
        <f t="shared" si="199"/>
        <v>0.05</v>
      </c>
      <c r="N5000" s="475">
        <f t="shared" si="200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98"/>
        <v>-112002073361434.66</v>
      </c>
      <c r="J5001" s="455">
        <f t="array" ref="J5001">IFERROR(INDEX('Retirement Calculator'!J:J,MATCH('Isaac 401k'!N5001,'Retirement Calculator'!A:A,0),0),0)</f>
        <v>0</v>
      </c>
      <c r="K5001" s="455">
        <f t="shared" ca="1" si="196"/>
        <v>-466675305672.64441</v>
      </c>
      <c r="L5001" s="455">
        <f t="shared" ca="1" si="197"/>
        <v>-112468748667107.3</v>
      </c>
      <c r="M5001" s="471">
        <f t="shared" si="199"/>
        <v>0.05</v>
      </c>
      <c r="N5001" s="475">
        <f t="shared" si="200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98"/>
        <v>-112468748667107.3</v>
      </c>
      <c r="J5002" s="455">
        <f t="array" ref="J5002">IFERROR(INDEX('Retirement Calculator'!J:J,MATCH('Isaac 401k'!N5002,'Retirement Calculator'!A:A,0),0),0)</f>
        <v>0</v>
      </c>
      <c r="K5002" s="455">
        <f t="shared" ca="1" si="196"/>
        <v>-468619786112.94708</v>
      </c>
      <c r="L5002" s="455">
        <f t="shared" ca="1" si="197"/>
        <v>-112937368453220.25</v>
      </c>
      <c r="M5002" s="471">
        <f t="shared" si="199"/>
        <v>0.05</v>
      </c>
      <c r="N5002" s="475">
        <f t="shared" si="200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98"/>
        <v>-112937368453220.25</v>
      </c>
      <c r="J5003" s="455">
        <f t="array" ref="J5003">IFERROR(INDEX('Retirement Calculator'!J:J,MATCH('Isaac 401k'!N5003,'Retirement Calculator'!A:A,0),0),0)</f>
        <v>0</v>
      </c>
      <c r="K5003" s="455">
        <f t="shared" ca="1" si="196"/>
        <v>-470572368555.08435</v>
      </c>
      <c r="L5003" s="455">
        <f t="shared" ca="1" si="197"/>
        <v>-113407940821775.33</v>
      </c>
      <c r="M5003" s="471">
        <f t="shared" si="199"/>
        <v>0.05</v>
      </c>
      <c r="N5003" s="475">
        <f t="shared" si="200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98"/>
        <v>-113407940821775.33</v>
      </c>
      <c r="J5004" s="455">
        <f t="array" ref="J5004">IFERROR(INDEX('Retirement Calculator'!J:J,MATCH('Isaac 401k'!N5004,'Retirement Calculator'!A:A,0),0),0)</f>
        <v>0</v>
      </c>
      <c r="K5004" s="455">
        <f t="shared" ca="1" si="196"/>
        <v>-472533086757.39722</v>
      </c>
      <c r="L5004" s="455">
        <f t="shared" ca="1" si="197"/>
        <v>-113880473908532.72</v>
      </c>
      <c r="M5004" s="471">
        <f t="shared" si="199"/>
        <v>0.05</v>
      </c>
      <c r="N5004" s="475">
        <f t="shared" si="200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98"/>
        <v>-113880473908532.72</v>
      </c>
      <c r="J5005" s="455">
        <f t="array" ref="J5005">IFERROR(INDEX('Retirement Calculator'!J:J,MATCH('Isaac 401k'!N5005,'Retirement Calculator'!A:A,0),0),0)</f>
        <v>0</v>
      </c>
      <c r="K5005" s="455">
        <f t="shared" ca="1" si="196"/>
        <v>-474501974618.88629</v>
      </c>
      <c r="L5005" s="455">
        <f t="shared" ca="1" si="197"/>
        <v>-114354975883151.61</v>
      </c>
      <c r="M5005" s="471">
        <f t="shared" si="199"/>
        <v>0.05</v>
      </c>
      <c r="N5005" s="475">
        <f t="shared" si="200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98"/>
        <v>-114354975883151.61</v>
      </c>
      <c r="J5006" s="455">
        <f t="array" ref="J5006">IFERROR(INDEX('Retirement Calculator'!J:J,MATCH('Isaac 401k'!N5006,'Retirement Calculator'!A:A,0),0),0)</f>
        <v>0</v>
      </c>
      <c r="K5006" s="455">
        <f t="shared" ca="1" si="196"/>
        <v>-476479066179.7984</v>
      </c>
      <c r="L5006" s="455">
        <f t="shared" ca="1" si="197"/>
        <v>-114831454949331.41</v>
      </c>
      <c r="M5006" s="471">
        <f t="shared" si="199"/>
        <v>0.05</v>
      </c>
      <c r="N5006" s="475">
        <f t="shared" si="200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98"/>
        <v>-114831454949331.41</v>
      </c>
      <c r="J5007" s="455">
        <f t="array" ref="J5007">IFERROR(INDEX('Retirement Calculator'!J:J,MATCH('Isaac 401k'!N5007,'Retirement Calculator'!A:A,0),0),0)</f>
        <v>0</v>
      </c>
      <c r="K5007" s="455">
        <f t="shared" ca="1" si="196"/>
        <v>-478464395622.21423</v>
      </c>
      <c r="L5007" s="455">
        <f t="shared" ca="1" si="197"/>
        <v>-115309919344953.63</v>
      </c>
      <c r="M5007" s="471">
        <f t="shared" si="199"/>
        <v>0.05</v>
      </c>
      <c r="N5007" s="475">
        <f t="shared" si="200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98"/>
        <v>-115309919344953.63</v>
      </c>
      <c r="J5008" s="455">
        <f t="array" ref="J5008">IFERROR(INDEX('Retirement Calculator'!J:J,MATCH('Isaac 401k'!N5008,'Retirement Calculator'!A:A,0),0),0)</f>
        <v>0</v>
      </c>
      <c r="K5008" s="455">
        <f t="shared" ca="1" si="196"/>
        <v>-480457997270.64008</v>
      </c>
      <c r="L5008" s="455">
        <f t="shared" ca="1" si="197"/>
        <v>-115790377342224.27</v>
      </c>
      <c r="M5008" s="471">
        <f t="shared" si="199"/>
        <v>0.05</v>
      </c>
      <c r="N5008" s="475">
        <f t="shared" si="200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98"/>
        <v>-115790377342224.27</v>
      </c>
      <c r="J5009" s="455">
        <f t="array" ref="J5009">IFERROR(INDEX('Retirement Calculator'!J:J,MATCH('Isaac 401k'!N5009,'Retirement Calculator'!A:A,0),0),0)</f>
        <v>0</v>
      </c>
      <c r="K5009" s="455">
        <f t="shared" ca="1" si="196"/>
        <v>-482459905592.60101</v>
      </c>
      <c r="L5009" s="455">
        <f t="shared" ca="1" si="197"/>
        <v>-116272837247816.86</v>
      </c>
      <c r="M5009" s="471">
        <f t="shared" si="199"/>
        <v>0.05</v>
      </c>
      <c r="N5009" s="475">
        <f t="shared" si="200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98"/>
        <v>-116272837247816.86</v>
      </c>
      <c r="J5010" s="455">
        <f t="array" ref="J5010">IFERROR(INDEX('Retirement Calculator'!J:J,MATCH('Isaac 401k'!N5010,'Retirement Calculator'!A:A,0),0),0)</f>
        <v>0</v>
      </c>
      <c r="K5010" s="455">
        <f t="shared" ca="1" si="196"/>
        <v>-484470155199.23682</v>
      </c>
      <c r="L5010" s="455">
        <f t="shared" ca="1" si="197"/>
        <v>-116757307403016.09</v>
      </c>
      <c r="M5010" s="471">
        <f t="shared" si="199"/>
        <v>0.05</v>
      </c>
      <c r="N5010" s="475">
        <f t="shared" si="200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98"/>
        <v>-116757307403016.09</v>
      </c>
      <c r="J5011" s="455">
        <f t="array" ref="J5011">IFERROR(INDEX('Retirement Calculator'!J:J,MATCH('Isaac 401k'!N5011,'Retirement Calculator'!A:A,0),0),0)</f>
        <v>0</v>
      </c>
      <c r="K5011" s="455">
        <f t="shared" ca="1" si="196"/>
        <v>-486488780845.90039</v>
      </c>
      <c r="L5011" s="455">
        <f t="shared" ca="1" si="197"/>
        <v>-117243796183862</v>
      </c>
      <c r="M5011" s="471">
        <f t="shared" si="199"/>
        <v>0.05</v>
      </c>
      <c r="N5011" s="475">
        <f t="shared" si="200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98"/>
        <v>-117243796183862</v>
      </c>
      <c r="J5012" s="455">
        <f t="array" ref="J5012">IFERROR(INDEX('Retirement Calculator'!J:J,MATCH('Isaac 401k'!N5012,'Retirement Calculator'!A:A,0),0),0)</f>
        <v>0</v>
      </c>
      <c r="K5012" s="455">
        <f t="shared" ca="1" si="196"/>
        <v>-488515817432.7583</v>
      </c>
      <c r="L5012" s="455">
        <f t="shared" ca="1" si="197"/>
        <v>-117732312001294.77</v>
      </c>
      <c r="M5012" s="471">
        <f t="shared" si="199"/>
        <v>0.05</v>
      </c>
      <c r="N5012" s="475">
        <f t="shared" si="200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98"/>
        <v>-117732312001294.77</v>
      </c>
      <c r="J5013" s="455">
        <f t="array" ref="J5013">IFERROR(INDEX('Retirement Calculator'!J:J,MATCH('Isaac 401k'!N5013,'Retirement Calculator'!A:A,0),0),0)</f>
        <v>0</v>
      </c>
      <c r="K5013" s="455">
        <f t="shared" ca="1" si="196"/>
        <v>-490551300005.39478</v>
      </c>
      <c r="L5013" s="455">
        <f t="shared" ca="1" si="197"/>
        <v>-118222863301300.16</v>
      </c>
      <c r="M5013" s="471">
        <f t="shared" si="199"/>
        <v>0.05</v>
      </c>
      <c r="N5013" s="475">
        <f t="shared" si="200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98"/>
        <v>-118222863301300.16</v>
      </c>
      <c r="J5014" s="455">
        <f t="array" ref="J5014">IFERROR(INDEX('Retirement Calculator'!J:J,MATCH('Isaac 401k'!N5014,'Retirement Calculator'!A:A,0),0),0)</f>
        <v>0</v>
      </c>
      <c r="K5014" s="455">
        <f t="shared" ca="1" si="196"/>
        <v>-492595263755.4173</v>
      </c>
      <c r="L5014" s="455">
        <f t="shared" ca="1" si="197"/>
        <v>-118715458565055.58</v>
      </c>
      <c r="M5014" s="471">
        <f t="shared" si="199"/>
        <v>0.05</v>
      </c>
      <c r="N5014" s="475">
        <f t="shared" si="200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98"/>
        <v>-118715458565055.58</v>
      </c>
      <c r="J5015" s="455">
        <f t="array" ref="J5015">IFERROR(INDEX('Retirement Calculator'!J:J,MATCH('Isaac 401k'!N5015,'Retirement Calculator'!A:A,0),0),0)</f>
        <v>0</v>
      </c>
      <c r="K5015" s="455">
        <f t="shared" ca="1" si="196"/>
        <v>-494647744021.06482</v>
      </c>
      <c r="L5015" s="455">
        <f t="shared" ca="1" si="197"/>
        <v>-119210106309076.64</v>
      </c>
      <c r="M5015" s="471">
        <f t="shared" si="199"/>
        <v>0.05</v>
      </c>
      <c r="N5015" s="475">
        <f t="shared" si="200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98"/>
        <v>-119210106309076.64</v>
      </c>
      <c r="J5016" s="455">
        <f t="array" ref="J5016">IFERROR(INDEX('Retirement Calculator'!J:J,MATCH('Isaac 401k'!N5016,'Retirement Calculator'!A:A,0),0),0)</f>
        <v>0</v>
      </c>
      <c r="K5016" s="455">
        <f t="shared" ca="1" si="196"/>
        <v>-496708776287.81934</v>
      </c>
      <c r="L5016" s="455">
        <f t="shared" ca="1" si="197"/>
        <v>-119706815085364.45</v>
      </c>
      <c r="M5016" s="471">
        <f t="shared" si="199"/>
        <v>0.05</v>
      </c>
      <c r="N5016" s="475">
        <f t="shared" si="200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98"/>
        <v>-119706815085364.45</v>
      </c>
      <c r="J5017" s="455">
        <f t="array" ref="J5017">IFERROR(INDEX('Retirement Calculator'!J:J,MATCH('Isaac 401k'!N5017,'Retirement Calculator'!A:A,0),0),0)</f>
        <v>0</v>
      </c>
      <c r="K5017" s="455">
        <f t="shared" ca="1" si="196"/>
        <v>-498778396189.01855</v>
      </c>
      <c r="L5017" s="455">
        <f t="shared" ca="1" si="197"/>
        <v>-120205593481553.47</v>
      </c>
      <c r="M5017" s="471">
        <f t="shared" si="199"/>
        <v>0.05</v>
      </c>
      <c r="N5017" s="475">
        <f t="shared" si="200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98"/>
        <v>-120205593481553.47</v>
      </c>
      <c r="J5018" s="455">
        <f t="array" ref="J5018">IFERROR(INDEX('Retirement Calculator'!J:J,MATCH('Isaac 401k'!N5018,'Retirement Calculator'!A:A,0),0),0)</f>
        <v>0</v>
      </c>
      <c r="K5018" s="455">
        <f t="shared" ca="1" si="196"/>
        <v>-500856639506.47272</v>
      </c>
      <c r="L5018" s="455">
        <f t="shared" ca="1" si="197"/>
        <v>-120706450121059.94</v>
      </c>
      <c r="M5018" s="471">
        <f t="shared" si="199"/>
        <v>0.05</v>
      </c>
      <c r="N5018" s="475">
        <f t="shared" si="200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98"/>
        <v>-120706450121059.94</v>
      </c>
      <c r="J5019" s="455">
        <f t="array" ref="J5019">IFERROR(INDEX('Retirement Calculator'!J:J,MATCH('Isaac 401k'!N5019,'Retirement Calculator'!A:A,0),0),0)</f>
        <v>0</v>
      </c>
      <c r="K5019" s="455">
        <f t="shared" ca="1" si="196"/>
        <v>-502943542171.08307</v>
      </c>
      <c r="L5019" s="455">
        <f t="shared" ca="1" si="197"/>
        <v>-121209393663231.02</v>
      </c>
      <c r="M5019" s="471">
        <f t="shared" si="199"/>
        <v>0.05</v>
      </c>
      <c r="N5019" s="475">
        <f t="shared" si="200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98"/>
        <v>-121209393663231.02</v>
      </c>
      <c r="J5020" s="455">
        <f t="array" ref="J5020">IFERROR(INDEX('Retirement Calculator'!J:J,MATCH('Isaac 401k'!N5020,'Retirement Calculator'!A:A,0),0),0)</f>
        <v>0</v>
      </c>
      <c r="K5020" s="455">
        <f t="shared" ca="1" si="196"/>
        <v>-505039140263.46259</v>
      </c>
      <c r="L5020" s="455">
        <f t="shared" ca="1" si="197"/>
        <v>-121714432803494.48</v>
      </c>
      <c r="M5020" s="471">
        <f t="shared" si="199"/>
        <v>0.05</v>
      </c>
      <c r="N5020" s="475">
        <f t="shared" si="200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98"/>
        <v>-121714432803494.48</v>
      </c>
      <c r="J5021" s="455">
        <f t="array" ref="J5021">IFERROR(INDEX('Retirement Calculator'!J:J,MATCH('Isaac 401k'!N5021,'Retirement Calculator'!A:A,0),0),0)</f>
        <v>0</v>
      </c>
      <c r="K5021" s="455">
        <f t="shared" ca="1" si="196"/>
        <v>-507143470014.56036</v>
      </c>
      <c r="L5021" s="455">
        <f t="shared" ca="1" si="197"/>
        <v>-122221576273509.05</v>
      </c>
      <c r="M5021" s="471">
        <f t="shared" si="199"/>
        <v>0.05</v>
      </c>
      <c r="N5021" s="475">
        <f t="shared" si="200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98"/>
        <v>-122221576273509.05</v>
      </c>
      <c r="J5022" s="455">
        <f t="array" ref="J5022">IFERROR(INDEX('Retirement Calculator'!J:J,MATCH('Isaac 401k'!N5022,'Retirement Calculator'!A:A,0),0),0)</f>
        <v>0</v>
      </c>
      <c r="K5022" s="455">
        <f t="shared" ca="1" si="196"/>
        <v>-509256567806.28778</v>
      </c>
      <c r="L5022" s="455">
        <f t="shared" ca="1" si="197"/>
        <v>-122730832841315.33</v>
      </c>
      <c r="M5022" s="471">
        <f t="shared" si="199"/>
        <v>0.05</v>
      </c>
      <c r="N5022" s="475">
        <f t="shared" si="200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98"/>
        <v>-122730832841315.33</v>
      </c>
      <c r="J5023" s="455">
        <f t="array" ref="J5023">IFERROR(INDEX('Retirement Calculator'!J:J,MATCH('Isaac 401k'!N5023,'Retirement Calculator'!A:A,0),0),0)</f>
        <v>0</v>
      </c>
      <c r="K5023" s="455">
        <f t="shared" ca="1" si="196"/>
        <v>-511378470172.14728</v>
      </c>
      <c r="L5023" s="455">
        <f t="shared" ca="1" si="197"/>
        <v>-123242211311487.47</v>
      </c>
      <c r="M5023" s="471">
        <f t="shared" si="199"/>
        <v>0.05</v>
      </c>
      <c r="N5023" s="475">
        <f t="shared" si="200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98"/>
        <v>-123242211311487.47</v>
      </c>
      <c r="J5024" s="455">
        <f t="array" ref="J5024">IFERROR(INDEX('Retirement Calculator'!J:J,MATCH('Isaac 401k'!N5024,'Retirement Calculator'!A:A,0),0),0)</f>
        <v>0</v>
      </c>
      <c r="K5024" s="455">
        <f t="shared" ca="1" si="196"/>
        <v>-513509213797.86444</v>
      </c>
      <c r="L5024" s="455">
        <f t="shared" ca="1" si="197"/>
        <v>-123755720525285.33</v>
      </c>
      <c r="M5024" s="471">
        <f t="shared" si="199"/>
        <v>0.05</v>
      </c>
      <c r="N5024" s="475">
        <f t="shared" si="200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98"/>
        <v>-123755720525285.33</v>
      </c>
      <c r="J5025" s="455">
        <f t="array" ref="J5025">IFERROR(INDEX('Retirement Calculator'!J:J,MATCH('Isaac 401k'!N5025,'Retirement Calculator'!A:A,0),0),0)</f>
        <v>0</v>
      </c>
      <c r="K5025" s="455">
        <f t="shared" ca="1" si="196"/>
        <v>-515648835522.02222</v>
      </c>
      <c r="L5025" s="455">
        <f t="shared" ca="1" si="197"/>
        <v>-124271369360807.34</v>
      </c>
      <c r="M5025" s="471">
        <f t="shared" si="199"/>
        <v>0.05</v>
      </c>
      <c r="N5025" s="475">
        <f t="shared" si="200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98"/>
        <v>-124271369360807.34</v>
      </c>
      <c r="J5026" s="455">
        <f t="array" ref="J5026">IFERROR(INDEX('Retirement Calculator'!J:J,MATCH('Isaac 401k'!N5026,'Retirement Calculator'!A:A,0),0),0)</f>
        <v>0</v>
      </c>
      <c r="K5026" s="455">
        <f t="shared" ca="1" si="196"/>
        <v>-517797372336.69733</v>
      </c>
      <c r="L5026" s="455">
        <f t="shared" ca="1" si="197"/>
        <v>-124789166733144.05</v>
      </c>
      <c r="M5026" s="471">
        <f t="shared" si="199"/>
        <v>0.05</v>
      </c>
      <c r="N5026" s="475">
        <f t="shared" si="200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98"/>
        <v>-124789166733144.05</v>
      </c>
      <c r="J5027" s="455">
        <f t="array" ref="J5027">IFERROR(INDEX('Retirement Calculator'!J:J,MATCH('Isaac 401k'!N5027,'Retirement Calculator'!A:A,0),0),0)</f>
        <v>0</v>
      </c>
      <c r="K5027" s="455">
        <f t="shared" ca="1" si="196"/>
        <v>-519954861388.10016</v>
      </c>
      <c r="L5027" s="455">
        <f t="shared" ca="1" si="197"/>
        <v>-125309121594532.14</v>
      </c>
      <c r="M5027" s="471">
        <f t="shared" si="199"/>
        <v>0.05</v>
      </c>
      <c r="N5027" s="475">
        <f t="shared" si="200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98"/>
        <v>-125309121594532.14</v>
      </c>
      <c r="J5028" s="455">
        <f t="array" ref="J5028">IFERROR(INDEX('Retirement Calculator'!J:J,MATCH('Isaac 401k'!N5028,'Retirement Calculator'!A:A,0),0),0)</f>
        <v>0</v>
      </c>
      <c r="K5028" s="455">
        <f t="shared" ca="1" si="196"/>
        <v>-522121339977.21722</v>
      </c>
      <c r="L5028" s="455">
        <f t="shared" ca="1" si="197"/>
        <v>-125831242934509.36</v>
      </c>
      <c r="M5028" s="471">
        <f t="shared" si="199"/>
        <v>0.05</v>
      </c>
      <c r="N5028" s="475">
        <f t="shared" si="200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98"/>
        <v>-125831242934509.36</v>
      </c>
      <c r="J5029" s="455">
        <f t="array" ref="J5029">IFERROR(INDEX('Retirement Calculator'!J:J,MATCH('Isaac 401k'!N5029,'Retirement Calculator'!A:A,0),0),0)</f>
        <v>0</v>
      </c>
      <c r="K5029" s="455">
        <f t="shared" ca="1" si="196"/>
        <v>-524296845560.45563</v>
      </c>
      <c r="L5029" s="455">
        <f t="shared" ca="1" si="197"/>
        <v>-126355539780069.81</v>
      </c>
      <c r="M5029" s="471">
        <f t="shared" si="199"/>
        <v>0.05</v>
      </c>
      <c r="N5029" s="475">
        <f t="shared" si="200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98"/>
        <v>-126355539780069.81</v>
      </c>
      <c r="J5030" s="455">
        <f t="array" ref="J5030">IFERROR(INDEX('Retirement Calculator'!J:J,MATCH('Isaac 401k'!N5030,'Retirement Calculator'!A:A,0),0),0)</f>
        <v>0</v>
      </c>
      <c r="K5030" s="455">
        <f t="shared" ca="1" si="196"/>
        <v>-526481415750.29089</v>
      </c>
      <c r="L5030" s="455">
        <f t="shared" ca="1" si="197"/>
        <v>-126882021195820.11</v>
      </c>
      <c r="M5030" s="471">
        <f t="shared" si="199"/>
        <v>0.05</v>
      </c>
      <c r="N5030" s="475">
        <f t="shared" si="200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98"/>
        <v>-126882021195820.11</v>
      </c>
      <c r="J5031" s="455">
        <f t="array" ref="J5031">IFERROR(INDEX('Retirement Calculator'!J:J,MATCH('Isaac 401k'!N5031,'Retirement Calculator'!A:A,0),0),0)</f>
        <v>0</v>
      </c>
      <c r="K5031" s="455">
        <f t="shared" ca="1" si="196"/>
        <v>-528675088315.91711</v>
      </c>
      <c r="L5031" s="455">
        <f t="shared" ca="1" si="197"/>
        <v>-127410696284136.03</v>
      </c>
      <c r="M5031" s="471">
        <f t="shared" si="199"/>
        <v>0.05</v>
      </c>
      <c r="N5031" s="475">
        <f t="shared" si="200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98"/>
        <v>-127410696284136.03</v>
      </c>
      <c r="J5032" s="455">
        <f t="array" ref="J5032">IFERROR(INDEX('Retirement Calculator'!J:J,MATCH('Isaac 401k'!N5032,'Retirement Calculator'!A:A,0),0),0)</f>
        <v>0</v>
      </c>
      <c r="K5032" s="455">
        <f t="shared" ca="1" si="196"/>
        <v>-530877901183.90015</v>
      </c>
      <c r="L5032" s="455">
        <f t="shared" ca="1" si="197"/>
        <v>-127941574185319.94</v>
      </c>
      <c r="M5032" s="471">
        <f t="shared" si="199"/>
        <v>0.05</v>
      </c>
      <c r="N5032" s="475">
        <f t="shared" si="200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98"/>
        <v>-127941574185319.94</v>
      </c>
      <c r="J5033" s="455">
        <f t="array" ref="J5033">IFERROR(INDEX('Retirement Calculator'!J:J,MATCH('Isaac 401k'!N5033,'Retirement Calculator'!A:A,0),0),0)</f>
        <v>0</v>
      </c>
      <c r="K5033" s="455">
        <f t="shared" ca="1" si="196"/>
        <v>-533089892438.83313</v>
      </c>
      <c r="L5033" s="455">
        <f t="shared" ca="1" si="197"/>
        <v>-128474664077758.77</v>
      </c>
      <c r="M5033" s="471">
        <f t="shared" si="199"/>
        <v>0.05</v>
      </c>
      <c r="N5033" s="475">
        <f t="shared" si="200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98"/>
        <v>-128474664077758.77</v>
      </c>
      <c r="J5034" s="455">
        <f t="array" ref="J5034">IFERROR(INDEX('Retirement Calculator'!J:J,MATCH('Isaac 401k'!N5034,'Retirement Calculator'!A:A,0),0),0)</f>
        <v>0</v>
      </c>
      <c r="K5034" s="455">
        <f t="shared" ca="1" si="196"/>
        <v>-535311100323.99493</v>
      </c>
      <c r="L5034" s="455">
        <f t="shared" ca="1" si="197"/>
        <v>-129009975178082.77</v>
      </c>
      <c r="M5034" s="471">
        <f t="shared" si="199"/>
        <v>0.05</v>
      </c>
      <c r="N5034" s="475">
        <f t="shared" si="200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98"/>
        <v>-129009975178082.77</v>
      </c>
      <c r="J5035" s="455">
        <f t="array" ref="J5035">IFERROR(INDEX('Retirement Calculator'!J:J,MATCH('Isaac 401k'!N5035,'Retirement Calculator'!A:A,0),0),0)</f>
        <v>0</v>
      </c>
      <c r="K5035" s="455">
        <f t="shared" ca="1" si="196"/>
        <v>-537541563242.01154</v>
      </c>
      <c r="L5035" s="455">
        <f t="shared" ca="1" si="197"/>
        <v>-129547516741324.78</v>
      </c>
      <c r="M5035" s="471">
        <f t="shared" si="199"/>
        <v>0.05</v>
      </c>
      <c r="N5035" s="475">
        <f t="shared" si="200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98"/>
        <v>-129547516741324.78</v>
      </c>
      <c r="J5036" s="455">
        <f t="array" ref="J5036">IFERROR(INDEX('Retirement Calculator'!J:J,MATCH('Isaac 401k'!N5036,'Retirement Calculator'!A:A,0),0),0)</f>
        <v>0</v>
      </c>
      <c r="K5036" s="455">
        <f t="shared" ca="1" si="196"/>
        <v>-539781319755.5199</v>
      </c>
      <c r="L5036" s="455">
        <f t="shared" ca="1" si="197"/>
        <v>-130087298061080.3</v>
      </c>
      <c r="M5036" s="471">
        <f t="shared" si="199"/>
        <v>0.05</v>
      </c>
      <c r="N5036" s="475">
        <f t="shared" si="200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98"/>
        <v>-130087298061080.3</v>
      </c>
      <c r="J5037" s="455">
        <f t="array" ref="J5037">IFERROR(INDEX('Retirement Calculator'!J:J,MATCH('Isaac 401k'!N5037,'Retirement Calculator'!A:A,0),0),0)</f>
        <v>0</v>
      </c>
      <c r="K5037" s="455">
        <f t="shared" ca="1" si="196"/>
        <v>-542030408587.83453</v>
      </c>
      <c r="L5037" s="455">
        <f t="shared" ca="1" si="197"/>
        <v>-130629328469668.13</v>
      </c>
      <c r="M5037" s="471">
        <f t="shared" si="199"/>
        <v>0.05</v>
      </c>
      <c r="N5037" s="475">
        <f t="shared" si="200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98"/>
        <v>-130629328469668.13</v>
      </c>
      <c r="J5038" s="455">
        <f t="array" ref="J5038">IFERROR(INDEX('Retirement Calculator'!J:J,MATCH('Isaac 401k'!N5038,'Retirement Calculator'!A:A,0),0),0)</f>
        <v>0</v>
      </c>
      <c r="K5038" s="455">
        <f t="shared" ca="1" si="196"/>
        <v>-544288868623.61719</v>
      </c>
      <c r="L5038" s="455">
        <f t="shared" ca="1" si="197"/>
        <v>-131173617338291.75</v>
      </c>
      <c r="M5038" s="471">
        <f t="shared" si="199"/>
        <v>0.05</v>
      </c>
      <c r="N5038" s="475">
        <f t="shared" si="200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98"/>
        <v>-131173617338291.75</v>
      </c>
      <c r="J5039" s="455">
        <f t="array" ref="J5039">IFERROR(INDEX('Retirement Calculator'!J:J,MATCH('Isaac 401k'!N5039,'Retirement Calculator'!A:A,0),0),0)</f>
        <v>0</v>
      </c>
      <c r="K5039" s="455">
        <f t="shared" ca="1" si="196"/>
        <v>-546556738909.54895</v>
      </c>
      <c r="L5039" s="455">
        <f t="shared" ca="1" si="197"/>
        <v>-131720174077201.3</v>
      </c>
      <c r="M5039" s="471">
        <f t="shared" si="199"/>
        <v>0.05</v>
      </c>
      <c r="N5039" s="475">
        <f t="shared" si="200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98"/>
        <v>-131720174077201.3</v>
      </c>
      <c r="J5040" s="455">
        <f t="array" ref="J5040">IFERROR(INDEX('Retirement Calculator'!J:J,MATCH('Isaac 401k'!N5040,'Retirement Calculator'!A:A,0),0),0)</f>
        <v>0</v>
      </c>
      <c r="K5040" s="455">
        <f t="shared" ca="1" si="196"/>
        <v>-548834058655.00531</v>
      </c>
      <c r="L5040" s="455">
        <f t="shared" ca="1" si="197"/>
        <v>-132269008135856.3</v>
      </c>
      <c r="M5040" s="471">
        <f t="shared" si="199"/>
        <v>0.05</v>
      </c>
      <c r="N5040" s="475">
        <f t="shared" si="200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98"/>
        <v>-132269008135856.3</v>
      </c>
      <c r="J5041" s="455">
        <f t="array" ref="J5041">IFERROR(INDEX('Retirement Calculator'!J:J,MATCH('Isaac 401k'!N5041,'Retirement Calculator'!A:A,0),0),0)</f>
        <v>0</v>
      </c>
      <c r="K5041" s="455">
        <f t="shared" ca="1" si="196"/>
        <v>-551120867232.73462</v>
      </c>
      <c r="L5041" s="455">
        <f t="shared" ca="1" si="197"/>
        <v>-132820129003089.03</v>
      </c>
      <c r="M5041" s="471">
        <f t="shared" si="199"/>
        <v>0.05</v>
      </c>
      <c r="N5041" s="475">
        <f t="shared" si="200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98"/>
        <v>-132820129003089.03</v>
      </c>
      <c r="J5042" s="455">
        <f t="array" ref="J5042">IFERROR(INDEX('Retirement Calculator'!J:J,MATCH('Isaac 401k'!N5042,'Retirement Calculator'!A:A,0),0),0)</f>
        <v>0</v>
      </c>
      <c r="K5042" s="455">
        <f t="shared" ca="1" si="196"/>
        <v>-553417204179.53772</v>
      </c>
      <c r="L5042" s="455">
        <f t="shared" ca="1" si="197"/>
        <v>-133373546207268.56</v>
      </c>
      <c r="M5042" s="471">
        <f t="shared" si="199"/>
        <v>0.05</v>
      </c>
      <c r="N5042" s="475">
        <f t="shared" si="200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98"/>
        <v>-133373546207268.56</v>
      </c>
      <c r="J5043" s="455">
        <f t="array" ref="J5043">IFERROR(INDEX('Retirement Calculator'!J:J,MATCH('Isaac 401k'!N5043,'Retirement Calculator'!A:A,0),0),0)</f>
        <v>0</v>
      </c>
      <c r="K5043" s="455">
        <f t="shared" ca="1" si="196"/>
        <v>-555723109196.95239</v>
      </c>
      <c r="L5043" s="455">
        <f t="shared" ca="1" si="197"/>
        <v>-133929269316465.52</v>
      </c>
      <c r="M5043" s="471">
        <f t="shared" si="199"/>
        <v>0.05</v>
      </c>
      <c r="N5043" s="475">
        <f t="shared" si="200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98"/>
        <v>-133929269316465.52</v>
      </c>
      <c r="J5044" s="455">
        <f t="array" ref="J5044">IFERROR(INDEX('Retirement Calculator'!J:J,MATCH('Isaac 401k'!N5044,'Retirement Calculator'!A:A,0),0),0)</f>
        <v>0</v>
      </c>
      <c r="K5044" s="455">
        <f t="shared" ca="1" si="196"/>
        <v>-558038622151.9397</v>
      </c>
      <c r="L5044" s="455">
        <f t="shared" ca="1" si="197"/>
        <v>-134487307938617.45</v>
      </c>
      <c r="M5044" s="471">
        <f t="shared" si="199"/>
        <v>0.05</v>
      </c>
      <c r="N5044" s="475">
        <f t="shared" si="200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98"/>
        <v>-134487307938617.45</v>
      </c>
      <c r="J5045" s="455">
        <f t="array" ref="J5045">IFERROR(INDEX('Retirement Calculator'!J:J,MATCH('Isaac 401k'!N5045,'Retirement Calculator'!A:A,0),0),0)</f>
        <v>0</v>
      </c>
      <c r="K5045" s="455">
        <f t="shared" ca="1" si="196"/>
        <v>-560363783077.57275</v>
      </c>
      <c r="L5045" s="455">
        <f t="shared" ca="1" si="197"/>
        <v>-135047671721695.03</v>
      </c>
      <c r="M5045" s="471">
        <f t="shared" si="199"/>
        <v>0.05</v>
      </c>
      <c r="N5045" s="475">
        <f t="shared" si="200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98"/>
        <v>-135047671721695.03</v>
      </c>
      <c r="J5046" s="455">
        <f t="array" ref="J5046">IFERROR(INDEX('Retirement Calculator'!J:J,MATCH('Isaac 401k'!N5046,'Retirement Calculator'!A:A,0),0),0)</f>
        <v>0</v>
      </c>
      <c r="K5046" s="455">
        <f t="shared" ca="1" si="196"/>
        <v>-562698632173.72925</v>
      </c>
      <c r="L5046" s="455">
        <f t="shared" ca="1" si="197"/>
        <v>-135610370353868.77</v>
      </c>
      <c r="M5046" s="471">
        <f t="shared" si="199"/>
        <v>0.05</v>
      </c>
      <c r="N5046" s="475">
        <f t="shared" si="200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98"/>
        <v>-135610370353868.77</v>
      </c>
      <c r="J5047" s="455">
        <f t="array" ref="J5047">IFERROR(INDEX('Retirement Calculator'!J:J,MATCH('Isaac 401k'!N5047,'Retirement Calculator'!A:A,0),0),0)</f>
        <v>0</v>
      </c>
      <c r="K5047" s="455">
        <f t="shared" ca="1" si="196"/>
        <v>-565043209807.7865</v>
      </c>
      <c r="L5047" s="455">
        <f t="shared" ca="1" si="197"/>
        <v>-136175413563676.55</v>
      </c>
      <c r="M5047" s="471">
        <f t="shared" si="199"/>
        <v>0.05</v>
      </c>
      <c r="N5047" s="475">
        <f t="shared" si="200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98"/>
        <v>-136175413563676.55</v>
      </c>
      <c r="J5048" s="455">
        <f t="array" ref="J5048">IFERROR(INDEX('Retirement Calculator'!J:J,MATCH('Isaac 401k'!N5048,'Retirement Calculator'!A:A,0),0),0)</f>
        <v>0</v>
      </c>
      <c r="K5048" s="455">
        <f t="shared" ca="1" si="196"/>
        <v>-567397556515.31885</v>
      </c>
      <c r="L5048" s="455">
        <f t="shared" ca="1" si="197"/>
        <v>-136742811120191.86</v>
      </c>
      <c r="M5048" s="471">
        <f t="shared" si="199"/>
        <v>0.05</v>
      </c>
      <c r="N5048" s="475">
        <f t="shared" si="200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98"/>
        <v>-136742811120191.86</v>
      </c>
      <c r="J5049" s="455">
        <f t="array" ref="J5049">IFERROR(INDEX('Retirement Calculator'!J:J,MATCH('Isaac 401k'!N5049,'Retirement Calculator'!A:A,0),0),0)</f>
        <v>0</v>
      </c>
      <c r="K5049" s="455">
        <f t="shared" ca="1" si="196"/>
        <v>-569761713000.79944</v>
      </c>
      <c r="L5049" s="455">
        <f t="shared" ca="1" si="197"/>
        <v>-137312572833192.66</v>
      </c>
      <c r="M5049" s="471">
        <f t="shared" si="199"/>
        <v>0.05</v>
      </c>
      <c r="N5049" s="475">
        <f t="shared" si="200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98"/>
        <v>-137312572833192.66</v>
      </c>
      <c r="J5050" s="455">
        <f t="array" ref="J5050">IFERROR(INDEX('Retirement Calculator'!J:J,MATCH('Isaac 401k'!N5050,'Retirement Calculator'!A:A,0),0),0)</f>
        <v>0</v>
      </c>
      <c r="K5050" s="455">
        <f t="shared" ca="1" si="196"/>
        <v>-572135720138.30273</v>
      </c>
      <c r="L5050" s="455">
        <f t="shared" ca="1" si="197"/>
        <v>-137884708553330.95</v>
      </c>
      <c r="M5050" s="471">
        <f t="shared" si="199"/>
        <v>0.05</v>
      </c>
      <c r="N5050" s="475">
        <f t="shared" si="200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98"/>
        <v>-137884708553330.95</v>
      </c>
      <c r="J5051" s="455">
        <f t="array" ref="J5051">IFERROR(INDEX('Retirement Calculator'!J:J,MATCH('Isaac 401k'!N5051,'Retirement Calculator'!A:A,0),0),0)</f>
        <v>0</v>
      </c>
      <c r="K5051" s="455">
        <f t="shared" ca="1" si="196"/>
        <v>-574519618972.21228</v>
      </c>
      <c r="L5051" s="455">
        <f t="shared" ca="1" si="197"/>
        <v>-138459228172303.17</v>
      </c>
      <c r="M5051" s="471">
        <f t="shared" si="199"/>
        <v>0.05</v>
      </c>
      <c r="N5051" s="475">
        <f t="shared" si="200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98"/>
        <v>-138459228172303.17</v>
      </c>
      <c r="J5052" s="455">
        <f t="array" ref="J5052">IFERROR(INDEX('Retirement Calculator'!J:J,MATCH('Isaac 401k'!N5052,'Retirement Calculator'!A:A,0),0),0)</f>
        <v>0</v>
      </c>
      <c r="K5052" s="455">
        <f t="shared" ca="1" si="196"/>
        <v>-576913450717.92993</v>
      </c>
      <c r="L5052" s="455">
        <f t="shared" ca="1" si="197"/>
        <v>-139036141623021.11</v>
      </c>
      <c r="M5052" s="471">
        <f t="shared" si="199"/>
        <v>0.05</v>
      </c>
      <c r="N5052" s="475">
        <f t="shared" si="200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98"/>
        <v>-139036141623021.11</v>
      </c>
      <c r="J5053" s="455">
        <f t="array" ref="J5053">IFERROR(INDEX('Retirement Calculator'!J:J,MATCH('Isaac 401k'!N5053,'Retirement Calculator'!A:A,0),0),0)</f>
        <v>0</v>
      </c>
      <c r="K5053" s="455">
        <f t="shared" ca="1" si="196"/>
        <v>-579317256762.58789</v>
      </c>
      <c r="L5053" s="455">
        <f t="shared" ca="1" si="197"/>
        <v>-139615458879783.7</v>
      </c>
      <c r="M5053" s="471">
        <f t="shared" si="199"/>
        <v>0.05</v>
      </c>
      <c r="N5053" s="475">
        <f t="shared" si="200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98"/>
        <v>-139615458879783.7</v>
      </c>
      <c r="J5054" s="455">
        <f t="array" ref="J5054">IFERROR(INDEX('Retirement Calculator'!J:J,MATCH('Isaac 401k'!N5054,'Retirement Calculator'!A:A,0),0),0)</f>
        <v>0</v>
      </c>
      <c r="K5054" s="455">
        <f t="shared" ca="1" si="196"/>
        <v>-581731078665.76538</v>
      </c>
      <c r="L5054" s="455">
        <f t="shared" ca="1" si="197"/>
        <v>-140197189958449.47</v>
      </c>
      <c r="M5054" s="471">
        <f t="shared" si="199"/>
        <v>0.05</v>
      </c>
      <c r="N5054" s="475">
        <f t="shared" si="200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98"/>
        <v>-140197189958449.47</v>
      </c>
      <c r="J5055" s="455">
        <f t="array" ref="J5055">IFERROR(INDEX('Retirement Calculator'!J:J,MATCH('Isaac 401k'!N5055,'Retirement Calculator'!A:A,0),0),0)</f>
        <v>0</v>
      </c>
      <c r="K5055" s="455">
        <f t="shared" ca="1" si="196"/>
        <v>-584154958160.20605</v>
      </c>
      <c r="L5055" s="455">
        <f t="shared" ca="1" si="197"/>
        <v>-140781344916609.69</v>
      </c>
      <c r="M5055" s="471">
        <f t="shared" si="199"/>
        <v>0.05</v>
      </c>
      <c r="N5055" s="475">
        <f t="shared" si="200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98"/>
        <v>-140781344916609.69</v>
      </c>
      <c r="J5056" s="455">
        <f t="array" ref="J5056">IFERROR(INDEX('Retirement Calculator'!J:J,MATCH('Isaac 401k'!N5056,'Retirement Calculator'!A:A,0),0),0)</f>
        <v>0</v>
      </c>
      <c r="K5056" s="455">
        <f t="shared" ca="1" si="196"/>
        <v>-586588937152.54041</v>
      </c>
      <c r="L5056" s="455">
        <f t="shared" ca="1" si="197"/>
        <v>-141367933853762.22</v>
      </c>
      <c r="M5056" s="471">
        <f t="shared" si="199"/>
        <v>0.05</v>
      </c>
      <c r="N5056" s="475">
        <f t="shared" si="200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98"/>
        <v>-141367933853762.22</v>
      </c>
      <c r="J5057" s="455">
        <f t="array" ref="J5057">IFERROR(INDEX('Retirement Calculator'!J:J,MATCH('Isaac 401k'!N5057,'Retirement Calculator'!A:A,0),0),0)</f>
        <v>0</v>
      </c>
      <c r="K5057" s="455">
        <f t="shared" ca="1" si="196"/>
        <v>-589033057724.00928</v>
      </c>
      <c r="L5057" s="455">
        <f t="shared" ca="1" si="197"/>
        <v>-141956966911486.22</v>
      </c>
      <c r="M5057" s="471">
        <f t="shared" si="199"/>
        <v>0.05</v>
      </c>
      <c r="N5057" s="475">
        <f t="shared" si="200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98"/>
        <v>-141956966911486.22</v>
      </c>
      <c r="J5058" s="455">
        <f t="array" ref="J5058">IFERROR(INDEX('Retirement Calculator'!J:J,MATCH('Isaac 401k'!N5058,'Retirement Calculator'!A:A,0),0),0)</f>
        <v>0</v>
      </c>
      <c r="K5058" s="455">
        <f t="shared" ca="1" si="196"/>
        <v>-591487362131.19263</v>
      </c>
      <c r="L5058" s="455">
        <f t="shared" ca="1" si="197"/>
        <v>-142548454273617.41</v>
      </c>
      <c r="M5058" s="471">
        <f t="shared" si="199"/>
        <v>0.05</v>
      </c>
      <c r="N5058" s="475">
        <f t="shared" si="200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98"/>
        <v>-142548454273617.41</v>
      </c>
      <c r="J5059" s="455">
        <f t="array" ref="J5059">IFERROR(INDEX('Retirement Calculator'!J:J,MATCH('Isaac 401k'!N5059,'Retirement Calculator'!A:A,0),0),0)</f>
        <v>0</v>
      </c>
      <c r="K5059" s="455">
        <f t="shared" ca="1" si="196"/>
        <v>-593951892806.73914</v>
      </c>
      <c r="L5059" s="455">
        <f t="shared" ca="1" si="197"/>
        <v>-143142406166424.16</v>
      </c>
      <c r="M5059" s="471">
        <f t="shared" si="199"/>
        <v>0.05</v>
      </c>
      <c r="N5059" s="475">
        <f t="shared" si="200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98"/>
        <v>-143142406166424.16</v>
      </c>
      <c r="J5060" s="455">
        <f t="array" ref="J5060">IFERROR(INDEX('Retirement Calculator'!J:J,MATCH('Isaac 401k'!N5060,'Retirement Calculator'!A:A,0),0),0)</f>
        <v>0</v>
      </c>
      <c r="K5060" s="455">
        <f t="shared" ca="1" si="196"/>
        <v>-596426692360.10059</v>
      </c>
      <c r="L5060" s="455">
        <f t="shared" ca="1" si="197"/>
        <v>-143738832858784.25</v>
      </c>
      <c r="M5060" s="471">
        <f t="shared" si="199"/>
        <v>0.05</v>
      </c>
      <c r="N5060" s="475">
        <f t="shared" si="200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98"/>
        <v>-143738832858784.25</v>
      </c>
      <c r="J5061" s="455">
        <f t="array" ref="J5061">IFERROR(INDEX('Retirement Calculator'!J:J,MATCH('Isaac 401k'!N5061,'Retirement Calculator'!A:A,0),0),0)</f>
        <v>0</v>
      </c>
      <c r="K5061" s="455">
        <f t="shared" ca="1" si="196"/>
        <v>-598911803578.2677</v>
      </c>
      <c r="L5061" s="455">
        <f t="shared" ca="1" si="197"/>
        <v>-144337744662362.53</v>
      </c>
      <c r="M5061" s="471">
        <f t="shared" si="199"/>
        <v>0.05</v>
      </c>
      <c r="N5061" s="475">
        <f t="shared" si="200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98"/>
        <v>-144337744662362.53</v>
      </c>
      <c r="J5062" s="455">
        <f t="array" ref="J5062">IFERROR(INDEX('Retirement Calculator'!J:J,MATCH('Isaac 401k'!N5062,'Retirement Calculator'!A:A,0),0),0)</f>
        <v>0</v>
      </c>
      <c r="K5062" s="455">
        <f t="shared" ca="1" si="196"/>
        <v>-601407269426.5105</v>
      </c>
      <c r="L5062" s="455">
        <f t="shared" ca="1" si="197"/>
        <v>-144939151931789.03</v>
      </c>
      <c r="M5062" s="471">
        <f t="shared" si="199"/>
        <v>0.05</v>
      </c>
      <c r="N5062" s="475">
        <f t="shared" si="200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98"/>
        <v>-144939151931789.03</v>
      </c>
      <c r="J5063" s="455">
        <f t="array" ref="J5063">IFERROR(INDEX('Retirement Calculator'!J:J,MATCH('Isaac 401k'!N5063,'Retirement Calculator'!A:A,0),0),0)</f>
        <v>0</v>
      </c>
      <c r="K5063" s="455">
        <f t="shared" ca="1" si="196"/>
        <v>-603913133049.12097</v>
      </c>
      <c r="L5063" s="455">
        <f t="shared" ca="1" si="197"/>
        <v>-145543065064838.16</v>
      </c>
      <c r="M5063" s="471">
        <f t="shared" si="199"/>
        <v>0.05</v>
      </c>
      <c r="N5063" s="475">
        <f t="shared" si="200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98"/>
        <v>-145543065064838.16</v>
      </c>
      <c r="J5064" s="455">
        <f t="array" ref="J5064">IFERROR(INDEX('Retirement Calculator'!J:J,MATCH('Isaac 401k'!N5064,'Retirement Calculator'!A:A,0),0),0)</f>
        <v>0</v>
      </c>
      <c r="K5064" s="455">
        <f t="shared" ca="1" si="196"/>
        <v>-606429437770.15894</v>
      </c>
      <c r="L5064" s="455">
        <f t="shared" ca="1" si="197"/>
        <v>-146149494502608.31</v>
      </c>
      <c r="M5064" s="471">
        <f t="shared" si="199"/>
        <v>0.05</v>
      </c>
      <c r="N5064" s="475">
        <f t="shared" si="200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98"/>
        <v>-146149494502608.31</v>
      </c>
      <c r="J5065" s="455">
        <f t="array" ref="J5065">IFERROR(INDEX('Retirement Calculator'!J:J,MATCH('Isaac 401k'!N5065,'Retirement Calculator'!A:A,0),0),0)</f>
        <v>0</v>
      </c>
      <c r="K5065" s="455">
        <f t="shared" ca="1" si="196"/>
        <v>-608956227094.20129</v>
      </c>
      <c r="L5065" s="455">
        <f t="shared" ca="1" si="197"/>
        <v>-146758450729702.5</v>
      </c>
      <c r="M5065" s="471">
        <f t="shared" si="199"/>
        <v>0.05</v>
      </c>
      <c r="N5065" s="475">
        <f t="shared" si="200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98"/>
        <v>-146758450729702.5</v>
      </c>
      <c r="J5066" s="455">
        <f t="array" ref="J5066">IFERROR(INDEX('Retirement Calculator'!J:J,MATCH('Isaac 401k'!N5066,'Retirement Calculator'!A:A,0),0),0)</f>
        <v>0</v>
      </c>
      <c r="K5066" s="455">
        <f t="shared" ca="1" si="196"/>
        <v>-611493544707.09375</v>
      </c>
      <c r="L5066" s="455">
        <f t="shared" ca="1" si="197"/>
        <v>-147369944274409.59</v>
      </c>
      <c r="M5066" s="471">
        <f t="shared" si="199"/>
        <v>0.05</v>
      </c>
      <c r="N5066" s="475">
        <f t="shared" si="200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98"/>
        <v>-147369944274409.59</v>
      </c>
      <c r="J5067" s="455">
        <f t="array" ref="J5067">IFERROR(INDEX('Retirement Calculator'!J:J,MATCH('Isaac 401k'!N5067,'Retirement Calculator'!A:A,0),0),0)</f>
        <v>0</v>
      </c>
      <c r="K5067" s="455">
        <f t="shared" ca="1" si="196"/>
        <v>-614041434476.70667</v>
      </c>
      <c r="L5067" s="455">
        <f t="shared" ca="1" si="197"/>
        <v>-147983985708886.31</v>
      </c>
      <c r="M5067" s="471">
        <f t="shared" si="199"/>
        <v>0.05</v>
      </c>
      <c r="N5067" s="475">
        <f t="shared" si="200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98"/>
        <v>-147983985708886.31</v>
      </c>
      <c r="J5068" s="455">
        <f t="array" ref="J5068">IFERROR(INDEX('Retirement Calculator'!J:J,MATCH('Isaac 401k'!N5068,'Retirement Calculator'!A:A,0),0),0)</f>
        <v>0</v>
      </c>
      <c r="K5068" s="455">
        <f t="shared" ca="1" si="196"/>
        <v>-616599940453.69299</v>
      </c>
      <c r="L5068" s="455">
        <f t="shared" ca="1" si="197"/>
        <v>-148600585649340</v>
      </c>
      <c r="M5068" s="471">
        <f t="shared" si="199"/>
        <v>0.05</v>
      </c>
      <c r="N5068" s="475">
        <f t="shared" si="200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98"/>
        <v>-148600585649340</v>
      </c>
      <c r="J5069" s="455">
        <f t="array" ref="J5069">IFERROR(INDEX('Retirement Calculator'!J:J,MATCH('Isaac 401k'!N5069,'Retirement Calculator'!A:A,0),0),0)</f>
        <v>0</v>
      </c>
      <c r="K5069" s="455">
        <f t="shared" ca="1" si="196"/>
        <v>-619169106872.25</v>
      </c>
      <c r="L5069" s="455">
        <f t="shared" ca="1" si="197"/>
        <v>-149219754756212.25</v>
      </c>
      <c r="M5069" s="471">
        <f t="shared" si="199"/>
        <v>0.05</v>
      </c>
      <c r="N5069" s="475">
        <f t="shared" si="200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98"/>
        <v>-149219754756212.25</v>
      </c>
      <c r="J5070" s="455">
        <f t="array" ref="J5070">IFERROR(INDEX('Retirement Calculator'!J:J,MATCH('Isaac 401k'!N5070,'Retirement Calculator'!A:A,0),0),0)</f>
        <v>0</v>
      </c>
      <c r="K5070" s="455">
        <f t="shared" ca="1" si="196"/>
        <v>-621748978150.8844</v>
      </c>
      <c r="L5070" s="455">
        <f t="shared" ca="1" si="197"/>
        <v>-149841503734363.13</v>
      </c>
      <c r="M5070" s="471">
        <f t="shared" si="199"/>
        <v>0.05</v>
      </c>
      <c r="N5070" s="475">
        <f t="shared" si="200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98"/>
        <v>-149841503734363.13</v>
      </c>
      <c r="J5071" s="455">
        <f t="array" ref="J5071">IFERROR(INDEX('Retirement Calculator'!J:J,MATCH('Isaac 401k'!N5071,'Retirement Calculator'!A:A,0),0),0)</f>
        <v>0</v>
      </c>
      <c r="K5071" s="455">
        <f t="shared" ca="1" si="196"/>
        <v>-624339598893.17969</v>
      </c>
      <c r="L5071" s="455">
        <f t="shared" ca="1" si="197"/>
        <v>-150465843333256.31</v>
      </c>
      <c r="M5071" s="471">
        <f t="shared" si="199"/>
        <v>0.05</v>
      </c>
      <c r="N5071" s="475">
        <f t="shared" si="200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98"/>
        <v>-150465843333256.31</v>
      </c>
      <c r="J5072" s="455">
        <f t="array" ref="J5072">IFERROR(INDEX('Retirement Calculator'!J:J,MATCH('Isaac 401k'!N5072,'Retirement Calculator'!A:A,0),0),0)</f>
        <v>0</v>
      </c>
      <c r="K5072" s="455">
        <f t="shared" ca="1" si="196"/>
        <v>-626941013888.56799</v>
      </c>
      <c r="L5072" s="455">
        <f t="shared" ca="1" si="197"/>
        <v>-151092784347144.88</v>
      </c>
      <c r="M5072" s="471">
        <f t="shared" si="199"/>
        <v>0.05</v>
      </c>
      <c r="N5072" s="475">
        <f t="shared" si="200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98"/>
        <v>-151092784347144.88</v>
      </c>
      <c r="J5073" s="455">
        <f t="array" ref="J5073">IFERROR(INDEX('Retirement Calculator'!J:J,MATCH('Isaac 401k'!N5073,'Retirement Calculator'!A:A,0),0),0)</f>
        <v>0</v>
      </c>
      <c r="K5073" s="455">
        <f t="shared" ca="1" si="196"/>
        <v>-629553268113.10364</v>
      </c>
      <c r="L5073" s="455">
        <f t="shared" ca="1" si="197"/>
        <v>-151722337615257.97</v>
      </c>
      <c r="M5073" s="471">
        <f t="shared" si="199"/>
        <v>0.05</v>
      </c>
      <c r="N5073" s="475">
        <f t="shared" si="200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98"/>
        <v>-151722337615257.97</v>
      </c>
      <c r="J5074" s="455">
        <f t="array" ref="J5074">IFERROR(INDEX('Retirement Calculator'!J:J,MATCH('Isaac 401k'!N5074,'Retirement Calculator'!A:A,0),0),0)</f>
        <v>0</v>
      </c>
      <c r="K5074" s="455">
        <f t="shared" ca="1" si="196"/>
        <v>-632176406730.24158</v>
      </c>
      <c r="L5074" s="455">
        <f t="shared" ca="1" si="197"/>
        <v>-152354514021988.22</v>
      </c>
      <c r="M5074" s="471">
        <f t="shared" si="199"/>
        <v>0.05</v>
      </c>
      <c r="N5074" s="475">
        <f t="shared" si="200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98"/>
        <v>-152354514021988.22</v>
      </c>
      <c r="J5075" s="455">
        <f t="array" ref="J5075">IFERROR(INDEX('Retirement Calculator'!J:J,MATCH('Isaac 401k'!N5075,'Retirement Calculator'!A:A,0),0),0)</f>
        <v>0</v>
      </c>
      <c r="K5075" s="455">
        <f t="shared" ca="1" si="196"/>
        <v>-634810475091.61755</v>
      </c>
      <c r="L5075" s="455">
        <f t="shared" ca="1" si="197"/>
        <v>-152989324497079.84</v>
      </c>
      <c r="M5075" s="471">
        <f t="shared" si="199"/>
        <v>0.05</v>
      </c>
      <c r="N5075" s="475">
        <f t="shared" si="200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98"/>
        <v>-152989324497079.84</v>
      </c>
      <c r="J5076" s="455">
        <f t="array" ref="J5076">IFERROR(INDEX('Retirement Calculator'!J:J,MATCH('Isaac 401k'!N5076,'Retirement Calculator'!A:A,0),0),0)</f>
        <v>0</v>
      </c>
      <c r="K5076" s="455">
        <f t="shared" ca="1" si="196"/>
        <v>-637455518737.83264</v>
      </c>
      <c r="L5076" s="455">
        <f t="shared" ca="1" si="197"/>
        <v>-153626780015817.69</v>
      </c>
      <c r="M5076" s="471">
        <f t="shared" si="199"/>
        <v>0.05</v>
      </c>
      <c r="N5076" s="475">
        <f t="shared" si="200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98"/>
        <v>-153626780015817.69</v>
      </c>
      <c r="J5077" s="455">
        <f t="array" ref="J5077">IFERROR(INDEX('Retirement Calculator'!J:J,MATCH('Isaac 401k'!N5077,'Retirement Calculator'!A:A,0),0),0)</f>
        <v>0</v>
      </c>
      <c r="K5077" s="455">
        <f t="shared" ca="1" si="196"/>
        <v>-640111583399.24036</v>
      </c>
      <c r="L5077" s="455">
        <f t="shared" ca="1" si="197"/>
        <v>-154266891599216.94</v>
      </c>
      <c r="M5077" s="471">
        <f t="shared" si="199"/>
        <v>0.05</v>
      </c>
      <c r="N5077" s="475">
        <f t="shared" si="200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98"/>
        <v>-154266891599216.94</v>
      </c>
      <c r="J5078" s="455">
        <f t="array" ref="J5078">IFERROR(INDEX('Retirement Calculator'!J:J,MATCH('Isaac 401k'!N5078,'Retirement Calculator'!A:A,0),0),0)</f>
        <v>0</v>
      </c>
      <c r="K5078" s="455">
        <f t="shared" ca="1" si="196"/>
        <v>-642778714996.73718</v>
      </c>
      <c r="L5078" s="455">
        <f t="shared" ca="1" si="197"/>
        <v>-154909670314213.69</v>
      </c>
      <c r="M5078" s="471">
        <f t="shared" si="199"/>
        <v>0.05</v>
      </c>
      <c r="N5078" s="475">
        <f t="shared" si="200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98"/>
        <v>-154909670314213.69</v>
      </c>
      <c r="J5079" s="455">
        <f t="array" ref="J5079">IFERROR(INDEX('Retirement Calculator'!J:J,MATCH('Isaac 401k'!N5079,'Retirement Calculator'!A:A,0),0),0)</f>
        <v>0</v>
      </c>
      <c r="K5079" s="455">
        <f t="shared" ca="1" si="196"/>
        <v>-645456959642.55701</v>
      </c>
      <c r="L5079" s="455">
        <f t="shared" ca="1" si="197"/>
        <v>-155555127273856.25</v>
      </c>
      <c r="M5079" s="471">
        <f t="shared" si="199"/>
        <v>0.05</v>
      </c>
      <c r="N5079" s="475">
        <f t="shared" si="200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98"/>
        <v>-155555127273856.25</v>
      </c>
      <c r="J5080" s="455">
        <f t="array" ref="J5080">IFERROR(INDEX('Retirement Calculator'!J:J,MATCH('Isaac 401k'!N5080,'Retirement Calculator'!A:A,0),0),0)</f>
        <v>0</v>
      </c>
      <c r="K5080" s="455">
        <f t="shared" ca="1" si="196"/>
        <v>-648146363641.06775</v>
      </c>
      <c r="L5080" s="455">
        <f t="shared" ca="1" si="197"/>
        <v>-156203273637497.31</v>
      </c>
      <c r="M5080" s="471">
        <f t="shared" si="199"/>
        <v>0.05</v>
      </c>
      <c r="N5080" s="475">
        <f t="shared" si="200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98"/>
        <v>-156203273637497.31</v>
      </c>
      <c r="J5081" s="455">
        <f t="array" ref="J5081">IFERROR(INDEX('Retirement Calculator'!J:J,MATCH('Isaac 401k'!N5081,'Retirement Calculator'!A:A,0),0),0)</f>
        <v>0</v>
      </c>
      <c r="K5081" s="455">
        <f t="shared" ca="1" si="196"/>
        <v>-650846973489.57214</v>
      </c>
      <c r="L5081" s="455">
        <f t="shared" ca="1" si="197"/>
        <v>-156854120610986.88</v>
      </c>
      <c r="M5081" s="471">
        <f t="shared" si="199"/>
        <v>0.05</v>
      </c>
      <c r="N5081" s="475">
        <f t="shared" si="200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98"/>
        <v>-156854120610986.88</v>
      </c>
      <c r="J5082" s="455">
        <f t="array" ref="J5082">IFERROR(INDEX('Retirement Calculator'!J:J,MATCH('Isaac 401k'!N5082,'Retirement Calculator'!A:A,0),0),0)</f>
        <v>0</v>
      </c>
      <c r="K5082" s="455">
        <f t="shared" ca="1" si="196"/>
        <v>-653558835879.11194</v>
      </c>
      <c r="L5082" s="455">
        <f t="shared" ca="1" si="197"/>
        <v>-157507679446866</v>
      </c>
      <c r="M5082" s="471">
        <f t="shared" si="199"/>
        <v>0.05</v>
      </c>
      <c r="N5082" s="475">
        <f t="shared" si="200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98"/>
        <v>-157507679446866</v>
      </c>
      <c r="J5083" s="455">
        <f t="array" ref="J5083">IFERROR(INDEX('Retirement Calculator'!J:J,MATCH('Isaac 401k'!N5083,'Retirement Calculator'!A:A,0),0),0)</f>
        <v>0</v>
      </c>
      <c r="K5083" s="455">
        <f t="shared" ca="1" si="196"/>
        <v>-656281997695.27502</v>
      </c>
      <c r="L5083" s="455">
        <f t="shared" ca="1" si="197"/>
        <v>-158163961444561.28</v>
      </c>
      <c r="M5083" s="471">
        <f t="shared" si="199"/>
        <v>0.05</v>
      </c>
      <c r="N5083" s="475">
        <f t="shared" si="200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98"/>
        <v>-158163961444561.28</v>
      </c>
      <c r="J5084" s="455">
        <f t="array" ref="J5084">IFERROR(INDEX('Retirement Calculator'!J:J,MATCH('Isaac 401k'!N5084,'Retirement Calculator'!A:A,0),0),0)</f>
        <v>0</v>
      </c>
      <c r="K5084" s="455">
        <f t="shared" ca="1" si="196"/>
        <v>-659016506019.00537</v>
      </c>
      <c r="L5084" s="455">
        <f t="shared" ca="1" si="197"/>
        <v>-158822977950580.28</v>
      </c>
      <c r="M5084" s="471">
        <f t="shared" si="199"/>
        <v>0.05</v>
      </c>
      <c r="N5084" s="475">
        <f t="shared" si="200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98"/>
        <v>-158822977950580.28</v>
      </c>
      <c r="J5085" s="455">
        <f t="array" ref="J5085">IFERROR(INDEX('Retirement Calculator'!J:J,MATCH('Isaac 401k'!N5085,'Retirement Calculator'!A:A,0),0),0)</f>
        <v>0</v>
      </c>
      <c r="K5085" s="455">
        <f t="shared" ca="1" si="196"/>
        <v>-661762408127.41785</v>
      </c>
      <c r="L5085" s="455">
        <f t="shared" ca="1" si="197"/>
        <v>-159484740358707.69</v>
      </c>
      <c r="M5085" s="471">
        <f t="shared" si="199"/>
        <v>0.05</v>
      </c>
      <c r="N5085" s="475">
        <f t="shared" si="200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98"/>
        <v>-159484740358707.69</v>
      </c>
      <c r="J5086" s="455">
        <f t="array" ref="J5086">IFERROR(INDEX('Retirement Calculator'!J:J,MATCH('Isaac 401k'!N5086,'Retirement Calculator'!A:A,0),0),0)</f>
        <v>0</v>
      </c>
      <c r="K5086" s="455">
        <f t="shared" ca="1" si="196"/>
        <v>-664519751494.61536</v>
      </c>
      <c r="L5086" s="455">
        <f t="shared" ca="1" si="197"/>
        <v>-160149260110202.31</v>
      </c>
      <c r="M5086" s="471">
        <f t="shared" si="199"/>
        <v>0.05</v>
      </c>
      <c r="N5086" s="475">
        <f t="shared" si="200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98"/>
        <v>-160149260110202.31</v>
      </c>
      <c r="J5087" s="455">
        <f t="array" ref="J5087">IFERROR(INDEX('Retirement Calculator'!J:J,MATCH('Isaac 401k'!N5087,'Retirement Calculator'!A:A,0),0),0)</f>
        <v>0</v>
      </c>
      <c r="K5087" s="455">
        <f t="shared" ca="1" si="196"/>
        <v>-667288583792.50964</v>
      </c>
      <c r="L5087" s="455">
        <f t="shared" ca="1" si="197"/>
        <v>-160816548693994.81</v>
      </c>
      <c r="M5087" s="471">
        <f t="shared" si="199"/>
        <v>0.05</v>
      </c>
      <c r="N5087" s="475">
        <f t="shared" si="200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98"/>
        <v>-160816548693994.81</v>
      </c>
      <c r="J5088" s="455">
        <f t="array" ref="J5088">IFERROR(INDEX('Retirement Calculator'!J:J,MATCH('Isaac 401k'!N5088,'Retirement Calculator'!A:A,0),0),0)</f>
        <v>0</v>
      </c>
      <c r="K5088" s="455">
        <f t="shared" ca="1" si="196"/>
        <v>-670068952891.64502</v>
      </c>
      <c r="L5088" s="455">
        <f t="shared" ca="1" si="197"/>
        <v>-161486617646886.47</v>
      </c>
      <c r="M5088" s="471">
        <f t="shared" si="199"/>
        <v>0.05</v>
      </c>
      <c r="N5088" s="475">
        <f t="shared" si="200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98"/>
        <v>-161486617646886.47</v>
      </c>
      <c r="J5089" s="455">
        <f t="array" ref="J5089">IFERROR(INDEX('Retirement Calculator'!J:J,MATCH('Isaac 401k'!N5089,'Retirement Calculator'!A:A,0),0),0)</f>
        <v>0</v>
      </c>
      <c r="K5089" s="455">
        <f t="shared" ca="1" si="196"/>
        <v>-672860906862.02698</v>
      </c>
      <c r="L5089" s="455">
        <f t="shared" ca="1" si="197"/>
        <v>-162159478553748.5</v>
      </c>
      <c r="M5089" s="471">
        <f t="shared" si="199"/>
        <v>0.05</v>
      </c>
      <c r="N5089" s="475">
        <f t="shared" si="200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98"/>
        <v>-162159478553748.5</v>
      </c>
      <c r="J5090" s="455">
        <f t="array" ref="J5090">IFERROR(INDEX('Retirement Calculator'!J:J,MATCH('Isaac 401k'!N5090,'Retirement Calculator'!A:A,0),0),0)</f>
        <v>0</v>
      </c>
      <c r="K5090" s="455">
        <f t="shared" ca="1" si="196"/>
        <v>-675664493973.95203</v>
      </c>
      <c r="L5090" s="455">
        <f t="shared" ca="1" si="197"/>
        <v>-162835143047722.44</v>
      </c>
      <c r="M5090" s="471">
        <f t="shared" si="199"/>
        <v>0.05</v>
      </c>
      <c r="N5090" s="475">
        <f t="shared" si="200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98"/>
        <v>-162835143047722.44</v>
      </c>
      <c r="J5091" s="455">
        <f t="array" ref="J5091">IFERROR(INDEX('Retirement Calculator'!J:J,MATCH('Isaac 401k'!N5091,'Retirement Calculator'!A:A,0),0),0)</f>
        <v>0</v>
      </c>
      <c r="K5091" s="455">
        <f t="shared" ca="1" si="196"/>
        <v>-678479762698.84351</v>
      </c>
      <c r="L5091" s="455">
        <f t="shared" ca="1" si="197"/>
        <v>-163513622810421.28</v>
      </c>
      <c r="M5091" s="471">
        <f t="shared" si="199"/>
        <v>0.05</v>
      </c>
      <c r="N5091" s="475">
        <f t="shared" si="200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98"/>
        <v>-163513622810421.28</v>
      </c>
      <c r="J5092" s="455">
        <f t="array" ref="J5092">IFERROR(INDEX('Retirement Calculator'!J:J,MATCH('Isaac 401k'!N5092,'Retirement Calculator'!A:A,0),0),0)</f>
        <v>0</v>
      </c>
      <c r="K5092" s="455">
        <f t="shared" ca="1" si="196"/>
        <v>-681306761710.08862</v>
      </c>
      <c r="L5092" s="455">
        <f t="shared" ca="1" si="197"/>
        <v>-164194929572131.38</v>
      </c>
      <c r="M5092" s="471">
        <f t="shared" si="199"/>
        <v>0.05</v>
      </c>
      <c r="N5092" s="475">
        <f t="shared" si="200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98"/>
        <v>-164194929572131.38</v>
      </c>
      <c r="J5093" s="455">
        <f t="array" ref="J5093">IFERROR(INDEX('Retirement Calculator'!J:J,MATCH('Isaac 401k'!N5093,'Retirement Calculator'!A:A,0),0),0)</f>
        <v>0</v>
      </c>
      <c r="K5093" s="455">
        <f t="shared" ca="1" si="196"/>
        <v>-684145539883.88074</v>
      </c>
      <c r="L5093" s="455">
        <f t="shared" ca="1" si="197"/>
        <v>-164879075112015.25</v>
      </c>
      <c r="M5093" s="471">
        <f t="shared" si="199"/>
        <v>0.05</v>
      </c>
      <c r="N5093" s="475">
        <f t="shared" si="200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98"/>
        <v>-164879075112015.25</v>
      </c>
      <c r="J5094" s="455">
        <f t="array" ref="J5094">IFERROR(INDEX('Retirement Calculator'!J:J,MATCH('Isaac 401k'!N5094,'Retirement Calculator'!A:A,0),0),0)</f>
        <v>0</v>
      </c>
      <c r="K5094" s="455">
        <f t="shared" ca="1" si="196"/>
        <v>-686996146300.06348</v>
      </c>
      <c r="L5094" s="455">
        <f t="shared" ca="1" si="197"/>
        <v>-165566071258315.31</v>
      </c>
      <c r="M5094" s="471">
        <f t="shared" si="199"/>
        <v>0.05</v>
      </c>
      <c r="N5094" s="475">
        <f t="shared" si="200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98"/>
        <v>-165566071258315.31</v>
      </c>
      <c r="J5095" s="455">
        <f t="array" ref="J5095">IFERROR(INDEX('Retirement Calculator'!J:J,MATCH('Isaac 401k'!N5095,'Retirement Calculator'!A:A,0),0),0)</f>
        <v>0</v>
      </c>
      <c r="K5095" s="455">
        <f t="shared" ca="1" si="196"/>
        <v>-689858630242.98047</v>
      </c>
      <c r="L5095" s="455">
        <f t="shared" ca="1" si="197"/>
        <v>-166255929888558.28</v>
      </c>
      <c r="M5095" s="471">
        <f t="shared" si="199"/>
        <v>0.05</v>
      </c>
      <c r="N5095" s="475">
        <f t="shared" si="200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98"/>
        <v>-166255929888558.28</v>
      </c>
      <c r="J5096" s="455">
        <f t="array" ref="J5096">IFERROR(INDEX('Retirement Calculator'!J:J,MATCH('Isaac 401k'!N5096,'Retirement Calculator'!A:A,0),0),0)</f>
        <v>0</v>
      </c>
      <c r="K5096" s="455">
        <f t="shared" ca="1" si="196"/>
        <v>-692733041202.32617</v>
      </c>
      <c r="L5096" s="455">
        <f t="shared" ca="1" si="197"/>
        <v>-166948662929760.59</v>
      </c>
      <c r="M5096" s="471">
        <f t="shared" si="199"/>
        <v>0.05</v>
      </c>
      <c r="N5096" s="475">
        <f t="shared" si="200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98"/>
        <v>-166948662929760.59</v>
      </c>
      <c r="J5097" s="455">
        <f t="array" ref="J5097">IFERROR(INDEX('Retirement Calculator'!J:J,MATCH('Isaac 401k'!N5097,'Retirement Calculator'!A:A,0),0),0)</f>
        <v>0</v>
      </c>
      <c r="K5097" s="455">
        <f t="shared" ca="1" si="196"/>
        <v>-695619428874.00244</v>
      </c>
      <c r="L5097" s="455">
        <f t="shared" ca="1" si="197"/>
        <v>-167644282358634.59</v>
      </c>
      <c r="M5097" s="471">
        <f t="shared" si="199"/>
        <v>0.05</v>
      </c>
      <c r="N5097" s="475">
        <f t="shared" si="200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98"/>
        <v>-167644282358634.59</v>
      </c>
      <c r="J5098" s="455">
        <f t="array" ref="J5098">IFERROR(INDEX('Retirement Calculator'!J:J,MATCH('Isaac 401k'!N5098,'Retirement Calculator'!A:A,0),0),0)</f>
        <v>0</v>
      </c>
      <c r="K5098" s="455">
        <f t="shared" ca="1" si="196"/>
        <v>-698517843160.97742</v>
      </c>
      <c r="L5098" s="455">
        <f t="shared" ca="1" si="197"/>
        <v>-168342800201795.56</v>
      </c>
      <c r="M5098" s="471">
        <f t="shared" si="199"/>
        <v>0.05</v>
      </c>
      <c r="N5098" s="475">
        <f t="shared" si="200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98"/>
        <v>-168342800201795.56</v>
      </c>
      <c r="J5099" s="455">
        <f t="array" ref="J5099">IFERROR(INDEX('Retirement Calculator'!J:J,MATCH('Isaac 401k'!N5099,'Retirement Calculator'!A:A,0),0),0)</f>
        <v>0</v>
      </c>
      <c r="K5099" s="455">
        <f t="shared" ca="1" si="196"/>
        <v>-701428334174.14819</v>
      </c>
      <c r="L5099" s="455">
        <f t="shared" ca="1" si="197"/>
        <v>-169044228535969.72</v>
      </c>
      <c r="M5099" s="471">
        <f t="shared" si="199"/>
        <v>0.05</v>
      </c>
      <c r="N5099" s="475">
        <f t="shared" si="200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98"/>
        <v>-169044228535969.72</v>
      </c>
      <c r="J5100" s="455">
        <f t="array" ref="J5100">IFERROR(INDEX('Retirement Calculator'!J:J,MATCH('Isaac 401k'!N5100,'Retirement Calculator'!A:A,0),0),0)</f>
        <v>0</v>
      </c>
      <c r="K5100" s="455">
        <f t="shared" ca="1" si="196"/>
        <v>-704350952233.20715</v>
      </c>
      <c r="L5100" s="455">
        <f t="shared" ca="1" si="197"/>
        <v>-169748579488202.94</v>
      </c>
      <c r="M5100" s="471">
        <f t="shared" si="199"/>
        <v>0.05</v>
      </c>
      <c r="N5100" s="475">
        <f t="shared" si="200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98"/>
        <v>-169748579488202.94</v>
      </c>
      <c r="J5101" s="455">
        <f t="array" ref="J5101">IFERROR(INDEX('Retirement Calculator'!J:J,MATCH('Isaac 401k'!N5101,'Retirement Calculator'!A:A,0),0),0)</f>
        <v>0</v>
      </c>
      <c r="K5101" s="455">
        <f t="shared" ca="1" si="196"/>
        <v>-707285747867.51221</v>
      </c>
      <c r="L5101" s="455">
        <f t="shared" ca="1" si="197"/>
        <v>-170455865236070.44</v>
      </c>
      <c r="M5101" s="471">
        <f t="shared" si="199"/>
        <v>0.05</v>
      </c>
      <c r="N5101" s="475">
        <f t="shared" si="200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98"/>
        <v>-170455865236070.44</v>
      </c>
      <c r="J5102" s="455">
        <f t="array" ref="J5102">IFERROR(INDEX('Retirement Calculator'!J:J,MATCH('Isaac 401k'!N5102,'Retirement Calculator'!A:A,0),0),0)</f>
        <v>0</v>
      </c>
      <c r="K5102" s="455">
        <f t="shared" ca="1" si="196"/>
        <v>-710232771816.96021</v>
      </c>
      <c r="L5102" s="455">
        <f t="shared" ca="1" si="197"/>
        <v>-171166098007887.41</v>
      </c>
      <c r="M5102" s="471">
        <f t="shared" si="199"/>
        <v>0.05</v>
      </c>
      <c r="N5102" s="475">
        <f t="shared" si="200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98"/>
        <v>-171166098007887.41</v>
      </c>
      <c r="J5103" s="455">
        <f t="array" ref="J5103">IFERROR(INDEX('Retirement Calculator'!J:J,MATCH('Isaac 401k'!N5103,'Retirement Calculator'!A:A,0),0),0)</f>
        <v>0</v>
      </c>
      <c r="K5103" s="455">
        <f t="shared" ca="1" si="196"/>
        <v>-713192075032.86414</v>
      </c>
      <c r="L5103" s="455">
        <f t="shared" ca="1" si="197"/>
        <v>-171879290082920.28</v>
      </c>
      <c r="M5103" s="471">
        <f t="shared" si="199"/>
        <v>0.05</v>
      </c>
      <c r="N5103" s="475">
        <f t="shared" si="200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98"/>
        <v>-171879290082920.28</v>
      </c>
      <c r="J5104" s="455">
        <f t="array" ref="J5104">IFERROR(INDEX('Retirement Calculator'!J:J,MATCH('Isaac 401k'!N5104,'Retirement Calculator'!A:A,0),0),0)</f>
        <v>0</v>
      </c>
      <c r="K5104" s="455">
        <f t="shared" ca="1" si="196"/>
        <v>-716163708678.83447</v>
      </c>
      <c r="L5104" s="455">
        <f t="shared" ca="1" si="197"/>
        <v>-172595453791599.13</v>
      </c>
      <c r="M5104" s="471">
        <f t="shared" si="199"/>
        <v>0.05</v>
      </c>
      <c r="N5104" s="475">
        <f t="shared" si="200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98"/>
        <v>-172595453791599.13</v>
      </c>
      <c r="J5105" s="455">
        <f t="array" ref="J5105">IFERROR(INDEX('Retirement Calculator'!J:J,MATCH('Isaac 401k'!N5105,'Retirement Calculator'!A:A,0),0),0)</f>
        <v>0</v>
      </c>
      <c r="K5105" s="455">
        <f t="shared" ca="1" si="196"/>
        <v>-719147724131.66296</v>
      </c>
      <c r="L5105" s="455">
        <f t="shared" ca="1" si="197"/>
        <v>-173314601515730.78</v>
      </c>
      <c r="M5105" s="471">
        <f t="shared" si="199"/>
        <v>0.05</v>
      </c>
      <c r="N5105" s="475">
        <f t="shared" si="200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98"/>
        <v>-173314601515730.78</v>
      </c>
      <c r="J5106" s="455">
        <f t="array" ref="J5106">IFERROR(INDEX('Retirement Calculator'!J:J,MATCH('Isaac 401k'!N5106,'Retirement Calculator'!A:A,0),0),0)</f>
        <v>0</v>
      </c>
      <c r="K5106" s="455">
        <f t="shared" ca="1" si="196"/>
        <v>-722144172982.21155</v>
      </c>
      <c r="L5106" s="455">
        <f t="shared" ca="1" si="197"/>
        <v>-174036745688713</v>
      </c>
      <c r="M5106" s="471">
        <f t="shared" si="199"/>
        <v>0.05</v>
      </c>
      <c r="N5106" s="475">
        <f t="shared" si="200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98"/>
        <v>-174036745688713</v>
      </c>
      <c r="J5107" s="455">
        <f t="array" ref="J5107">IFERROR(INDEX('Retirement Calculator'!J:J,MATCH('Isaac 401k'!N5107,'Retirement Calculator'!A:A,0),0),0)</f>
        <v>0</v>
      </c>
      <c r="K5107" s="455">
        <f t="shared" ca="1" si="196"/>
        <v>-725153107036.3042</v>
      </c>
      <c r="L5107" s="455">
        <f t="shared" ca="1" si="197"/>
        <v>-174761898795749.31</v>
      </c>
      <c r="M5107" s="471">
        <f t="shared" si="199"/>
        <v>0.05</v>
      </c>
      <c r="N5107" s="475">
        <f t="shared" si="200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98"/>
        <v>-174761898795749.31</v>
      </c>
      <c r="J5108" s="455">
        <f t="array" ref="J5108">IFERROR(INDEX('Retirement Calculator'!J:J,MATCH('Isaac 401k'!N5108,'Retirement Calculator'!A:A,0),0),0)</f>
        <v>0</v>
      </c>
      <c r="K5108" s="455">
        <f t="shared" ref="K5108:K5362" ca="1" si="201">IPMT(M5108/12,1,12,-I5108+J5108,,0)</f>
        <v>-728174578315.62207</v>
      </c>
      <c r="L5108" s="455">
        <f t="shared" ref="L5108:L5362" ca="1" si="202">I5108-J5108+K5108</f>
        <v>-175490073374064.94</v>
      </c>
      <c r="M5108" s="471">
        <f t="shared" si="199"/>
        <v>0.05</v>
      </c>
      <c r="N5108" s="475">
        <f t="shared" si="200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203">L5108</f>
        <v>-175490073374064.94</v>
      </c>
      <c r="J5109" s="455">
        <f t="array" ref="J5109">IFERROR(INDEX('Retirement Calculator'!J:J,MATCH('Isaac 401k'!N5109,'Retirement Calculator'!A:A,0),0),0)</f>
        <v>0</v>
      </c>
      <c r="K5109" s="455">
        <f t="shared" ca="1" si="201"/>
        <v>-731208639058.60388</v>
      </c>
      <c r="L5109" s="455">
        <f t="shared" ca="1" si="202"/>
        <v>-176221282013123.53</v>
      </c>
      <c r="M5109" s="471">
        <f t="shared" ref="M5109:M5363" si="204">M5108</f>
        <v>0.05</v>
      </c>
      <c r="N5109" s="475">
        <f t="shared" ref="N5109:N5363" si="205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203"/>
        <v>-176221282013123.53</v>
      </c>
      <c r="J5110" s="455">
        <f t="array" ref="J5110">IFERROR(INDEX('Retirement Calculator'!J:J,MATCH('Isaac 401k'!N5110,'Retirement Calculator'!A:A,0),0),0)</f>
        <v>0</v>
      </c>
      <c r="K5110" s="455">
        <f t="shared" ca="1" si="201"/>
        <v>-734255341721.34802</v>
      </c>
      <c r="L5110" s="455">
        <f t="shared" ca="1" si="202"/>
        <v>-176955537354844.88</v>
      </c>
      <c r="M5110" s="471">
        <f t="shared" si="204"/>
        <v>0.05</v>
      </c>
      <c r="N5110" s="475">
        <f t="shared" si="205"/>
        <v>206577</v>
      </c>
    </row>
    <row r="5111" spans="7:14" ht="11.25" customHeight="1" x14ac:dyDescent="0.3">
      <c r="G5111" s="470"/>
      <c r="H5111" s="470">
        <v>5104</v>
      </c>
      <c r="I5111" s="455">
        <f t="shared" ca="1" si="203"/>
        <v>-176955537354844.88</v>
      </c>
      <c r="J5111" s="455">
        <f t="array" ref="J5111">IFERROR(INDEX('Retirement Calculator'!J:J,MATCH('Isaac 401k'!N5111,'Retirement Calculator'!A:A,0),0),0)</f>
        <v>0</v>
      </c>
      <c r="K5111" s="455">
        <f t="shared" ca="1" si="201"/>
        <v>-737314738978.52026</v>
      </c>
      <c r="L5111" s="455">
        <f t="shared" ca="1" si="202"/>
        <v>-177692852093823.41</v>
      </c>
      <c r="M5111" s="471">
        <f t="shared" si="204"/>
        <v>0.05</v>
      </c>
      <c r="N5111" s="475">
        <f t="shared" si="205"/>
        <v>206608</v>
      </c>
    </row>
    <row r="5112" spans="7:14" ht="11.25" customHeight="1" x14ac:dyDescent="0.3">
      <c r="G5112" s="470"/>
      <c r="H5112" s="470">
        <v>5105</v>
      </c>
      <c r="I5112" s="455">
        <f t="shared" ca="1" si="203"/>
        <v>-177692852093823.41</v>
      </c>
      <c r="J5112" s="455">
        <f t="array" ref="J5112">IFERROR(INDEX('Retirement Calculator'!J:J,MATCH('Isaac 401k'!N5112,'Retirement Calculator'!A:A,0),0),0)</f>
        <v>0</v>
      </c>
      <c r="K5112" s="455">
        <f t="shared" ca="1" si="201"/>
        <v>-740386883724.26416</v>
      </c>
      <c r="L5112" s="455">
        <f t="shared" ca="1" si="202"/>
        <v>-178433238977547.66</v>
      </c>
      <c r="M5112" s="471">
        <f t="shared" si="204"/>
        <v>0.05</v>
      </c>
      <c r="N5112" s="475">
        <f t="shared" si="205"/>
        <v>206638</v>
      </c>
    </row>
    <row r="5113" spans="7:14" ht="11.25" customHeight="1" x14ac:dyDescent="0.3">
      <c r="G5113" s="470"/>
      <c r="H5113" s="470">
        <v>5106</v>
      </c>
      <c r="I5113" s="455">
        <f t="shared" ca="1" si="203"/>
        <v>-178433238977547.66</v>
      </c>
      <c r="J5113" s="455">
        <f t="array" ref="J5113">IFERROR(INDEX('Retirement Calculator'!J:J,MATCH('Isaac 401k'!N5113,'Retirement Calculator'!A:A,0),0),0)</f>
        <v>0</v>
      </c>
      <c r="K5113" s="455">
        <f t="shared" ca="1" si="201"/>
        <v>-743471829073.11523</v>
      </c>
      <c r="L5113" s="455">
        <f t="shared" ca="1" si="202"/>
        <v>-179176710806620.78</v>
      </c>
      <c r="M5113" s="471">
        <f t="shared" si="204"/>
        <v>0.05</v>
      </c>
      <c r="N5113" s="475">
        <f t="shared" si="205"/>
        <v>206669</v>
      </c>
    </row>
    <row r="5114" spans="7:14" ht="11.25" customHeight="1" x14ac:dyDescent="0.3">
      <c r="G5114" s="470"/>
      <c r="H5114" s="470">
        <v>5107</v>
      </c>
      <c r="I5114" s="455">
        <f t="shared" ca="1" si="203"/>
        <v>-179176710806620.78</v>
      </c>
      <c r="J5114" s="455">
        <f t="array" ref="J5114">IFERROR(INDEX('Retirement Calculator'!J:J,MATCH('Isaac 401k'!N5114,'Retirement Calculator'!A:A,0),0),0)</f>
        <v>0</v>
      </c>
      <c r="K5114" s="455">
        <f t="shared" ca="1" si="201"/>
        <v>-746569628360.91992</v>
      </c>
      <c r="L5114" s="455">
        <f t="shared" ca="1" si="202"/>
        <v>-179923280434981.69</v>
      </c>
      <c r="M5114" s="471">
        <f t="shared" si="204"/>
        <v>0.05</v>
      </c>
      <c r="N5114" s="475">
        <f t="shared" si="205"/>
        <v>206699</v>
      </c>
    </row>
    <row r="5115" spans="7:14" ht="11.25" customHeight="1" x14ac:dyDescent="0.3">
      <c r="G5115" s="470"/>
      <c r="H5115" s="470">
        <v>5108</v>
      </c>
      <c r="I5115" s="455">
        <f t="shared" ca="1" si="203"/>
        <v>-179923280434981.69</v>
      </c>
      <c r="J5115" s="455">
        <f t="array" ref="J5115">IFERROR(INDEX('Retirement Calculator'!J:J,MATCH('Isaac 401k'!N5115,'Retirement Calculator'!A:A,0),0),0)</f>
        <v>0</v>
      </c>
      <c r="K5115" s="455">
        <f t="shared" ca="1" si="201"/>
        <v>-749680335145.75708</v>
      </c>
      <c r="L5115" s="455">
        <f t="shared" ca="1" si="202"/>
        <v>-180672960770127.44</v>
      </c>
      <c r="M5115" s="471">
        <f t="shared" si="204"/>
        <v>0.05</v>
      </c>
      <c r="N5115" s="475">
        <f t="shared" si="205"/>
        <v>206730</v>
      </c>
    </row>
    <row r="5116" spans="7:14" ht="11.25" customHeight="1" x14ac:dyDescent="0.3">
      <c r="G5116" s="470"/>
      <c r="H5116" s="470">
        <v>5109</v>
      </c>
      <c r="I5116" s="455">
        <f t="shared" ca="1" si="203"/>
        <v>-180672960770127.44</v>
      </c>
      <c r="J5116" s="455">
        <f t="array" ref="J5116">IFERROR(INDEX('Retirement Calculator'!J:J,MATCH('Isaac 401k'!N5116,'Retirement Calculator'!A:A,0),0),0)</f>
        <v>0</v>
      </c>
      <c r="K5116" s="455">
        <f t="shared" ca="1" si="201"/>
        <v>-752804003208.86426</v>
      </c>
      <c r="L5116" s="455">
        <f t="shared" ca="1" si="202"/>
        <v>-181425764773336.31</v>
      </c>
      <c r="M5116" s="471">
        <f t="shared" si="204"/>
        <v>0.05</v>
      </c>
      <c r="N5116" s="475">
        <f t="shared" si="205"/>
        <v>206761</v>
      </c>
    </row>
    <row r="5117" spans="7:14" ht="11.25" customHeight="1" x14ac:dyDescent="0.3">
      <c r="G5117" s="470"/>
      <c r="H5117" s="470">
        <v>5110</v>
      </c>
      <c r="I5117" s="455">
        <f t="shared" ca="1" si="203"/>
        <v>-181425764773336.31</v>
      </c>
      <c r="J5117" s="455">
        <f t="array" ref="J5117">IFERROR(INDEX('Retirement Calculator'!J:J,MATCH('Isaac 401k'!N5117,'Retirement Calculator'!A:A,0),0),0)</f>
        <v>0</v>
      </c>
      <c r="K5117" s="455">
        <f t="shared" ca="1" si="201"/>
        <v>-755940686555.56799</v>
      </c>
      <c r="L5117" s="455">
        <f t="shared" ca="1" si="202"/>
        <v>-182181705459891.88</v>
      </c>
      <c r="M5117" s="471">
        <f t="shared" si="204"/>
        <v>0.05</v>
      </c>
      <c r="N5117" s="475">
        <f t="shared" si="205"/>
        <v>206789</v>
      </c>
    </row>
    <row r="5118" spans="7:14" ht="11.25" customHeight="1" x14ac:dyDescent="0.3">
      <c r="G5118" s="470"/>
      <c r="H5118" s="470">
        <v>5111</v>
      </c>
      <c r="I5118" s="455">
        <f t="shared" ca="1" si="203"/>
        <v>-182181705459891.88</v>
      </c>
      <c r="J5118" s="455">
        <f t="array" ref="J5118">IFERROR(INDEX('Retirement Calculator'!J:J,MATCH('Isaac 401k'!N5118,'Retirement Calculator'!A:A,0),0),0)</f>
        <v>0</v>
      </c>
      <c r="K5118" s="455">
        <f t="shared" ca="1" si="201"/>
        <v>-759090439416.21619</v>
      </c>
      <c r="L5118" s="455">
        <f t="shared" ca="1" si="202"/>
        <v>-182940795899308.09</v>
      </c>
      <c r="M5118" s="471">
        <f t="shared" si="204"/>
        <v>0.05</v>
      </c>
      <c r="N5118" s="475">
        <f t="shared" si="205"/>
        <v>206820</v>
      </c>
    </row>
    <row r="5119" spans="7:14" ht="11.25" customHeight="1" x14ac:dyDescent="0.3">
      <c r="G5119" s="470"/>
      <c r="H5119" s="470">
        <v>5112</v>
      </c>
      <c r="I5119" s="455">
        <f t="shared" ca="1" si="203"/>
        <v>-182940795899308.09</v>
      </c>
      <c r="J5119" s="455">
        <f t="array" ref="J5119">IFERROR(INDEX('Retirement Calculator'!J:J,MATCH('Isaac 401k'!N5119,'Retirement Calculator'!A:A,0),0),0)</f>
        <v>0</v>
      </c>
      <c r="K5119" s="455">
        <f t="shared" ca="1" si="201"/>
        <v>-762253316247.11707</v>
      </c>
      <c r="L5119" s="455">
        <f t="shared" ca="1" si="202"/>
        <v>-183703049215555.22</v>
      </c>
      <c r="M5119" s="471">
        <f t="shared" si="204"/>
        <v>0.05</v>
      </c>
      <c r="N5119" s="475">
        <f t="shared" si="205"/>
        <v>206850</v>
      </c>
    </row>
    <row r="5120" spans="7:14" ht="11.25" customHeight="1" x14ac:dyDescent="0.3">
      <c r="G5120" s="470"/>
      <c r="H5120" s="470">
        <v>5113</v>
      </c>
      <c r="I5120" s="455">
        <f t="shared" ca="1" si="203"/>
        <v>-183703049215555.22</v>
      </c>
      <c r="J5120" s="455">
        <f t="array" ref="J5120">IFERROR(INDEX('Retirement Calculator'!J:J,MATCH('Isaac 401k'!N5120,'Retirement Calculator'!A:A,0),0),0)</f>
        <v>0</v>
      </c>
      <c r="K5120" s="455">
        <f t="shared" ca="1" si="201"/>
        <v>-765429371731.4801</v>
      </c>
      <c r="L5120" s="455">
        <f t="shared" ca="1" si="202"/>
        <v>-184468478587286.69</v>
      </c>
      <c r="M5120" s="471">
        <f t="shared" si="204"/>
        <v>0.05</v>
      </c>
      <c r="N5120" s="475">
        <f t="shared" si="205"/>
        <v>206881</v>
      </c>
    </row>
    <row r="5121" spans="7:14" ht="11.25" customHeight="1" x14ac:dyDescent="0.3">
      <c r="G5121" s="470"/>
      <c r="H5121" s="470">
        <v>5114</v>
      </c>
      <c r="I5121" s="455">
        <f t="shared" ca="1" si="203"/>
        <v>-184468478587286.69</v>
      </c>
      <c r="J5121" s="455">
        <f t="array" ref="J5121">IFERROR(INDEX('Retirement Calculator'!J:J,MATCH('Isaac 401k'!N5121,'Retirement Calculator'!A:A,0),0),0)</f>
        <v>0</v>
      </c>
      <c r="K5121" s="455">
        <f t="shared" ca="1" si="201"/>
        <v>-768618660780.36121</v>
      </c>
      <c r="L5121" s="455">
        <f t="shared" ca="1" si="202"/>
        <v>-185237097248067.06</v>
      </c>
      <c r="M5121" s="471">
        <f t="shared" si="204"/>
        <v>0.05</v>
      </c>
      <c r="N5121" s="475">
        <f t="shared" si="205"/>
        <v>206911</v>
      </c>
    </row>
    <row r="5122" spans="7:14" ht="11.25" customHeight="1" x14ac:dyDescent="0.3">
      <c r="G5122" s="470"/>
      <c r="H5122" s="470">
        <v>5115</v>
      </c>
      <c r="I5122" s="455">
        <f t="shared" ca="1" si="203"/>
        <v>-185237097248067.06</v>
      </c>
      <c r="J5122" s="455">
        <f t="array" ref="J5122">IFERROR(INDEX('Retirement Calculator'!J:J,MATCH('Isaac 401k'!N5122,'Retirement Calculator'!A:A,0),0),0)</f>
        <v>0</v>
      </c>
      <c r="K5122" s="455">
        <f t="shared" ca="1" si="201"/>
        <v>-771821238533.61279</v>
      </c>
      <c r="L5122" s="455">
        <f t="shared" ca="1" si="202"/>
        <v>-186008918486600.69</v>
      </c>
      <c r="M5122" s="471">
        <f t="shared" si="204"/>
        <v>0.05</v>
      </c>
      <c r="N5122" s="475">
        <f t="shared" si="205"/>
        <v>206942</v>
      </c>
    </row>
    <row r="5123" spans="7:14" ht="11.25" customHeight="1" x14ac:dyDescent="0.3">
      <c r="G5123" s="470"/>
      <c r="H5123" s="470">
        <v>5116</v>
      </c>
      <c r="I5123" s="455">
        <f t="shared" ca="1" si="203"/>
        <v>-186008918486600.69</v>
      </c>
      <c r="J5123" s="455">
        <f t="array" ref="J5123">IFERROR(INDEX('Retirement Calculator'!J:J,MATCH('Isaac 401k'!N5123,'Retirement Calculator'!A:A,0),0),0)</f>
        <v>0</v>
      </c>
      <c r="K5123" s="455">
        <f t="shared" ca="1" si="201"/>
        <v>-775037160360.83618</v>
      </c>
      <c r="L5123" s="455">
        <f t="shared" ca="1" si="202"/>
        <v>-186783955646961.53</v>
      </c>
      <c r="M5123" s="471">
        <f t="shared" si="204"/>
        <v>0.05</v>
      </c>
      <c r="N5123" s="475">
        <f t="shared" si="205"/>
        <v>206973</v>
      </c>
    </row>
    <row r="5124" spans="7:14" ht="11.25" customHeight="1" x14ac:dyDescent="0.3">
      <c r="G5124" s="470"/>
      <c r="H5124" s="470">
        <v>5117</v>
      </c>
      <c r="I5124" s="455">
        <f t="shared" ca="1" si="203"/>
        <v>-186783955646961.53</v>
      </c>
      <c r="J5124" s="455">
        <f t="array" ref="J5124">IFERROR(INDEX('Retirement Calculator'!J:J,MATCH('Isaac 401k'!N5124,'Retirement Calculator'!A:A,0),0),0)</f>
        <v>0</v>
      </c>
      <c r="K5124" s="455">
        <f t="shared" ca="1" si="201"/>
        <v>-778266481862.33972</v>
      </c>
      <c r="L5124" s="455">
        <f t="shared" ca="1" si="202"/>
        <v>-187562222128823.88</v>
      </c>
      <c r="M5124" s="471">
        <f t="shared" si="204"/>
        <v>0.05</v>
      </c>
      <c r="N5124" s="475">
        <f t="shared" si="205"/>
        <v>207003</v>
      </c>
    </row>
    <row r="5125" spans="7:14" ht="11.25" customHeight="1" x14ac:dyDescent="0.3">
      <c r="G5125" s="470"/>
      <c r="H5125" s="470">
        <v>5118</v>
      </c>
      <c r="I5125" s="455">
        <f t="shared" ca="1" si="203"/>
        <v>-187562222128823.88</v>
      </c>
      <c r="J5125" s="455">
        <f t="array" ref="J5125">IFERROR(INDEX('Retirement Calculator'!J:J,MATCH('Isaac 401k'!N5125,'Retirement Calculator'!A:A,0),0),0)</f>
        <v>0</v>
      </c>
      <c r="K5125" s="455">
        <f t="shared" ca="1" si="201"/>
        <v>-781509258870.09949</v>
      </c>
      <c r="L5125" s="455">
        <f t="shared" ca="1" si="202"/>
        <v>-188343731387693.97</v>
      </c>
      <c r="M5125" s="471">
        <f t="shared" si="204"/>
        <v>0.05</v>
      </c>
      <c r="N5125" s="475">
        <f t="shared" si="205"/>
        <v>207034</v>
      </c>
    </row>
    <row r="5126" spans="7:14" ht="11.25" customHeight="1" x14ac:dyDescent="0.3">
      <c r="G5126" s="470"/>
      <c r="H5126" s="470">
        <v>5119</v>
      </c>
      <c r="I5126" s="455">
        <f t="shared" ca="1" si="203"/>
        <v>-188343731387693.97</v>
      </c>
      <c r="J5126" s="455">
        <f t="array" ref="J5126">IFERROR(INDEX('Retirement Calculator'!J:J,MATCH('Isaac 401k'!N5126,'Retirement Calculator'!A:A,0),0),0)</f>
        <v>0</v>
      </c>
      <c r="K5126" s="455">
        <f t="shared" ca="1" si="201"/>
        <v>-784765547448.72485</v>
      </c>
      <c r="L5126" s="455">
        <f t="shared" ca="1" si="202"/>
        <v>-189128496935142.69</v>
      </c>
      <c r="M5126" s="471">
        <f t="shared" si="204"/>
        <v>0.05</v>
      </c>
      <c r="N5126" s="475">
        <f t="shared" si="205"/>
        <v>207064</v>
      </c>
    </row>
    <row r="5127" spans="7:14" ht="11.25" customHeight="1" x14ac:dyDescent="0.3">
      <c r="G5127" s="470"/>
      <c r="H5127" s="470">
        <v>5120</v>
      </c>
      <c r="I5127" s="455">
        <f t="shared" ca="1" si="203"/>
        <v>-189128496935142.69</v>
      </c>
      <c r="J5127" s="455">
        <f t="array" ref="J5127">IFERROR(INDEX('Retirement Calculator'!J:J,MATCH('Isaac 401k'!N5127,'Retirement Calculator'!A:A,0),0),0)</f>
        <v>0</v>
      </c>
      <c r="K5127" s="455">
        <f t="shared" ca="1" si="201"/>
        <v>-788035403896.42786</v>
      </c>
      <c r="L5127" s="455">
        <f t="shared" ca="1" si="202"/>
        <v>-189916532339039.13</v>
      </c>
      <c r="M5127" s="471">
        <f t="shared" si="204"/>
        <v>0.05</v>
      </c>
      <c r="N5127" s="475">
        <f t="shared" si="205"/>
        <v>207095</v>
      </c>
    </row>
    <row r="5128" spans="7:14" ht="11.25" customHeight="1" x14ac:dyDescent="0.3">
      <c r="G5128" s="470"/>
      <c r="H5128" s="470">
        <v>5121</v>
      </c>
      <c r="I5128" s="455">
        <f t="shared" ca="1" si="203"/>
        <v>-189916532339039.13</v>
      </c>
      <c r="J5128" s="455">
        <f t="array" ref="J5128">IFERROR(INDEX('Retirement Calculator'!J:J,MATCH('Isaac 401k'!N5128,'Retirement Calculator'!A:A,0),0),0)</f>
        <v>0</v>
      </c>
      <c r="K5128" s="455">
        <f t="shared" ca="1" si="201"/>
        <v>-791318884745.99634</v>
      </c>
      <c r="L5128" s="455">
        <f t="shared" ca="1" si="202"/>
        <v>-190707851223785.13</v>
      </c>
      <c r="M5128" s="471">
        <f t="shared" si="204"/>
        <v>0.05</v>
      </c>
      <c r="N5128" s="475">
        <f t="shared" si="205"/>
        <v>207126</v>
      </c>
    </row>
    <row r="5129" spans="7:14" ht="11.25" customHeight="1" x14ac:dyDescent="0.3">
      <c r="G5129" s="470"/>
      <c r="H5129" s="470">
        <v>5122</v>
      </c>
      <c r="I5129" s="455">
        <f t="shared" ca="1" si="203"/>
        <v>-190707851223785.13</v>
      </c>
      <c r="J5129" s="455">
        <f t="array" ref="J5129">IFERROR(INDEX('Retirement Calculator'!J:J,MATCH('Isaac 401k'!N5129,'Retirement Calculator'!A:A,0),0),0)</f>
        <v>0</v>
      </c>
      <c r="K5129" s="455">
        <f t="shared" ca="1" si="201"/>
        <v>-794616046765.77136</v>
      </c>
      <c r="L5129" s="455">
        <f t="shared" ca="1" si="202"/>
        <v>-191502467270550.91</v>
      </c>
      <c r="M5129" s="471">
        <f t="shared" si="204"/>
        <v>0.05</v>
      </c>
      <c r="N5129" s="475">
        <f t="shared" si="205"/>
        <v>207154</v>
      </c>
    </row>
    <row r="5130" spans="7:14" ht="11.25" customHeight="1" x14ac:dyDescent="0.3">
      <c r="G5130" s="470"/>
      <c r="H5130" s="470">
        <v>5123</v>
      </c>
      <c r="I5130" s="455">
        <f t="shared" ca="1" si="203"/>
        <v>-191502467270550.91</v>
      </c>
      <c r="J5130" s="455">
        <f t="array" ref="J5130">IFERROR(INDEX('Retirement Calculator'!J:J,MATCH('Isaac 401k'!N5130,'Retirement Calculator'!A:A,0),0),0)</f>
        <v>0</v>
      </c>
      <c r="K5130" s="455">
        <f t="shared" ca="1" si="201"/>
        <v>-797926946960.62878</v>
      </c>
      <c r="L5130" s="455">
        <f t="shared" ca="1" si="202"/>
        <v>-192300394217511.53</v>
      </c>
      <c r="M5130" s="471">
        <f t="shared" si="204"/>
        <v>0.05</v>
      </c>
      <c r="N5130" s="475">
        <f t="shared" si="205"/>
        <v>207185</v>
      </c>
    </row>
    <row r="5131" spans="7:14" ht="11.25" customHeight="1" x14ac:dyDescent="0.3">
      <c r="G5131" s="470"/>
      <c r="H5131" s="470">
        <v>5124</v>
      </c>
      <c r="I5131" s="455">
        <f t="shared" ca="1" si="203"/>
        <v>-192300394217511.53</v>
      </c>
      <c r="J5131" s="455">
        <f t="array" ref="J5131">IFERROR(INDEX('Retirement Calculator'!J:J,MATCH('Isaac 401k'!N5131,'Retirement Calculator'!A:A,0),0),0)</f>
        <v>0</v>
      </c>
      <c r="K5131" s="455">
        <f t="shared" ca="1" si="201"/>
        <v>-801251642572.96472</v>
      </c>
      <c r="L5131" s="455">
        <f t="shared" ca="1" si="202"/>
        <v>-193101645860084.5</v>
      </c>
      <c r="M5131" s="471">
        <f t="shared" si="204"/>
        <v>0.05</v>
      </c>
      <c r="N5131" s="475">
        <f t="shared" si="205"/>
        <v>207215</v>
      </c>
    </row>
    <row r="5132" spans="7:14" ht="11.25" customHeight="1" x14ac:dyDescent="0.3">
      <c r="G5132" s="470"/>
      <c r="H5132" s="470">
        <v>5125</v>
      </c>
      <c r="I5132" s="455">
        <f t="shared" ca="1" si="203"/>
        <v>-193101645860084.5</v>
      </c>
      <c r="J5132" s="455">
        <f t="array" ref="J5132">IFERROR(INDEX('Retirement Calculator'!J:J,MATCH('Isaac 401k'!N5132,'Retirement Calculator'!A:A,0),0),0)</f>
        <v>0</v>
      </c>
      <c r="K5132" s="455">
        <f t="shared" ca="1" si="201"/>
        <v>-804590191083.68542</v>
      </c>
      <c r="L5132" s="455">
        <f t="shared" ca="1" si="202"/>
        <v>-193906236051168.19</v>
      </c>
      <c r="M5132" s="471">
        <f t="shared" si="204"/>
        <v>0.05</v>
      </c>
      <c r="N5132" s="475">
        <f t="shared" si="205"/>
        <v>207246</v>
      </c>
    </row>
    <row r="5133" spans="7:14" ht="11.25" customHeight="1" x14ac:dyDescent="0.3">
      <c r="G5133" s="470"/>
      <c r="H5133" s="470">
        <v>5126</v>
      </c>
      <c r="I5133" s="455">
        <f t="shared" ca="1" si="203"/>
        <v>-193906236051168.19</v>
      </c>
      <c r="J5133" s="455">
        <f t="array" ref="J5133">IFERROR(INDEX('Retirement Calculator'!J:J,MATCH('Isaac 401k'!N5133,'Retirement Calculator'!A:A,0),0),0)</f>
        <v>0</v>
      </c>
      <c r="K5133" s="455">
        <f t="shared" ca="1" si="201"/>
        <v>-807942650213.20081</v>
      </c>
      <c r="L5133" s="455">
        <f t="shared" ca="1" si="202"/>
        <v>-194714178701381.38</v>
      </c>
      <c r="M5133" s="471">
        <f t="shared" si="204"/>
        <v>0.05</v>
      </c>
      <c r="N5133" s="475">
        <f t="shared" si="205"/>
        <v>207276</v>
      </c>
    </row>
    <row r="5134" spans="7:14" ht="11.25" customHeight="1" x14ac:dyDescent="0.3">
      <c r="G5134" s="470"/>
      <c r="H5134" s="470">
        <v>5127</v>
      </c>
      <c r="I5134" s="455">
        <f t="shared" ca="1" si="203"/>
        <v>-194714178701381.38</v>
      </c>
      <c r="J5134" s="455">
        <f t="array" ref="J5134">IFERROR(INDEX('Retirement Calculator'!J:J,MATCH('Isaac 401k'!N5134,'Retirement Calculator'!A:A,0),0),0)</f>
        <v>0</v>
      </c>
      <c r="K5134" s="455">
        <f t="shared" ca="1" si="201"/>
        <v>-811309077922.42236</v>
      </c>
      <c r="L5134" s="455">
        <f t="shared" ca="1" si="202"/>
        <v>-195525487779303.81</v>
      </c>
      <c r="M5134" s="471">
        <f t="shared" si="204"/>
        <v>0.05</v>
      </c>
      <c r="N5134" s="475">
        <f t="shared" si="205"/>
        <v>207307</v>
      </c>
    </row>
    <row r="5135" spans="7:14" ht="11.25" customHeight="1" x14ac:dyDescent="0.3">
      <c r="G5135" s="470"/>
      <c r="H5135" s="470">
        <v>5128</v>
      </c>
      <c r="I5135" s="455">
        <f t="shared" ca="1" si="203"/>
        <v>-195525487779303.81</v>
      </c>
      <c r="J5135" s="455">
        <f t="array" ref="J5135">IFERROR(INDEX('Retirement Calculator'!J:J,MATCH('Isaac 401k'!N5135,'Retirement Calculator'!A:A,0),0),0)</f>
        <v>0</v>
      </c>
      <c r="K5135" s="455">
        <f t="shared" ca="1" si="201"/>
        <v>-814689532413.76587</v>
      </c>
      <c r="L5135" s="455">
        <f t="shared" ca="1" si="202"/>
        <v>-196340177311717.59</v>
      </c>
      <c r="M5135" s="471">
        <f t="shared" si="204"/>
        <v>0.05</v>
      </c>
      <c r="N5135" s="475">
        <f t="shared" si="205"/>
        <v>207338</v>
      </c>
    </row>
    <row r="5136" spans="7:14" ht="11.25" customHeight="1" x14ac:dyDescent="0.3">
      <c r="G5136" s="470"/>
      <c r="H5136" s="470">
        <v>5129</v>
      </c>
      <c r="I5136" s="455">
        <f t="shared" ca="1" si="203"/>
        <v>-196340177311717.59</v>
      </c>
      <c r="J5136" s="455">
        <f t="array" ref="J5136">IFERROR(INDEX('Retirement Calculator'!J:J,MATCH('Isaac 401k'!N5136,'Retirement Calculator'!A:A,0),0),0)</f>
        <v>0</v>
      </c>
      <c r="K5136" s="455">
        <f t="shared" ca="1" si="201"/>
        <v>-818084072132.15662</v>
      </c>
      <c r="L5136" s="455">
        <f t="shared" ca="1" si="202"/>
        <v>-197158261383849.75</v>
      </c>
      <c r="M5136" s="471">
        <f t="shared" si="204"/>
        <v>0.05</v>
      </c>
      <c r="N5136" s="475">
        <f t="shared" si="205"/>
        <v>207368</v>
      </c>
    </row>
    <row r="5137" spans="7:14" ht="11.25" customHeight="1" x14ac:dyDescent="0.3">
      <c r="G5137" s="470"/>
      <c r="H5137" s="470">
        <v>5130</v>
      </c>
      <c r="I5137" s="455">
        <f t="shared" ca="1" si="203"/>
        <v>-197158261383849.75</v>
      </c>
      <c r="J5137" s="455">
        <f t="array" ref="J5137">IFERROR(INDEX('Retirement Calculator'!J:J,MATCH('Isaac 401k'!N5137,'Retirement Calculator'!A:A,0),0),0)</f>
        <v>0</v>
      </c>
      <c r="K5137" s="455">
        <f t="shared" ca="1" si="201"/>
        <v>-821492755766.04065</v>
      </c>
      <c r="L5137" s="455">
        <f t="shared" ca="1" si="202"/>
        <v>-197979754139615.78</v>
      </c>
      <c r="M5137" s="471">
        <f t="shared" si="204"/>
        <v>0.05</v>
      </c>
      <c r="N5137" s="475">
        <f t="shared" si="205"/>
        <v>207399</v>
      </c>
    </row>
    <row r="5138" spans="7:14" ht="11.25" customHeight="1" x14ac:dyDescent="0.3">
      <c r="G5138" s="470"/>
      <c r="H5138" s="470">
        <v>5131</v>
      </c>
      <c r="I5138" s="455">
        <f t="shared" ca="1" si="203"/>
        <v>-197979754139615.78</v>
      </c>
      <c r="J5138" s="455">
        <f t="array" ref="J5138">IFERROR(INDEX('Retirement Calculator'!J:J,MATCH('Isaac 401k'!N5138,'Retirement Calculator'!A:A,0),0),0)</f>
        <v>0</v>
      </c>
      <c r="K5138" s="455">
        <f t="shared" ca="1" si="201"/>
        <v>-824915642248.39905</v>
      </c>
      <c r="L5138" s="455">
        <f t="shared" ca="1" si="202"/>
        <v>-198804669781864.19</v>
      </c>
      <c r="M5138" s="471">
        <f t="shared" si="204"/>
        <v>0.05</v>
      </c>
      <c r="N5138" s="475">
        <f t="shared" si="205"/>
        <v>207429</v>
      </c>
    </row>
    <row r="5139" spans="7:14" ht="11.25" customHeight="1" x14ac:dyDescent="0.3">
      <c r="G5139" s="470"/>
      <c r="H5139" s="470">
        <v>5132</v>
      </c>
      <c r="I5139" s="455">
        <f t="shared" ca="1" si="203"/>
        <v>-198804669781864.19</v>
      </c>
      <c r="J5139" s="455">
        <f t="array" ref="J5139">IFERROR(INDEX('Retirement Calculator'!J:J,MATCH('Isaac 401k'!N5139,'Retirement Calculator'!A:A,0),0),0)</f>
        <v>0</v>
      </c>
      <c r="K5139" s="455">
        <f t="shared" ca="1" si="201"/>
        <v>-828352790757.76746</v>
      </c>
      <c r="L5139" s="455">
        <f t="shared" ca="1" si="202"/>
        <v>-199633022572621.97</v>
      </c>
      <c r="M5139" s="471">
        <f t="shared" si="204"/>
        <v>0.05</v>
      </c>
      <c r="N5139" s="475">
        <f t="shared" si="205"/>
        <v>207460</v>
      </c>
    </row>
    <row r="5140" spans="7:14" ht="11.25" customHeight="1" x14ac:dyDescent="0.3">
      <c r="G5140" s="470"/>
      <c r="H5140" s="470">
        <v>5133</v>
      </c>
      <c r="I5140" s="455">
        <f t="shared" ca="1" si="203"/>
        <v>-199633022572621.97</v>
      </c>
      <c r="J5140" s="455">
        <f t="array" ref="J5140">IFERROR(INDEX('Retirement Calculator'!J:J,MATCH('Isaac 401k'!N5140,'Retirement Calculator'!A:A,0),0),0)</f>
        <v>0</v>
      </c>
      <c r="K5140" s="455">
        <f t="shared" ca="1" si="201"/>
        <v>-831804260719.25818</v>
      </c>
      <c r="L5140" s="455">
        <f t="shared" ca="1" si="202"/>
        <v>-200464826833341.22</v>
      </c>
      <c r="M5140" s="471">
        <f t="shared" si="204"/>
        <v>0.05</v>
      </c>
      <c r="N5140" s="475">
        <f t="shared" si="205"/>
        <v>207491</v>
      </c>
    </row>
    <row r="5141" spans="7:14" ht="11.25" customHeight="1" x14ac:dyDescent="0.3">
      <c r="G5141" s="470"/>
      <c r="H5141" s="470">
        <v>5134</v>
      </c>
      <c r="I5141" s="455">
        <f t="shared" ca="1" si="203"/>
        <v>-200464826833341.22</v>
      </c>
      <c r="J5141" s="455">
        <f t="array" ref="J5141">IFERROR(INDEX('Retirement Calculator'!J:J,MATCH('Isaac 401k'!N5141,'Retirement Calculator'!A:A,0),0),0)</f>
        <v>0</v>
      </c>
      <c r="K5141" s="455">
        <f t="shared" ca="1" si="201"/>
        <v>-835270111805.58838</v>
      </c>
      <c r="L5141" s="455">
        <f t="shared" ca="1" si="202"/>
        <v>-201300096945146.81</v>
      </c>
      <c r="M5141" s="471">
        <f t="shared" si="204"/>
        <v>0.05</v>
      </c>
      <c r="N5141" s="475">
        <f t="shared" si="205"/>
        <v>207520</v>
      </c>
    </row>
    <row r="5142" spans="7:14" ht="11.25" customHeight="1" x14ac:dyDescent="0.3">
      <c r="G5142" s="470"/>
      <c r="H5142" s="470">
        <v>5135</v>
      </c>
      <c r="I5142" s="455">
        <f t="shared" ca="1" si="203"/>
        <v>-201300096945146.81</v>
      </c>
      <c r="J5142" s="455">
        <f t="array" ref="J5142">IFERROR(INDEX('Retirement Calculator'!J:J,MATCH('Isaac 401k'!N5142,'Retirement Calculator'!A:A,0),0),0)</f>
        <v>0</v>
      </c>
      <c r="K5142" s="455">
        <f t="shared" ca="1" si="201"/>
        <v>-838750403938.11169</v>
      </c>
      <c r="L5142" s="455">
        <f t="shared" ca="1" si="202"/>
        <v>-202138847349084.94</v>
      </c>
      <c r="M5142" s="471">
        <f t="shared" si="204"/>
        <v>0.05</v>
      </c>
      <c r="N5142" s="475">
        <f t="shared" si="205"/>
        <v>207551</v>
      </c>
    </row>
    <row r="5143" spans="7:14" ht="11.25" customHeight="1" x14ac:dyDescent="0.3">
      <c r="G5143" s="470"/>
      <c r="H5143" s="470">
        <v>5136</v>
      </c>
      <c r="I5143" s="455">
        <f t="shared" ca="1" si="203"/>
        <v>-202138847349084.94</v>
      </c>
      <c r="J5143" s="455">
        <f t="array" ref="J5143">IFERROR(INDEX('Retirement Calculator'!J:J,MATCH('Isaac 401k'!N5143,'Retirement Calculator'!A:A,0),0),0)</f>
        <v>0</v>
      </c>
      <c r="K5143" s="455">
        <f t="shared" ca="1" si="201"/>
        <v>-842245197287.85388</v>
      </c>
      <c r="L5143" s="455">
        <f t="shared" ca="1" si="202"/>
        <v>-202981092546372.78</v>
      </c>
      <c r="M5143" s="471">
        <f t="shared" si="204"/>
        <v>0.05</v>
      </c>
      <c r="N5143" s="475">
        <f t="shared" si="205"/>
        <v>207581</v>
      </c>
    </row>
    <row r="5144" spans="7:14" ht="11.25" customHeight="1" x14ac:dyDescent="0.3">
      <c r="G5144" s="470"/>
      <c r="H5144" s="470">
        <v>5137</v>
      </c>
      <c r="I5144" s="455">
        <f t="shared" ca="1" si="203"/>
        <v>-202981092546372.78</v>
      </c>
      <c r="J5144" s="455">
        <f t="array" ref="J5144">IFERROR(INDEX('Retirement Calculator'!J:J,MATCH('Isaac 401k'!N5144,'Retirement Calculator'!A:A,0),0),0)</f>
        <v>0</v>
      </c>
      <c r="K5144" s="455">
        <f t="shared" ca="1" si="201"/>
        <v>-845754552276.55322</v>
      </c>
      <c r="L5144" s="455">
        <f t="shared" ca="1" si="202"/>
        <v>-203826847098649.34</v>
      </c>
      <c r="M5144" s="471">
        <f t="shared" si="204"/>
        <v>0.05</v>
      </c>
      <c r="N5144" s="475">
        <f t="shared" si="205"/>
        <v>207612</v>
      </c>
    </row>
    <row r="5145" spans="7:14" ht="11.25" customHeight="1" x14ac:dyDescent="0.3">
      <c r="G5145" s="470"/>
      <c r="H5145" s="470">
        <v>5138</v>
      </c>
      <c r="I5145" s="455">
        <f t="shared" ca="1" si="203"/>
        <v>-203826847098649.34</v>
      </c>
      <c r="J5145" s="455">
        <f t="array" ref="J5145">IFERROR(INDEX('Retirement Calculator'!J:J,MATCH('Isaac 401k'!N5145,'Retirement Calculator'!A:A,0),0),0)</f>
        <v>0</v>
      </c>
      <c r="K5145" s="455">
        <f t="shared" ca="1" si="201"/>
        <v>-849278529577.70557</v>
      </c>
      <c r="L5145" s="455">
        <f t="shared" ca="1" si="202"/>
        <v>-204676125628227.06</v>
      </c>
      <c r="M5145" s="471">
        <f t="shared" si="204"/>
        <v>0.05</v>
      </c>
      <c r="N5145" s="475">
        <f t="shared" si="205"/>
        <v>207642</v>
      </c>
    </row>
    <row r="5146" spans="7:14" ht="11.25" customHeight="1" x14ac:dyDescent="0.3">
      <c r="G5146" s="470"/>
      <c r="H5146" s="470">
        <v>5139</v>
      </c>
      <c r="I5146" s="455">
        <f t="shared" ca="1" si="203"/>
        <v>-204676125628227.06</v>
      </c>
      <c r="J5146" s="455">
        <f t="array" ref="J5146">IFERROR(INDEX('Retirement Calculator'!J:J,MATCH('Isaac 401k'!N5146,'Retirement Calculator'!A:A,0),0),0)</f>
        <v>0</v>
      </c>
      <c r="K5146" s="455">
        <f t="shared" ca="1" si="201"/>
        <v>-852817190117.61279</v>
      </c>
      <c r="L5146" s="455">
        <f t="shared" ca="1" si="202"/>
        <v>-205528942818344.69</v>
      </c>
      <c r="M5146" s="471">
        <f t="shared" si="204"/>
        <v>0.05</v>
      </c>
      <c r="N5146" s="475">
        <f t="shared" si="205"/>
        <v>207673</v>
      </c>
    </row>
    <row r="5147" spans="7:14" ht="11.25" customHeight="1" x14ac:dyDescent="0.3">
      <c r="G5147" s="470"/>
      <c r="H5147" s="470">
        <v>5140</v>
      </c>
      <c r="I5147" s="455">
        <f t="shared" ca="1" si="203"/>
        <v>-205528942818344.69</v>
      </c>
      <c r="J5147" s="455">
        <f t="array" ref="J5147">IFERROR(INDEX('Retirement Calculator'!J:J,MATCH('Isaac 401k'!N5147,'Retirement Calculator'!A:A,0),0),0)</f>
        <v>0</v>
      </c>
      <c r="K5147" s="455">
        <f t="shared" ca="1" si="201"/>
        <v>-856370595076.43616</v>
      </c>
      <c r="L5147" s="455">
        <f t="shared" ca="1" si="202"/>
        <v>-206385313413421.13</v>
      </c>
      <c r="M5147" s="471">
        <f t="shared" si="204"/>
        <v>0.05</v>
      </c>
      <c r="N5147" s="475">
        <f t="shared" si="205"/>
        <v>207704</v>
      </c>
    </row>
    <row r="5148" spans="7:14" ht="11.25" customHeight="1" x14ac:dyDescent="0.3">
      <c r="G5148" s="470"/>
      <c r="H5148" s="470">
        <v>5141</v>
      </c>
      <c r="I5148" s="455">
        <f t="shared" ca="1" si="203"/>
        <v>-206385313413421.13</v>
      </c>
      <c r="J5148" s="455">
        <f t="array" ref="J5148">IFERROR(INDEX('Retirement Calculator'!J:J,MATCH('Isaac 401k'!N5148,'Retirement Calculator'!A:A,0),0),0)</f>
        <v>0</v>
      </c>
      <c r="K5148" s="455">
        <f t="shared" ca="1" si="201"/>
        <v>-859938805889.25464</v>
      </c>
      <c r="L5148" s="455">
        <f t="shared" ca="1" si="202"/>
        <v>-207245252219310.38</v>
      </c>
      <c r="M5148" s="471">
        <f t="shared" si="204"/>
        <v>0.05</v>
      </c>
      <c r="N5148" s="475">
        <f t="shared" si="205"/>
        <v>207734</v>
      </c>
    </row>
    <row r="5149" spans="7:14" ht="11.25" customHeight="1" x14ac:dyDescent="0.3">
      <c r="G5149" s="470"/>
      <c r="H5149" s="470">
        <v>5142</v>
      </c>
      <c r="I5149" s="455">
        <f t="shared" ca="1" si="203"/>
        <v>-207245252219310.38</v>
      </c>
      <c r="J5149" s="455">
        <f t="array" ref="J5149">IFERROR(INDEX('Retirement Calculator'!J:J,MATCH('Isaac 401k'!N5149,'Retirement Calculator'!A:A,0),0),0)</f>
        <v>0</v>
      </c>
      <c r="K5149" s="455">
        <f t="shared" ca="1" si="201"/>
        <v>-863521884247.12659</v>
      </c>
      <c r="L5149" s="455">
        <f t="shared" ca="1" si="202"/>
        <v>-208108774103557.5</v>
      </c>
      <c r="M5149" s="471">
        <f t="shared" si="204"/>
        <v>0.05</v>
      </c>
      <c r="N5149" s="475">
        <f t="shared" si="205"/>
        <v>207765</v>
      </c>
    </row>
    <row r="5150" spans="7:14" ht="11.25" customHeight="1" x14ac:dyDescent="0.3">
      <c r="G5150" s="470"/>
      <c r="H5150" s="470">
        <v>5143</v>
      </c>
      <c r="I5150" s="455">
        <f t="shared" ca="1" si="203"/>
        <v>-208108774103557.5</v>
      </c>
      <c r="J5150" s="455">
        <f t="array" ref="J5150">IFERROR(INDEX('Retirement Calculator'!J:J,MATCH('Isaac 401k'!N5150,'Retirement Calculator'!A:A,0),0),0)</f>
        <v>0</v>
      </c>
      <c r="K5150" s="455">
        <f t="shared" ca="1" si="201"/>
        <v>-867119892098.15625</v>
      </c>
      <c r="L5150" s="455">
        <f t="shared" ca="1" si="202"/>
        <v>-208975893995655.66</v>
      </c>
      <c r="M5150" s="471">
        <f t="shared" si="204"/>
        <v>0.05</v>
      </c>
      <c r="N5150" s="475">
        <f t="shared" si="205"/>
        <v>207795</v>
      </c>
    </row>
    <row r="5151" spans="7:14" ht="11.25" customHeight="1" x14ac:dyDescent="0.3">
      <c r="G5151" s="470"/>
      <c r="H5151" s="470">
        <v>5144</v>
      </c>
      <c r="I5151" s="455">
        <f t="shared" ca="1" si="203"/>
        <v>-208975893995655.66</v>
      </c>
      <c r="J5151" s="455">
        <f t="array" ref="J5151">IFERROR(INDEX('Retirement Calculator'!J:J,MATCH('Isaac 401k'!N5151,'Retirement Calculator'!A:A,0),0),0)</f>
        <v>0</v>
      </c>
      <c r="K5151" s="455">
        <f t="shared" ca="1" si="201"/>
        <v>-870732891648.56519</v>
      </c>
      <c r="L5151" s="455">
        <f t="shared" ca="1" si="202"/>
        <v>-209846626887304.22</v>
      </c>
      <c r="M5151" s="471">
        <f t="shared" si="204"/>
        <v>0.05</v>
      </c>
      <c r="N5151" s="475">
        <f t="shared" si="205"/>
        <v>207826</v>
      </c>
    </row>
    <row r="5152" spans="7:14" ht="11.25" customHeight="1" x14ac:dyDescent="0.3">
      <c r="G5152" s="470"/>
      <c r="H5152" s="470">
        <v>5145</v>
      </c>
      <c r="I5152" s="455">
        <f t="shared" ca="1" si="203"/>
        <v>-209846626887304.22</v>
      </c>
      <c r="J5152" s="455">
        <f t="array" ref="J5152">IFERROR(INDEX('Retirement Calculator'!J:J,MATCH('Isaac 401k'!N5152,'Retirement Calculator'!A:A,0),0),0)</f>
        <v>0</v>
      </c>
      <c r="K5152" s="455">
        <f t="shared" ca="1" si="201"/>
        <v>-874360945363.76758</v>
      </c>
      <c r="L5152" s="455">
        <f t="shared" ca="1" si="202"/>
        <v>-210720987832668</v>
      </c>
      <c r="M5152" s="471">
        <f t="shared" si="204"/>
        <v>0.05</v>
      </c>
      <c r="N5152" s="475">
        <f t="shared" si="205"/>
        <v>207857</v>
      </c>
    </row>
    <row r="5153" spans="7:14" ht="11.25" customHeight="1" x14ac:dyDescent="0.3">
      <c r="G5153" s="470"/>
      <c r="H5153" s="470">
        <v>5146</v>
      </c>
      <c r="I5153" s="455">
        <f t="shared" ca="1" si="203"/>
        <v>-210720987832668</v>
      </c>
      <c r="J5153" s="455">
        <f t="array" ref="J5153">IFERROR(INDEX('Retirement Calculator'!J:J,MATCH('Isaac 401k'!N5153,'Retirement Calculator'!A:A,0),0),0)</f>
        <v>0</v>
      </c>
      <c r="K5153" s="455">
        <f t="shared" ca="1" si="201"/>
        <v>-878004115969.44995</v>
      </c>
      <c r="L5153" s="455">
        <f t="shared" ca="1" si="202"/>
        <v>-211598991948637.44</v>
      </c>
      <c r="M5153" s="471">
        <f t="shared" si="204"/>
        <v>0.05</v>
      </c>
      <c r="N5153" s="475">
        <f t="shared" si="205"/>
        <v>207885</v>
      </c>
    </row>
    <row r="5154" spans="7:14" ht="11.25" customHeight="1" x14ac:dyDescent="0.3">
      <c r="G5154" s="470"/>
      <c r="H5154" s="470">
        <v>5147</v>
      </c>
      <c r="I5154" s="455">
        <f t="shared" ca="1" si="203"/>
        <v>-211598991948637.44</v>
      </c>
      <c r="J5154" s="455">
        <f t="array" ref="J5154">IFERROR(INDEX('Retirement Calculator'!J:J,MATCH('Isaac 401k'!N5154,'Retirement Calculator'!A:A,0),0),0)</f>
        <v>0</v>
      </c>
      <c r="K5154" s="455">
        <f t="shared" ca="1" si="201"/>
        <v>-881662466452.65601</v>
      </c>
      <c r="L5154" s="455">
        <f t="shared" ca="1" si="202"/>
        <v>-212480654415090.09</v>
      </c>
      <c r="M5154" s="471">
        <f t="shared" si="204"/>
        <v>0.05</v>
      </c>
      <c r="N5154" s="475">
        <f t="shared" si="205"/>
        <v>207916</v>
      </c>
    </row>
    <row r="5155" spans="7:14" ht="11.25" customHeight="1" x14ac:dyDescent="0.3">
      <c r="G5155" s="470"/>
      <c r="H5155" s="470">
        <v>5148</v>
      </c>
      <c r="I5155" s="455">
        <f t="shared" ca="1" si="203"/>
        <v>-212480654415090.09</v>
      </c>
      <c r="J5155" s="455">
        <f t="array" ref="J5155">IFERROR(INDEX('Retirement Calculator'!J:J,MATCH('Isaac 401k'!N5155,'Retirement Calculator'!A:A,0),0),0)</f>
        <v>0</v>
      </c>
      <c r="K5155" s="455">
        <f t="shared" ca="1" si="201"/>
        <v>-885336060062.87537</v>
      </c>
      <c r="L5155" s="455">
        <f t="shared" ca="1" si="202"/>
        <v>-213365990475152.97</v>
      </c>
      <c r="M5155" s="471">
        <f t="shared" si="204"/>
        <v>0.05</v>
      </c>
      <c r="N5155" s="475">
        <f t="shared" si="205"/>
        <v>207946</v>
      </c>
    </row>
    <row r="5156" spans="7:14" ht="11.25" customHeight="1" x14ac:dyDescent="0.3">
      <c r="G5156" s="470"/>
      <c r="H5156" s="470">
        <v>5149</v>
      </c>
      <c r="I5156" s="455">
        <f t="shared" ca="1" si="203"/>
        <v>-213365990475152.97</v>
      </c>
      <c r="J5156" s="455">
        <f t="array" ref="J5156">IFERROR(INDEX('Retirement Calculator'!J:J,MATCH('Isaac 401k'!N5156,'Retirement Calculator'!A:A,0),0),0)</f>
        <v>0</v>
      </c>
      <c r="K5156" s="455">
        <f t="shared" ca="1" si="201"/>
        <v>-889024960313.13733</v>
      </c>
      <c r="L5156" s="455">
        <f t="shared" ca="1" si="202"/>
        <v>-214255015435466.09</v>
      </c>
      <c r="M5156" s="471">
        <f t="shared" si="204"/>
        <v>0.05</v>
      </c>
      <c r="N5156" s="475">
        <f t="shared" si="205"/>
        <v>207977</v>
      </c>
    </row>
    <row r="5157" spans="7:14" ht="11.25" customHeight="1" x14ac:dyDescent="0.3">
      <c r="G5157" s="470"/>
      <c r="H5157" s="470">
        <v>5150</v>
      </c>
      <c r="I5157" s="455">
        <f t="shared" ca="1" si="203"/>
        <v>-214255015435466.09</v>
      </c>
      <c r="J5157" s="455">
        <f t="array" ref="J5157">IFERROR(INDEX('Retirement Calculator'!J:J,MATCH('Isaac 401k'!N5157,'Retirement Calculator'!A:A,0),0),0)</f>
        <v>0</v>
      </c>
      <c r="K5157" s="455">
        <f t="shared" ca="1" si="201"/>
        <v>-892729230981.10876</v>
      </c>
      <c r="L5157" s="455">
        <f t="shared" ca="1" si="202"/>
        <v>-215147744666447.19</v>
      </c>
      <c r="M5157" s="471">
        <f t="shared" si="204"/>
        <v>0.05</v>
      </c>
      <c r="N5157" s="475">
        <f t="shared" si="205"/>
        <v>208007</v>
      </c>
    </row>
    <row r="5158" spans="7:14" ht="11.25" customHeight="1" x14ac:dyDescent="0.3">
      <c r="G5158" s="470"/>
      <c r="H5158" s="470">
        <v>5151</v>
      </c>
      <c r="I5158" s="455">
        <f t="shared" ca="1" si="203"/>
        <v>-215147744666447.19</v>
      </c>
      <c r="J5158" s="455">
        <f t="array" ref="J5158">IFERROR(INDEX('Retirement Calculator'!J:J,MATCH('Isaac 401k'!N5158,'Retirement Calculator'!A:A,0),0),0)</f>
        <v>0</v>
      </c>
      <c r="K5158" s="455">
        <f t="shared" ca="1" si="201"/>
        <v>-896448936110.19666</v>
      </c>
      <c r="L5158" s="455">
        <f t="shared" ca="1" si="202"/>
        <v>-216044193602557.38</v>
      </c>
      <c r="M5158" s="471">
        <f t="shared" si="204"/>
        <v>0.05</v>
      </c>
      <c r="N5158" s="475">
        <f t="shared" si="205"/>
        <v>208038</v>
      </c>
    </row>
    <row r="5159" spans="7:14" ht="11.25" customHeight="1" x14ac:dyDescent="0.3">
      <c r="G5159" s="470"/>
      <c r="H5159" s="470">
        <v>5152</v>
      </c>
      <c r="I5159" s="455">
        <f t="shared" ca="1" si="203"/>
        <v>-216044193602557.38</v>
      </c>
      <c r="J5159" s="455">
        <f t="array" ref="J5159">IFERROR(INDEX('Retirement Calculator'!J:J,MATCH('Isaac 401k'!N5159,'Retirement Calculator'!A:A,0),0),0)</f>
        <v>0</v>
      </c>
      <c r="K5159" s="455">
        <f t="shared" ca="1" si="201"/>
        <v>-900184140010.65576</v>
      </c>
      <c r="L5159" s="455">
        <f t="shared" ca="1" si="202"/>
        <v>-216944377742568.03</v>
      </c>
      <c r="M5159" s="471">
        <f t="shared" si="204"/>
        <v>0.05</v>
      </c>
      <c r="N5159" s="475">
        <f t="shared" si="205"/>
        <v>208069</v>
      </c>
    </row>
    <row r="5160" spans="7:14" ht="11.25" customHeight="1" x14ac:dyDescent="0.3">
      <c r="G5160" s="470"/>
      <c r="H5160" s="470">
        <v>5153</v>
      </c>
      <c r="I5160" s="455">
        <f t="shared" ca="1" si="203"/>
        <v>-216944377742568.03</v>
      </c>
      <c r="J5160" s="455">
        <f t="array" ref="J5160">IFERROR(INDEX('Retirement Calculator'!J:J,MATCH('Isaac 401k'!N5160,'Retirement Calculator'!A:A,0),0),0)</f>
        <v>0</v>
      </c>
      <c r="K5160" s="455">
        <f t="shared" ca="1" si="201"/>
        <v>-903934907260.70007</v>
      </c>
      <c r="L5160" s="455">
        <f t="shared" ca="1" si="202"/>
        <v>-217848312649828.72</v>
      </c>
      <c r="M5160" s="471">
        <f t="shared" si="204"/>
        <v>0.05</v>
      </c>
      <c r="N5160" s="475">
        <f t="shared" si="205"/>
        <v>208099</v>
      </c>
    </row>
    <row r="5161" spans="7:14" ht="11.25" customHeight="1" x14ac:dyDescent="0.3">
      <c r="G5161" s="470"/>
      <c r="H5161" s="470">
        <v>5154</v>
      </c>
      <c r="I5161" s="455">
        <f t="shared" ca="1" si="203"/>
        <v>-217848312649828.72</v>
      </c>
      <c r="J5161" s="455">
        <f t="array" ref="J5161">IFERROR(INDEX('Retirement Calculator'!J:J,MATCH('Isaac 401k'!N5161,'Retirement Calculator'!A:A,0),0),0)</f>
        <v>0</v>
      </c>
      <c r="K5161" s="455">
        <f t="shared" ca="1" si="201"/>
        <v>-907701302707.61963</v>
      </c>
      <c r="L5161" s="455">
        <f t="shared" ca="1" si="202"/>
        <v>-218756013952536.34</v>
      </c>
      <c r="M5161" s="471">
        <f t="shared" si="204"/>
        <v>0.05</v>
      </c>
      <c r="N5161" s="475">
        <f t="shared" si="205"/>
        <v>208130</v>
      </c>
    </row>
    <row r="5162" spans="7:14" ht="11.25" customHeight="1" x14ac:dyDescent="0.3">
      <c r="G5162" s="470"/>
      <c r="H5162" s="470">
        <v>5155</v>
      </c>
      <c r="I5162" s="455">
        <f t="shared" ca="1" si="203"/>
        <v>-218756013952536.34</v>
      </c>
      <c r="J5162" s="455">
        <f t="array" ref="J5162">IFERROR(INDEX('Retirement Calculator'!J:J,MATCH('Isaac 401k'!N5162,'Retirement Calculator'!A:A,0),0),0)</f>
        <v>0</v>
      </c>
      <c r="K5162" s="455">
        <f t="shared" ca="1" si="201"/>
        <v>-911483391468.90137</v>
      </c>
      <c r="L5162" s="455">
        <f t="shared" ca="1" si="202"/>
        <v>-219667497344005.25</v>
      </c>
      <c r="M5162" s="471">
        <f t="shared" si="204"/>
        <v>0.05</v>
      </c>
      <c r="N5162" s="475">
        <f t="shared" si="205"/>
        <v>208160</v>
      </c>
    </row>
    <row r="5163" spans="7:14" ht="11.25" customHeight="1" x14ac:dyDescent="0.3">
      <c r="G5163" s="470"/>
      <c r="H5163" s="470">
        <v>5156</v>
      </c>
      <c r="I5163" s="455">
        <f t="shared" ca="1" si="203"/>
        <v>-219667497344005.25</v>
      </c>
      <c r="J5163" s="455">
        <f t="array" ref="J5163">IFERROR(INDEX('Retirement Calculator'!J:J,MATCH('Isaac 401k'!N5163,'Retirement Calculator'!A:A,0),0),0)</f>
        <v>0</v>
      </c>
      <c r="K5163" s="455">
        <f t="shared" ca="1" si="201"/>
        <v>-915281238933.3551</v>
      </c>
      <c r="L5163" s="455">
        <f t="shared" ca="1" si="202"/>
        <v>-220582778582938.59</v>
      </c>
      <c r="M5163" s="471">
        <f t="shared" si="204"/>
        <v>0.05</v>
      </c>
      <c r="N5163" s="475">
        <f t="shared" si="205"/>
        <v>208191</v>
      </c>
    </row>
    <row r="5164" spans="7:14" ht="11.25" customHeight="1" x14ac:dyDescent="0.3">
      <c r="G5164" s="470"/>
      <c r="H5164" s="470">
        <v>5157</v>
      </c>
      <c r="I5164" s="455">
        <f t="shared" ca="1" si="203"/>
        <v>-220582778582938.59</v>
      </c>
      <c r="J5164" s="455">
        <f t="array" ref="J5164">IFERROR(INDEX('Retirement Calculator'!J:J,MATCH('Isaac 401k'!N5164,'Retirement Calculator'!A:A,0),0),0)</f>
        <v>0</v>
      </c>
      <c r="K5164" s="455">
        <f t="shared" ca="1" si="201"/>
        <v>-919094910762.24414</v>
      </c>
      <c r="L5164" s="455">
        <f t="shared" ca="1" si="202"/>
        <v>-221501873493700.84</v>
      </c>
      <c r="M5164" s="471">
        <f t="shared" si="204"/>
        <v>0.05</v>
      </c>
      <c r="N5164" s="475">
        <f t="shared" si="205"/>
        <v>208222</v>
      </c>
    </row>
    <row r="5165" spans="7:14" ht="11.25" customHeight="1" x14ac:dyDescent="0.3">
      <c r="G5165" s="470"/>
      <c r="H5165" s="470">
        <v>5158</v>
      </c>
      <c r="I5165" s="455">
        <f t="shared" ca="1" si="203"/>
        <v>-221501873493700.84</v>
      </c>
      <c r="J5165" s="455">
        <f t="array" ref="J5165">IFERROR(INDEX('Retirement Calculator'!J:J,MATCH('Isaac 401k'!N5165,'Retirement Calculator'!A:A,0),0),0)</f>
        <v>0</v>
      </c>
      <c r="K5165" s="455">
        <f t="shared" ca="1" si="201"/>
        <v>-922924472890.42017</v>
      </c>
      <c r="L5165" s="455">
        <f t="shared" ca="1" si="202"/>
        <v>-222424797966591.25</v>
      </c>
      <c r="M5165" s="471">
        <f t="shared" si="204"/>
        <v>0.05</v>
      </c>
      <c r="N5165" s="475">
        <f t="shared" si="205"/>
        <v>208250</v>
      </c>
    </row>
    <row r="5166" spans="7:14" ht="11.25" customHeight="1" x14ac:dyDescent="0.3">
      <c r="G5166" s="470"/>
      <c r="H5166" s="470">
        <v>5159</v>
      </c>
      <c r="I5166" s="455">
        <f t="shared" ca="1" si="203"/>
        <v>-222424797966591.25</v>
      </c>
      <c r="J5166" s="455">
        <f t="array" ref="J5166">IFERROR(INDEX('Retirement Calculator'!J:J,MATCH('Isaac 401k'!N5166,'Retirement Calculator'!A:A,0),0),0)</f>
        <v>0</v>
      </c>
      <c r="K5166" s="455">
        <f t="shared" ca="1" si="201"/>
        <v>-926769991527.4635</v>
      </c>
      <c r="L5166" s="455">
        <f t="shared" ca="1" si="202"/>
        <v>-223351567958118.72</v>
      </c>
      <c r="M5166" s="471">
        <f t="shared" si="204"/>
        <v>0.05</v>
      </c>
      <c r="N5166" s="475">
        <f t="shared" si="205"/>
        <v>208281</v>
      </c>
    </row>
    <row r="5167" spans="7:14" ht="11.25" customHeight="1" x14ac:dyDescent="0.3">
      <c r="G5167" s="470"/>
      <c r="H5167" s="470">
        <v>5160</v>
      </c>
      <c r="I5167" s="455">
        <f t="shared" ca="1" si="203"/>
        <v>-223351567958118.72</v>
      </c>
      <c r="J5167" s="455">
        <f t="array" ref="J5167">IFERROR(INDEX('Retirement Calculator'!J:J,MATCH('Isaac 401k'!N5167,'Retirement Calculator'!A:A,0),0),0)</f>
        <v>0</v>
      </c>
      <c r="K5167" s="455">
        <f t="shared" ca="1" si="201"/>
        <v>-930631533158.82788</v>
      </c>
      <c r="L5167" s="455">
        <f t="shared" ca="1" si="202"/>
        <v>-224282199491277.53</v>
      </c>
      <c r="M5167" s="471">
        <f t="shared" si="204"/>
        <v>0.05</v>
      </c>
      <c r="N5167" s="475">
        <f t="shared" si="205"/>
        <v>208311</v>
      </c>
    </row>
    <row r="5168" spans="7:14" ht="11.25" customHeight="1" x14ac:dyDescent="0.3">
      <c r="G5168" s="470"/>
      <c r="H5168" s="470">
        <v>5161</v>
      </c>
      <c r="I5168" s="455">
        <f t="shared" ca="1" si="203"/>
        <v>-224282199491277.53</v>
      </c>
      <c r="J5168" s="455">
        <f t="array" ref="J5168">IFERROR(INDEX('Retirement Calculator'!J:J,MATCH('Isaac 401k'!N5168,'Retirement Calculator'!A:A,0),0),0)</f>
        <v>0</v>
      </c>
      <c r="K5168" s="455">
        <f t="shared" ca="1" si="201"/>
        <v>-934509164546.98975</v>
      </c>
      <c r="L5168" s="455">
        <f t="shared" ca="1" si="202"/>
        <v>-225216708655824.53</v>
      </c>
      <c r="M5168" s="471">
        <f t="shared" si="204"/>
        <v>0.05</v>
      </c>
      <c r="N5168" s="475">
        <f t="shared" si="205"/>
        <v>208342</v>
      </c>
    </row>
    <row r="5169" spans="7:14" ht="11.25" customHeight="1" x14ac:dyDescent="0.3">
      <c r="G5169" s="470"/>
      <c r="H5169" s="470">
        <v>5162</v>
      </c>
      <c r="I5169" s="455">
        <f t="shared" ca="1" si="203"/>
        <v>-225216708655824.53</v>
      </c>
      <c r="J5169" s="455">
        <f t="array" ref="J5169">IFERROR(INDEX('Retirement Calculator'!J:J,MATCH('Isaac 401k'!N5169,'Retirement Calculator'!A:A,0),0),0)</f>
        <v>0</v>
      </c>
      <c r="K5169" s="455">
        <f t="shared" ca="1" si="201"/>
        <v>-938402952732.60205</v>
      </c>
      <c r="L5169" s="455">
        <f t="shared" ca="1" si="202"/>
        <v>-226155111608557.13</v>
      </c>
      <c r="M5169" s="471">
        <f t="shared" si="204"/>
        <v>0.05</v>
      </c>
      <c r="N5169" s="475">
        <f t="shared" si="205"/>
        <v>208372</v>
      </c>
    </row>
    <row r="5170" spans="7:14" ht="11.25" customHeight="1" x14ac:dyDescent="0.3">
      <c r="G5170" s="470"/>
      <c r="H5170" s="470">
        <v>5163</v>
      </c>
      <c r="I5170" s="455">
        <f t="shared" ca="1" si="203"/>
        <v>-226155111608557.13</v>
      </c>
      <c r="J5170" s="455">
        <f t="array" ref="J5170">IFERROR(INDEX('Retirement Calculator'!J:J,MATCH('Isaac 401k'!N5170,'Retirement Calculator'!A:A,0),0),0)</f>
        <v>0</v>
      </c>
      <c r="K5170" s="455">
        <f t="shared" ca="1" si="201"/>
        <v>-942312965035.65466</v>
      </c>
      <c r="L5170" s="455">
        <f t="shared" ca="1" si="202"/>
        <v>-227097424573592.78</v>
      </c>
      <c r="M5170" s="471">
        <f t="shared" si="204"/>
        <v>0.05</v>
      </c>
      <c r="N5170" s="475">
        <f t="shared" si="205"/>
        <v>208403</v>
      </c>
    </row>
    <row r="5171" spans="7:14" ht="11.25" customHeight="1" x14ac:dyDescent="0.3">
      <c r="G5171" s="470"/>
      <c r="H5171" s="470">
        <v>5164</v>
      </c>
      <c r="I5171" s="455">
        <f t="shared" ca="1" si="203"/>
        <v>-227097424573592.78</v>
      </c>
      <c r="J5171" s="455">
        <f t="array" ref="J5171">IFERROR(INDEX('Retirement Calculator'!J:J,MATCH('Isaac 401k'!N5171,'Retirement Calculator'!A:A,0),0),0)</f>
        <v>0</v>
      </c>
      <c r="K5171" s="455">
        <f t="shared" ca="1" si="201"/>
        <v>-946239269056.63672</v>
      </c>
      <c r="L5171" s="455">
        <f t="shared" ca="1" si="202"/>
        <v>-228043663842649.41</v>
      </c>
      <c r="M5171" s="471">
        <f t="shared" si="204"/>
        <v>0.05</v>
      </c>
      <c r="N5171" s="475">
        <f t="shared" si="205"/>
        <v>208434</v>
      </c>
    </row>
    <row r="5172" spans="7:14" ht="11.25" customHeight="1" x14ac:dyDescent="0.3">
      <c r="G5172" s="470"/>
      <c r="H5172" s="470">
        <v>5165</v>
      </c>
      <c r="I5172" s="455">
        <f t="shared" ca="1" si="203"/>
        <v>-228043663842649.41</v>
      </c>
      <c r="J5172" s="455">
        <f t="array" ref="J5172">IFERROR(INDEX('Retirement Calculator'!J:J,MATCH('Isaac 401k'!N5172,'Retirement Calculator'!A:A,0),0),0)</f>
        <v>0</v>
      </c>
      <c r="K5172" s="455">
        <f t="shared" ca="1" si="201"/>
        <v>-950181932677.70581</v>
      </c>
      <c r="L5172" s="455">
        <f t="shared" ca="1" si="202"/>
        <v>-228993845775327.13</v>
      </c>
      <c r="M5172" s="471">
        <f t="shared" si="204"/>
        <v>0.05</v>
      </c>
      <c r="N5172" s="475">
        <f t="shared" si="205"/>
        <v>208464</v>
      </c>
    </row>
    <row r="5173" spans="7:14" ht="11.25" customHeight="1" x14ac:dyDescent="0.3">
      <c r="G5173" s="470"/>
      <c r="H5173" s="470">
        <v>5166</v>
      </c>
      <c r="I5173" s="455">
        <f t="shared" ca="1" si="203"/>
        <v>-228993845775327.13</v>
      </c>
      <c r="J5173" s="455">
        <f t="array" ref="J5173">IFERROR(INDEX('Retirement Calculator'!J:J,MATCH('Isaac 401k'!N5173,'Retirement Calculator'!A:A,0),0),0)</f>
        <v>0</v>
      </c>
      <c r="K5173" s="455">
        <f t="shared" ca="1" si="201"/>
        <v>-954141024063.86304</v>
      </c>
      <c r="L5173" s="455">
        <f t="shared" ca="1" si="202"/>
        <v>-229947986799391</v>
      </c>
      <c r="M5173" s="471">
        <f t="shared" si="204"/>
        <v>0.05</v>
      </c>
      <c r="N5173" s="475">
        <f t="shared" si="205"/>
        <v>208495</v>
      </c>
    </row>
    <row r="5174" spans="7:14" ht="11.25" customHeight="1" x14ac:dyDescent="0.3">
      <c r="G5174" s="470"/>
      <c r="H5174" s="470">
        <v>5167</v>
      </c>
      <c r="I5174" s="455">
        <f t="shared" ca="1" si="203"/>
        <v>-229947986799391</v>
      </c>
      <c r="J5174" s="455">
        <f t="array" ref="J5174">IFERROR(INDEX('Retirement Calculator'!J:J,MATCH('Isaac 401k'!N5174,'Retirement Calculator'!A:A,0),0),0)</f>
        <v>0</v>
      </c>
      <c r="K5174" s="455">
        <f t="shared" ca="1" si="201"/>
        <v>-958116611664.12915</v>
      </c>
      <c r="L5174" s="455">
        <f t="shared" ca="1" si="202"/>
        <v>-230906103411055.13</v>
      </c>
      <c r="M5174" s="471">
        <f t="shared" si="204"/>
        <v>0.05</v>
      </c>
      <c r="N5174" s="475">
        <f t="shared" si="205"/>
        <v>208525</v>
      </c>
    </row>
    <row r="5175" spans="7:14" ht="11.25" customHeight="1" x14ac:dyDescent="0.3">
      <c r="G5175" s="470"/>
      <c r="H5175" s="470">
        <v>5168</v>
      </c>
      <c r="I5175" s="455">
        <f t="shared" ca="1" si="203"/>
        <v>-230906103411055.13</v>
      </c>
      <c r="J5175" s="455">
        <f t="array" ref="J5175">IFERROR(INDEX('Retirement Calculator'!J:J,MATCH('Isaac 401k'!N5175,'Retirement Calculator'!A:A,0),0),0)</f>
        <v>0</v>
      </c>
      <c r="K5175" s="455">
        <f t="shared" ca="1" si="201"/>
        <v>-962108764212.72961</v>
      </c>
      <c r="L5175" s="455">
        <f t="shared" ca="1" si="202"/>
        <v>-231868212175267.84</v>
      </c>
      <c r="M5175" s="471">
        <f t="shared" si="204"/>
        <v>0.05</v>
      </c>
      <c r="N5175" s="475">
        <f t="shared" si="205"/>
        <v>208556</v>
      </c>
    </row>
    <row r="5176" spans="7:14" ht="11.25" customHeight="1" x14ac:dyDescent="0.3">
      <c r="G5176" s="470"/>
      <c r="H5176" s="470">
        <v>5169</v>
      </c>
      <c r="I5176" s="455">
        <f t="shared" ca="1" si="203"/>
        <v>-231868212175267.84</v>
      </c>
      <c r="J5176" s="455">
        <f t="array" ref="J5176">IFERROR(INDEX('Retirement Calculator'!J:J,MATCH('Isaac 401k'!N5176,'Retirement Calculator'!A:A,0),0),0)</f>
        <v>0</v>
      </c>
      <c r="K5176" s="455">
        <f t="shared" ca="1" si="201"/>
        <v>-966117550730.28271</v>
      </c>
      <c r="L5176" s="455">
        <f t="shared" ca="1" si="202"/>
        <v>-232834329725998.13</v>
      </c>
      <c r="M5176" s="471">
        <f t="shared" si="204"/>
        <v>0.05</v>
      </c>
      <c r="N5176" s="475">
        <f t="shared" si="205"/>
        <v>208587</v>
      </c>
    </row>
    <row r="5177" spans="7:14" ht="11.25" customHeight="1" x14ac:dyDescent="0.3">
      <c r="G5177" s="470"/>
      <c r="H5177" s="470">
        <v>5170</v>
      </c>
      <c r="I5177" s="455">
        <f t="shared" ca="1" si="203"/>
        <v>-232834329725998.13</v>
      </c>
      <c r="J5177" s="455">
        <f t="array" ref="J5177">IFERROR(INDEX('Retirement Calculator'!J:J,MATCH('Isaac 401k'!N5177,'Retirement Calculator'!A:A,0),0),0)</f>
        <v>0</v>
      </c>
      <c r="K5177" s="455">
        <f t="shared" ca="1" si="201"/>
        <v>-970143040524.99207</v>
      </c>
      <c r="L5177" s="455">
        <f t="shared" ca="1" si="202"/>
        <v>-233804472766523.13</v>
      </c>
      <c r="M5177" s="471">
        <f t="shared" si="204"/>
        <v>0.05</v>
      </c>
      <c r="N5177" s="475">
        <f t="shared" si="205"/>
        <v>208615</v>
      </c>
    </row>
    <row r="5178" spans="7:14" ht="11.25" customHeight="1" x14ac:dyDescent="0.3">
      <c r="G5178" s="470"/>
      <c r="H5178" s="470">
        <v>5171</v>
      </c>
      <c r="I5178" s="455">
        <f t="shared" ca="1" si="203"/>
        <v>-233804472766523.13</v>
      </c>
      <c r="J5178" s="455">
        <f t="array" ref="J5178">IFERROR(INDEX('Retirement Calculator'!J:J,MATCH('Isaac 401k'!N5178,'Retirement Calculator'!A:A,0),0),0)</f>
        <v>0</v>
      </c>
      <c r="K5178" s="455">
        <f t="shared" ca="1" si="201"/>
        <v>-974185303193.84631</v>
      </c>
      <c r="L5178" s="455">
        <f t="shared" ca="1" si="202"/>
        <v>-234778658069716.97</v>
      </c>
      <c r="M5178" s="471">
        <f t="shared" si="204"/>
        <v>0.05</v>
      </c>
      <c r="N5178" s="475">
        <f t="shared" si="205"/>
        <v>208646</v>
      </c>
    </row>
    <row r="5179" spans="7:14" ht="11.25" customHeight="1" x14ac:dyDescent="0.3">
      <c r="G5179" s="470"/>
      <c r="H5179" s="470">
        <v>5172</v>
      </c>
      <c r="I5179" s="455">
        <f t="shared" ca="1" si="203"/>
        <v>-234778658069716.97</v>
      </c>
      <c r="J5179" s="455">
        <f t="array" ref="J5179">IFERROR(INDEX('Retirement Calculator'!J:J,MATCH('Isaac 401k'!N5179,'Retirement Calculator'!A:A,0),0),0)</f>
        <v>0</v>
      </c>
      <c r="K5179" s="455">
        <f t="shared" ca="1" si="201"/>
        <v>-978244408623.82068</v>
      </c>
      <c r="L5179" s="455">
        <f t="shared" ca="1" si="202"/>
        <v>-235756902478340.78</v>
      </c>
      <c r="M5179" s="471">
        <f t="shared" si="204"/>
        <v>0.05</v>
      </c>
      <c r="N5179" s="475">
        <f t="shared" si="205"/>
        <v>208676</v>
      </c>
    </row>
    <row r="5180" spans="7:14" ht="11.25" customHeight="1" x14ac:dyDescent="0.3">
      <c r="G5180" s="470"/>
      <c r="H5180" s="470">
        <v>5173</v>
      </c>
      <c r="I5180" s="455">
        <f t="shared" ca="1" si="203"/>
        <v>-235756902478340.78</v>
      </c>
      <c r="J5180" s="455">
        <f t="array" ref="J5180">IFERROR(INDEX('Retirement Calculator'!J:J,MATCH('Isaac 401k'!N5180,'Retirement Calculator'!A:A,0),0),0)</f>
        <v>0</v>
      </c>
      <c r="K5180" s="455">
        <f t="shared" ca="1" si="201"/>
        <v>-982320426993.08655</v>
      </c>
      <c r="L5180" s="455">
        <f t="shared" ca="1" si="202"/>
        <v>-236739222905333.88</v>
      </c>
      <c r="M5180" s="471">
        <f t="shared" si="204"/>
        <v>0.05</v>
      </c>
      <c r="N5180" s="475">
        <f t="shared" si="205"/>
        <v>208707</v>
      </c>
    </row>
    <row r="5181" spans="7:14" ht="11.25" customHeight="1" x14ac:dyDescent="0.3">
      <c r="G5181" s="470"/>
      <c r="H5181" s="470">
        <v>5174</v>
      </c>
      <c r="I5181" s="455">
        <f t="shared" ca="1" si="203"/>
        <v>-236739222905333.88</v>
      </c>
      <c r="J5181" s="455">
        <f t="array" ref="J5181">IFERROR(INDEX('Retirement Calculator'!J:J,MATCH('Isaac 401k'!N5181,'Retirement Calculator'!A:A,0),0),0)</f>
        <v>0</v>
      </c>
      <c r="K5181" s="455">
        <f t="shared" ca="1" si="201"/>
        <v>-986413428772.22449</v>
      </c>
      <c r="L5181" s="455">
        <f t="shared" ca="1" si="202"/>
        <v>-237725636334106.09</v>
      </c>
      <c r="M5181" s="471">
        <f t="shared" si="204"/>
        <v>0.05</v>
      </c>
      <c r="N5181" s="475">
        <f t="shared" si="205"/>
        <v>208737</v>
      </c>
    </row>
    <row r="5182" spans="7:14" ht="11.25" customHeight="1" x14ac:dyDescent="0.3">
      <c r="G5182" s="470"/>
      <c r="H5182" s="470">
        <v>5175</v>
      </c>
      <c r="I5182" s="455">
        <f t="shared" ca="1" si="203"/>
        <v>-237725636334106.09</v>
      </c>
      <c r="J5182" s="455">
        <f t="array" ref="J5182">IFERROR(INDEX('Retirement Calculator'!J:J,MATCH('Isaac 401k'!N5182,'Retirement Calculator'!A:A,0),0),0)</f>
        <v>0</v>
      </c>
      <c r="K5182" s="455">
        <f t="shared" ca="1" si="201"/>
        <v>-990523484725.44202</v>
      </c>
      <c r="L5182" s="455">
        <f t="shared" ca="1" si="202"/>
        <v>-238716159818831.53</v>
      </c>
      <c r="M5182" s="471">
        <f t="shared" si="204"/>
        <v>0.05</v>
      </c>
      <c r="N5182" s="475">
        <f t="shared" si="205"/>
        <v>208768</v>
      </c>
    </row>
    <row r="5183" spans="7:14" ht="11.25" customHeight="1" x14ac:dyDescent="0.3">
      <c r="G5183" s="470"/>
      <c r="H5183" s="470">
        <v>5176</v>
      </c>
      <c r="I5183" s="455">
        <f t="shared" ca="1" si="203"/>
        <v>-238716159818831.53</v>
      </c>
      <c r="J5183" s="455">
        <f t="array" ref="J5183">IFERROR(INDEX('Retirement Calculator'!J:J,MATCH('Isaac 401k'!N5183,'Retirement Calculator'!A:A,0),0),0)</f>
        <v>0</v>
      </c>
      <c r="K5183" s="455">
        <f t="shared" ca="1" si="201"/>
        <v>-994650665911.79797</v>
      </c>
      <c r="L5183" s="455">
        <f t="shared" ca="1" si="202"/>
        <v>-239710810484743.34</v>
      </c>
      <c r="M5183" s="471">
        <f t="shared" si="204"/>
        <v>0.05</v>
      </c>
      <c r="N5183" s="475">
        <f t="shared" si="205"/>
        <v>208799</v>
      </c>
    </row>
    <row r="5184" spans="7:14" ht="11.25" customHeight="1" x14ac:dyDescent="0.3">
      <c r="G5184" s="470"/>
      <c r="H5184" s="470">
        <v>5177</v>
      </c>
      <c r="I5184" s="455">
        <f t="shared" ca="1" si="203"/>
        <v>-239710810484743.34</v>
      </c>
      <c r="J5184" s="455">
        <f t="array" ref="J5184">IFERROR(INDEX('Retirement Calculator'!J:J,MATCH('Isaac 401k'!N5184,'Retirement Calculator'!A:A,0),0),0)</f>
        <v>0</v>
      </c>
      <c r="K5184" s="455">
        <f t="shared" ca="1" si="201"/>
        <v>-998795043686.43054</v>
      </c>
      <c r="L5184" s="455">
        <f t="shared" ca="1" si="202"/>
        <v>-240709605528429.78</v>
      </c>
      <c r="M5184" s="471">
        <f t="shared" si="204"/>
        <v>0.05</v>
      </c>
      <c r="N5184" s="475">
        <f t="shared" si="205"/>
        <v>208829</v>
      </c>
    </row>
    <row r="5185" spans="7:14" ht="11.25" customHeight="1" x14ac:dyDescent="0.3">
      <c r="G5185" s="470"/>
      <c r="H5185" s="470">
        <v>5178</v>
      </c>
      <c r="I5185" s="455">
        <f t="shared" ca="1" si="203"/>
        <v>-240709605528429.78</v>
      </c>
      <c r="J5185" s="455">
        <f t="array" ref="J5185">IFERROR(INDEX('Retirement Calculator'!J:J,MATCH('Isaac 401k'!N5185,'Retirement Calculator'!A:A,0),0),0)</f>
        <v>0</v>
      </c>
      <c r="K5185" s="455">
        <f t="shared" ca="1" si="201"/>
        <v>-1002956689701.7908</v>
      </c>
      <c r="L5185" s="455">
        <f t="shared" ca="1" si="202"/>
        <v>-241712562218131.56</v>
      </c>
      <c r="M5185" s="471">
        <f t="shared" si="204"/>
        <v>0.05</v>
      </c>
      <c r="N5185" s="475">
        <f t="shared" si="205"/>
        <v>208860</v>
      </c>
    </row>
    <row r="5186" spans="7:14" ht="11.25" customHeight="1" x14ac:dyDescent="0.3">
      <c r="G5186" s="470"/>
      <c r="H5186" s="470">
        <v>5179</v>
      </c>
      <c r="I5186" s="455">
        <f t="shared" ca="1" si="203"/>
        <v>-241712562218131.56</v>
      </c>
      <c r="J5186" s="455">
        <f t="array" ref="J5186">IFERROR(INDEX('Retirement Calculator'!J:J,MATCH('Isaac 401k'!N5186,'Retirement Calculator'!A:A,0),0),0)</f>
        <v>0</v>
      </c>
      <c r="K5186" s="455">
        <f t="shared" ca="1" si="201"/>
        <v>-1007135675908.8815</v>
      </c>
      <c r="L5186" s="455">
        <f t="shared" ca="1" si="202"/>
        <v>-242719697894040.44</v>
      </c>
      <c r="M5186" s="471">
        <f t="shared" si="204"/>
        <v>0.05</v>
      </c>
      <c r="N5186" s="475">
        <f t="shared" si="205"/>
        <v>208890</v>
      </c>
    </row>
    <row r="5187" spans="7:14" ht="11.25" customHeight="1" x14ac:dyDescent="0.3">
      <c r="G5187" s="470"/>
      <c r="H5187" s="470">
        <v>5180</v>
      </c>
      <c r="I5187" s="455">
        <f t="shared" ca="1" si="203"/>
        <v>-242719697894040.44</v>
      </c>
      <c r="J5187" s="455">
        <f t="array" ref="J5187">IFERROR(INDEX('Retirement Calculator'!J:J,MATCH('Isaac 401k'!N5187,'Retirement Calculator'!A:A,0),0),0)</f>
        <v>0</v>
      </c>
      <c r="K5187" s="455">
        <f t="shared" ca="1" si="201"/>
        <v>-1011332074558.5017</v>
      </c>
      <c r="L5187" s="455">
        <f t="shared" ca="1" si="202"/>
        <v>-243731029968598.94</v>
      </c>
      <c r="M5187" s="471">
        <f t="shared" si="204"/>
        <v>0.05</v>
      </c>
      <c r="N5187" s="475">
        <f t="shared" si="205"/>
        <v>208921</v>
      </c>
    </row>
    <row r="5188" spans="7:14" ht="11.25" customHeight="1" x14ac:dyDescent="0.3">
      <c r="G5188" s="470"/>
      <c r="H5188" s="470">
        <v>5181</v>
      </c>
      <c r="I5188" s="455">
        <f t="shared" ca="1" si="203"/>
        <v>-243731029968598.94</v>
      </c>
      <c r="J5188" s="455">
        <f t="array" ref="J5188">IFERROR(INDEX('Retirement Calculator'!J:J,MATCH('Isaac 401k'!N5188,'Retirement Calculator'!A:A,0),0),0)</f>
        <v>0</v>
      </c>
      <c r="K5188" s="455">
        <f t="shared" ca="1" si="201"/>
        <v>-1015545958202.4956</v>
      </c>
      <c r="L5188" s="455">
        <f t="shared" ca="1" si="202"/>
        <v>-244746575926801.44</v>
      </c>
      <c r="M5188" s="471">
        <f t="shared" si="204"/>
        <v>0.05</v>
      </c>
      <c r="N5188" s="475">
        <f t="shared" si="205"/>
        <v>208952</v>
      </c>
    </row>
    <row r="5189" spans="7:14" ht="11.25" customHeight="1" x14ac:dyDescent="0.3">
      <c r="G5189" s="470"/>
      <c r="H5189" s="470">
        <v>5182</v>
      </c>
      <c r="I5189" s="455">
        <f t="shared" ca="1" si="203"/>
        <v>-244746575926801.44</v>
      </c>
      <c r="J5189" s="455">
        <f t="array" ref="J5189">IFERROR(INDEX('Retirement Calculator'!J:J,MATCH('Isaac 401k'!N5189,'Retirement Calculator'!A:A,0),0),0)</f>
        <v>0</v>
      </c>
      <c r="K5189" s="455">
        <f t="shared" ca="1" si="201"/>
        <v>-1019777399695.006</v>
      </c>
      <c r="L5189" s="455">
        <f t="shared" ca="1" si="202"/>
        <v>-245766353326496.44</v>
      </c>
      <c r="M5189" s="471">
        <f t="shared" si="204"/>
        <v>0.05</v>
      </c>
      <c r="N5189" s="475">
        <f t="shared" si="205"/>
        <v>208981</v>
      </c>
    </row>
    <row r="5190" spans="7:14" ht="11.25" customHeight="1" x14ac:dyDescent="0.3">
      <c r="G5190" s="470"/>
      <c r="H5190" s="470">
        <v>5183</v>
      </c>
      <c r="I5190" s="455">
        <f t="shared" ca="1" si="203"/>
        <v>-245766353326496.44</v>
      </c>
      <c r="J5190" s="455">
        <f t="array" ref="J5190">IFERROR(INDEX('Retirement Calculator'!J:J,MATCH('Isaac 401k'!N5190,'Retirement Calculator'!A:A,0),0),0)</f>
        <v>0</v>
      </c>
      <c r="K5190" s="455">
        <f t="shared" ca="1" si="201"/>
        <v>-1024026472193.7351</v>
      </c>
      <c r="L5190" s="455">
        <f t="shared" ca="1" si="202"/>
        <v>-246790379798690.19</v>
      </c>
      <c r="M5190" s="471">
        <f t="shared" si="204"/>
        <v>0.05</v>
      </c>
      <c r="N5190" s="475">
        <f t="shared" si="205"/>
        <v>209012</v>
      </c>
    </row>
    <row r="5191" spans="7:14" ht="11.25" customHeight="1" x14ac:dyDescent="0.3">
      <c r="G5191" s="470"/>
      <c r="H5191" s="470">
        <v>5184</v>
      </c>
      <c r="I5191" s="455">
        <f t="shared" ca="1" si="203"/>
        <v>-246790379798690.19</v>
      </c>
      <c r="J5191" s="455">
        <f t="array" ref="J5191">IFERROR(INDEX('Retirement Calculator'!J:J,MATCH('Isaac 401k'!N5191,'Retirement Calculator'!A:A,0),0),0)</f>
        <v>0</v>
      </c>
      <c r="K5191" s="455">
        <f t="shared" ca="1" si="201"/>
        <v>-1028293249161.2092</v>
      </c>
      <c r="L5191" s="455">
        <f t="shared" ca="1" si="202"/>
        <v>-247818673047851.41</v>
      </c>
      <c r="M5191" s="471">
        <f t="shared" si="204"/>
        <v>0.05</v>
      </c>
      <c r="N5191" s="475">
        <f t="shared" si="205"/>
        <v>209042</v>
      </c>
    </row>
    <row r="5192" spans="7:14" ht="11.25" customHeight="1" x14ac:dyDescent="0.3">
      <c r="G5192" s="470"/>
      <c r="H5192" s="470">
        <v>5185</v>
      </c>
      <c r="I5192" s="455">
        <f t="shared" ca="1" si="203"/>
        <v>-247818673047851.41</v>
      </c>
      <c r="J5192" s="455">
        <f t="array" ref="J5192">IFERROR(INDEX('Retirement Calculator'!J:J,MATCH('Isaac 401k'!N5192,'Retirement Calculator'!A:A,0),0),0)</f>
        <v>0</v>
      </c>
      <c r="K5192" s="455">
        <f t="shared" ca="1" si="201"/>
        <v>-1032577804366.0475</v>
      </c>
      <c r="L5192" s="455">
        <f t="shared" ca="1" si="202"/>
        <v>-248851250852217.47</v>
      </c>
      <c r="M5192" s="471">
        <f t="shared" si="204"/>
        <v>0.05</v>
      </c>
      <c r="N5192" s="475">
        <f t="shared" si="205"/>
        <v>209073</v>
      </c>
    </row>
    <row r="5193" spans="7:14" ht="11.25" customHeight="1" x14ac:dyDescent="0.3">
      <c r="G5193" s="470"/>
      <c r="H5193" s="470">
        <v>5186</v>
      </c>
      <c r="I5193" s="455">
        <f t="shared" ca="1" si="203"/>
        <v>-248851250852217.47</v>
      </c>
      <c r="J5193" s="455">
        <f t="array" ref="J5193">IFERROR(INDEX('Retirement Calculator'!J:J,MATCH('Isaac 401k'!N5193,'Retirement Calculator'!A:A,0),0),0)</f>
        <v>0</v>
      </c>
      <c r="K5193" s="455">
        <f t="shared" ca="1" si="201"/>
        <v>-1036880211884.2393</v>
      </c>
      <c r="L5193" s="455">
        <f t="shared" ca="1" si="202"/>
        <v>-249888131064101.72</v>
      </c>
      <c r="M5193" s="471">
        <f t="shared" si="204"/>
        <v>0.05</v>
      </c>
      <c r="N5193" s="475">
        <f t="shared" si="205"/>
        <v>209103</v>
      </c>
    </row>
    <row r="5194" spans="7:14" ht="11.25" customHeight="1" x14ac:dyDescent="0.3">
      <c r="G5194" s="470"/>
      <c r="H5194" s="470">
        <v>5187</v>
      </c>
      <c r="I5194" s="455">
        <f t="shared" ca="1" si="203"/>
        <v>-249888131064101.72</v>
      </c>
      <c r="J5194" s="455">
        <f t="array" ref="J5194">IFERROR(INDEX('Retirement Calculator'!J:J,MATCH('Isaac 401k'!N5194,'Retirement Calculator'!A:A,0),0),0)</f>
        <v>0</v>
      </c>
      <c r="K5194" s="455">
        <f t="shared" ca="1" si="201"/>
        <v>-1041200546100.4238</v>
      </c>
      <c r="L5194" s="455">
        <f t="shared" ca="1" si="202"/>
        <v>-250929331610202.16</v>
      </c>
      <c r="M5194" s="471">
        <f t="shared" si="204"/>
        <v>0.05</v>
      </c>
      <c r="N5194" s="475">
        <f t="shared" si="205"/>
        <v>209134</v>
      </c>
    </row>
    <row r="5195" spans="7:14" ht="11.25" customHeight="1" x14ac:dyDescent="0.3">
      <c r="G5195" s="470"/>
      <c r="H5195" s="470">
        <v>5188</v>
      </c>
      <c r="I5195" s="455">
        <f t="shared" ca="1" si="203"/>
        <v>-250929331610202.16</v>
      </c>
      <c r="J5195" s="455">
        <f t="array" ref="J5195">IFERROR(INDEX('Retirement Calculator'!J:J,MATCH('Isaac 401k'!N5195,'Retirement Calculator'!A:A,0),0),0)</f>
        <v>0</v>
      </c>
      <c r="K5195" s="455">
        <f t="shared" ca="1" si="201"/>
        <v>-1045538881709.1755</v>
      </c>
      <c r="L5195" s="455">
        <f t="shared" ca="1" si="202"/>
        <v>-251974870491911.34</v>
      </c>
      <c r="M5195" s="471">
        <f t="shared" si="204"/>
        <v>0.05</v>
      </c>
      <c r="N5195" s="475">
        <f t="shared" si="205"/>
        <v>209165</v>
      </c>
    </row>
    <row r="5196" spans="7:14" ht="11.25" customHeight="1" x14ac:dyDescent="0.3">
      <c r="G5196" s="470"/>
      <c r="H5196" s="470">
        <v>5189</v>
      </c>
      <c r="I5196" s="455">
        <f t="shared" ca="1" si="203"/>
        <v>-251974870491911.34</v>
      </c>
      <c r="J5196" s="455">
        <f t="array" ref="J5196">IFERROR(INDEX('Retirement Calculator'!J:J,MATCH('Isaac 401k'!N5196,'Retirement Calculator'!A:A,0),0),0)</f>
        <v>0</v>
      </c>
      <c r="K5196" s="455">
        <f t="shared" ca="1" si="201"/>
        <v>-1049895293716.2971</v>
      </c>
      <c r="L5196" s="455">
        <f t="shared" ca="1" si="202"/>
        <v>-253024765785627.66</v>
      </c>
      <c r="M5196" s="471">
        <f t="shared" si="204"/>
        <v>0.05</v>
      </c>
      <c r="N5196" s="475">
        <f t="shared" si="205"/>
        <v>209195</v>
      </c>
    </row>
    <row r="5197" spans="7:14" ht="11.25" customHeight="1" x14ac:dyDescent="0.3">
      <c r="G5197" s="470"/>
      <c r="H5197" s="470">
        <v>5190</v>
      </c>
      <c r="I5197" s="455">
        <f t="shared" ca="1" si="203"/>
        <v>-253024765785627.66</v>
      </c>
      <c r="J5197" s="455">
        <f t="array" ref="J5197">IFERROR(INDEX('Retirement Calculator'!J:J,MATCH('Isaac 401k'!N5197,'Retirement Calculator'!A:A,0),0),0)</f>
        <v>0</v>
      </c>
      <c r="K5197" s="455">
        <f t="shared" ca="1" si="201"/>
        <v>-1054269857440.1152</v>
      </c>
      <c r="L5197" s="455">
        <f t="shared" ca="1" si="202"/>
        <v>-254079035643067.78</v>
      </c>
      <c r="M5197" s="471">
        <f t="shared" si="204"/>
        <v>0.05</v>
      </c>
      <c r="N5197" s="475">
        <f t="shared" si="205"/>
        <v>209226</v>
      </c>
    </row>
    <row r="5198" spans="7:14" ht="11.25" customHeight="1" x14ac:dyDescent="0.3">
      <c r="G5198" s="470"/>
      <c r="H5198" s="470">
        <v>5191</v>
      </c>
      <c r="I5198" s="455">
        <f t="shared" ca="1" si="203"/>
        <v>-254079035643067.78</v>
      </c>
      <c r="J5198" s="455">
        <f t="array" ref="J5198">IFERROR(INDEX('Retirement Calculator'!J:J,MATCH('Isaac 401k'!N5198,'Retirement Calculator'!A:A,0),0),0)</f>
        <v>0</v>
      </c>
      <c r="K5198" s="455">
        <f t="shared" ca="1" si="201"/>
        <v>-1058662648512.7823</v>
      </c>
      <c r="L5198" s="455">
        <f t="shared" ca="1" si="202"/>
        <v>-255137698291580.56</v>
      </c>
      <c r="M5198" s="471">
        <f t="shared" si="204"/>
        <v>0.05</v>
      </c>
      <c r="N5198" s="475">
        <f t="shared" si="205"/>
        <v>209256</v>
      </c>
    </row>
    <row r="5199" spans="7:14" ht="11.25" customHeight="1" x14ac:dyDescent="0.3">
      <c r="G5199" s="470"/>
      <c r="H5199" s="470">
        <v>5192</v>
      </c>
      <c r="I5199" s="455">
        <f t="shared" ca="1" si="203"/>
        <v>-255137698291580.56</v>
      </c>
      <c r="J5199" s="455">
        <f t="array" ref="J5199">IFERROR(INDEX('Retirement Calculator'!J:J,MATCH('Isaac 401k'!N5199,'Retirement Calculator'!A:A,0),0),0)</f>
        <v>0</v>
      </c>
      <c r="K5199" s="455">
        <f t="shared" ca="1" si="201"/>
        <v>-1063073742881.5857</v>
      </c>
      <c r="L5199" s="455">
        <f t="shared" ca="1" si="202"/>
        <v>-256200772034462.16</v>
      </c>
      <c r="M5199" s="471">
        <f t="shared" si="204"/>
        <v>0.05</v>
      </c>
      <c r="N5199" s="475">
        <f t="shared" si="205"/>
        <v>209287</v>
      </c>
    </row>
    <row r="5200" spans="7:14" ht="11.25" customHeight="1" x14ac:dyDescent="0.3">
      <c r="G5200" s="470"/>
      <c r="H5200" s="470">
        <v>5193</v>
      </c>
      <c r="I5200" s="455">
        <f t="shared" ca="1" si="203"/>
        <v>-256200772034462.16</v>
      </c>
      <c r="J5200" s="455">
        <f t="array" ref="J5200">IFERROR(INDEX('Retirement Calculator'!J:J,MATCH('Isaac 401k'!N5200,'Retirement Calculator'!A:A,0),0),0)</f>
        <v>0</v>
      </c>
      <c r="K5200" s="455">
        <f t="shared" ca="1" si="201"/>
        <v>-1067503216810.2589</v>
      </c>
      <c r="L5200" s="455">
        <f t="shared" ca="1" si="202"/>
        <v>-257268275251272.41</v>
      </c>
      <c r="M5200" s="471">
        <f t="shared" si="204"/>
        <v>0.05</v>
      </c>
      <c r="N5200" s="475">
        <f t="shared" si="205"/>
        <v>209318</v>
      </c>
    </row>
    <row r="5201" spans="7:14" ht="11.25" customHeight="1" x14ac:dyDescent="0.3">
      <c r="G5201" s="470"/>
      <c r="H5201" s="470">
        <v>5194</v>
      </c>
      <c r="I5201" s="455">
        <f t="shared" ca="1" si="203"/>
        <v>-257268275251272.41</v>
      </c>
      <c r="J5201" s="455">
        <f t="array" ref="J5201">IFERROR(INDEX('Retirement Calculator'!J:J,MATCH('Isaac 401k'!N5201,'Retirement Calculator'!A:A,0),0),0)</f>
        <v>0</v>
      </c>
      <c r="K5201" s="455">
        <f t="shared" ca="1" si="201"/>
        <v>-1071951146880.3016</v>
      </c>
      <c r="L5201" s="455">
        <f t="shared" ca="1" si="202"/>
        <v>-258340226398152.72</v>
      </c>
      <c r="M5201" s="471">
        <f t="shared" si="204"/>
        <v>0.05</v>
      </c>
      <c r="N5201" s="475">
        <f t="shared" si="205"/>
        <v>209346</v>
      </c>
    </row>
    <row r="5202" spans="7:14" ht="11.25" customHeight="1" x14ac:dyDescent="0.3">
      <c r="G5202" s="470"/>
      <c r="H5202" s="470">
        <v>5195</v>
      </c>
      <c r="I5202" s="455">
        <f t="shared" ca="1" si="203"/>
        <v>-258340226398152.72</v>
      </c>
      <c r="J5202" s="455">
        <f t="array" ref="J5202">IFERROR(INDEX('Retirement Calculator'!J:J,MATCH('Isaac 401k'!N5202,'Retirement Calculator'!A:A,0),0),0)</f>
        <v>0</v>
      </c>
      <c r="K5202" s="455">
        <f t="shared" ca="1" si="201"/>
        <v>-1076417609992.303</v>
      </c>
      <c r="L5202" s="455">
        <f t="shared" ca="1" si="202"/>
        <v>-259416644008145.03</v>
      </c>
      <c r="M5202" s="471">
        <f t="shared" si="204"/>
        <v>0.05</v>
      </c>
      <c r="N5202" s="475">
        <f t="shared" si="205"/>
        <v>209377</v>
      </c>
    </row>
    <row r="5203" spans="7:14" ht="11.25" customHeight="1" x14ac:dyDescent="0.3">
      <c r="G5203" s="470"/>
      <c r="H5203" s="470">
        <v>5196</v>
      </c>
      <c r="I5203" s="455">
        <f t="shared" ca="1" si="203"/>
        <v>-259416644008145.03</v>
      </c>
      <c r="J5203" s="455">
        <f t="array" ref="J5203">IFERROR(INDEX('Retirement Calculator'!J:J,MATCH('Isaac 401k'!N5203,'Retirement Calculator'!A:A,0),0),0)</f>
        <v>0</v>
      </c>
      <c r="K5203" s="455">
        <f t="shared" ca="1" si="201"/>
        <v>-1080902683367.271</v>
      </c>
      <c r="L5203" s="455">
        <f t="shared" ca="1" si="202"/>
        <v>-260497546691512.31</v>
      </c>
      <c r="M5203" s="471">
        <f t="shared" si="204"/>
        <v>0.05</v>
      </c>
      <c r="N5203" s="475">
        <f t="shared" si="205"/>
        <v>209407</v>
      </c>
    </row>
    <row r="5204" spans="7:14" ht="11.25" customHeight="1" x14ac:dyDescent="0.3">
      <c r="G5204" s="470"/>
      <c r="H5204" s="470">
        <v>5197</v>
      </c>
      <c r="I5204" s="455">
        <f t="shared" ca="1" si="203"/>
        <v>-260497546691512.31</v>
      </c>
      <c r="J5204" s="455">
        <f t="array" ref="J5204">IFERROR(INDEX('Retirement Calculator'!J:J,MATCH('Isaac 401k'!N5204,'Retirement Calculator'!A:A,0),0),0)</f>
        <v>0</v>
      </c>
      <c r="K5204" s="455">
        <f t="shared" ca="1" si="201"/>
        <v>-1085406444547.9678</v>
      </c>
      <c r="L5204" s="455">
        <f t="shared" ca="1" si="202"/>
        <v>-261582953136060.28</v>
      </c>
      <c r="M5204" s="471">
        <f t="shared" si="204"/>
        <v>0.05</v>
      </c>
      <c r="N5204" s="475">
        <f t="shared" si="205"/>
        <v>209438</v>
      </c>
    </row>
    <row r="5205" spans="7:14" ht="11.25" customHeight="1" x14ac:dyDescent="0.3">
      <c r="G5205" s="470"/>
      <c r="H5205" s="470">
        <v>5198</v>
      </c>
      <c r="I5205" s="455">
        <f t="shared" ca="1" si="203"/>
        <v>-261582953136060.28</v>
      </c>
      <c r="J5205" s="455">
        <f t="array" ref="J5205">IFERROR(INDEX('Retirement Calculator'!J:J,MATCH('Isaac 401k'!N5205,'Retirement Calculator'!A:A,0),0),0)</f>
        <v>0</v>
      </c>
      <c r="K5205" s="455">
        <f t="shared" ca="1" si="201"/>
        <v>-1089928971400.251</v>
      </c>
      <c r="L5205" s="455">
        <f t="shared" ca="1" si="202"/>
        <v>-262672882107460.53</v>
      </c>
      <c r="M5205" s="471">
        <f t="shared" si="204"/>
        <v>0.05</v>
      </c>
      <c r="N5205" s="475">
        <f t="shared" si="205"/>
        <v>209468</v>
      </c>
    </row>
    <row r="5206" spans="7:14" ht="11.25" customHeight="1" x14ac:dyDescent="0.3">
      <c r="G5206" s="470"/>
      <c r="H5206" s="470">
        <v>5199</v>
      </c>
      <c r="I5206" s="455">
        <f t="shared" ca="1" si="203"/>
        <v>-262672882107460.53</v>
      </c>
      <c r="J5206" s="455">
        <f t="array" ref="J5206">IFERROR(INDEX('Retirement Calculator'!J:J,MATCH('Isaac 401k'!N5206,'Retirement Calculator'!A:A,0),0),0)</f>
        <v>0</v>
      </c>
      <c r="K5206" s="455">
        <f t="shared" ca="1" si="201"/>
        <v>-1094470342114.4188</v>
      </c>
      <c r="L5206" s="455">
        <f t="shared" ca="1" si="202"/>
        <v>-263767352449574.94</v>
      </c>
      <c r="M5206" s="471">
        <f t="shared" si="204"/>
        <v>0.05</v>
      </c>
      <c r="N5206" s="475">
        <f t="shared" si="205"/>
        <v>209499</v>
      </c>
    </row>
    <row r="5207" spans="7:14" ht="11.25" customHeight="1" x14ac:dyDescent="0.3">
      <c r="G5207" s="470"/>
      <c r="H5207" s="470">
        <v>5200</v>
      </c>
      <c r="I5207" s="455">
        <f t="shared" ca="1" si="203"/>
        <v>-263767352449574.94</v>
      </c>
      <c r="J5207" s="455">
        <f t="array" ref="J5207">IFERROR(INDEX('Retirement Calculator'!J:J,MATCH('Isaac 401k'!N5207,'Retirement Calculator'!A:A,0),0),0)</f>
        <v>0</v>
      </c>
      <c r="K5207" s="455">
        <f t="shared" ca="1" si="201"/>
        <v>-1099030635206.5624</v>
      </c>
      <c r="L5207" s="455">
        <f t="shared" ca="1" si="202"/>
        <v>-264866383084781.5</v>
      </c>
      <c r="M5207" s="471">
        <f t="shared" si="204"/>
        <v>0.05</v>
      </c>
      <c r="N5207" s="475">
        <f t="shared" si="205"/>
        <v>209530</v>
      </c>
    </row>
    <row r="5208" spans="7:14" ht="11.25" customHeight="1" x14ac:dyDescent="0.3">
      <c r="G5208" s="470"/>
      <c r="H5208" s="470">
        <v>5201</v>
      </c>
      <c r="I5208" s="455">
        <f t="shared" ca="1" si="203"/>
        <v>-264866383084781.5</v>
      </c>
      <c r="J5208" s="455">
        <f t="array" ref="J5208">IFERROR(INDEX('Retirement Calculator'!J:J,MATCH('Isaac 401k'!N5208,'Retirement Calculator'!A:A,0),0),0)</f>
        <v>0</v>
      </c>
      <c r="K5208" s="455">
        <f t="shared" ca="1" si="201"/>
        <v>-1103609929519.9229</v>
      </c>
      <c r="L5208" s="455">
        <f t="shared" ca="1" si="202"/>
        <v>-265969993014301.44</v>
      </c>
      <c r="M5208" s="471">
        <f t="shared" si="204"/>
        <v>0.05</v>
      </c>
      <c r="N5208" s="475">
        <f t="shared" si="205"/>
        <v>209560</v>
      </c>
    </row>
    <row r="5209" spans="7:14" ht="11.25" customHeight="1" x14ac:dyDescent="0.3">
      <c r="G5209" s="470"/>
      <c r="H5209" s="470">
        <v>5202</v>
      </c>
      <c r="I5209" s="455">
        <f t="shared" ca="1" si="203"/>
        <v>-265969993014301.44</v>
      </c>
      <c r="J5209" s="455">
        <f t="array" ref="J5209">IFERROR(INDEX('Retirement Calculator'!J:J,MATCH('Isaac 401k'!N5209,'Retirement Calculator'!A:A,0),0),0)</f>
        <v>0</v>
      </c>
      <c r="K5209" s="455">
        <f t="shared" ca="1" si="201"/>
        <v>-1108208304226.2561</v>
      </c>
      <c r="L5209" s="455">
        <f t="shared" ca="1" si="202"/>
        <v>-267078201318527.69</v>
      </c>
      <c r="M5209" s="471">
        <f t="shared" si="204"/>
        <v>0.05</v>
      </c>
      <c r="N5209" s="475">
        <f t="shared" si="205"/>
        <v>209591</v>
      </c>
    </row>
    <row r="5210" spans="7:14" ht="11.25" customHeight="1" x14ac:dyDescent="0.3">
      <c r="G5210" s="470"/>
      <c r="H5210" s="470">
        <v>5203</v>
      </c>
      <c r="I5210" s="455">
        <f t="shared" ca="1" si="203"/>
        <v>-267078201318527.69</v>
      </c>
      <c r="J5210" s="455">
        <f t="array" ref="J5210">IFERROR(INDEX('Retirement Calculator'!J:J,MATCH('Isaac 401k'!N5210,'Retirement Calculator'!A:A,0),0),0)</f>
        <v>0</v>
      </c>
      <c r="K5210" s="455">
        <f t="shared" ca="1" si="201"/>
        <v>-1112825838827.1987</v>
      </c>
      <c r="L5210" s="455">
        <f t="shared" ca="1" si="202"/>
        <v>-268191027157354.88</v>
      </c>
      <c r="M5210" s="471">
        <f t="shared" si="204"/>
        <v>0.05</v>
      </c>
      <c r="N5210" s="475">
        <f t="shared" si="205"/>
        <v>209621</v>
      </c>
    </row>
    <row r="5211" spans="7:14" ht="11.25" customHeight="1" x14ac:dyDescent="0.3">
      <c r="G5211" s="470"/>
      <c r="H5211" s="470">
        <v>5204</v>
      </c>
      <c r="I5211" s="455">
        <f t="shared" ca="1" si="203"/>
        <v>-268191027157354.88</v>
      </c>
      <c r="J5211" s="455">
        <f t="array" ref="J5211">IFERROR(INDEX('Retirement Calculator'!J:J,MATCH('Isaac 401k'!N5211,'Retirement Calculator'!A:A,0),0),0)</f>
        <v>0</v>
      </c>
      <c r="K5211" s="455">
        <f t="shared" ca="1" si="201"/>
        <v>-1117462613155.6453</v>
      </c>
      <c r="L5211" s="455">
        <f t="shared" ca="1" si="202"/>
        <v>-269308489770510.53</v>
      </c>
      <c r="M5211" s="471">
        <f t="shared" si="204"/>
        <v>0.05</v>
      </c>
      <c r="N5211" s="475">
        <f t="shared" si="205"/>
        <v>209652</v>
      </c>
    </row>
    <row r="5212" spans="7:14" ht="11.25" customHeight="1" x14ac:dyDescent="0.3">
      <c r="G5212" s="470"/>
      <c r="H5212" s="470">
        <v>5205</v>
      </c>
      <c r="I5212" s="455">
        <f t="shared" ca="1" si="203"/>
        <v>-269308489770510.53</v>
      </c>
      <c r="J5212" s="455">
        <f t="array" ref="J5212">IFERROR(INDEX('Retirement Calculator'!J:J,MATCH('Isaac 401k'!N5212,'Retirement Calculator'!A:A,0),0),0)</f>
        <v>0</v>
      </c>
      <c r="K5212" s="455">
        <f t="shared" ca="1" si="201"/>
        <v>-1122118707377.1272</v>
      </c>
      <c r="L5212" s="455">
        <f t="shared" ca="1" si="202"/>
        <v>-270430608477887.66</v>
      </c>
      <c r="M5212" s="471">
        <f t="shared" si="204"/>
        <v>0.05</v>
      </c>
      <c r="N5212" s="475">
        <f t="shared" si="205"/>
        <v>209683</v>
      </c>
    </row>
    <row r="5213" spans="7:14" ht="11.25" customHeight="1" x14ac:dyDescent="0.3">
      <c r="G5213" s="470"/>
      <c r="H5213" s="470">
        <v>5206</v>
      </c>
      <c r="I5213" s="455">
        <f t="shared" ca="1" si="203"/>
        <v>-270430608477887.66</v>
      </c>
      <c r="J5213" s="455">
        <f t="array" ref="J5213">IFERROR(INDEX('Retirement Calculator'!J:J,MATCH('Isaac 401k'!N5213,'Retirement Calculator'!A:A,0),0),0)</f>
        <v>0</v>
      </c>
      <c r="K5213" s="455">
        <f t="shared" ca="1" si="201"/>
        <v>-1126794201991.1985</v>
      </c>
      <c r="L5213" s="455">
        <f t="shared" ca="1" si="202"/>
        <v>-271557402679878.84</v>
      </c>
      <c r="M5213" s="471">
        <f t="shared" si="204"/>
        <v>0.05</v>
      </c>
      <c r="N5213" s="475">
        <f t="shared" si="205"/>
        <v>209711</v>
      </c>
    </row>
    <row r="5214" spans="7:14" ht="11.25" customHeight="1" x14ac:dyDescent="0.3">
      <c r="G5214" s="470"/>
      <c r="H5214" s="470">
        <v>5207</v>
      </c>
      <c r="I5214" s="455">
        <f t="shared" ca="1" si="203"/>
        <v>-271557402679878.84</v>
      </c>
      <c r="J5214" s="455">
        <f t="array" ref="J5214">IFERROR(INDEX('Retirement Calculator'!J:J,MATCH('Isaac 401k'!N5214,'Retirement Calculator'!A:A,0),0),0)</f>
        <v>0</v>
      </c>
      <c r="K5214" s="455">
        <f t="shared" ca="1" si="201"/>
        <v>-1131489177832.8286</v>
      </c>
      <c r="L5214" s="455">
        <f t="shared" ca="1" si="202"/>
        <v>-272688891857711.69</v>
      </c>
      <c r="M5214" s="471">
        <f t="shared" si="204"/>
        <v>0.05</v>
      </c>
      <c r="N5214" s="475">
        <f t="shared" si="205"/>
        <v>209742</v>
      </c>
    </row>
    <row r="5215" spans="7:14" ht="11.25" customHeight="1" x14ac:dyDescent="0.3">
      <c r="G5215" s="470"/>
      <c r="H5215" s="470">
        <v>5208</v>
      </c>
      <c r="I5215" s="455">
        <f t="shared" ca="1" si="203"/>
        <v>-272688891857711.69</v>
      </c>
      <c r="J5215" s="455">
        <f t="array" ref="J5215">IFERROR(INDEX('Retirement Calculator'!J:J,MATCH('Isaac 401k'!N5215,'Retirement Calculator'!A:A,0),0),0)</f>
        <v>0</v>
      </c>
      <c r="K5215" s="455">
        <f t="shared" ca="1" si="201"/>
        <v>-1136203716073.7988</v>
      </c>
      <c r="L5215" s="455">
        <f t="shared" ca="1" si="202"/>
        <v>-273825095573785.5</v>
      </c>
      <c r="M5215" s="471">
        <f t="shared" si="204"/>
        <v>0.05</v>
      </c>
      <c r="N5215" s="475">
        <f t="shared" si="205"/>
        <v>209772</v>
      </c>
    </row>
    <row r="5216" spans="7:14" ht="11.25" customHeight="1" x14ac:dyDescent="0.3">
      <c r="G5216" s="470"/>
      <c r="H5216" s="470">
        <v>5209</v>
      </c>
      <c r="I5216" s="455">
        <f t="shared" ca="1" si="203"/>
        <v>-273825095573785.5</v>
      </c>
      <c r="J5216" s="455">
        <f t="array" ref="J5216">IFERROR(INDEX('Retirement Calculator'!J:J,MATCH('Isaac 401k'!N5216,'Retirement Calculator'!A:A,0),0),0)</f>
        <v>0</v>
      </c>
      <c r="K5216" s="455">
        <f t="shared" ca="1" si="201"/>
        <v>-1140937898224.1062</v>
      </c>
      <c r="L5216" s="455">
        <f t="shared" ca="1" si="202"/>
        <v>-274966033472009.59</v>
      </c>
      <c r="M5216" s="471">
        <f t="shared" si="204"/>
        <v>0.05</v>
      </c>
      <c r="N5216" s="475">
        <f t="shared" si="205"/>
        <v>209803</v>
      </c>
    </row>
    <row r="5217" spans="7:14" ht="11.25" customHeight="1" x14ac:dyDescent="0.3">
      <c r="G5217" s="470"/>
      <c r="H5217" s="470">
        <v>5210</v>
      </c>
      <c r="I5217" s="455">
        <f t="shared" ca="1" si="203"/>
        <v>-274966033472009.59</v>
      </c>
      <c r="J5217" s="455">
        <f t="array" ref="J5217">IFERROR(INDEX('Retirement Calculator'!J:J,MATCH('Isaac 401k'!N5217,'Retirement Calculator'!A:A,0),0),0)</f>
        <v>0</v>
      </c>
      <c r="K5217" s="455">
        <f t="shared" ca="1" si="201"/>
        <v>-1145691806133.3733</v>
      </c>
      <c r="L5217" s="455">
        <f t="shared" ca="1" si="202"/>
        <v>-276111725278142.97</v>
      </c>
      <c r="M5217" s="471">
        <f t="shared" si="204"/>
        <v>0.05</v>
      </c>
      <c r="N5217" s="475">
        <f t="shared" si="205"/>
        <v>209833</v>
      </c>
    </row>
    <row r="5218" spans="7:14" ht="11.25" customHeight="1" x14ac:dyDescent="0.3">
      <c r="G5218" s="470"/>
      <c r="H5218" s="470">
        <v>5211</v>
      </c>
      <c r="I5218" s="455">
        <f t="shared" ca="1" si="203"/>
        <v>-276111725278142.97</v>
      </c>
      <c r="J5218" s="455">
        <f t="array" ref="J5218">IFERROR(INDEX('Retirement Calculator'!J:J,MATCH('Isaac 401k'!N5218,'Retirement Calculator'!A:A,0),0),0)</f>
        <v>0</v>
      </c>
      <c r="K5218" s="455">
        <f t="shared" ca="1" si="201"/>
        <v>-1150465521992.2625</v>
      </c>
      <c r="L5218" s="455">
        <f t="shared" ca="1" si="202"/>
        <v>-277262190800135.22</v>
      </c>
      <c r="M5218" s="471">
        <f t="shared" si="204"/>
        <v>0.05</v>
      </c>
      <c r="N5218" s="475">
        <f t="shared" si="205"/>
        <v>209864</v>
      </c>
    </row>
    <row r="5219" spans="7:14" ht="11.25" customHeight="1" x14ac:dyDescent="0.3">
      <c r="G5219" s="470"/>
      <c r="H5219" s="470">
        <v>5212</v>
      </c>
      <c r="I5219" s="455">
        <f t="shared" ca="1" si="203"/>
        <v>-277262190800135.22</v>
      </c>
      <c r="J5219" s="455">
        <f t="array" ref="J5219">IFERROR(INDEX('Retirement Calculator'!J:J,MATCH('Isaac 401k'!N5219,'Retirement Calculator'!A:A,0),0),0)</f>
        <v>0</v>
      </c>
      <c r="K5219" s="455">
        <f t="shared" ca="1" si="201"/>
        <v>-1155259128333.8967</v>
      </c>
      <c r="L5219" s="455">
        <f t="shared" ca="1" si="202"/>
        <v>-278417449928469.13</v>
      </c>
      <c r="M5219" s="471">
        <f t="shared" si="204"/>
        <v>0.05</v>
      </c>
      <c r="N5219" s="475">
        <f t="shared" si="205"/>
        <v>209895</v>
      </c>
    </row>
    <row r="5220" spans="7:14" ht="11.25" customHeight="1" x14ac:dyDescent="0.3">
      <c r="G5220" s="470"/>
      <c r="H5220" s="470">
        <v>5213</v>
      </c>
      <c r="I5220" s="455">
        <f t="shared" ca="1" si="203"/>
        <v>-278417449928469.13</v>
      </c>
      <c r="J5220" s="455">
        <f t="array" ref="J5220">IFERROR(INDEX('Retirement Calculator'!J:J,MATCH('Isaac 401k'!N5220,'Retirement Calculator'!A:A,0),0),0)</f>
        <v>0</v>
      </c>
      <c r="K5220" s="455">
        <f t="shared" ca="1" si="201"/>
        <v>-1160072708035.2881</v>
      </c>
      <c r="L5220" s="455">
        <f t="shared" ca="1" si="202"/>
        <v>-279577522636504.41</v>
      </c>
      <c r="M5220" s="471">
        <f t="shared" si="204"/>
        <v>0.05</v>
      </c>
      <c r="N5220" s="475">
        <f t="shared" si="205"/>
        <v>209925</v>
      </c>
    </row>
    <row r="5221" spans="7:14" ht="11.25" customHeight="1" x14ac:dyDescent="0.3">
      <c r="G5221" s="470"/>
      <c r="H5221" s="470">
        <v>5214</v>
      </c>
      <c r="I5221" s="455">
        <f t="shared" ca="1" si="203"/>
        <v>-279577522636504.41</v>
      </c>
      <c r="J5221" s="455">
        <f t="array" ref="J5221">IFERROR(INDEX('Retirement Calculator'!J:J,MATCH('Isaac 401k'!N5221,'Retirement Calculator'!A:A,0),0),0)</f>
        <v>0</v>
      </c>
      <c r="K5221" s="455">
        <f t="shared" ca="1" si="201"/>
        <v>-1164906344318.7683</v>
      </c>
      <c r="L5221" s="455">
        <f t="shared" ca="1" si="202"/>
        <v>-280742428980823.19</v>
      </c>
      <c r="M5221" s="471">
        <f t="shared" si="204"/>
        <v>0.05</v>
      </c>
      <c r="N5221" s="475">
        <f t="shared" si="205"/>
        <v>209956</v>
      </c>
    </row>
    <row r="5222" spans="7:14" ht="11.25" customHeight="1" x14ac:dyDescent="0.3">
      <c r="G5222" s="470"/>
      <c r="H5222" s="470">
        <v>5215</v>
      </c>
      <c r="I5222" s="455">
        <f t="shared" ca="1" si="203"/>
        <v>-280742428980823.19</v>
      </c>
      <c r="J5222" s="455">
        <f t="array" ref="J5222">IFERROR(INDEX('Retirement Calculator'!J:J,MATCH('Isaac 401k'!N5222,'Retirement Calculator'!A:A,0),0),0)</f>
        <v>0</v>
      </c>
      <c r="K5222" s="455">
        <f t="shared" ca="1" si="201"/>
        <v>-1169760120753.4297</v>
      </c>
      <c r="L5222" s="455">
        <f t="shared" ca="1" si="202"/>
        <v>-281912189101576.63</v>
      </c>
      <c r="M5222" s="471">
        <f t="shared" si="204"/>
        <v>0.05</v>
      </c>
      <c r="N5222" s="475">
        <f t="shared" si="205"/>
        <v>209986</v>
      </c>
    </row>
    <row r="5223" spans="7:14" ht="11.25" customHeight="1" x14ac:dyDescent="0.3">
      <c r="G5223" s="470"/>
      <c r="H5223" s="470">
        <v>5216</v>
      </c>
      <c r="I5223" s="455">
        <f t="shared" ca="1" si="203"/>
        <v>-281912189101576.63</v>
      </c>
      <c r="J5223" s="455">
        <f t="array" ref="J5223">IFERROR(INDEX('Retirement Calculator'!J:J,MATCH('Isaac 401k'!N5223,'Retirement Calculator'!A:A,0),0),0)</f>
        <v>0</v>
      </c>
      <c r="K5223" s="455">
        <f t="shared" ca="1" si="201"/>
        <v>-1174634121256.5693</v>
      </c>
      <c r="L5223" s="455">
        <f t="shared" ca="1" si="202"/>
        <v>-283086823222833.19</v>
      </c>
      <c r="M5223" s="471">
        <f t="shared" si="204"/>
        <v>0.05</v>
      </c>
      <c r="N5223" s="475">
        <f t="shared" si="205"/>
        <v>210017</v>
      </c>
    </row>
    <row r="5224" spans="7:14" ht="11.25" customHeight="1" x14ac:dyDescent="0.3">
      <c r="G5224" s="470"/>
      <c r="H5224" s="470">
        <v>5217</v>
      </c>
      <c r="I5224" s="455">
        <f t="shared" ca="1" si="203"/>
        <v>-283086823222833.19</v>
      </c>
      <c r="J5224" s="455">
        <f t="array" ref="J5224">IFERROR(INDEX('Retirement Calculator'!J:J,MATCH('Isaac 401k'!N5224,'Retirement Calculator'!A:A,0),0),0)</f>
        <v>0</v>
      </c>
      <c r="K5224" s="455">
        <f t="shared" ca="1" si="201"/>
        <v>-1179528430095.1382</v>
      </c>
      <c r="L5224" s="455">
        <f t="shared" ca="1" si="202"/>
        <v>-284266351652928.31</v>
      </c>
      <c r="M5224" s="471">
        <f t="shared" si="204"/>
        <v>0.05</v>
      </c>
      <c r="N5224" s="475">
        <f t="shared" si="205"/>
        <v>210048</v>
      </c>
    </row>
    <row r="5225" spans="7:14" ht="11.25" customHeight="1" x14ac:dyDescent="0.3">
      <c r="G5225" s="470"/>
      <c r="H5225" s="470">
        <v>5218</v>
      </c>
      <c r="I5225" s="455">
        <f t="shared" ca="1" si="203"/>
        <v>-284266351652928.31</v>
      </c>
      <c r="J5225" s="455">
        <f t="array" ref="J5225">IFERROR(INDEX('Retirement Calculator'!J:J,MATCH('Isaac 401k'!N5225,'Retirement Calculator'!A:A,0),0),0)</f>
        <v>0</v>
      </c>
      <c r="K5225" s="455">
        <f t="shared" ca="1" si="201"/>
        <v>-1184443131887.2012</v>
      </c>
      <c r="L5225" s="455">
        <f t="shared" ca="1" si="202"/>
        <v>-285450794784815.5</v>
      </c>
      <c r="M5225" s="471">
        <f t="shared" si="204"/>
        <v>0.05</v>
      </c>
      <c r="N5225" s="475">
        <f t="shared" si="205"/>
        <v>210076</v>
      </c>
    </row>
    <row r="5226" spans="7:14" ht="11.25" customHeight="1" x14ac:dyDescent="0.3">
      <c r="G5226" s="470"/>
      <c r="H5226" s="470">
        <v>5219</v>
      </c>
      <c r="I5226" s="455">
        <f t="shared" ca="1" si="203"/>
        <v>-285450794784815.5</v>
      </c>
      <c r="J5226" s="455">
        <f t="array" ref="J5226">IFERROR(INDEX('Retirement Calculator'!J:J,MATCH('Isaac 401k'!N5226,'Retirement Calculator'!A:A,0),0),0)</f>
        <v>0</v>
      </c>
      <c r="K5226" s="455">
        <f t="shared" ca="1" si="201"/>
        <v>-1189378311603.3979</v>
      </c>
      <c r="L5226" s="455">
        <f t="shared" ca="1" si="202"/>
        <v>-286640173096418.88</v>
      </c>
      <c r="M5226" s="471">
        <f t="shared" si="204"/>
        <v>0.05</v>
      </c>
      <c r="N5226" s="475">
        <f t="shared" si="205"/>
        <v>210107</v>
      </c>
    </row>
    <row r="5227" spans="7:14" ht="11.25" customHeight="1" x14ac:dyDescent="0.3">
      <c r="G5227" s="470"/>
      <c r="H5227" s="470">
        <v>5220</v>
      </c>
      <c r="I5227" s="455">
        <f t="shared" ca="1" si="203"/>
        <v>-286640173096418.88</v>
      </c>
      <c r="J5227" s="455">
        <f t="array" ref="J5227">IFERROR(INDEX('Retirement Calculator'!J:J,MATCH('Isaac 401k'!N5227,'Retirement Calculator'!A:A,0),0),0)</f>
        <v>0</v>
      </c>
      <c r="K5227" s="455">
        <f t="shared" ca="1" si="201"/>
        <v>-1194334054568.4119</v>
      </c>
      <c r="L5227" s="455">
        <f t="shared" ca="1" si="202"/>
        <v>-287834507150987.31</v>
      </c>
      <c r="M5227" s="471">
        <f t="shared" si="204"/>
        <v>0.05</v>
      </c>
      <c r="N5227" s="475">
        <f t="shared" si="205"/>
        <v>210137</v>
      </c>
    </row>
    <row r="5228" spans="7:14" ht="11.25" customHeight="1" x14ac:dyDescent="0.3">
      <c r="G5228" s="470"/>
      <c r="H5228" s="470">
        <v>5221</v>
      </c>
      <c r="I5228" s="455">
        <f t="shared" ca="1" si="203"/>
        <v>-287834507150987.31</v>
      </c>
      <c r="J5228" s="455">
        <f t="array" ref="J5228">IFERROR(INDEX('Retirement Calculator'!J:J,MATCH('Isaac 401k'!N5228,'Retirement Calculator'!A:A,0),0),0)</f>
        <v>0</v>
      </c>
      <c r="K5228" s="455">
        <f t="shared" ca="1" si="201"/>
        <v>-1199310446462.447</v>
      </c>
      <c r="L5228" s="455">
        <f t="shared" ca="1" si="202"/>
        <v>-289033817597449.75</v>
      </c>
      <c r="M5228" s="471">
        <f t="shared" si="204"/>
        <v>0.05</v>
      </c>
      <c r="N5228" s="475">
        <f t="shared" si="205"/>
        <v>210168</v>
      </c>
    </row>
    <row r="5229" spans="7:14" ht="11.25" customHeight="1" x14ac:dyDescent="0.3">
      <c r="G5229" s="470"/>
      <c r="H5229" s="470">
        <v>5222</v>
      </c>
      <c r="I5229" s="455">
        <f t="shared" ca="1" si="203"/>
        <v>-289033817597449.75</v>
      </c>
      <c r="J5229" s="455">
        <f t="array" ref="J5229">IFERROR(INDEX('Retirement Calculator'!J:J,MATCH('Isaac 401k'!N5229,'Retirement Calculator'!A:A,0),0),0)</f>
        <v>0</v>
      </c>
      <c r="K5229" s="455">
        <f t="shared" ca="1" si="201"/>
        <v>-1204307573322.7073</v>
      </c>
      <c r="L5229" s="455">
        <f t="shared" ca="1" si="202"/>
        <v>-290238125170772.44</v>
      </c>
      <c r="M5229" s="471">
        <f t="shared" si="204"/>
        <v>0.05</v>
      </c>
      <c r="N5229" s="475">
        <f t="shared" si="205"/>
        <v>210198</v>
      </c>
    </row>
    <row r="5230" spans="7:14" ht="11.25" customHeight="1" x14ac:dyDescent="0.3">
      <c r="G5230" s="470"/>
      <c r="H5230" s="470">
        <v>5223</v>
      </c>
      <c r="I5230" s="455">
        <f t="shared" ca="1" si="203"/>
        <v>-290238125170772.44</v>
      </c>
      <c r="J5230" s="455">
        <f t="array" ref="J5230">IFERROR(INDEX('Retirement Calculator'!J:J,MATCH('Isaac 401k'!N5230,'Retirement Calculator'!A:A,0),0),0)</f>
        <v>0</v>
      </c>
      <c r="K5230" s="455">
        <f t="shared" ca="1" si="201"/>
        <v>-1209325521544.8853</v>
      </c>
      <c r="L5230" s="455">
        <f t="shared" ca="1" si="202"/>
        <v>-291447450692317.31</v>
      </c>
      <c r="M5230" s="471">
        <f t="shared" si="204"/>
        <v>0.05</v>
      </c>
      <c r="N5230" s="475">
        <f t="shared" si="205"/>
        <v>210229</v>
      </c>
    </row>
    <row r="5231" spans="7:14" ht="11.25" customHeight="1" x14ac:dyDescent="0.3">
      <c r="G5231" s="470"/>
      <c r="H5231" s="470">
        <v>5224</v>
      </c>
      <c r="I5231" s="455">
        <f t="shared" ca="1" si="203"/>
        <v>-291447450692317.31</v>
      </c>
      <c r="J5231" s="455">
        <f t="array" ref="J5231">IFERROR(INDEX('Retirement Calculator'!J:J,MATCH('Isaac 401k'!N5231,'Retirement Calculator'!A:A,0),0),0)</f>
        <v>0</v>
      </c>
      <c r="K5231" s="455">
        <f t="shared" ca="1" si="201"/>
        <v>-1214364377884.6555</v>
      </c>
      <c r="L5231" s="455">
        <f t="shared" ca="1" si="202"/>
        <v>-292661815070201.94</v>
      </c>
      <c r="M5231" s="471">
        <f t="shared" si="204"/>
        <v>0.05</v>
      </c>
      <c r="N5231" s="475">
        <f t="shared" si="205"/>
        <v>210260</v>
      </c>
    </row>
    <row r="5232" spans="7:14" ht="11.25" customHeight="1" x14ac:dyDescent="0.3">
      <c r="G5232" s="470"/>
      <c r="H5232" s="470">
        <v>5225</v>
      </c>
      <c r="I5232" s="455">
        <f t="shared" ca="1" si="203"/>
        <v>-292661815070201.94</v>
      </c>
      <c r="J5232" s="455">
        <f t="array" ref="J5232">IFERROR(INDEX('Retirement Calculator'!J:J,MATCH('Isaac 401k'!N5232,'Retirement Calculator'!A:A,0),0),0)</f>
        <v>0</v>
      </c>
      <c r="K5232" s="455">
        <f t="shared" ca="1" si="201"/>
        <v>-1219424229459.1748</v>
      </c>
      <c r="L5232" s="455">
        <f t="shared" ca="1" si="202"/>
        <v>-293881239299661.13</v>
      </c>
      <c r="M5232" s="471">
        <f t="shared" si="204"/>
        <v>0.05</v>
      </c>
      <c r="N5232" s="475">
        <f t="shared" si="205"/>
        <v>210290</v>
      </c>
    </row>
    <row r="5233" spans="7:14" ht="11.25" customHeight="1" x14ac:dyDescent="0.3">
      <c r="G5233" s="470"/>
      <c r="H5233" s="470">
        <v>5226</v>
      </c>
      <c r="I5233" s="455">
        <f t="shared" ca="1" si="203"/>
        <v>-293881239299661.13</v>
      </c>
      <c r="J5233" s="455">
        <f t="array" ref="J5233">IFERROR(INDEX('Retirement Calculator'!J:J,MATCH('Isaac 401k'!N5233,'Retirement Calculator'!A:A,0),0),0)</f>
        <v>0</v>
      </c>
      <c r="K5233" s="455">
        <f t="shared" ca="1" si="201"/>
        <v>-1224505163748.5879</v>
      </c>
      <c r="L5233" s="455">
        <f t="shared" ca="1" si="202"/>
        <v>-295105744463409.69</v>
      </c>
      <c r="M5233" s="471">
        <f t="shared" si="204"/>
        <v>0.05</v>
      </c>
      <c r="N5233" s="475">
        <f t="shared" si="205"/>
        <v>210321</v>
      </c>
    </row>
    <row r="5234" spans="7:14" ht="11.25" customHeight="1" x14ac:dyDescent="0.3">
      <c r="G5234" s="470"/>
      <c r="H5234" s="470">
        <v>5227</v>
      </c>
      <c r="I5234" s="455">
        <f t="shared" ca="1" si="203"/>
        <v>-295105744463409.69</v>
      </c>
      <c r="J5234" s="455">
        <f t="array" ref="J5234">IFERROR(INDEX('Retirement Calculator'!J:J,MATCH('Isaac 401k'!N5234,'Retirement Calculator'!A:A,0),0),0)</f>
        <v>0</v>
      </c>
      <c r="K5234" s="455">
        <f t="shared" ca="1" si="201"/>
        <v>-1229607268597.5403</v>
      </c>
      <c r="L5234" s="455">
        <f t="shared" ca="1" si="202"/>
        <v>-296335351732007.25</v>
      </c>
      <c r="M5234" s="471">
        <f t="shared" si="204"/>
        <v>0.05</v>
      </c>
      <c r="N5234" s="475">
        <f t="shared" si="205"/>
        <v>210351</v>
      </c>
    </row>
    <row r="5235" spans="7:14" ht="11.25" customHeight="1" x14ac:dyDescent="0.3">
      <c r="G5235" s="470"/>
      <c r="H5235" s="470">
        <v>5228</v>
      </c>
      <c r="I5235" s="455">
        <f t="shared" ca="1" si="203"/>
        <v>-296335351732007.25</v>
      </c>
      <c r="J5235" s="455">
        <f t="array" ref="J5235">IFERROR(INDEX('Retirement Calculator'!J:J,MATCH('Isaac 401k'!N5235,'Retirement Calculator'!A:A,0),0),0)</f>
        <v>0</v>
      </c>
      <c r="K5235" s="455">
        <f t="shared" ca="1" si="201"/>
        <v>-1234730632216.6968</v>
      </c>
      <c r="L5235" s="455">
        <f t="shared" ca="1" si="202"/>
        <v>-297570082364223.94</v>
      </c>
      <c r="M5235" s="471">
        <f t="shared" si="204"/>
        <v>0.05</v>
      </c>
      <c r="N5235" s="475">
        <f t="shared" si="205"/>
        <v>210382</v>
      </c>
    </row>
    <row r="5236" spans="7:14" ht="11.25" customHeight="1" x14ac:dyDescent="0.3">
      <c r="G5236" s="470"/>
      <c r="H5236" s="470">
        <v>5229</v>
      </c>
      <c r="I5236" s="455">
        <f t="shared" ca="1" si="203"/>
        <v>-297570082364223.94</v>
      </c>
      <c r="J5236" s="455">
        <f t="array" ref="J5236">IFERROR(INDEX('Retirement Calculator'!J:J,MATCH('Isaac 401k'!N5236,'Retirement Calculator'!A:A,0),0),0)</f>
        <v>0</v>
      </c>
      <c r="K5236" s="455">
        <f t="shared" ca="1" si="201"/>
        <v>-1239875343184.2664</v>
      </c>
      <c r="L5236" s="455">
        <f t="shared" ca="1" si="202"/>
        <v>-298809957707408.19</v>
      </c>
      <c r="M5236" s="471">
        <f t="shared" si="204"/>
        <v>0.05</v>
      </c>
      <c r="N5236" s="475">
        <f t="shared" si="205"/>
        <v>210413</v>
      </c>
    </row>
    <row r="5237" spans="7:14" ht="11.25" customHeight="1" x14ac:dyDescent="0.3">
      <c r="G5237" s="470"/>
      <c r="H5237" s="470">
        <v>5230</v>
      </c>
      <c r="I5237" s="455">
        <f t="shared" ca="1" si="203"/>
        <v>-298809957707408.19</v>
      </c>
      <c r="J5237" s="455">
        <f t="array" ref="J5237">IFERROR(INDEX('Retirement Calculator'!J:J,MATCH('Isaac 401k'!N5237,'Retirement Calculator'!A:A,0),0),0)</f>
        <v>0</v>
      </c>
      <c r="K5237" s="455">
        <f t="shared" ca="1" si="201"/>
        <v>-1245041490447.5342</v>
      </c>
      <c r="L5237" s="455">
        <f t="shared" ca="1" si="202"/>
        <v>-300054999197855.75</v>
      </c>
      <c r="M5237" s="471">
        <f t="shared" si="204"/>
        <v>0.05</v>
      </c>
      <c r="N5237" s="475">
        <f t="shared" si="205"/>
        <v>210442</v>
      </c>
    </row>
    <row r="5238" spans="7:14" ht="11.25" customHeight="1" x14ac:dyDescent="0.3">
      <c r="G5238" s="470"/>
      <c r="H5238" s="470">
        <v>5231</v>
      </c>
      <c r="I5238" s="455">
        <f t="shared" ca="1" si="203"/>
        <v>-300054999197855.75</v>
      </c>
      <c r="J5238" s="455">
        <f t="array" ref="J5238">IFERROR(INDEX('Retirement Calculator'!J:J,MATCH('Isaac 401k'!N5238,'Retirement Calculator'!A:A,0),0),0)</f>
        <v>0</v>
      </c>
      <c r="K5238" s="455">
        <f t="shared" ca="1" si="201"/>
        <v>-1250229163324.3989</v>
      </c>
      <c r="L5238" s="455">
        <f t="shared" ca="1" si="202"/>
        <v>-301305228361180.13</v>
      </c>
      <c r="M5238" s="471">
        <f t="shared" si="204"/>
        <v>0.05</v>
      </c>
      <c r="N5238" s="475">
        <f t="shared" si="205"/>
        <v>210473</v>
      </c>
    </row>
    <row r="5239" spans="7:14" ht="11.25" customHeight="1" x14ac:dyDescent="0.3">
      <c r="G5239" s="470"/>
      <c r="H5239" s="470">
        <v>5232</v>
      </c>
      <c r="I5239" s="455">
        <f t="shared" ca="1" si="203"/>
        <v>-301305228361180.13</v>
      </c>
      <c r="J5239" s="455">
        <f t="array" ref="J5239">IFERROR(INDEX('Retirement Calculator'!J:J,MATCH('Isaac 401k'!N5239,'Retirement Calculator'!A:A,0),0),0)</f>
        <v>0</v>
      </c>
      <c r="K5239" s="455">
        <f t="shared" ca="1" si="201"/>
        <v>-1255438451504.9172</v>
      </c>
      <c r="L5239" s="455">
        <f t="shared" ca="1" si="202"/>
        <v>-302560666812685.06</v>
      </c>
      <c r="M5239" s="471">
        <f t="shared" si="204"/>
        <v>0.05</v>
      </c>
      <c r="N5239" s="475">
        <f t="shared" si="205"/>
        <v>210503</v>
      </c>
    </row>
    <row r="5240" spans="7:14" ht="11.25" customHeight="1" x14ac:dyDescent="0.3">
      <c r="G5240" s="470"/>
      <c r="H5240" s="470">
        <v>5233</v>
      </c>
      <c r="I5240" s="455">
        <f t="shared" ca="1" si="203"/>
        <v>-302560666812685.06</v>
      </c>
      <c r="J5240" s="455">
        <f t="array" ref="J5240">IFERROR(INDEX('Retirement Calculator'!J:J,MATCH('Isaac 401k'!N5240,'Retirement Calculator'!A:A,0),0),0)</f>
        <v>0</v>
      </c>
      <c r="K5240" s="455">
        <f t="shared" ca="1" si="201"/>
        <v>-1260669445052.8545</v>
      </c>
      <c r="L5240" s="455">
        <f t="shared" ca="1" si="202"/>
        <v>-303821336257737.94</v>
      </c>
      <c r="M5240" s="471">
        <f t="shared" si="204"/>
        <v>0.05</v>
      </c>
      <c r="N5240" s="475">
        <f t="shared" si="205"/>
        <v>210534</v>
      </c>
    </row>
    <row r="5241" spans="7:14" ht="11.25" customHeight="1" x14ac:dyDescent="0.3">
      <c r="G5241" s="470"/>
      <c r="H5241" s="470">
        <v>5234</v>
      </c>
      <c r="I5241" s="455">
        <f t="shared" ca="1" si="203"/>
        <v>-303821336257737.94</v>
      </c>
      <c r="J5241" s="455">
        <f t="array" ref="J5241">IFERROR(INDEX('Retirement Calculator'!J:J,MATCH('Isaac 401k'!N5241,'Retirement Calculator'!A:A,0),0),0)</f>
        <v>0</v>
      </c>
      <c r="K5241" s="455">
        <f t="shared" ca="1" si="201"/>
        <v>-1265922234407.2415</v>
      </c>
      <c r="L5241" s="455">
        <f t="shared" ca="1" si="202"/>
        <v>-305087258492145.19</v>
      </c>
      <c r="M5241" s="471">
        <f t="shared" si="204"/>
        <v>0.05</v>
      </c>
      <c r="N5241" s="475">
        <f t="shared" si="205"/>
        <v>210564</v>
      </c>
    </row>
    <row r="5242" spans="7:14" ht="11.25" customHeight="1" x14ac:dyDescent="0.3">
      <c r="G5242" s="470"/>
      <c r="H5242" s="470">
        <v>5235</v>
      </c>
      <c r="I5242" s="455">
        <f t="shared" ca="1" si="203"/>
        <v>-305087258492145.19</v>
      </c>
      <c r="J5242" s="455">
        <f t="array" ref="J5242">IFERROR(INDEX('Retirement Calculator'!J:J,MATCH('Isaac 401k'!N5242,'Retirement Calculator'!A:A,0),0),0)</f>
        <v>0</v>
      </c>
      <c r="K5242" s="455">
        <f t="shared" ca="1" si="201"/>
        <v>-1271196910383.9382</v>
      </c>
      <c r="L5242" s="455">
        <f t="shared" ca="1" si="202"/>
        <v>-306358455402529.13</v>
      </c>
      <c r="M5242" s="471">
        <f t="shared" si="204"/>
        <v>0.05</v>
      </c>
      <c r="N5242" s="475">
        <f t="shared" si="205"/>
        <v>210595</v>
      </c>
    </row>
    <row r="5243" spans="7:14" ht="11.25" customHeight="1" x14ac:dyDescent="0.3">
      <c r="G5243" s="470"/>
      <c r="H5243" s="470">
        <v>5236</v>
      </c>
      <c r="I5243" s="455">
        <f t="shared" ca="1" si="203"/>
        <v>-306358455402529.13</v>
      </c>
      <c r="J5243" s="455">
        <f t="array" ref="J5243">IFERROR(INDEX('Retirement Calculator'!J:J,MATCH('Isaac 401k'!N5243,'Retirement Calculator'!A:A,0),0),0)</f>
        <v>0</v>
      </c>
      <c r="K5243" s="455">
        <f t="shared" ca="1" si="201"/>
        <v>-1276493564177.2046</v>
      </c>
      <c r="L5243" s="455">
        <f t="shared" ca="1" si="202"/>
        <v>-307634948966706.31</v>
      </c>
      <c r="M5243" s="471">
        <f t="shared" si="204"/>
        <v>0.05</v>
      </c>
      <c r="N5243" s="475">
        <f t="shared" si="205"/>
        <v>210626</v>
      </c>
    </row>
    <row r="5244" spans="7:14" ht="11.25" customHeight="1" x14ac:dyDescent="0.3">
      <c r="G5244" s="470"/>
      <c r="H5244" s="470">
        <v>5237</v>
      </c>
      <c r="I5244" s="455">
        <f t="shared" ca="1" si="203"/>
        <v>-307634948966706.31</v>
      </c>
      <c r="J5244" s="455">
        <f t="array" ref="J5244">IFERROR(INDEX('Retirement Calculator'!J:J,MATCH('Isaac 401k'!N5244,'Retirement Calculator'!A:A,0),0),0)</f>
        <v>0</v>
      </c>
      <c r="K5244" s="455">
        <f t="shared" ca="1" si="201"/>
        <v>-1281812287361.2764</v>
      </c>
      <c r="L5244" s="455">
        <f t="shared" ca="1" si="202"/>
        <v>-308916761254067.56</v>
      </c>
      <c r="M5244" s="471">
        <f t="shared" si="204"/>
        <v>0.05</v>
      </c>
      <c r="N5244" s="475">
        <f t="shared" si="205"/>
        <v>210656</v>
      </c>
    </row>
    <row r="5245" spans="7:14" ht="11.25" customHeight="1" x14ac:dyDescent="0.3">
      <c r="G5245" s="470"/>
      <c r="H5245" s="470">
        <v>5238</v>
      </c>
      <c r="I5245" s="455">
        <f t="shared" ca="1" si="203"/>
        <v>-308916761254067.56</v>
      </c>
      <c r="J5245" s="455">
        <f t="array" ref="J5245">IFERROR(INDEX('Retirement Calculator'!J:J,MATCH('Isaac 401k'!N5245,'Retirement Calculator'!A:A,0),0),0)</f>
        <v>0</v>
      </c>
      <c r="K5245" s="455">
        <f t="shared" ca="1" si="201"/>
        <v>-1287153171891.9482</v>
      </c>
      <c r="L5245" s="455">
        <f t="shared" ca="1" si="202"/>
        <v>-310203914425959.5</v>
      </c>
      <c r="M5245" s="471">
        <f t="shared" si="204"/>
        <v>0.05</v>
      </c>
      <c r="N5245" s="475">
        <f t="shared" si="205"/>
        <v>210687</v>
      </c>
    </row>
    <row r="5246" spans="7:14" ht="11.25" customHeight="1" x14ac:dyDescent="0.3">
      <c r="G5246" s="470"/>
      <c r="H5246" s="470">
        <v>5239</v>
      </c>
      <c r="I5246" s="455">
        <f t="shared" ca="1" si="203"/>
        <v>-310203914425959.5</v>
      </c>
      <c r="J5246" s="455">
        <f t="array" ref="J5246">IFERROR(INDEX('Retirement Calculator'!J:J,MATCH('Isaac 401k'!N5246,'Retirement Calculator'!A:A,0),0),0)</f>
        <v>0</v>
      </c>
      <c r="K5246" s="455">
        <f t="shared" ca="1" si="201"/>
        <v>-1292516310108.1646</v>
      </c>
      <c r="L5246" s="455">
        <f t="shared" ca="1" si="202"/>
        <v>-311496430736067.69</v>
      </c>
      <c r="M5246" s="471">
        <f t="shared" si="204"/>
        <v>0.05</v>
      </c>
      <c r="N5246" s="475">
        <f t="shared" si="205"/>
        <v>210717</v>
      </c>
    </row>
    <row r="5247" spans="7:14" ht="11.25" customHeight="1" x14ac:dyDescent="0.3">
      <c r="G5247" s="470"/>
      <c r="H5247" s="470">
        <v>5240</v>
      </c>
      <c r="I5247" s="455">
        <f t="shared" ca="1" si="203"/>
        <v>-311496430736067.69</v>
      </c>
      <c r="J5247" s="455">
        <f t="array" ref="J5247">IFERROR(INDEX('Retirement Calculator'!J:J,MATCH('Isaac 401k'!N5247,'Retirement Calculator'!A:A,0),0),0)</f>
        <v>0</v>
      </c>
      <c r="K5247" s="455">
        <f t="shared" ca="1" si="201"/>
        <v>-1297901794733.6152</v>
      </c>
      <c r="L5247" s="455">
        <f t="shared" ca="1" si="202"/>
        <v>-312794332530801.31</v>
      </c>
      <c r="M5247" s="471">
        <f t="shared" si="204"/>
        <v>0.05</v>
      </c>
      <c r="N5247" s="475">
        <f t="shared" si="205"/>
        <v>210748</v>
      </c>
    </row>
    <row r="5248" spans="7:14" ht="11.25" customHeight="1" x14ac:dyDescent="0.3">
      <c r="G5248" s="470"/>
      <c r="H5248" s="470">
        <v>5241</v>
      </c>
      <c r="I5248" s="455">
        <f t="shared" ca="1" si="203"/>
        <v>-312794332530801.31</v>
      </c>
      <c r="J5248" s="455">
        <f t="array" ref="J5248">IFERROR(INDEX('Retirement Calculator'!J:J,MATCH('Isaac 401k'!N5248,'Retirement Calculator'!A:A,0),0),0)</f>
        <v>0</v>
      </c>
      <c r="K5248" s="455">
        <f t="shared" ca="1" si="201"/>
        <v>-1303309718878.3389</v>
      </c>
      <c r="L5248" s="455">
        <f t="shared" ca="1" si="202"/>
        <v>-314097642249679.63</v>
      </c>
      <c r="M5248" s="471">
        <f t="shared" si="204"/>
        <v>0.05</v>
      </c>
      <c r="N5248" s="475">
        <f t="shared" si="205"/>
        <v>210779</v>
      </c>
    </row>
    <row r="5249" spans="7:14" ht="11.25" customHeight="1" x14ac:dyDescent="0.3">
      <c r="G5249" s="470"/>
      <c r="H5249" s="470">
        <v>5242</v>
      </c>
      <c r="I5249" s="455">
        <f t="shared" ca="1" si="203"/>
        <v>-314097642249679.63</v>
      </c>
      <c r="J5249" s="455">
        <f t="array" ref="J5249">IFERROR(INDEX('Retirement Calculator'!J:J,MATCH('Isaac 401k'!N5249,'Retirement Calculator'!A:A,0),0),0)</f>
        <v>0</v>
      </c>
      <c r="K5249" s="455">
        <f t="shared" ca="1" si="201"/>
        <v>-1308740176040.3318</v>
      </c>
      <c r="L5249" s="455">
        <f t="shared" ca="1" si="202"/>
        <v>-315406382425719.94</v>
      </c>
      <c r="M5249" s="471">
        <f t="shared" si="204"/>
        <v>0.05</v>
      </c>
      <c r="N5249" s="475">
        <f t="shared" si="205"/>
        <v>210807</v>
      </c>
    </row>
    <row r="5250" spans="7:14" ht="11.25" customHeight="1" x14ac:dyDescent="0.3">
      <c r="G5250" s="470"/>
      <c r="H5250" s="470">
        <v>5243</v>
      </c>
      <c r="I5250" s="455">
        <f t="shared" ca="1" si="203"/>
        <v>-315406382425719.94</v>
      </c>
      <c r="J5250" s="455">
        <f t="array" ref="J5250">IFERROR(INDEX('Retirement Calculator'!J:J,MATCH('Isaac 401k'!N5250,'Retirement Calculator'!A:A,0),0),0)</f>
        <v>0</v>
      </c>
      <c r="K5250" s="455">
        <f t="shared" ca="1" si="201"/>
        <v>-1314193260107.1665</v>
      </c>
      <c r="L5250" s="455">
        <f t="shared" ca="1" si="202"/>
        <v>-316720575685827.13</v>
      </c>
      <c r="M5250" s="471">
        <f t="shared" si="204"/>
        <v>0.05</v>
      </c>
      <c r="N5250" s="475">
        <f t="shared" si="205"/>
        <v>210838</v>
      </c>
    </row>
    <row r="5251" spans="7:14" ht="11.25" customHeight="1" x14ac:dyDescent="0.3">
      <c r="G5251" s="470"/>
      <c r="H5251" s="470">
        <v>5244</v>
      </c>
      <c r="I5251" s="455">
        <f t="shared" ca="1" si="203"/>
        <v>-316720575685827.13</v>
      </c>
      <c r="J5251" s="455">
        <f t="array" ref="J5251">IFERROR(INDEX('Retirement Calculator'!J:J,MATCH('Isaac 401k'!N5251,'Retirement Calculator'!A:A,0),0),0)</f>
        <v>0</v>
      </c>
      <c r="K5251" s="455">
        <f t="shared" ca="1" si="201"/>
        <v>-1319669065357.613</v>
      </c>
      <c r="L5251" s="455">
        <f t="shared" ca="1" si="202"/>
        <v>-318040244751184.75</v>
      </c>
      <c r="M5251" s="471">
        <f t="shared" si="204"/>
        <v>0.05</v>
      </c>
      <c r="N5251" s="475">
        <f t="shared" si="205"/>
        <v>210868</v>
      </c>
    </row>
    <row r="5252" spans="7:14" ht="11.25" customHeight="1" x14ac:dyDescent="0.3">
      <c r="G5252" s="470"/>
      <c r="H5252" s="470">
        <v>5245</v>
      </c>
      <c r="I5252" s="455">
        <f t="shared" ca="1" si="203"/>
        <v>-318040244751184.75</v>
      </c>
      <c r="J5252" s="455">
        <f t="array" ref="J5252">IFERROR(INDEX('Retirement Calculator'!J:J,MATCH('Isaac 401k'!N5252,'Retirement Calculator'!A:A,0),0),0)</f>
        <v>0</v>
      </c>
      <c r="K5252" s="455">
        <f t="shared" ca="1" si="201"/>
        <v>-1325167686463.2698</v>
      </c>
      <c r="L5252" s="455">
        <f t="shared" ca="1" si="202"/>
        <v>-319365412437648</v>
      </c>
      <c r="M5252" s="471">
        <f t="shared" si="204"/>
        <v>0.05</v>
      </c>
      <c r="N5252" s="475">
        <f t="shared" si="205"/>
        <v>210899</v>
      </c>
    </row>
    <row r="5253" spans="7:14" ht="11.25" customHeight="1" x14ac:dyDescent="0.3">
      <c r="G5253" s="470"/>
      <c r="H5253" s="470">
        <v>5246</v>
      </c>
      <c r="I5253" s="455">
        <f t="shared" ca="1" si="203"/>
        <v>-319365412437648</v>
      </c>
      <c r="J5253" s="455">
        <f t="array" ref="J5253">IFERROR(INDEX('Retirement Calculator'!J:J,MATCH('Isaac 401k'!N5253,'Retirement Calculator'!A:A,0),0),0)</f>
        <v>0</v>
      </c>
      <c r="K5253" s="455">
        <f t="shared" ca="1" si="201"/>
        <v>-1330689218490.2</v>
      </c>
      <c r="L5253" s="455">
        <f t="shared" ca="1" si="202"/>
        <v>-320696101656138.19</v>
      </c>
      <c r="M5253" s="471">
        <f t="shared" si="204"/>
        <v>0.05</v>
      </c>
      <c r="N5253" s="475">
        <f t="shared" si="205"/>
        <v>210929</v>
      </c>
    </row>
    <row r="5254" spans="7:14" ht="11.25" customHeight="1" x14ac:dyDescent="0.3">
      <c r="G5254" s="470"/>
      <c r="H5254" s="470">
        <v>5247</v>
      </c>
      <c r="I5254" s="455">
        <f t="shared" ca="1" si="203"/>
        <v>-320696101656138.19</v>
      </c>
      <c r="J5254" s="455">
        <f t="array" ref="J5254">IFERROR(INDEX('Retirement Calculator'!J:J,MATCH('Isaac 401k'!N5254,'Retirement Calculator'!A:A,0),0),0)</f>
        <v>0</v>
      </c>
      <c r="K5254" s="455">
        <f t="shared" ca="1" si="201"/>
        <v>-1336233756900.5757</v>
      </c>
      <c r="L5254" s="455">
        <f t="shared" ca="1" si="202"/>
        <v>-322032335413038.75</v>
      </c>
      <c r="M5254" s="471">
        <f t="shared" si="204"/>
        <v>0.05</v>
      </c>
      <c r="N5254" s="475">
        <f t="shared" si="205"/>
        <v>210960</v>
      </c>
    </row>
    <row r="5255" spans="7:14" ht="11.25" customHeight="1" x14ac:dyDescent="0.3">
      <c r="G5255" s="470"/>
      <c r="H5255" s="470">
        <v>5248</v>
      </c>
      <c r="I5255" s="455">
        <f t="shared" ca="1" si="203"/>
        <v>-322032335413038.75</v>
      </c>
      <c r="J5255" s="455">
        <f t="array" ref="J5255">IFERROR(INDEX('Retirement Calculator'!J:J,MATCH('Isaac 401k'!N5255,'Retirement Calculator'!A:A,0),0),0)</f>
        <v>0</v>
      </c>
      <c r="K5255" s="455">
        <f t="shared" ca="1" si="201"/>
        <v>-1341801397554.3281</v>
      </c>
      <c r="L5255" s="455">
        <f t="shared" ca="1" si="202"/>
        <v>-323374136810593.06</v>
      </c>
      <c r="M5255" s="471">
        <f t="shared" si="204"/>
        <v>0.05</v>
      </c>
      <c r="N5255" s="475">
        <f t="shared" si="205"/>
        <v>210991</v>
      </c>
    </row>
    <row r="5256" spans="7:14" ht="11.25" customHeight="1" x14ac:dyDescent="0.3">
      <c r="G5256" s="470"/>
      <c r="H5256" s="470">
        <v>5249</v>
      </c>
      <c r="I5256" s="455">
        <f t="shared" ca="1" si="203"/>
        <v>-323374136810593.06</v>
      </c>
      <c r="J5256" s="455">
        <f t="array" ref="J5256">IFERROR(INDEX('Retirement Calculator'!J:J,MATCH('Isaac 401k'!N5256,'Retirement Calculator'!A:A,0),0),0)</f>
        <v>0</v>
      </c>
      <c r="K5256" s="455">
        <f t="shared" ca="1" si="201"/>
        <v>-1347392236710.8044</v>
      </c>
      <c r="L5256" s="455">
        <f t="shared" ca="1" si="202"/>
        <v>-324721529047303.88</v>
      </c>
      <c r="M5256" s="471">
        <f t="shared" si="204"/>
        <v>0.05</v>
      </c>
      <c r="N5256" s="475">
        <f t="shared" si="205"/>
        <v>211021</v>
      </c>
    </row>
    <row r="5257" spans="7:14" ht="11.25" customHeight="1" x14ac:dyDescent="0.3">
      <c r="G5257" s="470"/>
      <c r="H5257" s="470">
        <v>5250</v>
      </c>
      <c r="I5257" s="455">
        <f t="shared" ca="1" si="203"/>
        <v>-324721529047303.88</v>
      </c>
      <c r="J5257" s="455">
        <f t="array" ref="J5257">IFERROR(INDEX('Retirement Calculator'!J:J,MATCH('Isaac 401k'!N5257,'Retirement Calculator'!A:A,0),0),0)</f>
        <v>0</v>
      </c>
      <c r="K5257" s="455">
        <f t="shared" ca="1" si="201"/>
        <v>-1353006371030.4329</v>
      </c>
      <c r="L5257" s="455">
        <f t="shared" ca="1" si="202"/>
        <v>-326074535418334.31</v>
      </c>
      <c r="M5257" s="471">
        <f t="shared" si="204"/>
        <v>0.05</v>
      </c>
      <c r="N5257" s="475">
        <f t="shared" si="205"/>
        <v>211052</v>
      </c>
    </row>
    <row r="5258" spans="7:14" ht="11.25" customHeight="1" x14ac:dyDescent="0.3">
      <c r="G5258" s="470"/>
      <c r="H5258" s="470">
        <v>5251</v>
      </c>
      <c r="I5258" s="455">
        <f t="shared" ca="1" si="203"/>
        <v>-326074535418334.31</v>
      </c>
      <c r="J5258" s="455">
        <f t="array" ref="J5258">IFERROR(INDEX('Retirement Calculator'!J:J,MATCH('Isaac 401k'!N5258,'Retirement Calculator'!A:A,0),0),0)</f>
        <v>0</v>
      </c>
      <c r="K5258" s="455">
        <f t="shared" ca="1" si="201"/>
        <v>-1358643897576.3931</v>
      </c>
      <c r="L5258" s="455">
        <f t="shared" ca="1" si="202"/>
        <v>-327433179315910.69</v>
      </c>
      <c r="M5258" s="471">
        <f t="shared" si="204"/>
        <v>0.05</v>
      </c>
      <c r="N5258" s="475">
        <f t="shared" si="205"/>
        <v>211082</v>
      </c>
    </row>
    <row r="5259" spans="7:14" ht="11.25" customHeight="1" x14ac:dyDescent="0.3">
      <c r="G5259" s="470"/>
      <c r="H5259" s="470">
        <v>5252</v>
      </c>
      <c r="I5259" s="455">
        <f t="shared" ca="1" si="203"/>
        <v>-327433179315910.69</v>
      </c>
      <c r="J5259" s="455">
        <f t="array" ref="J5259">IFERROR(INDEX('Retirement Calculator'!J:J,MATCH('Isaac 401k'!N5259,'Retirement Calculator'!A:A,0),0),0)</f>
        <v>0</v>
      </c>
      <c r="K5259" s="455">
        <f t="shared" ca="1" si="201"/>
        <v>-1364304913816.2944</v>
      </c>
      <c r="L5259" s="455">
        <f t="shared" ca="1" si="202"/>
        <v>-328797484229727</v>
      </c>
      <c r="M5259" s="471">
        <f t="shared" si="204"/>
        <v>0.05</v>
      </c>
      <c r="N5259" s="475">
        <f t="shared" si="205"/>
        <v>211113</v>
      </c>
    </row>
    <row r="5260" spans="7:14" ht="11.25" customHeight="1" x14ac:dyDescent="0.3">
      <c r="G5260" s="470"/>
      <c r="H5260" s="470">
        <v>5253</v>
      </c>
      <c r="I5260" s="455">
        <f t="shared" ca="1" si="203"/>
        <v>-328797484229727</v>
      </c>
      <c r="J5260" s="455">
        <f t="array" ref="J5260">IFERROR(INDEX('Retirement Calculator'!J:J,MATCH('Isaac 401k'!N5260,'Retirement Calculator'!A:A,0),0),0)</f>
        <v>0</v>
      </c>
      <c r="K5260" s="455">
        <f t="shared" ca="1" si="201"/>
        <v>-1369989517623.8625</v>
      </c>
      <c r="L5260" s="455">
        <f t="shared" ca="1" si="202"/>
        <v>-330167473747350.88</v>
      </c>
      <c r="M5260" s="471">
        <f t="shared" si="204"/>
        <v>0.05</v>
      </c>
      <c r="N5260" s="475">
        <f t="shared" si="205"/>
        <v>211144</v>
      </c>
    </row>
    <row r="5261" spans="7:14" ht="11.25" customHeight="1" x14ac:dyDescent="0.3">
      <c r="G5261" s="470"/>
      <c r="H5261" s="470">
        <v>5254</v>
      </c>
      <c r="I5261" s="455">
        <f t="shared" ca="1" si="203"/>
        <v>-330167473747350.88</v>
      </c>
      <c r="J5261" s="455">
        <f t="array" ref="J5261">IFERROR(INDEX('Retirement Calculator'!J:J,MATCH('Isaac 401k'!N5261,'Retirement Calculator'!A:A,0),0),0)</f>
        <v>0</v>
      </c>
      <c r="K5261" s="455">
        <f t="shared" ca="1" si="201"/>
        <v>-1375697807280.6287</v>
      </c>
      <c r="L5261" s="455">
        <f t="shared" ca="1" si="202"/>
        <v>-331543171554631.5</v>
      </c>
      <c r="M5261" s="471">
        <f t="shared" si="204"/>
        <v>0.05</v>
      </c>
      <c r="N5261" s="475">
        <f t="shared" si="205"/>
        <v>211172</v>
      </c>
    </row>
    <row r="5262" spans="7:14" ht="11.25" customHeight="1" x14ac:dyDescent="0.3">
      <c r="G5262" s="470"/>
      <c r="H5262" s="470">
        <v>5255</v>
      </c>
      <c r="I5262" s="455">
        <f t="shared" ca="1" si="203"/>
        <v>-331543171554631.5</v>
      </c>
      <c r="J5262" s="455">
        <f t="array" ref="J5262">IFERROR(INDEX('Retirement Calculator'!J:J,MATCH('Isaac 401k'!N5262,'Retirement Calculator'!A:A,0),0),0)</f>
        <v>0</v>
      </c>
      <c r="K5262" s="455">
        <f t="shared" ca="1" si="201"/>
        <v>-1381429881477.6313</v>
      </c>
      <c r="L5262" s="455">
        <f t="shared" ca="1" si="202"/>
        <v>-332924601436109.13</v>
      </c>
      <c r="M5262" s="471">
        <f t="shared" si="204"/>
        <v>0.05</v>
      </c>
      <c r="N5262" s="475">
        <f t="shared" si="205"/>
        <v>211203</v>
      </c>
    </row>
    <row r="5263" spans="7:14" ht="11.25" customHeight="1" x14ac:dyDescent="0.3">
      <c r="G5263" s="470"/>
      <c r="H5263" s="470">
        <v>5256</v>
      </c>
      <c r="I5263" s="455">
        <f t="shared" ca="1" si="203"/>
        <v>-332924601436109.13</v>
      </c>
      <c r="J5263" s="455">
        <f t="array" ref="J5263">IFERROR(INDEX('Retirement Calculator'!J:J,MATCH('Isaac 401k'!N5263,'Retirement Calculator'!A:A,0),0),0)</f>
        <v>0</v>
      </c>
      <c r="K5263" s="455">
        <f t="shared" ca="1" si="201"/>
        <v>-1387185839317.1213</v>
      </c>
      <c r="L5263" s="455">
        <f t="shared" ca="1" si="202"/>
        <v>-334311787275426.25</v>
      </c>
      <c r="M5263" s="471">
        <f t="shared" si="204"/>
        <v>0.05</v>
      </c>
      <c r="N5263" s="475">
        <f t="shared" si="205"/>
        <v>211233</v>
      </c>
    </row>
    <row r="5264" spans="7:14" ht="11.25" customHeight="1" x14ac:dyDescent="0.3">
      <c r="G5264" s="470"/>
      <c r="H5264" s="470">
        <v>5257</v>
      </c>
      <c r="I5264" s="455">
        <f t="shared" ca="1" si="203"/>
        <v>-334311787275426.25</v>
      </c>
      <c r="J5264" s="455">
        <f t="array" ref="J5264">IFERROR(INDEX('Retirement Calculator'!J:J,MATCH('Isaac 401k'!N5264,'Retirement Calculator'!A:A,0),0),0)</f>
        <v>0</v>
      </c>
      <c r="K5264" s="455">
        <f t="shared" ca="1" si="201"/>
        <v>-1392965780314.2761</v>
      </c>
      <c r="L5264" s="455">
        <f t="shared" ca="1" si="202"/>
        <v>-335704753055740.5</v>
      </c>
      <c r="M5264" s="471">
        <f t="shared" si="204"/>
        <v>0.05</v>
      </c>
      <c r="N5264" s="475">
        <f t="shared" si="205"/>
        <v>211264</v>
      </c>
    </row>
    <row r="5265" spans="7:14" ht="11.25" customHeight="1" x14ac:dyDescent="0.3">
      <c r="G5265" s="470"/>
      <c r="H5265" s="470">
        <v>5258</v>
      </c>
      <c r="I5265" s="455">
        <f t="shared" ca="1" si="203"/>
        <v>-335704753055740.5</v>
      </c>
      <c r="J5265" s="455">
        <f t="array" ref="J5265">IFERROR(INDEX('Retirement Calculator'!J:J,MATCH('Isaac 401k'!N5265,'Retirement Calculator'!A:A,0),0),0)</f>
        <v>0</v>
      </c>
      <c r="K5265" s="455">
        <f t="shared" ca="1" si="201"/>
        <v>-1398769804398.9187</v>
      </c>
      <c r="L5265" s="455">
        <f t="shared" ca="1" si="202"/>
        <v>-337103522860139.44</v>
      </c>
      <c r="M5265" s="471">
        <f t="shared" si="204"/>
        <v>0.05</v>
      </c>
      <c r="N5265" s="475">
        <f t="shared" si="205"/>
        <v>211294</v>
      </c>
    </row>
    <row r="5266" spans="7:14" ht="11.25" customHeight="1" x14ac:dyDescent="0.3">
      <c r="G5266" s="470"/>
      <c r="H5266" s="470">
        <v>5259</v>
      </c>
      <c r="I5266" s="455">
        <f t="shared" ca="1" si="203"/>
        <v>-337103522860139.44</v>
      </c>
      <c r="J5266" s="455">
        <f t="array" ref="J5266">IFERROR(INDEX('Retirement Calculator'!J:J,MATCH('Isaac 401k'!N5266,'Retirement Calculator'!A:A,0),0),0)</f>
        <v>0</v>
      </c>
      <c r="K5266" s="455">
        <f t="shared" ca="1" si="201"/>
        <v>-1404598011917.2476</v>
      </c>
      <c r="L5266" s="455">
        <f t="shared" ca="1" si="202"/>
        <v>-338508120872056.69</v>
      </c>
      <c r="M5266" s="471">
        <f t="shared" si="204"/>
        <v>0.05</v>
      </c>
      <c r="N5266" s="475">
        <f t="shared" si="205"/>
        <v>211325</v>
      </c>
    </row>
    <row r="5267" spans="7:14" ht="11.25" customHeight="1" x14ac:dyDescent="0.3">
      <c r="G5267" s="470"/>
      <c r="H5267" s="470">
        <v>5260</v>
      </c>
      <c r="I5267" s="455">
        <f t="shared" ca="1" si="203"/>
        <v>-338508120872056.69</v>
      </c>
      <c r="J5267" s="455">
        <f t="array" ref="J5267">IFERROR(INDEX('Retirement Calculator'!J:J,MATCH('Isaac 401k'!N5267,'Retirement Calculator'!A:A,0),0),0)</f>
        <v>0</v>
      </c>
      <c r="K5267" s="455">
        <f t="shared" ca="1" si="201"/>
        <v>-1410450503633.5696</v>
      </c>
      <c r="L5267" s="455">
        <f t="shared" ca="1" si="202"/>
        <v>-339918571375690.25</v>
      </c>
      <c r="M5267" s="471">
        <f t="shared" si="204"/>
        <v>0.05</v>
      </c>
      <c r="N5267" s="475">
        <f t="shared" si="205"/>
        <v>211356</v>
      </c>
    </row>
    <row r="5268" spans="7:14" ht="11.25" customHeight="1" x14ac:dyDescent="0.3">
      <c r="G5268" s="470"/>
      <c r="H5268" s="470">
        <v>5261</v>
      </c>
      <c r="I5268" s="455">
        <f t="shared" ca="1" si="203"/>
        <v>-339918571375690.25</v>
      </c>
      <c r="J5268" s="455">
        <f t="array" ref="J5268">IFERROR(INDEX('Retirement Calculator'!J:J,MATCH('Isaac 401k'!N5268,'Retirement Calculator'!A:A,0),0),0)</f>
        <v>0</v>
      </c>
      <c r="K5268" s="455">
        <f t="shared" ca="1" si="201"/>
        <v>-1416327380732.0427</v>
      </c>
      <c r="L5268" s="455">
        <f t="shared" ca="1" si="202"/>
        <v>-341334898756422.31</v>
      </c>
      <c r="M5268" s="471">
        <f t="shared" si="204"/>
        <v>0.05</v>
      </c>
      <c r="N5268" s="475">
        <f t="shared" si="205"/>
        <v>211386</v>
      </c>
    </row>
    <row r="5269" spans="7:14" ht="11.25" customHeight="1" x14ac:dyDescent="0.3">
      <c r="G5269" s="470"/>
      <c r="H5269" s="470">
        <v>5262</v>
      </c>
      <c r="I5269" s="455">
        <f t="shared" ca="1" si="203"/>
        <v>-341334898756422.31</v>
      </c>
      <c r="J5269" s="455">
        <f t="array" ref="J5269">IFERROR(INDEX('Retirement Calculator'!J:J,MATCH('Isaac 401k'!N5269,'Retirement Calculator'!A:A,0),0),0)</f>
        <v>0</v>
      </c>
      <c r="K5269" s="455">
        <f t="shared" ca="1" si="201"/>
        <v>-1422228744818.4263</v>
      </c>
      <c r="L5269" s="455">
        <f t="shared" ca="1" si="202"/>
        <v>-342757127501240.75</v>
      </c>
      <c r="M5269" s="471">
        <f t="shared" si="204"/>
        <v>0.05</v>
      </c>
      <c r="N5269" s="475">
        <f t="shared" si="205"/>
        <v>211417</v>
      </c>
    </row>
    <row r="5270" spans="7:14" ht="11.25" customHeight="1" x14ac:dyDescent="0.3">
      <c r="G5270" s="470"/>
      <c r="H5270" s="470">
        <v>5263</v>
      </c>
      <c r="I5270" s="455">
        <f t="shared" ca="1" si="203"/>
        <v>-342757127501240.75</v>
      </c>
      <c r="J5270" s="455">
        <f t="array" ref="J5270">IFERROR(INDEX('Retirement Calculator'!J:J,MATCH('Isaac 401k'!N5270,'Retirement Calculator'!A:A,0),0),0)</f>
        <v>0</v>
      </c>
      <c r="K5270" s="455">
        <f t="shared" ca="1" si="201"/>
        <v>-1428154697921.8364</v>
      </c>
      <c r="L5270" s="455">
        <f t="shared" ca="1" si="202"/>
        <v>-344185282199162.56</v>
      </c>
      <c r="M5270" s="471">
        <f t="shared" si="204"/>
        <v>0.05</v>
      </c>
      <c r="N5270" s="475">
        <f t="shared" si="205"/>
        <v>211447</v>
      </c>
    </row>
    <row r="5271" spans="7:14" ht="11.25" customHeight="1" x14ac:dyDescent="0.3">
      <c r="G5271" s="470"/>
      <c r="H5271" s="470">
        <v>5264</v>
      </c>
      <c r="I5271" s="455">
        <f t="shared" ca="1" si="203"/>
        <v>-344185282199162.56</v>
      </c>
      <c r="J5271" s="455">
        <f t="array" ref="J5271">IFERROR(INDEX('Retirement Calculator'!J:J,MATCH('Isaac 401k'!N5271,'Retirement Calculator'!A:A,0),0),0)</f>
        <v>0</v>
      </c>
      <c r="K5271" s="455">
        <f t="shared" ca="1" si="201"/>
        <v>-1434105342496.5107</v>
      </c>
      <c r="L5271" s="455">
        <f t="shared" ca="1" si="202"/>
        <v>-345619387541659.06</v>
      </c>
      <c r="M5271" s="471">
        <f t="shared" si="204"/>
        <v>0.05</v>
      </c>
      <c r="N5271" s="475">
        <f t="shared" si="205"/>
        <v>211478</v>
      </c>
    </row>
    <row r="5272" spans="7:14" ht="11.25" customHeight="1" x14ac:dyDescent="0.3">
      <c r="G5272" s="470"/>
      <c r="H5272" s="470">
        <v>5265</v>
      </c>
      <c r="I5272" s="455">
        <f t="shared" ca="1" si="203"/>
        <v>-345619387541659.06</v>
      </c>
      <c r="J5272" s="455">
        <f t="array" ref="J5272">IFERROR(INDEX('Retirement Calculator'!J:J,MATCH('Isaac 401k'!N5272,'Retirement Calculator'!A:A,0),0),0)</f>
        <v>0</v>
      </c>
      <c r="K5272" s="455">
        <f t="shared" ca="1" si="201"/>
        <v>-1440080781423.5793</v>
      </c>
      <c r="L5272" s="455">
        <f t="shared" ca="1" si="202"/>
        <v>-347059468323082.63</v>
      </c>
      <c r="M5272" s="471">
        <f t="shared" si="204"/>
        <v>0.05</v>
      </c>
      <c r="N5272" s="475">
        <f t="shared" si="205"/>
        <v>211509</v>
      </c>
    </row>
    <row r="5273" spans="7:14" ht="11.25" customHeight="1" x14ac:dyDescent="0.3">
      <c r="G5273" s="470"/>
      <c r="H5273" s="470">
        <v>5266</v>
      </c>
      <c r="I5273" s="455">
        <f t="shared" ca="1" si="203"/>
        <v>-347059468323082.63</v>
      </c>
      <c r="J5273" s="455">
        <f t="array" ref="J5273">IFERROR(INDEX('Retirement Calculator'!J:J,MATCH('Isaac 401k'!N5273,'Retirement Calculator'!A:A,0),0),0)</f>
        <v>0</v>
      </c>
      <c r="K5273" s="455">
        <f t="shared" ca="1" si="201"/>
        <v>-1446081118012.8442</v>
      </c>
      <c r="L5273" s="455">
        <f t="shared" ca="1" si="202"/>
        <v>-348505549441095.5</v>
      </c>
      <c r="M5273" s="471">
        <f t="shared" si="204"/>
        <v>0.05</v>
      </c>
      <c r="N5273" s="475">
        <f t="shared" si="205"/>
        <v>211537</v>
      </c>
    </row>
    <row r="5274" spans="7:14" ht="11.25" customHeight="1" x14ac:dyDescent="0.3">
      <c r="G5274" s="470"/>
      <c r="H5274" s="470">
        <v>5267</v>
      </c>
      <c r="I5274" s="455">
        <f t="shared" ca="1" si="203"/>
        <v>-348505549441095.5</v>
      </c>
      <c r="J5274" s="455">
        <f t="array" ref="J5274">IFERROR(INDEX('Retirement Calculator'!J:J,MATCH('Isaac 401k'!N5274,'Retirement Calculator'!A:A,0),0),0)</f>
        <v>0</v>
      </c>
      <c r="K5274" s="455">
        <f t="shared" ca="1" si="201"/>
        <v>-1452106456004.5645</v>
      </c>
      <c r="L5274" s="455">
        <f t="shared" ca="1" si="202"/>
        <v>-349957655897100.06</v>
      </c>
      <c r="M5274" s="471">
        <f t="shared" si="204"/>
        <v>0.05</v>
      </c>
      <c r="N5274" s="475">
        <f t="shared" si="205"/>
        <v>211568</v>
      </c>
    </row>
    <row r="5275" spans="7:14" ht="11.25" customHeight="1" x14ac:dyDescent="0.3">
      <c r="G5275" s="470"/>
      <c r="H5275" s="470">
        <v>5268</v>
      </c>
      <c r="I5275" s="455">
        <f t="shared" ca="1" si="203"/>
        <v>-349957655897100.06</v>
      </c>
      <c r="J5275" s="455">
        <f t="array" ref="J5275">IFERROR(INDEX('Retirement Calculator'!J:J,MATCH('Isaac 401k'!N5275,'Retirement Calculator'!A:A,0),0),0)</f>
        <v>0</v>
      </c>
      <c r="K5275" s="455">
        <f t="shared" ca="1" si="201"/>
        <v>-1458156899571.2502</v>
      </c>
      <c r="L5275" s="455">
        <f t="shared" ca="1" si="202"/>
        <v>-351415812796671.31</v>
      </c>
      <c r="M5275" s="471">
        <f t="shared" si="204"/>
        <v>0.05</v>
      </c>
      <c r="N5275" s="475">
        <f t="shared" si="205"/>
        <v>211598</v>
      </c>
    </row>
    <row r="5276" spans="7:14" ht="11.25" customHeight="1" x14ac:dyDescent="0.3">
      <c r="G5276" s="470"/>
      <c r="H5276" s="470">
        <v>5269</v>
      </c>
      <c r="I5276" s="455">
        <f t="shared" ca="1" si="203"/>
        <v>-351415812796671.31</v>
      </c>
      <c r="J5276" s="455">
        <f t="array" ref="J5276">IFERROR(INDEX('Retirement Calculator'!J:J,MATCH('Isaac 401k'!N5276,'Retirement Calculator'!A:A,0),0),0)</f>
        <v>0</v>
      </c>
      <c r="K5276" s="455">
        <f t="shared" ca="1" si="201"/>
        <v>-1464232553319.4639</v>
      </c>
      <c r="L5276" s="455">
        <f t="shared" ca="1" si="202"/>
        <v>-352880045349990.75</v>
      </c>
      <c r="M5276" s="471">
        <f t="shared" si="204"/>
        <v>0.05</v>
      </c>
      <c r="N5276" s="475">
        <f t="shared" si="205"/>
        <v>211629</v>
      </c>
    </row>
    <row r="5277" spans="7:14" ht="11.25" customHeight="1" x14ac:dyDescent="0.3">
      <c r="G5277" s="470"/>
      <c r="H5277" s="470">
        <v>5270</v>
      </c>
      <c r="I5277" s="455">
        <f t="shared" ca="1" si="203"/>
        <v>-352880045349990.75</v>
      </c>
      <c r="J5277" s="455">
        <f t="array" ref="J5277">IFERROR(INDEX('Retirement Calculator'!J:J,MATCH('Isaac 401k'!N5277,'Retirement Calculator'!A:A,0),0),0)</f>
        <v>0</v>
      </c>
      <c r="K5277" s="455">
        <f t="shared" ca="1" si="201"/>
        <v>-1470333522291.6282</v>
      </c>
      <c r="L5277" s="455">
        <f t="shared" ca="1" si="202"/>
        <v>-354350378872282.38</v>
      </c>
      <c r="M5277" s="471">
        <f t="shared" si="204"/>
        <v>0.05</v>
      </c>
      <c r="N5277" s="475">
        <f t="shared" si="205"/>
        <v>211659</v>
      </c>
    </row>
    <row r="5278" spans="7:14" ht="11.25" customHeight="1" x14ac:dyDescent="0.3">
      <c r="G5278" s="470"/>
      <c r="H5278" s="470">
        <v>5271</v>
      </c>
      <c r="I5278" s="455">
        <f t="shared" ca="1" si="203"/>
        <v>-354350378872282.38</v>
      </c>
      <c r="J5278" s="455">
        <f t="array" ref="J5278">IFERROR(INDEX('Retirement Calculator'!J:J,MATCH('Isaac 401k'!N5278,'Retirement Calculator'!A:A,0),0),0)</f>
        <v>0</v>
      </c>
      <c r="K5278" s="455">
        <f t="shared" ca="1" si="201"/>
        <v>-1476459911967.8433</v>
      </c>
      <c r="L5278" s="455">
        <f t="shared" ca="1" si="202"/>
        <v>-355826838784250.19</v>
      </c>
      <c r="M5278" s="471">
        <f t="shared" si="204"/>
        <v>0.05</v>
      </c>
      <c r="N5278" s="475">
        <f t="shared" si="205"/>
        <v>211690</v>
      </c>
    </row>
    <row r="5279" spans="7:14" ht="11.25" customHeight="1" x14ac:dyDescent="0.3">
      <c r="G5279" s="470"/>
      <c r="H5279" s="470">
        <v>5272</v>
      </c>
      <c r="I5279" s="455">
        <f t="shared" ca="1" si="203"/>
        <v>-355826838784250.19</v>
      </c>
      <c r="J5279" s="455">
        <f t="array" ref="J5279">IFERROR(INDEX('Retirement Calculator'!J:J,MATCH('Isaac 401k'!N5279,'Retirement Calculator'!A:A,0),0),0)</f>
        <v>0</v>
      </c>
      <c r="K5279" s="455">
        <f t="shared" ca="1" si="201"/>
        <v>-1482611828267.709</v>
      </c>
      <c r="L5279" s="455">
        <f t="shared" ca="1" si="202"/>
        <v>-357309450612517.88</v>
      </c>
      <c r="M5279" s="471">
        <f t="shared" si="204"/>
        <v>0.05</v>
      </c>
      <c r="N5279" s="475">
        <f t="shared" si="205"/>
        <v>211721</v>
      </c>
    </row>
    <row r="5280" spans="7:14" ht="11.25" customHeight="1" x14ac:dyDescent="0.3">
      <c r="G5280" s="470"/>
      <c r="H5280" s="470">
        <v>5273</v>
      </c>
      <c r="I5280" s="455">
        <f t="shared" ca="1" si="203"/>
        <v>-357309450612517.88</v>
      </c>
      <c r="J5280" s="455">
        <f t="array" ref="J5280">IFERROR(INDEX('Retirement Calculator'!J:J,MATCH('Isaac 401k'!N5280,'Retirement Calculator'!A:A,0),0),0)</f>
        <v>0</v>
      </c>
      <c r="K5280" s="455">
        <f t="shared" ca="1" si="201"/>
        <v>-1488789377552.1577</v>
      </c>
      <c r="L5280" s="455">
        <f t="shared" ca="1" si="202"/>
        <v>-358798239990070.06</v>
      </c>
      <c r="M5280" s="471">
        <f t="shared" si="204"/>
        <v>0.05</v>
      </c>
      <c r="N5280" s="475">
        <f t="shared" si="205"/>
        <v>211751</v>
      </c>
    </row>
    <row r="5281" spans="7:14" ht="11.25" customHeight="1" x14ac:dyDescent="0.3">
      <c r="G5281" s="470"/>
      <c r="H5281" s="470">
        <v>5274</v>
      </c>
      <c r="I5281" s="455">
        <f t="shared" ca="1" si="203"/>
        <v>-358798239990070.06</v>
      </c>
      <c r="J5281" s="455">
        <f t="array" ref="J5281">IFERROR(INDEX('Retirement Calculator'!J:J,MATCH('Isaac 401k'!N5281,'Retirement Calculator'!A:A,0),0),0)</f>
        <v>0</v>
      </c>
      <c r="K5281" s="455">
        <f t="shared" ca="1" si="201"/>
        <v>-1494992666625.292</v>
      </c>
      <c r="L5281" s="455">
        <f t="shared" ca="1" si="202"/>
        <v>-360293232656695.38</v>
      </c>
      <c r="M5281" s="471">
        <f t="shared" si="204"/>
        <v>0.05</v>
      </c>
      <c r="N5281" s="475">
        <f t="shared" si="205"/>
        <v>211782</v>
      </c>
    </row>
    <row r="5282" spans="7:14" ht="11.25" customHeight="1" x14ac:dyDescent="0.3">
      <c r="G5282" s="470"/>
      <c r="H5282" s="470">
        <v>5275</v>
      </c>
      <c r="I5282" s="455">
        <f t="shared" ca="1" si="203"/>
        <v>-360293232656695.38</v>
      </c>
      <c r="J5282" s="455">
        <f t="array" ref="J5282">IFERROR(INDEX('Retirement Calculator'!J:J,MATCH('Isaac 401k'!N5282,'Retirement Calculator'!A:A,0),0),0)</f>
        <v>0</v>
      </c>
      <c r="K5282" s="455">
        <f t="shared" ca="1" si="201"/>
        <v>-1501221802736.2307</v>
      </c>
      <c r="L5282" s="455">
        <f t="shared" ca="1" si="202"/>
        <v>-361794454459431.63</v>
      </c>
      <c r="M5282" s="471">
        <f t="shared" si="204"/>
        <v>0.05</v>
      </c>
      <c r="N5282" s="475">
        <f t="shared" si="205"/>
        <v>211812</v>
      </c>
    </row>
    <row r="5283" spans="7:14" ht="11.25" customHeight="1" x14ac:dyDescent="0.3">
      <c r="G5283" s="470"/>
      <c r="H5283" s="470">
        <v>5276</v>
      </c>
      <c r="I5283" s="455">
        <f t="shared" ca="1" si="203"/>
        <v>-361794454459431.63</v>
      </c>
      <c r="J5283" s="455">
        <f t="array" ref="J5283">IFERROR(INDEX('Retirement Calculator'!J:J,MATCH('Isaac 401k'!N5283,'Retirement Calculator'!A:A,0),0),0)</f>
        <v>0</v>
      </c>
      <c r="K5283" s="455">
        <f t="shared" ca="1" si="201"/>
        <v>-1507476893580.9651</v>
      </c>
      <c r="L5283" s="455">
        <f t="shared" ca="1" si="202"/>
        <v>-363301931353012.56</v>
      </c>
      <c r="M5283" s="471">
        <f t="shared" si="204"/>
        <v>0.05</v>
      </c>
      <c r="N5283" s="475">
        <f t="shared" si="205"/>
        <v>211843</v>
      </c>
    </row>
    <row r="5284" spans="7:14" ht="11.25" customHeight="1" x14ac:dyDescent="0.3">
      <c r="G5284" s="470"/>
      <c r="H5284" s="470">
        <v>5277</v>
      </c>
      <c r="I5284" s="455">
        <f t="shared" ca="1" si="203"/>
        <v>-363301931353012.56</v>
      </c>
      <c r="J5284" s="455">
        <f t="array" ref="J5284">IFERROR(INDEX('Retirement Calculator'!J:J,MATCH('Isaac 401k'!N5284,'Retirement Calculator'!A:A,0),0),0)</f>
        <v>0</v>
      </c>
      <c r="K5284" s="455">
        <f t="shared" ca="1" si="201"/>
        <v>-1513758047304.219</v>
      </c>
      <c r="L5284" s="455">
        <f t="shared" ca="1" si="202"/>
        <v>-364815689400316.81</v>
      </c>
      <c r="M5284" s="471">
        <f t="shared" si="204"/>
        <v>0.05</v>
      </c>
      <c r="N5284" s="475">
        <f t="shared" si="205"/>
        <v>211874</v>
      </c>
    </row>
    <row r="5285" spans="7:14" ht="11.25" customHeight="1" x14ac:dyDescent="0.3">
      <c r="G5285" s="470"/>
      <c r="H5285" s="470">
        <v>5278</v>
      </c>
      <c r="I5285" s="455">
        <f t="shared" ca="1" si="203"/>
        <v>-364815689400316.81</v>
      </c>
      <c r="J5285" s="455">
        <f t="array" ref="J5285">IFERROR(INDEX('Retirement Calculator'!J:J,MATCH('Isaac 401k'!N5285,'Retirement Calculator'!A:A,0),0),0)</f>
        <v>0</v>
      </c>
      <c r="K5285" s="455">
        <f t="shared" ca="1" si="201"/>
        <v>-1520065372501.3201</v>
      </c>
      <c r="L5285" s="455">
        <f t="shared" ca="1" si="202"/>
        <v>-366335754772818.13</v>
      </c>
      <c r="M5285" s="471">
        <f t="shared" si="204"/>
        <v>0.05</v>
      </c>
      <c r="N5285" s="475">
        <f t="shared" si="205"/>
        <v>211903</v>
      </c>
    </row>
    <row r="5286" spans="7:14" ht="11.25" customHeight="1" x14ac:dyDescent="0.3">
      <c r="G5286" s="470"/>
      <c r="H5286" s="470">
        <v>5279</v>
      </c>
      <c r="I5286" s="455">
        <f t="shared" ca="1" si="203"/>
        <v>-366335754772818.13</v>
      </c>
      <c r="J5286" s="455">
        <f t="array" ref="J5286">IFERROR(INDEX('Retirement Calculator'!J:J,MATCH('Isaac 401k'!N5286,'Retirement Calculator'!A:A,0),0),0)</f>
        <v>0</v>
      </c>
      <c r="K5286" s="455">
        <f t="shared" ca="1" si="201"/>
        <v>-1526398978220.0754</v>
      </c>
      <c r="L5286" s="455">
        <f t="shared" ca="1" si="202"/>
        <v>-367862153751038.19</v>
      </c>
      <c r="M5286" s="471">
        <f t="shared" si="204"/>
        <v>0.05</v>
      </c>
      <c r="N5286" s="475">
        <f t="shared" si="205"/>
        <v>211934</v>
      </c>
    </row>
    <row r="5287" spans="7:14" ht="11.25" customHeight="1" x14ac:dyDescent="0.3">
      <c r="G5287" s="470"/>
      <c r="H5287" s="470">
        <v>5280</v>
      </c>
      <c r="I5287" s="455">
        <f t="shared" ca="1" si="203"/>
        <v>-367862153751038.19</v>
      </c>
      <c r="J5287" s="455">
        <f t="array" ref="J5287">IFERROR(INDEX('Retirement Calculator'!J:J,MATCH('Isaac 401k'!N5287,'Retirement Calculator'!A:A,0),0),0)</f>
        <v>0</v>
      </c>
      <c r="K5287" s="455">
        <f t="shared" ca="1" si="201"/>
        <v>-1532758973962.6592</v>
      </c>
      <c r="L5287" s="455">
        <f t="shared" ca="1" si="202"/>
        <v>-369394912725000.88</v>
      </c>
      <c r="M5287" s="471">
        <f t="shared" si="204"/>
        <v>0.05</v>
      </c>
      <c r="N5287" s="475">
        <f t="shared" si="205"/>
        <v>211964</v>
      </c>
    </row>
    <row r="5288" spans="7:14" ht="11.25" customHeight="1" x14ac:dyDescent="0.3">
      <c r="G5288" s="470"/>
      <c r="H5288" s="470">
        <v>5281</v>
      </c>
      <c r="I5288" s="455">
        <f t="shared" ca="1" si="203"/>
        <v>-369394912725000.88</v>
      </c>
      <c r="J5288" s="455">
        <f t="array" ref="J5288">IFERROR(INDEX('Retirement Calculator'!J:J,MATCH('Isaac 401k'!N5288,'Retirement Calculator'!A:A,0),0),0)</f>
        <v>0</v>
      </c>
      <c r="K5288" s="455">
        <f t="shared" ca="1" si="201"/>
        <v>-1539145469687.5037</v>
      </c>
      <c r="L5288" s="455">
        <f t="shared" ca="1" si="202"/>
        <v>-370934058194688.38</v>
      </c>
      <c r="M5288" s="471">
        <f t="shared" si="204"/>
        <v>0.05</v>
      </c>
      <c r="N5288" s="475">
        <f t="shared" si="205"/>
        <v>211995</v>
      </c>
    </row>
    <row r="5289" spans="7:14" ht="11.25" customHeight="1" x14ac:dyDescent="0.3">
      <c r="G5289" s="470"/>
      <c r="H5289" s="470">
        <v>5282</v>
      </c>
      <c r="I5289" s="455">
        <f t="shared" ca="1" si="203"/>
        <v>-370934058194688.38</v>
      </c>
      <c r="J5289" s="455">
        <f t="array" ref="J5289">IFERROR(INDEX('Retirement Calculator'!J:J,MATCH('Isaac 401k'!N5289,'Retirement Calculator'!A:A,0),0),0)</f>
        <v>0</v>
      </c>
      <c r="K5289" s="455">
        <f t="shared" ca="1" si="201"/>
        <v>-1545558575811.2017</v>
      </c>
      <c r="L5289" s="455">
        <f t="shared" ca="1" si="202"/>
        <v>-372479616770499.56</v>
      </c>
      <c r="M5289" s="471">
        <f t="shared" si="204"/>
        <v>0.05</v>
      </c>
      <c r="N5289" s="475">
        <f t="shared" si="205"/>
        <v>212025</v>
      </c>
    </row>
    <row r="5290" spans="7:14" ht="11.25" customHeight="1" x14ac:dyDescent="0.3">
      <c r="G5290" s="470"/>
      <c r="H5290" s="470">
        <v>5283</v>
      </c>
      <c r="I5290" s="455">
        <f t="shared" ca="1" si="203"/>
        <v>-372479616770499.56</v>
      </c>
      <c r="J5290" s="455">
        <f t="array" ref="J5290">IFERROR(INDEX('Retirement Calculator'!J:J,MATCH('Isaac 401k'!N5290,'Retirement Calculator'!A:A,0),0),0)</f>
        <v>0</v>
      </c>
      <c r="K5290" s="455">
        <f t="shared" ca="1" si="201"/>
        <v>-1551998403210.4148</v>
      </c>
      <c r="L5290" s="455">
        <f t="shared" ca="1" si="202"/>
        <v>-374031615173710</v>
      </c>
      <c r="M5290" s="471">
        <f t="shared" si="204"/>
        <v>0.05</v>
      </c>
      <c r="N5290" s="475">
        <f t="shared" si="205"/>
        <v>212056</v>
      </c>
    </row>
    <row r="5291" spans="7:14" ht="11.25" customHeight="1" x14ac:dyDescent="0.3">
      <c r="G5291" s="470"/>
      <c r="H5291" s="470">
        <v>5284</v>
      </c>
      <c r="I5291" s="455">
        <f t="shared" ca="1" si="203"/>
        <v>-374031615173710</v>
      </c>
      <c r="J5291" s="455">
        <f t="array" ref="J5291">IFERROR(INDEX('Retirement Calculator'!J:J,MATCH('Isaac 401k'!N5291,'Retirement Calculator'!A:A,0),0),0)</f>
        <v>0</v>
      </c>
      <c r="K5291" s="455">
        <f t="shared" ca="1" si="201"/>
        <v>-1558465063223.7917</v>
      </c>
      <c r="L5291" s="455">
        <f t="shared" ca="1" si="202"/>
        <v>-375590080236933.81</v>
      </c>
      <c r="M5291" s="471">
        <f t="shared" si="204"/>
        <v>0.05</v>
      </c>
      <c r="N5291" s="475">
        <f t="shared" si="205"/>
        <v>212087</v>
      </c>
    </row>
    <row r="5292" spans="7:14" ht="11.25" customHeight="1" x14ac:dyDescent="0.3">
      <c r="G5292" s="470"/>
      <c r="H5292" s="470">
        <v>5285</v>
      </c>
      <c r="I5292" s="455">
        <f t="shared" ca="1" si="203"/>
        <v>-375590080236933.81</v>
      </c>
      <c r="J5292" s="455">
        <f t="array" ref="J5292">IFERROR(INDEX('Retirement Calculator'!J:J,MATCH('Isaac 401k'!N5292,'Retirement Calculator'!A:A,0),0),0)</f>
        <v>0</v>
      </c>
      <c r="K5292" s="455">
        <f t="shared" ca="1" si="201"/>
        <v>-1564958667653.8909</v>
      </c>
      <c r="L5292" s="455">
        <f t="shared" ca="1" si="202"/>
        <v>-377155038904587.69</v>
      </c>
      <c r="M5292" s="471">
        <f t="shared" si="204"/>
        <v>0.05</v>
      </c>
      <c r="N5292" s="475">
        <f t="shared" si="205"/>
        <v>212117</v>
      </c>
    </row>
    <row r="5293" spans="7:14" ht="11.25" customHeight="1" x14ac:dyDescent="0.3">
      <c r="G5293" s="470"/>
      <c r="H5293" s="470">
        <v>5286</v>
      </c>
      <c r="I5293" s="455">
        <f t="shared" ca="1" si="203"/>
        <v>-377155038904587.69</v>
      </c>
      <c r="J5293" s="455">
        <f t="array" ref="J5293">IFERROR(INDEX('Retirement Calculator'!J:J,MATCH('Isaac 401k'!N5293,'Retirement Calculator'!A:A,0),0),0)</f>
        <v>0</v>
      </c>
      <c r="K5293" s="455">
        <f t="shared" ca="1" si="201"/>
        <v>-1571479328769.1152</v>
      </c>
      <c r="L5293" s="455">
        <f t="shared" ca="1" si="202"/>
        <v>-378726518233356.81</v>
      </c>
      <c r="M5293" s="471">
        <f t="shared" si="204"/>
        <v>0.05</v>
      </c>
      <c r="N5293" s="475">
        <f t="shared" si="205"/>
        <v>212148</v>
      </c>
    </row>
    <row r="5294" spans="7:14" ht="11.25" customHeight="1" x14ac:dyDescent="0.3">
      <c r="G5294" s="470"/>
      <c r="H5294" s="470">
        <v>5287</v>
      </c>
      <c r="I5294" s="455">
        <f t="shared" ca="1" si="203"/>
        <v>-378726518233356.81</v>
      </c>
      <c r="J5294" s="455">
        <f t="array" ref="J5294">IFERROR(INDEX('Retirement Calculator'!J:J,MATCH('Isaac 401k'!N5294,'Retirement Calculator'!A:A,0),0),0)</f>
        <v>0</v>
      </c>
      <c r="K5294" s="455">
        <f t="shared" ca="1" si="201"/>
        <v>-1578027159305.6533</v>
      </c>
      <c r="L5294" s="455">
        <f t="shared" ca="1" si="202"/>
        <v>-380304545392662.44</v>
      </c>
      <c r="M5294" s="471">
        <f t="shared" si="204"/>
        <v>0.05</v>
      </c>
      <c r="N5294" s="475">
        <f t="shared" si="205"/>
        <v>212178</v>
      </c>
    </row>
    <row r="5295" spans="7:14" ht="11.25" customHeight="1" x14ac:dyDescent="0.3">
      <c r="G5295" s="470"/>
      <c r="H5295" s="470">
        <v>5288</v>
      </c>
      <c r="I5295" s="455">
        <f t="shared" ca="1" si="203"/>
        <v>-380304545392662.44</v>
      </c>
      <c r="J5295" s="455">
        <f t="array" ref="J5295">IFERROR(INDEX('Retirement Calculator'!J:J,MATCH('Isaac 401k'!N5295,'Retirement Calculator'!A:A,0),0),0)</f>
        <v>0</v>
      </c>
      <c r="K5295" s="455">
        <f t="shared" ca="1" si="201"/>
        <v>-1584602272469.4268</v>
      </c>
      <c r="L5295" s="455">
        <f t="shared" ca="1" si="202"/>
        <v>-381889147665131.88</v>
      </c>
      <c r="M5295" s="471">
        <f t="shared" si="204"/>
        <v>0.05</v>
      </c>
      <c r="N5295" s="475">
        <f t="shared" si="205"/>
        <v>212209</v>
      </c>
    </row>
    <row r="5296" spans="7:14" ht="11.25" customHeight="1" x14ac:dyDescent="0.3">
      <c r="G5296" s="470"/>
      <c r="H5296" s="470">
        <v>5289</v>
      </c>
      <c r="I5296" s="455">
        <f t="shared" ca="1" si="203"/>
        <v>-381889147665131.88</v>
      </c>
      <c r="J5296" s="455">
        <f t="array" ref="J5296">IFERROR(INDEX('Retirement Calculator'!J:J,MATCH('Isaac 401k'!N5296,'Retirement Calculator'!A:A,0),0),0)</f>
        <v>0</v>
      </c>
      <c r="K5296" s="455">
        <f t="shared" ca="1" si="201"/>
        <v>-1591204781938.0496</v>
      </c>
      <c r="L5296" s="455">
        <f t="shared" ca="1" si="202"/>
        <v>-383480352447069.94</v>
      </c>
      <c r="M5296" s="471">
        <f t="shared" si="204"/>
        <v>0.05</v>
      </c>
      <c r="N5296" s="475">
        <f t="shared" si="205"/>
        <v>212240</v>
      </c>
    </row>
    <row r="5297" spans="7:14" ht="11.25" customHeight="1" x14ac:dyDescent="0.3">
      <c r="G5297" s="470"/>
      <c r="H5297" s="470">
        <v>5290</v>
      </c>
      <c r="I5297" s="455">
        <f t="shared" ca="1" si="203"/>
        <v>-383480352447069.94</v>
      </c>
      <c r="J5297" s="455">
        <f t="array" ref="J5297">IFERROR(INDEX('Retirement Calculator'!J:J,MATCH('Isaac 401k'!N5297,'Retirement Calculator'!A:A,0),0),0)</f>
        <v>0</v>
      </c>
      <c r="K5297" s="455">
        <f t="shared" ca="1" si="201"/>
        <v>-1597834801862.7915</v>
      </c>
      <c r="L5297" s="455">
        <f t="shared" ca="1" si="202"/>
        <v>-385078187248932.75</v>
      </c>
      <c r="M5297" s="471">
        <f t="shared" si="204"/>
        <v>0.05</v>
      </c>
      <c r="N5297" s="475">
        <f t="shared" si="205"/>
        <v>212268</v>
      </c>
    </row>
    <row r="5298" spans="7:14" ht="11.25" customHeight="1" x14ac:dyDescent="0.3">
      <c r="G5298" s="470"/>
      <c r="H5298" s="470">
        <v>5291</v>
      </c>
      <c r="I5298" s="455">
        <f t="shared" ca="1" si="203"/>
        <v>-385078187248932.75</v>
      </c>
      <c r="J5298" s="455">
        <f t="array" ref="J5298">IFERROR(INDEX('Retirement Calculator'!J:J,MATCH('Isaac 401k'!N5298,'Retirement Calculator'!A:A,0),0),0)</f>
        <v>0</v>
      </c>
      <c r="K5298" s="455">
        <f t="shared" ca="1" si="201"/>
        <v>-1604492446870.5532</v>
      </c>
      <c r="L5298" s="455">
        <f t="shared" ca="1" si="202"/>
        <v>-386682679695803.31</v>
      </c>
      <c r="M5298" s="471">
        <f t="shared" si="204"/>
        <v>0.05</v>
      </c>
      <c r="N5298" s="475">
        <f t="shared" si="205"/>
        <v>212299</v>
      </c>
    </row>
    <row r="5299" spans="7:14" ht="11.25" customHeight="1" x14ac:dyDescent="0.3">
      <c r="G5299" s="470"/>
      <c r="H5299" s="470">
        <v>5292</v>
      </c>
      <c r="I5299" s="455">
        <f t="shared" ca="1" si="203"/>
        <v>-386682679695803.31</v>
      </c>
      <c r="J5299" s="455">
        <f t="array" ref="J5299">IFERROR(INDEX('Retirement Calculator'!J:J,MATCH('Isaac 401k'!N5299,'Retirement Calculator'!A:A,0),0),0)</f>
        <v>0</v>
      </c>
      <c r="K5299" s="455">
        <f t="shared" ca="1" si="201"/>
        <v>-1611177832065.8472</v>
      </c>
      <c r="L5299" s="455">
        <f t="shared" ca="1" si="202"/>
        <v>-388293857527869.19</v>
      </c>
      <c r="M5299" s="471">
        <f t="shared" si="204"/>
        <v>0.05</v>
      </c>
      <c r="N5299" s="475">
        <f t="shared" si="205"/>
        <v>212329</v>
      </c>
    </row>
    <row r="5300" spans="7:14" ht="11.25" customHeight="1" x14ac:dyDescent="0.3">
      <c r="G5300" s="470"/>
      <c r="H5300" s="470">
        <v>5293</v>
      </c>
      <c r="I5300" s="455">
        <f t="shared" ca="1" si="203"/>
        <v>-388293857527869.19</v>
      </c>
      <c r="J5300" s="455">
        <f t="array" ref="J5300">IFERROR(INDEX('Retirement Calculator'!J:J,MATCH('Isaac 401k'!N5300,'Retirement Calculator'!A:A,0),0),0)</f>
        <v>0</v>
      </c>
      <c r="K5300" s="455">
        <f t="shared" ca="1" si="201"/>
        <v>-1617891073032.7883</v>
      </c>
      <c r="L5300" s="455">
        <f t="shared" ca="1" si="202"/>
        <v>-389911748600902</v>
      </c>
      <c r="M5300" s="471">
        <f t="shared" si="204"/>
        <v>0.05</v>
      </c>
      <c r="N5300" s="475">
        <f t="shared" si="205"/>
        <v>212360</v>
      </c>
    </row>
    <row r="5301" spans="7:14" ht="11.25" customHeight="1" x14ac:dyDescent="0.3">
      <c r="G5301" s="470"/>
      <c r="H5301" s="470">
        <v>5294</v>
      </c>
      <c r="I5301" s="455">
        <f t="shared" ca="1" si="203"/>
        <v>-389911748600902</v>
      </c>
      <c r="J5301" s="455">
        <f t="array" ref="J5301">IFERROR(INDEX('Retirement Calculator'!J:J,MATCH('Isaac 401k'!N5301,'Retirement Calculator'!A:A,0),0),0)</f>
        <v>0</v>
      </c>
      <c r="K5301" s="455">
        <f t="shared" ca="1" si="201"/>
        <v>-1624632285837.0916</v>
      </c>
      <c r="L5301" s="455">
        <f t="shared" ca="1" si="202"/>
        <v>-391536380886739.06</v>
      </c>
      <c r="M5301" s="471">
        <f t="shared" si="204"/>
        <v>0.05</v>
      </c>
      <c r="N5301" s="475">
        <f t="shared" si="205"/>
        <v>212390</v>
      </c>
    </row>
    <row r="5302" spans="7:14" ht="11.25" customHeight="1" x14ac:dyDescent="0.3">
      <c r="G5302" s="470"/>
      <c r="H5302" s="470">
        <v>5295</v>
      </c>
      <c r="I5302" s="455">
        <f t="shared" ca="1" si="203"/>
        <v>-391536380886739.06</v>
      </c>
      <c r="J5302" s="455">
        <f t="array" ref="J5302">IFERROR(INDEX('Retirement Calculator'!J:J,MATCH('Isaac 401k'!N5302,'Retirement Calculator'!A:A,0),0),0)</f>
        <v>0</v>
      </c>
      <c r="K5302" s="455">
        <f t="shared" ca="1" si="201"/>
        <v>-1631401587028.0793</v>
      </c>
      <c r="L5302" s="455">
        <f t="shared" ca="1" si="202"/>
        <v>-393167782473767.13</v>
      </c>
      <c r="M5302" s="471">
        <f t="shared" si="204"/>
        <v>0.05</v>
      </c>
      <c r="N5302" s="475">
        <f t="shared" si="205"/>
        <v>212421</v>
      </c>
    </row>
    <row r="5303" spans="7:14" ht="11.25" customHeight="1" x14ac:dyDescent="0.3">
      <c r="G5303" s="470"/>
      <c r="H5303" s="470">
        <v>5296</v>
      </c>
      <c r="I5303" s="455">
        <f t="shared" ca="1" si="203"/>
        <v>-393167782473767.13</v>
      </c>
      <c r="J5303" s="455">
        <f t="array" ref="J5303">IFERROR(INDEX('Retirement Calculator'!J:J,MATCH('Isaac 401k'!N5303,'Retirement Calculator'!A:A,0),0),0)</f>
        <v>0</v>
      </c>
      <c r="K5303" s="455">
        <f t="shared" ca="1" si="201"/>
        <v>-1638199093640.6963</v>
      </c>
      <c r="L5303" s="455">
        <f t="shared" ca="1" si="202"/>
        <v>-394805981567407.81</v>
      </c>
      <c r="M5303" s="471">
        <f t="shared" si="204"/>
        <v>0.05</v>
      </c>
      <c r="N5303" s="475">
        <f t="shared" si="205"/>
        <v>212452</v>
      </c>
    </row>
    <row r="5304" spans="7:14" ht="11.25" customHeight="1" x14ac:dyDescent="0.3">
      <c r="G5304" s="470"/>
      <c r="H5304" s="470">
        <v>5297</v>
      </c>
      <c r="I5304" s="455">
        <f t="shared" ca="1" si="203"/>
        <v>-394805981567407.81</v>
      </c>
      <c r="J5304" s="455">
        <f t="array" ref="J5304">IFERROR(INDEX('Retirement Calculator'!J:J,MATCH('Isaac 401k'!N5304,'Retirement Calculator'!A:A,0),0),0)</f>
        <v>0</v>
      </c>
      <c r="K5304" s="455">
        <f t="shared" ca="1" si="201"/>
        <v>-1645024923197.5325</v>
      </c>
      <c r="L5304" s="455">
        <f t="shared" ca="1" si="202"/>
        <v>-396451006490605.38</v>
      </c>
      <c r="M5304" s="471">
        <f t="shared" si="204"/>
        <v>0.05</v>
      </c>
      <c r="N5304" s="475">
        <f t="shared" si="205"/>
        <v>212482</v>
      </c>
    </row>
    <row r="5305" spans="7:14" ht="11.25" customHeight="1" x14ac:dyDescent="0.3">
      <c r="G5305" s="470"/>
      <c r="H5305" s="470">
        <v>5298</v>
      </c>
      <c r="I5305" s="455">
        <f t="shared" ca="1" si="203"/>
        <v>-396451006490605.38</v>
      </c>
      <c r="J5305" s="455">
        <f t="array" ref="J5305">IFERROR(INDEX('Retirement Calculator'!J:J,MATCH('Isaac 401k'!N5305,'Retirement Calculator'!A:A,0),0),0)</f>
        <v>0</v>
      </c>
      <c r="K5305" s="455">
        <f t="shared" ca="1" si="201"/>
        <v>-1651879193710.8557</v>
      </c>
      <c r="L5305" s="455">
        <f t="shared" ca="1" si="202"/>
        <v>-398102885684316.25</v>
      </c>
      <c r="M5305" s="471">
        <f t="shared" si="204"/>
        <v>0.05</v>
      </c>
      <c r="N5305" s="475">
        <f t="shared" si="205"/>
        <v>212513</v>
      </c>
    </row>
    <row r="5306" spans="7:14" ht="11.25" customHeight="1" x14ac:dyDescent="0.3">
      <c r="G5306" s="470"/>
      <c r="H5306" s="470">
        <v>5299</v>
      </c>
      <c r="I5306" s="455">
        <f t="shared" ca="1" si="203"/>
        <v>-398102885684316.25</v>
      </c>
      <c r="J5306" s="455">
        <f t="array" ref="J5306">IFERROR(INDEX('Retirement Calculator'!J:J,MATCH('Isaac 401k'!N5306,'Retirement Calculator'!A:A,0),0),0)</f>
        <v>0</v>
      </c>
      <c r="K5306" s="455">
        <f t="shared" ca="1" si="201"/>
        <v>-1658762023684.6511</v>
      </c>
      <c r="L5306" s="455">
        <f t="shared" ca="1" si="202"/>
        <v>-399761647708000.88</v>
      </c>
      <c r="M5306" s="471">
        <f t="shared" si="204"/>
        <v>0.05</v>
      </c>
      <c r="N5306" s="475">
        <f t="shared" si="205"/>
        <v>212543</v>
      </c>
    </row>
    <row r="5307" spans="7:14" ht="11.25" customHeight="1" x14ac:dyDescent="0.3">
      <c r="G5307" s="470"/>
      <c r="H5307" s="470">
        <v>5300</v>
      </c>
      <c r="I5307" s="455">
        <f t="shared" ca="1" si="203"/>
        <v>-399761647708000.88</v>
      </c>
      <c r="J5307" s="455">
        <f t="array" ref="J5307">IFERROR(INDEX('Retirement Calculator'!J:J,MATCH('Isaac 401k'!N5307,'Retirement Calculator'!A:A,0),0),0)</f>
        <v>0</v>
      </c>
      <c r="K5307" s="455">
        <f t="shared" ca="1" si="201"/>
        <v>-1665673532116.6704</v>
      </c>
      <c r="L5307" s="455">
        <f t="shared" ca="1" si="202"/>
        <v>-401427321240117.56</v>
      </c>
      <c r="M5307" s="471">
        <f t="shared" si="204"/>
        <v>0.05</v>
      </c>
      <c r="N5307" s="475">
        <f t="shared" si="205"/>
        <v>212574</v>
      </c>
    </row>
    <row r="5308" spans="7:14" ht="11.25" customHeight="1" x14ac:dyDescent="0.3">
      <c r="G5308" s="470"/>
      <c r="H5308" s="470">
        <v>5301</v>
      </c>
      <c r="I5308" s="455">
        <f t="shared" ca="1" si="203"/>
        <v>-401427321240117.56</v>
      </c>
      <c r="J5308" s="455">
        <f t="array" ref="J5308">IFERROR(INDEX('Retirement Calculator'!J:J,MATCH('Isaac 401k'!N5308,'Retirement Calculator'!A:A,0),0),0)</f>
        <v>0</v>
      </c>
      <c r="K5308" s="455">
        <f t="shared" ca="1" si="201"/>
        <v>-1672613838500.4897</v>
      </c>
      <c r="L5308" s="455">
        <f t="shared" ca="1" si="202"/>
        <v>-403099935078618.06</v>
      </c>
      <c r="M5308" s="471">
        <f t="shared" si="204"/>
        <v>0.05</v>
      </c>
      <c r="N5308" s="475">
        <f t="shared" si="205"/>
        <v>212605</v>
      </c>
    </row>
    <row r="5309" spans="7:14" ht="11.25" customHeight="1" x14ac:dyDescent="0.3">
      <c r="G5309" s="470"/>
      <c r="H5309" s="470">
        <v>5302</v>
      </c>
      <c r="I5309" s="455">
        <f t="shared" ca="1" si="203"/>
        <v>-403099935078618.06</v>
      </c>
      <c r="J5309" s="455">
        <f t="array" ref="J5309">IFERROR(INDEX('Retirement Calculator'!J:J,MATCH('Isaac 401k'!N5309,'Retirement Calculator'!A:A,0),0),0)</f>
        <v>0</v>
      </c>
      <c r="K5309" s="455">
        <f t="shared" ca="1" si="201"/>
        <v>-1679583062827.5752</v>
      </c>
      <c r="L5309" s="455">
        <f t="shared" ca="1" si="202"/>
        <v>-404779518141445.63</v>
      </c>
      <c r="M5309" s="471">
        <f t="shared" si="204"/>
        <v>0.05</v>
      </c>
      <c r="N5309" s="475">
        <f t="shared" si="205"/>
        <v>212633</v>
      </c>
    </row>
    <row r="5310" spans="7:14" ht="11.25" customHeight="1" x14ac:dyDescent="0.3">
      <c r="G5310" s="470"/>
      <c r="H5310" s="470">
        <v>5303</v>
      </c>
      <c r="I5310" s="455">
        <f t="shared" ca="1" si="203"/>
        <v>-404779518141445.63</v>
      </c>
      <c r="J5310" s="455">
        <f t="array" ref="J5310">IFERROR(INDEX('Retirement Calculator'!J:J,MATCH('Isaac 401k'!N5310,'Retirement Calculator'!A:A,0),0),0)</f>
        <v>0</v>
      </c>
      <c r="K5310" s="455">
        <f t="shared" ca="1" si="201"/>
        <v>-1686581325589.3567</v>
      </c>
      <c r="L5310" s="455">
        <f t="shared" ca="1" si="202"/>
        <v>-406466099467035</v>
      </c>
      <c r="M5310" s="471">
        <f t="shared" si="204"/>
        <v>0.05</v>
      </c>
      <c r="N5310" s="475">
        <f t="shared" si="205"/>
        <v>212664</v>
      </c>
    </row>
    <row r="5311" spans="7:14" ht="11.25" customHeight="1" x14ac:dyDescent="0.3">
      <c r="G5311" s="470"/>
      <c r="H5311" s="470">
        <v>5304</v>
      </c>
      <c r="I5311" s="455">
        <f t="shared" ca="1" si="203"/>
        <v>-406466099467035</v>
      </c>
      <c r="J5311" s="455">
        <f t="array" ref="J5311">IFERROR(INDEX('Retirement Calculator'!J:J,MATCH('Isaac 401k'!N5311,'Retirement Calculator'!A:A,0),0),0)</f>
        <v>0</v>
      </c>
      <c r="K5311" s="455">
        <f t="shared" ca="1" si="201"/>
        <v>-1693608747779.3125</v>
      </c>
      <c r="L5311" s="455">
        <f t="shared" ca="1" si="202"/>
        <v>-408159708214814.31</v>
      </c>
      <c r="M5311" s="471">
        <f t="shared" si="204"/>
        <v>0.05</v>
      </c>
      <c r="N5311" s="475">
        <f t="shared" si="205"/>
        <v>212694</v>
      </c>
    </row>
    <row r="5312" spans="7:14" ht="11.25" customHeight="1" x14ac:dyDescent="0.3">
      <c r="G5312" s="470"/>
      <c r="H5312" s="470">
        <v>5305</v>
      </c>
      <c r="I5312" s="455">
        <f t="shared" ca="1" si="203"/>
        <v>-408159708214814.31</v>
      </c>
      <c r="J5312" s="455">
        <f t="array" ref="J5312">IFERROR(INDEX('Retirement Calculator'!J:J,MATCH('Isaac 401k'!N5312,'Retirement Calculator'!A:A,0),0),0)</f>
        <v>0</v>
      </c>
      <c r="K5312" s="455">
        <f t="shared" ca="1" si="201"/>
        <v>-1700665450895.0596</v>
      </c>
      <c r="L5312" s="455">
        <f t="shared" ca="1" si="202"/>
        <v>-409860373665709.38</v>
      </c>
      <c r="M5312" s="471">
        <f t="shared" si="204"/>
        <v>0.05</v>
      </c>
      <c r="N5312" s="475">
        <f t="shared" si="205"/>
        <v>212725</v>
      </c>
    </row>
    <row r="5313" spans="7:14" ht="11.25" customHeight="1" x14ac:dyDescent="0.3">
      <c r="G5313" s="470"/>
      <c r="H5313" s="470">
        <v>5306</v>
      </c>
      <c r="I5313" s="455">
        <f t="shared" ca="1" si="203"/>
        <v>-409860373665709.38</v>
      </c>
      <c r="J5313" s="455">
        <f t="array" ref="J5313">IFERROR(INDEX('Retirement Calculator'!J:J,MATCH('Isaac 401k'!N5313,'Retirement Calculator'!A:A,0),0),0)</f>
        <v>0</v>
      </c>
      <c r="K5313" s="455">
        <f t="shared" ca="1" si="201"/>
        <v>-1707751556940.4558</v>
      </c>
      <c r="L5313" s="455">
        <f t="shared" ca="1" si="202"/>
        <v>-411568125222649.81</v>
      </c>
      <c r="M5313" s="471">
        <f t="shared" si="204"/>
        <v>0.05</v>
      </c>
      <c r="N5313" s="475">
        <f t="shared" si="205"/>
        <v>212755</v>
      </c>
    </row>
    <row r="5314" spans="7:14" ht="11.25" customHeight="1" x14ac:dyDescent="0.3">
      <c r="G5314" s="470"/>
      <c r="H5314" s="470">
        <v>5307</v>
      </c>
      <c r="I5314" s="455">
        <f t="shared" ca="1" si="203"/>
        <v>-411568125222649.81</v>
      </c>
      <c r="J5314" s="455">
        <f t="array" ref="J5314">IFERROR(INDEX('Retirement Calculator'!J:J,MATCH('Isaac 401k'!N5314,'Retirement Calculator'!A:A,0),0),0)</f>
        <v>0</v>
      </c>
      <c r="K5314" s="455">
        <f t="shared" ca="1" si="201"/>
        <v>-1714867188427.7075</v>
      </c>
      <c r="L5314" s="455">
        <f t="shared" ca="1" si="202"/>
        <v>-413282992411077.5</v>
      </c>
      <c r="M5314" s="471">
        <f t="shared" si="204"/>
        <v>0.05</v>
      </c>
      <c r="N5314" s="475">
        <f t="shared" si="205"/>
        <v>212786</v>
      </c>
    </row>
    <row r="5315" spans="7:14" ht="11.25" customHeight="1" x14ac:dyDescent="0.3">
      <c r="G5315" s="470"/>
      <c r="H5315" s="470">
        <v>5308</v>
      </c>
      <c r="I5315" s="455">
        <f t="shared" ca="1" si="203"/>
        <v>-413282992411077.5</v>
      </c>
      <c r="J5315" s="455">
        <f t="array" ref="J5315">IFERROR(INDEX('Retirement Calculator'!J:J,MATCH('Isaac 401k'!N5315,'Retirement Calculator'!A:A,0),0),0)</f>
        <v>0</v>
      </c>
      <c r="K5315" s="455">
        <f t="shared" ca="1" si="201"/>
        <v>-1722012468379.4895</v>
      </c>
      <c r="L5315" s="455">
        <f t="shared" ca="1" si="202"/>
        <v>-415005004879457</v>
      </c>
      <c r="M5315" s="471">
        <f t="shared" si="204"/>
        <v>0.05</v>
      </c>
      <c r="N5315" s="475">
        <f t="shared" si="205"/>
        <v>212817</v>
      </c>
    </row>
    <row r="5316" spans="7:14" ht="11.25" customHeight="1" x14ac:dyDescent="0.3">
      <c r="G5316" s="470"/>
      <c r="H5316" s="470">
        <v>5309</v>
      </c>
      <c r="I5316" s="455">
        <f t="shared" ca="1" si="203"/>
        <v>-415005004879457</v>
      </c>
      <c r="J5316" s="455">
        <f t="array" ref="J5316">IFERROR(INDEX('Retirement Calculator'!J:J,MATCH('Isaac 401k'!N5316,'Retirement Calculator'!A:A,0),0),0)</f>
        <v>0</v>
      </c>
      <c r="K5316" s="455">
        <f t="shared" ca="1" si="201"/>
        <v>-1729187520331.0708</v>
      </c>
      <c r="L5316" s="455">
        <f t="shared" ca="1" si="202"/>
        <v>-416734192399788.06</v>
      </c>
      <c r="M5316" s="471">
        <f t="shared" si="204"/>
        <v>0.05</v>
      </c>
      <c r="N5316" s="475">
        <f t="shared" si="205"/>
        <v>212847</v>
      </c>
    </row>
    <row r="5317" spans="7:14" ht="11.25" customHeight="1" x14ac:dyDescent="0.3">
      <c r="G5317" s="470"/>
      <c r="H5317" s="470">
        <v>5310</v>
      </c>
      <c r="I5317" s="455">
        <f t="shared" ca="1" si="203"/>
        <v>-416734192399788.06</v>
      </c>
      <c r="J5317" s="455">
        <f t="array" ref="J5317">IFERROR(INDEX('Retirement Calculator'!J:J,MATCH('Isaac 401k'!N5317,'Retirement Calculator'!A:A,0),0),0)</f>
        <v>0</v>
      </c>
      <c r="K5317" s="455">
        <f t="shared" ca="1" si="201"/>
        <v>-1736392468332.4502</v>
      </c>
      <c r="L5317" s="455">
        <f t="shared" ca="1" si="202"/>
        <v>-418470584868120.5</v>
      </c>
      <c r="M5317" s="471">
        <f t="shared" si="204"/>
        <v>0.05</v>
      </c>
      <c r="N5317" s="475">
        <f t="shared" si="205"/>
        <v>212878</v>
      </c>
    </row>
    <row r="5318" spans="7:14" ht="11.25" customHeight="1" x14ac:dyDescent="0.3">
      <c r="G5318" s="470"/>
      <c r="H5318" s="470">
        <v>5311</v>
      </c>
      <c r="I5318" s="455">
        <f t="shared" ca="1" si="203"/>
        <v>-418470584868120.5</v>
      </c>
      <c r="J5318" s="455">
        <f t="array" ref="J5318">IFERROR(INDEX('Retirement Calculator'!J:J,MATCH('Isaac 401k'!N5318,'Retirement Calculator'!A:A,0),0),0)</f>
        <v>0</v>
      </c>
      <c r="K5318" s="455">
        <f t="shared" ca="1" si="201"/>
        <v>-1743627436950.502</v>
      </c>
      <c r="L5318" s="455">
        <f t="shared" ca="1" si="202"/>
        <v>-420214212305071</v>
      </c>
      <c r="M5318" s="471">
        <f t="shared" si="204"/>
        <v>0.05</v>
      </c>
      <c r="N5318" s="475">
        <f t="shared" si="205"/>
        <v>212908</v>
      </c>
    </row>
    <row r="5319" spans="7:14" ht="11.25" customHeight="1" x14ac:dyDescent="0.3">
      <c r="G5319" s="470"/>
      <c r="H5319" s="470">
        <v>5312</v>
      </c>
      <c r="I5319" s="455">
        <f t="shared" ca="1" si="203"/>
        <v>-420214212305071</v>
      </c>
      <c r="J5319" s="455">
        <f t="array" ref="J5319">IFERROR(INDEX('Retirement Calculator'!J:J,MATCH('Isaac 401k'!N5319,'Retirement Calculator'!A:A,0),0),0)</f>
        <v>0</v>
      </c>
      <c r="K5319" s="455">
        <f t="shared" ca="1" si="201"/>
        <v>-1750892551271.1292</v>
      </c>
      <c r="L5319" s="455">
        <f t="shared" ca="1" si="202"/>
        <v>-421965104856342.13</v>
      </c>
      <c r="M5319" s="471">
        <f t="shared" si="204"/>
        <v>0.05</v>
      </c>
      <c r="N5319" s="475">
        <f t="shared" si="205"/>
        <v>212939</v>
      </c>
    </row>
    <row r="5320" spans="7:14" ht="11.25" customHeight="1" x14ac:dyDescent="0.3">
      <c r="G5320" s="470"/>
      <c r="H5320" s="470">
        <v>5313</v>
      </c>
      <c r="I5320" s="455">
        <f t="shared" ca="1" si="203"/>
        <v>-421965104856342.13</v>
      </c>
      <c r="J5320" s="455">
        <f t="array" ref="J5320">IFERROR(INDEX('Retirement Calculator'!J:J,MATCH('Isaac 401k'!N5320,'Retirement Calculator'!A:A,0),0),0)</f>
        <v>0</v>
      </c>
      <c r="K5320" s="455">
        <f t="shared" ca="1" si="201"/>
        <v>-1758187936901.4255</v>
      </c>
      <c r="L5320" s="455">
        <f t="shared" ca="1" si="202"/>
        <v>-423723292793243.56</v>
      </c>
      <c r="M5320" s="471">
        <f t="shared" si="204"/>
        <v>0.05</v>
      </c>
      <c r="N5320" s="475">
        <f t="shared" si="205"/>
        <v>212970</v>
      </c>
    </row>
    <row r="5321" spans="7:14" ht="11.25" customHeight="1" x14ac:dyDescent="0.3">
      <c r="G5321" s="470"/>
      <c r="H5321" s="470">
        <v>5314</v>
      </c>
      <c r="I5321" s="455">
        <f t="shared" ca="1" si="203"/>
        <v>-423723292793243.56</v>
      </c>
      <c r="J5321" s="455">
        <f t="array" ref="J5321">IFERROR(INDEX('Retirement Calculator'!J:J,MATCH('Isaac 401k'!N5321,'Retirement Calculator'!A:A,0),0),0)</f>
        <v>0</v>
      </c>
      <c r="K5321" s="455">
        <f t="shared" ca="1" si="201"/>
        <v>-1765513719971.8481</v>
      </c>
      <c r="L5321" s="455">
        <f t="shared" ca="1" si="202"/>
        <v>-425488806513215.44</v>
      </c>
      <c r="M5321" s="471">
        <f t="shared" si="204"/>
        <v>0.05</v>
      </c>
      <c r="N5321" s="475">
        <f t="shared" si="205"/>
        <v>212998</v>
      </c>
    </row>
    <row r="5322" spans="7:14" ht="11.25" customHeight="1" x14ac:dyDescent="0.3">
      <c r="G5322" s="470"/>
      <c r="H5322" s="470">
        <v>5315</v>
      </c>
      <c r="I5322" s="455">
        <f t="shared" ca="1" si="203"/>
        <v>-425488806513215.44</v>
      </c>
      <c r="J5322" s="455">
        <f t="array" ref="J5322">IFERROR(INDEX('Retirement Calculator'!J:J,MATCH('Isaac 401k'!N5322,'Retirement Calculator'!A:A,0),0),0)</f>
        <v>0</v>
      </c>
      <c r="K5322" s="455">
        <f t="shared" ca="1" si="201"/>
        <v>-1772870027138.3977</v>
      </c>
      <c r="L5322" s="455">
        <f t="shared" ca="1" si="202"/>
        <v>-427261676540353.81</v>
      </c>
      <c r="M5322" s="471">
        <f t="shared" si="204"/>
        <v>0.05</v>
      </c>
      <c r="N5322" s="475">
        <f t="shared" si="205"/>
        <v>213029</v>
      </c>
    </row>
    <row r="5323" spans="7:14" ht="11.25" customHeight="1" x14ac:dyDescent="0.3">
      <c r="G5323" s="470"/>
      <c r="H5323" s="470">
        <v>5316</v>
      </c>
      <c r="I5323" s="455">
        <f t="shared" ca="1" si="203"/>
        <v>-427261676540353.81</v>
      </c>
      <c r="J5323" s="455">
        <f t="array" ref="J5323">IFERROR(INDEX('Retirement Calculator'!J:J,MATCH('Isaac 401k'!N5323,'Retirement Calculator'!A:A,0),0),0)</f>
        <v>0</v>
      </c>
      <c r="K5323" s="455">
        <f t="shared" ca="1" si="201"/>
        <v>-1780256985584.8076</v>
      </c>
      <c r="L5323" s="455">
        <f t="shared" ca="1" si="202"/>
        <v>-429041933525938.63</v>
      </c>
      <c r="M5323" s="471">
        <f t="shared" si="204"/>
        <v>0.05</v>
      </c>
      <c r="N5323" s="475">
        <f t="shared" si="205"/>
        <v>213059</v>
      </c>
    </row>
    <row r="5324" spans="7:14" ht="11.25" customHeight="1" x14ac:dyDescent="0.3">
      <c r="G5324" s="470"/>
      <c r="H5324" s="470">
        <v>5317</v>
      </c>
      <c r="I5324" s="455">
        <f t="shared" ca="1" si="203"/>
        <v>-429041933525938.63</v>
      </c>
      <c r="J5324" s="455">
        <f t="array" ref="J5324">IFERROR(INDEX('Retirement Calculator'!J:J,MATCH('Isaac 401k'!N5324,'Retirement Calculator'!A:A,0),0),0)</f>
        <v>0</v>
      </c>
      <c r="K5324" s="455">
        <f t="shared" ca="1" si="201"/>
        <v>-1787674723024.7441</v>
      </c>
      <c r="L5324" s="455">
        <f t="shared" ca="1" si="202"/>
        <v>-430829608248963.38</v>
      </c>
      <c r="M5324" s="471">
        <f t="shared" si="204"/>
        <v>0.05</v>
      </c>
      <c r="N5324" s="475">
        <f t="shared" si="205"/>
        <v>213090</v>
      </c>
    </row>
    <row r="5325" spans="7:14" ht="11.25" customHeight="1" x14ac:dyDescent="0.3">
      <c r="G5325" s="470"/>
      <c r="H5325" s="470">
        <v>5318</v>
      </c>
      <c r="I5325" s="455">
        <f t="shared" ca="1" si="203"/>
        <v>-430829608248963.38</v>
      </c>
      <c r="J5325" s="455">
        <f t="array" ref="J5325">IFERROR(INDEX('Retirement Calculator'!J:J,MATCH('Isaac 401k'!N5325,'Retirement Calculator'!A:A,0),0),0)</f>
        <v>0</v>
      </c>
      <c r="K5325" s="455">
        <f t="shared" ca="1" si="201"/>
        <v>-1795123367704.0139</v>
      </c>
      <c r="L5325" s="455">
        <f t="shared" ca="1" si="202"/>
        <v>-432624731616667.38</v>
      </c>
      <c r="M5325" s="471">
        <f t="shared" si="204"/>
        <v>0.05</v>
      </c>
      <c r="N5325" s="475">
        <f t="shared" si="205"/>
        <v>213120</v>
      </c>
    </row>
    <row r="5326" spans="7:14" ht="11.25" customHeight="1" x14ac:dyDescent="0.3">
      <c r="G5326" s="470"/>
      <c r="H5326" s="470">
        <v>5319</v>
      </c>
      <c r="I5326" s="455">
        <f t="shared" ca="1" si="203"/>
        <v>-432624731616667.38</v>
      </c>
      <c r="J5326" s="455">
        <f t="array" ref="J5326">IFERROR(INDEX('Retirement Calculator'!J:J,MATCH('Isaac 401k'!N5326,'Retirement Calculator'!A:A,0),0),0)</f>
        <v>0</v>
      </c>
      <c r="K5326" s="455">
        <f t="shared" ca="1" si="201"/>
        <v>-1802603048402.7808</v>
      </c>
      <c r="L5326" s="455">
        <f t="shared" ca="1" si="202"/>
        <v>-434427334665070.13</v>
      </c>
      <c r="M5326" s="471">
        <f t="shared" si="204"/>
        <v>0.05</v>
      </c>
      <c r="N5326" s="475">
        <f t="shared" si="205"/>
        <v>213151</v>
      </c>
    </row>
    <row r="5327" spans="7:14" ht="11.25" customHeight="1" x14ac:dyDescent="0.3">
      <c r="G5327" s="470"/>
      <c r="H5327" s="470">
        <v>5320</v>
      </c>
      <c r="I5327" s="455">
        <f t="shared" ca="1" si="203"/>
        <v>-434427334665070.13</v>
      </c>
      <c r="J5327" s="455">
        <f t="array" ref="J5327">IFERROR(INDEX('Retirement Calculator'!J:J,MATCH('Isaac 401k'!N5327,'Retirement Calculator'!A:A,0),0),0)</f>
        <v>0</v>
      </c>
      <c r="K5327" s="455">
        <f t="shared" ca="1" si="201"/>
        <v>-1810113894437.7922</v>
      </c>
      <c r="L5327" s="455">
        <f t="shared" ca="1" si="202"/>
        <v>-436237448559507.94</v>
      </c>
      <c r="M5327" s="471">
        <f t="shared" si="204"/>
        <v>0.05</v>
      </c>
      <c r="N5327" s="475">
        <f t="shared" si="205"/>
        <v>213182</v>
      </c>
    </row>
    <row r="5328" spans="7:14" ht="11.25" customHeight="1" x14ac:dyDescent="0.3">
      <c r="G5328" s="470"/>
      <c r="H5328" s="470">
        <v>5321</v>
      </c>
      <c r="I5328" s="455">
        <f t="shared" ca="1" si="203"/>
        <v>-436237448559507.94</v>
      </c>
      <c r="J5328" s="455">
        <f t="array" ref="J5328">IFERROR(INDEX('Retirement Calculator'!J:J,MATCH('Isaac 401k'!N5328,'Retirement Calculator'!A:A,0),0),0)</f>
        <v>0</v>
      </c>
      <c r="K5328" s="455">
        <f t="shared" ca="1" si="201"/>
        <v>-1817656035664.6165</v>
      </c>
      <c r="L5328" s="455">
        <f t="shared" ca="1" si="202"/>
        <v>-438055104595172.56</v>
      </c>
      <c r="M5328" s="471">
        <f t="shared" si="204"/>
        <v>0.05</v>
      </c>
      <c r="N5328" s="475">
        <f t="shared" si="205"/>
        <v>213212</v>
      </c>
    </row>
    <row r="5329" spans="7:14" ht="11.25" customHeight="1" x14ac:dyDescent="0.3">
      <c r="G5329" s="470"/>
      <c r="H5329" s="470">
        <v>5322</v>
      </c>
      <c r="I5329" s="455">
        <f t="shared" ca="1" si="203"/>
        <v>-438055104595172.56</v>
      </c>
      <c r="J5329" s="455">
        <f t="array" ref="J5329">IFERROR(INDEX('Retirement Calculator'!J:J,MATCH('Isaac 401k'!N5329,'Retirement Calculator'!A:A,0),0),0)</f>
        <v>0</v>
      </c>
      <c r="K5329" s="455">
        <f t="shared" ca="1" si="201"/>
        <v>-1825229602479.8857</v>
      </c>
      <c r="L5329" s="455">
        <f t="shared" ca="1" si="202"/>
        <v>-439880334197652.44</v>
      </c>
      <c r="M5329" s="471">
        <f t="shared" si="204"/>
        <v>0.05</v>
      </c>
      <c r="N5329" s="475">
        <f t="shared" si="205"/>
        <v>213243</v>
      </c>
    </row>
    <row r="5330" spans="7:14" ht="11.25" customHeight="1" x14ac:dyDescent="0.3">
      <c r="G5330" s="470"/>
      <c r="H5330" s="470">
        <v>5323</v>
      </c>
      <c r="I5330" s="455">
        <f t="shared" ca="1" si="203"/>
        <v>-439880334197652.44</v>
      </c>
      <c r="J5330" s="455">
        <f t="array" ref="J5330">IFERROR(INDEX('Retirement Calculator'!J:J,MATCH('Isaac 401k'!N5330,'Retirement Calculator'!A:A,0),0),0)</f>
        <v>0</v>
      </c>
      <c r="K5330" s="455">
        <f t="shared" ca="1" si="201"/>
        <v>-1832834725823.5518</v>
      </c>
      <c r="L5330" s="455">
        <f t="shared" ca="1" si="202"/>
        <v>-441713168923476</v>
      </c>
      <c r="M5330" s="471">
        <f t="shared" si="204"/>
        <v>0.05</v>
      </c>
      <c r="N5330" s="475">
        <f t="shared" si="205"/>
        <v>213273</v>
      </c>
    </row>
    <row r="5331" spans="7:14" ht="11.25" customHeight="1" x14ac:dyDescent="0.3">
      <c r="G5331" s="470"/>
      <c r="H5331" s="470">
        <v>5324</v>
      </c>
      <c r="I5331" s="455">
        <f t="shared" ca="1" si="203"/>
        <v>-441713168923476</v>
      </c>
      <c r="J5331" s="455">
        <f t="array" ref="J5331">IFERROR(INDEX('Retirement Calculator'!J:J,MATCH('Isaac 401k'!N5331,'Retirement Calculator'!A:A,0),0),0)</f>
        <v>0</v>
      </c>
      <c r="K5331" s="455">
        <f t="shared" ca="1" si="201"/>
        <v>-1840471537181.1499</v>
      </c>
      <c r="L5331" s="455">
        <f t="shared" ca="1" si="202"/>
        <v>-443553640460657.13</v>
      </c>
      <c r="M5331" s="471">
        <f t="shared" si="204"/>
        <v>0.05</v>
      </c>
      <c r="N5331" s="475">
        <f t="shared" si="205"/>
        <v>213304</v>
      </c>
    </row>
    <row r="5332" spans="7:14" ht="11.25" customHeight="1" x14ac:dyDescent="0.3">
      <c r="G5332" s="470"/>
      <c r="H5332" s="470">
        <v>5325</v>
      </c>
      <c r="I5332" s="455">
        <f t="shared" ca="1" si="203"/>
        <v>-443553640460657.13</v>
      </c>
      <c r="J5332" s="455">
        <f t="array" ref="J5332">IFERROR(INDEX('Retirement Calculator'!J:J,MATCH('Isaac 401k'!N5332,'Retirement Calculator'!A:A,0),0),0)</f>
        <v>0</v>
      </c>
      <c r="K5332" s="455">
        <f t="shared" ca="1" si="201"/>
        <v>-1848140168586.0713</v>
      </c>
      <c r="L5332" s="455">
        <f t="shared" ca="1" si="202"/>
        <v>-445401780629243.19</v>
      </c>
      <c r="M5332" s="471">
        <f t="shared" si="204"/>
        <v>0.05</v>
      </c>
      <c r="N5332" s="475">
        <f t="shared" si="205"/>
        <v>213335</v>
      </c>
    </row>
    <row r="5333" spans="7:14" ht="11.25" customHeight="1" x14ac:dyDescent="0.3">
      <c r="G5333" s="470"/>
      <c r="H5333" s="470">
        <v>5326</v>
      </c>
      <c r="I5333" s="455">
        <f t="shared" ca="1" si="203"/>
        <v>-445401780629243.19</v>
      </c>
      <c r="J5333" s="455">
        <f t="array" ref="J5333">IFERROR(INDEX('Retirement Calculator'!J:J,MATCH('Isaac 401k'!N5333,'Retirement Calculator'!A:A,0),0),0)</f>
        <v>0</v>
      </c>
      <c r="K5333" s="455">
        <f t="shared" ca="1" si="201"/>
        <v>-1855840752621.8467</v>
      </c>
      <c r="L5333" s="455">
        <f t="shared" ca="1" si="202"/>
        <v>-447257621381865.06</v>
      </c>
      <c r="M5333" s="471">
        <f t="shared" si="204"/>
        <v>0.05</v>
      </c>
      <c r="N5333" s="475">
        <f t="shared" si="205"/>
        <v>213364</v>
      </c>
    </row>
    <row r="5334" spans="7:14" ht="11.25" customHeight="1" x14ac:dyDescent="0.3">
      <c r="G5334" s="470"/>
      <c r="H5334" s="470">
        <v>5327</v>
      </c>
      <c r="I5334" s="455">
        <f t="shared" ca="1" si="203"/>
        <v>-447257621381865.06</v>
      </c>
      <c r="J5334" s="455">
        <f t="array" ref="J5334">IFERROR(INDEX('Retirement Calculator'!J:J,MATCH('Isaac 401k'!N5334,'Retirement Calculator'!A:A,0),0),0)</f>
        <v>0</v>
      </c>
      <c r="K5334" s="455">
        <f t="shared" ca="1" si="201"/>
        <v>-1863573422424.4377</v>
      </c>
      <c r="L5334" s="455">
        <f t="shared" ca="1" si="202"/>
        <v>-449121194804289.5</v>
      </c>
      <c r="M5334" s="471">
        <f t="shared" si="204"/>
        <v>0.05</v>
      </c>
      <c r="N5334" s="475">
        <f t="shared" si="205"/>
        <v>213395</v>
      </c>
    </row>
    <row r="5335" spans="7:14" ht="11.25" customHeight="1" x14ac:dyDescent="0.3">
      <c r="G5335" s="470"/>
      <c r="H5335" s="470">
        <v>5328</v>
      </c>
      <c r="I5335" s="455">
        <f t="shared" ca="1" si="203"/>
        <v>-449121194804289.5</v>
      </c>
      <c r="J5335" s="455">
        <f t="array" ref="J5335">IFERROR(INDEX('Retirement Calculator'!J:J,MATCH('Isaac 401k'!N5335,'Retirement Calculator'!A:A,0),0),0)</f>
        <v>0</v>
      </c>
      <c r="K5335" s="455">
        <f t="shared" ca="1" si="201"/>
        <v>-1871338311684.5393</v>
      </c>
      <c r="L5335" s="455">
        <f t="shared" ca="1" si="202"/>
        <v>-450992533115974.06</v>
      </c>
      <c r="M5335" s="471">
        <f t="shared" si="204"/>
        <v>0.05</v>
      </c>
      <c r="N5335" s="475">
        <f t="shared" si="205"/>
        <v>213425</v>
      </c>
    </row>
    <row r="5336" spans="7:14" ht="11.25" customHeight="1" x14ac:dyDescent="0.3">
      <c r="G5336" s="470"/>
      <c r="H5336" s="470">
        <v>5329</v>
      </c>
      <c r="I5336" s="455">
        <f t="shared" ca="1" si="203"/>
        <v>-450992533115974.06</v>
      </c>
      <c r="J5336" s="455">
        <f t="array" ref="J5336">IFERROR(INDEX('Retirement Calculator'!J:J,MATCH('Isaac 401k'!N5336,'Retirement Calculator'!A:A,0),0),0)</f>
        <v>0</v>
      </c>
      <c r="K5336" s="455">
        <f t="shared" ca="1" si="201"/>
        <v>-1879135554649.8918</v>
      </c>
      <c r="L5336" s="455">
        <f t="shared" ca="1" si="202"/>
        <v>-452871668670623.94</v>
      </c>
      <c r="M5336" s="471">
        <f t="shared" si="204"/>
        <v>0.05</v>
      </c>
      <c r="N5336" s="475">
        <f t="shared" si="205"/>
        <v>213456</v>
      </c>
    </row>
    <row r="5337" spans="7:14" ht="11.25" customHeight="1" x14ac:dyDescent="0.3">
      <c r="G5337" s="470"/>
      <c r="H5337" s="470">
        <v>5330</v>
      </c>
      <c r="I5337" s="455">
        <f t="shared" ca="1" si="203"/>
        <v>-452871668670623.94</v>
      </c>
      <c r="J5337" s="455">
        <f t="array" ref="J5337">IFERROR(INDEX('Retirement Calculator'!J:J,MATCH('Isaac 401k'!N5337,'Retirement Calculator'!A:A,0),0),0)</f>
        <v>0</v>
      </c>
      <c r="K5337" s="455">
        <f t="shared" ca="1" si="201"/>
        <v>-1886965286127.5996</v>
      </c>
      <c r="L5337" s="455">
        <f t="shared" ca="1" si="202"/>
        <v>-454758633956751.56</v>
      </c>
      <c r="M5337" s="471">
        <f t="shared" si="204"/>
        <v>0.05</v>
      </c>
      <c r="N5337" s="475">
        <f t="shared" si="205"/>
        <v>213486</v>
      </c>
    </row>
    <row r="5338" spans="7:14" ht="11.25" customHeight="1" x14ac:dyDescent="0.3">
      <c r="G5338" s="470"/>
      <c r="H5338" s="470">
        <v>5331</v>
      </c>
      <c r="I5338" s="455">
        <f t="shared" ca="1" si="203"/>
        <v>-454758633956751.56</v>
      </c>
      <c r="J5338" s="455">
        <f t="array" ref="J5338">IFERROR(INDEX('Retirement Calculator'!J:J,MATCH('Isaac 401k'!N5338,'Retirement Calculator'!A:A,0),0),0)</f>
        <v>0</v>
      </c>
      <c r="K5338" s="455">
        <f t="shared" ca="1" si="201"/>
        <v>-1894827641486.4648</v>
      </c>
      <c r="L5338" s="455">
        <f t="shared" ca="1" si="202"/>
        <v>-456653461598238</v>
      </c>
      <c r="M5338" s="471">
        <f t="shared" si="204"/>
        <v>0.05</v>
      </c>
      <c r="N5338" s="475">
        <f t="shared" si="205"/>
        <v>213517</v>
      </c>
    </row>
    <row r="5339" spans="7:14" ht="11.25" customHeight="1" x14ac:dyDescent="0.3">
      <c r="G5339" s="470"/>
      <c r="H5339" s="470">
        <v>5332</v>
      </c>
      <c r="I5339" s="455">
        <f t="shared" ca="1" si="203"/>
        <v>-456653461598238</v>
      </c>
      <c r="J5339" s="455">
        <f t="array" ref="J5339">IFERROR(INDEX('Retirement Calculator'!J:J,MATCH('Isaac 401k'!N5339,'Retirement Calculator'!A:A,0),0),0)</f>
        <v>0</v>
      </c>
      <c r="K5339" s="455">
        <f t="shared" ca="1" si="201"/>
        <v>-1902722756659.325</v>
      </c>
      <c r="L5339" s="455">
        <f t="shared" ca="1" si="202"/>
        <v>-458556184354897.31</v>
      </c>
      <c r="M5339" s="471">
        <f t="shared" si="204"/>
        <v>0.05</v>
      </c>
      <c r="N5339" s="475">
        <f t="shared" si="205"/>
        <v>213548</v>
      </c>
    </row>
    <row r="5340" spans="7:14" ht="11.25" customHeight="1" x14ac:dyDescent="0.3">
      <c r="G5340" s="470"/>
      <c r="H5340" s="470">
        <v>5333</v>
      </c>
      <c r="I5340" s="455">
        <f t="shared" ca="1" si="203"/>
        <v>-458556184354897.31</v>
      </c>
      <c r="J5340" s="455">
        <f t="array" ref="J5340">IFERROR(INDEX('Retirement Calculator'!J:J,MATCH('Isaac 401k'!N5340,'Retirement Calculator'!A:A,0),0),0)</f>
        <v>0</v>
      </c>
      <c r="K5340" s="455">
        <f t="shared" ca="1" si="201"/>
        <v>-1910650768145.4058</v>
      </c>
      <c r="L5340" s="455">
        <f t="shared" ca="1" si="202"/>
        <v>-460466835123042.69</v>
      </c>
      <c r="M5340" s="471">
        <f t="shared" si="204"/>
        <v>0.05</v>
      </c>
      <c r="N5340" s="475">
        <f t="shared" si="205"/>
        <v>213578</v>
      </c>
    </row>
    <row r="5341" spans="7:14" ht="11.25" customHeight="1" x14ac:dyDescent="0.3">
      <c r="G5341" s="470"/>
      <c r="H5341" s="470">
        <v>5334</v>
      </c>
      <c r="I5341" s="455">
        <f t="shared" ca="1" si="203"/>
        <v>-460466835123042.69</v>
      </c>
      <c r="J5341" s="455">
        <f t="array" ref="J5341">IFERROR(INDEX('Retirement Calculator'!J:J,MATCH('Isaac 401k'!N5341,'Retirement Calculator'!A:A,0),0),0)</f>
        <v>0</v>
      </c>
      <c r="K5341" s="455">
        <f t="shared" ca="1" si="201"/>
        <v>-1918611813012.6777</v>
      </c>
      <c r="L5341" s="455">
        <f t="shared" ca="1" si="202"/>
        <v>-462385446936055.38</v>
      </c>
      <c r="M5341" s="471">
        <f t="shared" si="204"/>
        <v>0.05</v>
      </c>
      <c r="N5341" s="475">
        <f t="shared" si="205"/>
        <v>213609</v>
      </c>
    </row>
    <row r="5342" spans="7:14" ht="11.25" customHeight="1" x14ac:dyDescent="0.3">
      <c r="G5342" s="470"/>
      <c r="H5342" s="470">
        <v>5335</v>
      </c>
      <c r="I5342" s="455">
        <f t="shared" ca="1" si="203"/>
        <v>-462385446936055.38</v>
      </c>
      <c r="J5342" s="455">
        <f t="array" ref="J5342">IFERROR(INDEX('Retirement Calculator'!J:J,MATCH('Isaac 401k'!N5342,'Retirement Calculator'!A:A,0),0),0)</f>
        <v>0</v>
      </c>
      <c r="K5342" s="455">
        <f t="shared" ca="1" si="201"/>
        <v>-1926606028900.2305</v>
      </c>
      <c r="L5342" s="455">
        <f t="shared" ca="1" si="202"/>
        <v>-464312052964955.63</v>
      </c>
      <c r="M5342" s="471">
        <f t="shared" si="204"/>
        <v>0.05</v>
      </c>
      <c r="N5342" s="475">
        <f t="shared" si="205"/>
        <v>213639</v>
      </c>
    </row>
    <row r="5343" spans="7:14" ht="11.25" customHeight="1" x14ac:dyDescent="0.3">
      <c r="G5343" s="470"/>
      <c r="H5343" s="470">
        <v>5336</v>
      </c>
      <c r="I5343" s="455">
        <f t="shared" ca="1" si="203"/>
        <v>-464312052964955.63</v>
      </c>
      <c r="J5343" s="455">
        <f t="array" ref="J5343">IFERROR(INDEX('Retirement Calculator'!J:J,MATCH('Isaac 401k'!N5343,'Retirement Calculator'!A:A,0),0),0)</f>
        <v>0</v>
      </c>
      <c r="K5343" s="455">
        <f t="shared" ca="1" si="201"/>
        <v>-1934633554020.6484</v>
      </c>
      <c r="L5343" s="455">
        <f t="shared" ca="1" si="202"/>
        <v>-466246686518976.25</v>
      </c>
      <c r="M5343" s="471">
        <f t="shared" si="204"/>
        <v>0.05</v>
      </c>
      <c r="N5343" s="475">
        <f t="shared" si="205"/>
        <v>213670</v>
      </c>
    </row>
    <row r="5344" spans="7:14" ht="11.25" customHeight="1" x14ac:dyDescent="0.3">
      <c r="G5344" s="470"/>
      <c r="H5344" s="470">
        <v>5337</v>
      </c>
      <c r="I5344" s="455">
        <f t="shared" ca="1" si="203"/>
        <v>-466246686518976.25</v>
      </c>
      <c r="J5344" s="455">
        <f t="array" ref="J5344">IFERROR(INDEX('Retirement Calculator'!J:J,MATCH('Isaac 401k'!N5344,'Retirement Calculator'!A:A,0),0),0)</f>
        <v>0</v>
      </c>
      <c r="K5344" s="455">
        <f t="shared" ca="1" si="201"/>
        <v>-1942694527162.4011</v>
      </c>
      <c r="L5344" s="455">
        <f t="shared" ca="1" si="202"/>
        <v>-468189381046138.63</v>
      </c>
      <c r="M5344" s="471">
        <f t="shared" si="204"/>
        <v>0.05</v>
      </c>
      <c r="N5344" s="475">
        <f t="shared" si="205"/>
        <v>213701</v>
      </c>
    </row>
    <row r="5345" spans="7:14" ht="11.25" customHeight="1" x14ac:dyDescent="0.3">
      <c r="G5345" s="470"/>
      <c r="H5345" s="470">
        <v>5338</v>
      </c>
      <c r="I5345" s="455">
        <f t="shared" ca="1" si="203"/>
        <v>-468189381046138.63</v>
      </c>
      <c r="J5345" s="455">
        <f t="array" ref="J5345">IFERROR(INDEX('Retirement Calculator'!J:J,MATCH('Isaac 401k'!N5345,'Retirement Calculator'!A:A,0),0),0)</f>
        <v>0</v>
      </c>
      <c r="K5345" s="455">
        <f t="shared" ca="1" si="201"/>
        <v>-1950789087692.2441</v>
      </c>
      <c r="L5345" s="455">
        <f t="shared" ca="1" si="202"/>
        <v>-470140170133830.88</v>
      </c>
      <c r="M5345" s="471">
        <f t="shared" si="204"/>
        <v>0.05</v>
      </c>
      <c r="N5345" s="475">
        <f t="shared" si="205"/>
        <v>213729</v>
      </c>
    </row>
    <row r="5346" spans="7:14" ht="11.25" customHeight="1" x14ac:dyDescent="0.3">
      <c r="G5346" s="470"/>
      <c r="H5346" s="470">
        <v>5339</v>
      </c>
      <c r="I5346" s="455">
        <f t="shared" ca="1" si="203"/>
        <v>-470140170133830.88</v>
      </c>
      <c r="J5346" s="455">
        <f t="array" ref="J5346">IFERROR(INDEX('Retirement Calculator'!J:J,MATCH('Isaac 401k'!N5346,'Retirement Calculator'!A:A,0),0),0)</f>
        <v>0</v>
      </c>
      <c r="K5346" s="455">
        <f t="shared" ca="1" si="201"/>
        <v>-1958917375557.6287</v>
      </c>
      <c r="L5346" s="455">
        <f t="shared" ca="1" si="202"/>
        <v>-472099087509388.5</v>
      </c>
      <c r="M5346" s="471">
        <f t="shared" si="204"/>
        <v>0.05</v>
      </c>
      <c r="N5346" s="475">
        <f t="shared" si="205"/>
        <v>213760</v>
      </c>
    </row>
    <row r="5347" spans="7:14" ht="11.25" customHeight="1" x14ac:dyDescent="0.3">
      <c r="G5347" s="470"/>
      <c r="H5347" s="470">
        <v>5340</v>
      </c>
      <c r="I5347" s="455">
        <f t="shared" ca="1" si="203"/>
        <v>-472099087509388.5</v>
      </c>
      <c r="J5347" s="455">
        <f t="array" ref="J5347">IFERROR(INDEX('Retirement Calculator'!J:J,MATCH('Isaac 401k'!N5347,'Retirement Calculator'!A:A,0),0),0)</f>
        <v>0</v>
      </c>
      <c r="K5347" s="455">
        <f t="shared" ca="1" si="201"/>
        <v>-1967079531289.1187</v>
      </c>
      <c r="L5347" s="455">
        <f t="shared" ca="1" si="202"/>
        <v>-474066167040677.63</v>
      </c>
      <c r="M5347" s="471">
        <f t="shared" si="204"/>
        <v>0.05</v>
      </c>
      <c r="N5347" s="475">
        <f t="shared" si="205"/>
        <v>213790</v>
      </c>
    </row>
    <row r="5348" spans="7:14" ht="11.25" customHeight="1" x14ac:dyDescent="0.3">
      <c r="G5348" s="470"/>
      <c r="H5348" s="470">
        <v>5341</v>
      </c>
      <c r="I5348" s="455">
        <f t="shared" ca="1" si="203"/>
        <v>-474066167040677.63</v>
      </c>
      <c r="J5348" s="455">
        <f t="array" ref="J5348">IFERROR(INDEX('Retirement Calculator'!J:J,MATCH('Isaac 401k'!N5348,'Retirement Calculator'!A:A,0),0),0)</f>
        <v>0</v>
      </c>
      <c r="K5348" s="455">
        <f t="shared" ca="1" si="201"/>
        <v>-1975275696002.8235</v>
      </c>
      <c r="L5348" s="455">
        <f t="shared" ca="1" si="202"/>
        <v>-476041442736680.44</v>
      </c>
      <c r="M5348" s="471">
        <f t="shared" si="204"/>
        <v>0.05</v>
      </c>
      <c r="N5348" s="475">
        <f t="shared" si="205"/>
        <v>213821</v>
      </c>
    </row>
    <row r="5349" spans="7:14" ht="11.25" customHeight="1" x14ac:dyDescent="0.3">
      <c r="G5349" s="470"/>
      <c r="H5349" s="470">
        <v>5342</v>
      </c>
      <c r="I5349" s="455">
        <f t="shared" ca="1" si="203"/>
        <v>-476041442736680.44</v>
      </c>
      <c r="J5349" s="455">
        <f t="array" ref="J5349">IFERROR(INDEX('Retirement Calculator'!J:J,MATCH('Isaac 401k'!N5349,'Retirement Calculator'!A:A,0),0),0)</f>
        <v>0</v>
      </c>
      <c r="K5349" s="455">
        <f t="shared" ca="1" si="201"/>
        <v>-1983506011402.8354</v>
      </c>
      <c r="L5349" s="455">
        <f t="shared" ca="1" si="202"/>
        <v>-478024948748083.25</v>
      </c>
      <c r="M5349" s="471">
        <f t="shared" si="204"/>
        <v>0.05</v>
      </c>
      <c r="N5349" s="475">
        <f t="shared" si="205"/>
        <v>213851</v>
      </c>
    </row>
    <row r="5350" spans="7:14" ht="11.25" customHeight="1" x14ac:dyDescent="0.3">
      <c r="G5350" s="470"/>
      <c r="H5350" s="470">
        <v>5343</v>
      </c>
      <c r="I5350" s="455">
        <f t="shared" ca="1" si="203"/>
        <v>-478024948748083.25</v>
      </c>
      <c r="J5350" s="455">
        <f t="array" ref="J5350">IFERROR(INDEX('Retirement Calculator'!J:J,MATCH('Isaac 401k'!N5350,'Retirement Calculator'!A:A,0),0),0)</f>
        <v>0</v>
      </c>
      <c r="K5350" s="455">
        <f t="shared" ca="1" si="201"/>
        <v>-1991770619783.6799</v>
      </c>
      <c r="L5350" s="455">
        <f t="shared" ca="1" si="202"/>
        <v>-480016719367866.94</v>
      </c>
      <c r="M5350" s="471">
        <f t="shared" si="204"/>
        <v>0.05</v>
      </c>
      <c r="N5350" s="475">
        <f t="shared" si="205"/>
        <v>213882</v>
      </c>
    </row>
    <row r="5351" spans="7:14" ht="11.25" customHeight="1" x14ac:dyDescent="0.3">
      <c r="G5351" s="470"/>
      <c r="H5351" s="470">
        <v>5344</v>
      </c>
      <c r="I5351" s="455">
        <f t="shared" ca="1" si="203"/>
        <v>-480016719367866.94</v>
      </c>
      <c r="J5351" s="455">
        <f t="array" ref="J5351">IFERROR(INDEX('Retirement Calculator'!J:J,MATCH('Isaac 401k'!N5351,'Retirement Calculator'!A:A,0),0),0)</f>
        <v>0</v>
      </c>
      <c r="K5351" s="455">
        <f t="shared" ca="1" si="201"/>
        <v>-2000069664032.7788</v>
      </c>
      <c r="L5351" s="455">
        <f t="shared" ca="1" si="202"/>
        <v>-482016789031899.69</v>
      </c>
      <c r="M5351" s="471">
        <f t="shared" si="204"/>
        <v>0.05</v>
      </c>
      <c r="N5351" s="475">
        <f t="shared" si="205"/>
        <v>213913</v>
      </c>
    </row>
    <row r="5352" spans="7:14" ht="11.25" customHeight="1" x14ac:dyDescent="0.3">
      <c r="G5352" s="470"/>
      <c r="H5352" s="470">
        <v>5345</v>
      </c>
      <c r="I5352" s="455">
        <f t="shared" ca="1" si="203"/>
        <v>-482016789031899.69</v>
      </c>
      <c r="J5352" s="455">
        <f t="array" ref="J5352">IFERROR(INDEX('Retirement Calculator'!J:J,MATCH('Isaac 401k'!N5352,'Retirement Calculator'!A:A,0),0),0)</f>
        <v>0</v>
      </c>
      <c r="K5352" s="455">
        <f t="shared" ca="1" si="201"/>
        <v>-2008403287632.9155</v>
      </c>
      <c r="L5352" s="455">
        <f t="shared" ca="1" si="202"/>
        <v>-484025192319532.63</v>
      </c>
      <c r="M5352" s="471">
        <f t="shared" si="204"/>
        <v>0.05</v>
      </c>
      <c r="N5352" s="475">
        <f t="shared" si="205"/>
        <v>213943</v>
      </c>
    </row>
    <row r="5353" spans="7:14" ht="11.25" customHeight="1" x14ac:dyDescent="0.3">
      <c r="G5353" s="470"/>
      <c r="H5353" s="470">
        <v>5346</v>
      </c>
      <c r="I5353" s="455">
        <f t="shared" ca="1" si="203"/>
        <v>-484025192319532.63</v>
      </c>
      <c r="J5353" s="455">
        <f t="array" ref="J5353">IFERROR(INDEX('Retirement Calculator'!J:J,MATCH('Isaac 401k'!N5353,'Retirement Calculator'!A:A,0),0),0)</f>
        <v>0</v>
      </c>
      <c r="K5353" s="455">
        <f t="shared" ca="1" si="201"/>
        <v>-2016771634664.7192</v>
      </c>
      <c r="L5353" s="455">
        <f t="shared" ca="1" si="202"/>
        <v>-486041963954197.38</v>
      </c>
      <c r="M5353" s="471">
        <f t="shared" si="204"/>
        <v>0.05</v>
      </c>
      <c r="N5353" s="475">
        <f t="shared" si="205"/>
        <v>213974</v>
      </c>
    </row>
    <row r="5354" spans="7:14" ht="11.25" customHeight="1" x14ac:dyDescent="0.3">
      <c r="G5354" s="470"/>
      <c r="H5354" s="470">
        <v>5347</v>
      </c>
      <c r="I5354" s="455">
        <f t="shared" ca="1" si="203"/>
        <v>-486041963954197.38</v>
      </c>
      <c r="J5354" s="455">
        <f t="array" ref="J5354">IFERROR(INDEX('Retirement Calculator'!J:J,MATCH('Isaac 401k'!N5354,'Retirement Calculator'!A:A,0),0),0)</f>
        <v>0</v>
      </c>
      <c r="K5354" s="455">
        <f t="shared" ca="1" si="201"/>
        <v>-2025174849809.1558</v>
      </c>
      <c r="L5354" s="455">
        <f t="shared" ca="1" si="202"/>
        <v>-488067138804006.5</v>
      </c>
      <c r="M5354" s="471">
        <f t="shared" si="204"/>
        <v>0.05</v>
      </c>
      <c r="N5354" s="475">
        <f t="shared" si="205"/>
        <v>214004</v>
      </c>
    </row>
    <row r="5355" spans="7:14" ht="11.25" customHeight="1" x14ac:dyDescent="0.3">
      <c r="G5355" s="470"/>
      <c r="H5355" s="470">
        <v>5348</v>
      </c>
      <c r="I5355" s="455">
        <f t="shared" ca="1" si="203"/>
        <v>-488067138804006.5</v>
      </c>
      <c r="J5355" s="455">
        <f t="array" ref="J5355">IFERROR(INDEX('Retirement Calculator'!J:J,MATCH('Isaac 401k'!N5355,'Retirement Calculator'!A:A,0),0),0)</f>
        <v>0</v>
      </c>
      <c r="K5355" s="455">
        <f t="shared" ca="1" si="201"/>
        <v>-2033613078350.0269</v>
      </c>
      <c r="L5355" s="455">
        <f t="shared" ca="1" si="202"/>
        <v>-490100751882356.5</v>
      </c>
      <c r="M5355" s="471">
        <f t="shared" si="204"/>
        <v>0.05</v>
      </c>
      <c r="N5355" s="475">
        <f t="shared" si="205"/>
        <v>214035</v>
      </c>
    </row>
    <row r="5356" spans="7:14" ht="11.25" customHeight="1" x14ac:dyDescent="0.3">
      <c r="G5356" s="470"/>
      <c r="H5356" s="470">
        <v>5349</v>
      </c>
      <c r="I5356" s="455">
        <f t="shared" ca="1" si="203"/>
        <v>-490100751882356.5</v>
      </c>
      <c r="J5356" s="455">
        <f t="array" ref="J5356">IFERROR(INDEX('Retirement Calculator'!J:J,MATCH('Isaac 401k'!N5356,'Retirement Calculator'!A:A,0),0),0)</f>
        <v>0</v>
      </c>
      <c r="K5356" s="455">
        <f t="shared" ca="1" si="201"/>
        <v>-2042086466176.4854</v>
      </c>
      <c r="L5356" s="455">
        <f t="shared" ca="1" si="202"/>
        <v>-492142838348533</v>
      </c>
      <c r="M5356" s="471">
        <f t="shared" si="204"/>
        <v>0.05</v>
      </c>
      <c r="N5356" s="475">
        <f t="shared" si="205"/>
        <v>214066</v>
      </c>
    </row>
    <row r="5357" spans="7:14" ht="11.25" customHeight="1" x14ac:dyDescent="0.3">
      <c r="G5357" s="470"/>
      <c r="H5357" s="470">
        <v>5350</v>
      </c>
      <c r="I5357" s="455">
        <f t="shared" ca="1" si="203"/>
        <v>-492142838348533</v>
      </c>
      <c r="J5357" s="455">
        <f t="array" ref="J5357">IFERROR(INDEX('Retirement Calculator'!J:J,MATCH('Isaac 401k'!N5357,'Retirement Calculator'!A:A,0),0),0)</f>
        <v>0</v>
      </c>
      <c r="K5357" s="455">
        <f t="shared" ca="1" si="201"/>
        <v>-2050595159785.554</v>
      </c>
      <c r="L5357" s="455">
        <f t="shared" ca="1" si="202"/>
        <v>-494193433508318.56</v>
      </c>
      <c r="M5357" s="471">
        <f t="shared" si="204"/>
        <v>0.05</v>
      </c>
      <c r="N5357" s="475">
        <f t="shared" si="205"/>
        <v>214094</v>
      </c>
    </row>
    <row r="5358" spans="7:14" ht="11.25" customHeight="1" x14ac:dyDescent="0.3">
      <c r="G5358" s="470"/>
      <c r="H5358" s="470">
        <v>5351</v>
      </c>
      <c r="I5358" s="455">
        <f t="shared" ca="1" si="203"/>
        <v>-494193433508318.56</v>
      </c>
      <c r="J5358" s="455">
        <f t="array" ref="J5358">IFERROR(INDEX('Retirement Calculator'!J:J,MATCH('Isaac 401k'!N5358,'Retirement Calculator'!A:A,0),0),0)</f>
        <v>0</v>
      </c>
      <c r="K5358" s="455">
        <f t="shared" ca="1" si="201"/>
        <v>-2059139306284.6606</v>
      </c>
      <c r="L5358" s="455">
        <f t="shared" ca="1" si="202"/>
        <v>-496252572814603.25</v>
      </c>
      <c r="M5358" s="471">
        <f t="shared" si="204"/>
        <v>0.05</v>
      </c>
      <c r="N5358" s="475">
        <f t="shared" si="205"/>
        <v>214125</v>
      </c>
    </row>
    <row r="5359" spans="7:14" ht="11.25" customHeight="1" x14ac:dyDescent="0.3">
      <c r="G5359" s="470"/>
      <c r="H5359" s="470">
        <v>5352</v>
      </c>
      <c r="I5359" s="455">
        <f t="shared" ca="1" si="203"/>
        <v>-496252572814603.25</v>
      </c>
      <c r="J5359" s="455">
        <f t="array" ref="J5359">IFERROR(INDEX('Retirement Calculator'!J:J,MATCH('Isaac 401k'!N5359,'Retirement Calculator'!A:A,0),0),0)</f>
        <v>0</v>
      </c>
      <c r="K5359" s="455">
        <f t="shared" ca="1" si="201"/>
        <v>-2067719053394.1802</v>
      </c>
      <c r="L5359" s="455">
        <f t="shared" ca="1" si="202"/>
        <v>-498320291867997.44</v>
      </c>
      <c r="M5359" s="471">
        <f t="shared" si="204"/>
        <v>0.05</v>
      </c>
      <c r="N5359" s="475">
        <f t="shared" si="205"/>
        <v>214155</v>
      </c>
    </row>
    <row r="5360" spans="7:14" ht="11.25" customHeight="1" x14ac:dyDescent="0.3">
      <c r="G5360" s="470"/>
      <c r="H5360" s="470">
        <v>5353</v>
      </c>
      <c r="I5360" s="455">
        <f t="shared" ca="1" si="203"/>
        <v>-498320291867997.44</v>
      </c>
      <c r="J5360" s="455">
        <f t="array" ref="J5360">IFERROR(INDEX('Retirement Calculator'!J:J,MATCH('Isaac 401k'!N5360,'Retirement Calculator'!A:A,0),0),0)</f>
        <v>0</v>
      </c>
      <c r="K5360" s="455">
        <f t="shared" ca="1" si="201"/>
        <v>-2076334549449.9893</v>
      </c>
      <c r="L5360" s="455">
        <f t="shared" ca="1" si="202"/>
        <v>-500396626417447.44</v>
      </c>
      <c r="M5360" s="471">
        <f t="shared" si="204"/>
        <v>0.05</v>
      </c>
      <c r="N5360" s="475">
        <f t="shared" si="205"/>
        <v>214186</v>
      </c>
    </row>
    <row r="5361" spans="7:14" ht="11.25" customHeight="1" x14ac:dyDescent="0.3">
      <c r="G5361" s="470"/>
      <c r="H5361" s="470">
        <v>5354</v>
      </c>
      <c r="I5361" s="455">
        <f t="shared" ca="1" si="203"/>
        <v>-500396626417447.44</v>
      </c>
      <c r="J5361" s="455">
        <f t="array" ref="J5361">IFERROR(INDEX('Retirement Calculator'!J:J,MATCH('Isaac 401k'!N5361,'Retirement Calculator'!A:A,0),0),0)</f>
        <v>0</v>
      </c>
      <c r="K5361" s="455">
        <f t="shared" ca="1" si="201"/>
        <v>-2084985943406.0313</v>
      </c>
      <c r="L5361" s="455">
        <f t="shared" ca="1" si="202"/>
        <v>-502481612360853.5</v>
      </c>
      <c r="M5361" s="471">
        <f t="shared" si="204"/>
        <v>0.05</v>
      </c>
      <c r="N5361" s="475">
        <f t="shared" si="205"/>
        <v>214216</v>
      </c>
    </row>
    <row r="5362" spans="7:14" ht="11.25" customHeight="1" x14ac:dyDescent="0.3">
      <c r="G5362" s="470"/>
      <c r="H5362" s="470">
        <v>5355</v>
      </c>
      <c r="I5362" s="455">
        <f t="shared" ca="1" si="203"/>
        <v>-502481612360853.5</v>
      </c>
      <c r="J5362" s="455">
        <f t="array" ref="J5362">IFERROR(INDEX('Retirement Calculator'!J:J,MATCH('Isaac 401k'!N5362,'Retirement Calculator'!A:A,0),0),0)</f>
        <v>0</v>
      </c>
      <c r="K5362" s="455">
        <f t="shared" ca="1" si="201"/>
        <v>-2093673384836.8896</v>
      </c>
      <c r="L5362" s="455">
        <f t="shared" ca="1" si="202"/>
        <v>-504575285745690.38</v>
      </c>
      <c r="M5362" s="471">
        <f t="shared" si="204"/>
        <v>0.05</v>
      </c>
      <c r="N5362" s="475">
        <f t="shared" si="205"/>
        <v>214247</v>
      </c>
    </row>
    <row r="5363" spans="7:14" ht="11.25" customHeight="1" x14ac:dyDescent="0.3">
      <c r="G5363" s="470"/>
      <c r="H5363" s="470">
        <v>5356</v>
      </c>
      <c r="I5363" s="455">
        <f t="shared" ca="1" si="203"/>
        <v>-504575285745690.38</v>
      </c>
      <c r="J5363" s="455">
        <f t="array" ref="J5363">IFERROR(INDEX('Retirement Calculator'!J:J,MATCH('Isaac 401k'!N5363,'Retirement Calculator'!A:A,0),0),0)</f>
        <v>0</v>
      </c>
      <c r="K5363" s="455">
        <f t="shared" ref="K5363:K5617" ca="1" si="206">IPMT(M5363/12,1,12,-I5363+J5363,,0)</f>
        <v>-2102397023940.3762</v>
      </c>
      <c r="L5363" s="455">
        <f t="shared" ref="L5363:L5617" ca="1" si="207">I5363-J5363+K5363</f>
        <v>-506677682769630.75</v>
      </c>
      <c r="M5363" s="471">
        <f t="shared" si="204"/>
        <v>0.05</v>
      </c>
      <c r="N5363" s="475">
        <f t="shared" si="205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208">L5363</f>
        <v>-506677682769630.75</v>
      </c>
      <c r="J5364" s="455">
        <f t="array" ref="J5364">IFERROR(INDEX('Retirement Calculator'!J:J,MATCH('Isaac 401k'!N5364,'Retirement Calculator'!A:A,0),0),0)</f>
        <v>0</v>
      </c>
      <c r="K5364" s="455">
        <f t="shared" ca="1" si="206"/>
        <v>-2111157011540.1282</v>
      </c>
      <c r="L5364" s="455">
        <f t="shared" ca="1" si="207"/>
        <v>-508788839781170.88</v>
      </c>
      <c r="M5364" s="471">
        <f t="shared" ref="M5364:M5618" si="209">M5363</f>
        <v>0.05</v>
      </c>
      <c r="N5364" s="475">
        <f t="shared" ref="N5364:N5618" si="210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208"/>
        <v>-508788839781170.88</v>
      </c>
      <c r="J5365" s="455">
        <f t="array" ref="J5365">IFERROR(INDEX('Retirement Calculator'!J:J,MATCH('Isaac 401k'!N5365,'Retirement Calculator'!A:A,0),0),0)</f>
        <v>0</v>
      </c>
      <c r="K5365" s="455">
        <f t="shared" ca="1" si="206"/>
        <v>-2119953499088.2119</v>
      </c>
      <c r="L5365" s="455">
        <f t="shared" ca="1" si="207"/>
        <v>-510908793280259.06</v>
      </c>
      <c r="M5365" s="471">
        <f t="shared" si="209"/>
        <v>0.05</v>
      </c>
      <c r="N5365" s="475">
        <f t="shared" si="210"/>
        <v>214339</v>
      </c>
    </row>
    <row r="5366" spans="7:14" ht="11.25" customHeight="1" x14ac:dyDescent="0.3">
      <c r="G5366" s="470"/>
      <c r="H5366" s="470">
        <v>5359</v>
      </c>
      <c r="I5366" s="455">
        <f t="shared" ca="1" si="208"/>
        <v>-510908793280259.06</v>
      </c>
      <c r="J5366" s="455">
        <f t="array" ref="J5366">IFERROR(INDEX('Retirement Calculator'!J:J,MATCH('Isaac 401k'!N5366,'Retirement Calculator'!A:A,0),0),0)</f>
        <v>0</v>
      </c>
      <c r="K5366" s="455">
        <f t="shared" ca="1" si="206"/>
        <v>-2128786638667.7458</v>
      </c>
      <c r="L5366" s="455">
        <f t="shared" ca="1" si="207"/>
        <v>-513037579918926.81</v>
      </c>
      <c r="M5366" s="471">
        <f t="shared" si="209"/>
        <v>0.05</v>
      </c>
      <c r="N5366" s="475">
        <f t="shared" si="210"/>
        <v>214369</v>
      </c>
    </row>
    <row r="5367" spans="7:14" ht="11.25" customHeight="1" x14ac:dyDescent="0.3">
      <c r="G5367" s="470"/>
      <c r="H5367" s="470">
        <v>5360</v>
      </c>
      <c r="I5367" s="455">
        <f t="shared" ca="1" si="208"/>
        <v>-513037579918926.81</v>
      </c>
      <c r="J5367" s="455">
        <f t="array" ref="J5367">IFERROR(INDEX('Retirement Calculator'!J:J,MATCH('Isaac 401k'!N5367,'Retirement Calculator'!A:A,0),0),0)</f>
        <v>0</v>
      </c>
      <c r="K5367" s="455">
        <f t="shared" ca="1" si="206"/>
        <v>-2137656582995.5283</v>
      </c>
      <c r="L5367" s="455">
        <f t="shared" ca="1" si="207"/>
        <v>-515175236501922.31</v>
      </c>
      <c r="M5367" s="471">
        <f t="shared" si="209"/>
        <v>0.05</v>
      </c>
      <c r="N5367" s="475">
        <f t="shared" si="210"/>
        <v>214400</v>
      </c>
    </row>
    <row r="5368" spans="7:14" ht="11.25" customHeight="1" x14ac:dyDescent="0.3">
      <c r="G5368" s="470"/>
      <c r="H5368" s="470">
        <v>5361</v>
      </c>
      <c r="I5368" s="455">
        <f t="shared" ca="1" si="208"/>
        <v>-515175236501922.31</v>
      </c>
      <c r="J5368" s="455">
        <f t="array" ref="J5368">IFERROR(INDEX('Retirement Calculator'!J:J,MATCH('Isaac 401k'!N5368,'Retirement Calculator'!A:A,0),0),0)</f>
        <v>0</v>
      </c>
      <c r="K5368" s="455">
        <f t="shared" ca="1" si="206"/>
        <v>-2146563485424.6763</v>
      </c>
      <c r="L5368" s="455">
        <f t="shared" ca="1" si="207"/>
        <v>-517321799987347</v>
      </c>
      <c r="M5368" s="471">
        <f t="shared" si="209"/>
        <v>0.05</v>
      </c>
      <c r="N5368" s="475">
        <f t="shared" si="210"/>
        <v>214431</v>
      </c>
    </row>
    <row r="5369" spans="7:14" ht="11.25" customHeight="1" x14ac:dyDescent="0.3">
      <c r="G5369" s="470"/>
      <c r="H5369" s="470">
        <v>5362</v>
      </c>
      <c r="I5369" s="455">
        <f t="shared" ca="1" si="208"/>
        <v>-517321799987347</v>
      </c>
      <c r="J5369" s="455">
        <f t="array" ref="J5369">IFERROR(INDEX('Retirement Calculator'!J:J,MATCH('Isaac 401k'!N5369,'Retirement Calculator'!A:A,0),0),0)</f>
        <v>0</v>
      </c>
      <c r="K5369" s="455">
        <f t="shared" ca="1" si="206"/>
        <v>-2155507499947.2791</v>
      </c>
      <c r="L5369" s="455">
        <f t="shared" ca="1" si="207"/>
        <v>-519477307487294.25</v>
      </c>
      <c r="M5369" s="471">
        <f t="shared" si="209"/>
        <v>0.05</v>
      </c>
      <c r="N5369" s="475">
        <f t="shared" si="210"/>
        <v>214459</v>
      </c>
    </row>
    <row r="5370" spans="7:14" ht="11.25" customHeight="1" x14ac:dyDescent="0.3">
      <c r="G5370" s="470"/>
      <c r="H5370" s="470">
        <v>5363</v>
      </c>
      <c r="I5370" s="455">
        <f t="shared" ca="1" si="208"/>
        <v>-519477307487294.25</v>
      </c>
      <c r="J5370" s="455">
        <f t="array" ref="J5370">IFERROR(INDEX('Retirement Calculator'!J:J,MATCH('Isaac 401k'!N5370,'Retirement Calculator'!A:A,0),0),0)</f>
        <v>0</v>
      </c>
      <c r="K5370" s="455">
        <f t="shared" ca="1" si="206"/>
        <v>-2164488781197.0593</v>
      </c>
      <c r="L5370" s="455">
        <f t="shared" ca="1" si="207"/>
        <v>-521641796268491.31</v>
      </c>
      <c r="M5370" s="471">
        <f t="shared" si="209"/>
        <v>0.05</v>
      </c>
      <c r="N5370" s="475">
        <f t="shared" si="210"/>
        <v>214490</v>
      </c>
    </row>
    <row r="5371" spans="7:14" ht="11.25" customHeight="1" x14ac:dyDescent="0.3">
      <c r="G5371" s="470"/>
      <c r="H5371" s="470">
        <v>5364</v>
      </c>
      <c r="I5371" s="455">
        <f t="shared" ca="1" si="208"/>
        <v>-521641796268491.31</v>
      </c>
      <c r="J5371" s="455">
        <f t="array" ref="J5371">IFERROR(INDEX('Retirement Calculator'!J:J,MATCH('Isaac 401k'!N5371,'Retirement Calculator'!A:A,0),0),0)</f>
        <v>0</v>
      </c>
      <c r="K5371" s="455">
        <f t="shared" ca="1" si="206"/>
        <v>-2173507484452.0471</v>
      </c>
      <c r="L5371" s="455">
        <f t="shared" ca="1" si="207"/>
        <v>-523815303752943.38</v>
      </c>
      <c r="M5371" s="471">
        <f t="shared" si="209"/>
        <v>0.05</v>
      </c>
      <c r="N5371" s="475">
        <f t="shared" si="210"/>
        <v>214520</v>
      </c>
    </row>
    <row r="5372" spans="7:14" ht="11.25" customHeight="1" x14ac:dyDescent="0.3">
      <c r="G5372" s="470"/>
      <c r="H5372" s="470">
        <v>5365</v>
      </c>
      <c r="I5372" s="455">
        <f t="shared" ca="1" si="208"/>
        <v>-523815303752943.38</v>
      </c>
      <c r="J5372" s="455">
        <f t="array" ref="J5372">IFERROR(INDEX('Retirement Calculator'!J:J,MATCH('Isaac 401k'!N5372,'Retirement Calculator'!A:A,0),0),0)</f>
        <v>0</v>
      </c>
      <c r="K5372" s="455">
        <f t="shared" ca="1" si="206"/>
        <v>-2182563765637.2639</v>
      </c>
      <c r="L5372" s="455">
        <f t="shared" ca="1" si="207"/>
        <v>-525997867518580.63</v>
      </c>
      <c r="M5372" s="471">
        <f t="shared" si="209"/>
        <v>0.05</v>
      </c>
      <c r="N5372" s="475">
        <f t="shared" si="210"/>
        <v>214551</v>
      </c>
    </row>
    <row r="5373" spans="7:14" ht="11.25" customHeight="1" x14ac:dyDescent="0.3">
      <c r="G5373" s="470"/>
      <c r="H5373" s="470">
        <v>5366</v>
      </c>
      <c r="I5373" s="455">
        <f t="shared" ca="1" si="208"/>
        <v>-525997867518580.63</v>
      </c>
      <c r="J5373" s="455">
        <f t="array" ref="J5373">IFERROR(INDEX('Retirement Calculator'!J:J,MATCH('Isaac 401k'!N5373,'Retirement Calculator'!A:A,0),0),0)</f>
        <v>0</v>
      </c>
      <c r="K5373" s="455">
        <f t="shared" ca="1" si="206"/>
        <v>-2191657781327.4189</v>
      </c>
      <c r="L5373" s="455">
        <f t="shared" ca="1" si="207"/>
        <v>-528189525299908.06</v>
      </c>
      <c r="M5373" s="471">
        <f t="shared" si="209"/>
        <v>0.05</v>
      </c>
      <c r="N5373" s="475">
        <f t="shared" si="210"/>
        <v>214581</v>
      </c>
    </row>
    <row r="5374" spans="7:14" ht="11.25" customHeight="1" x14ac:dyDescent="0.3">
      <c r="G5374" s="470"/>
      <c r="H5374" s="470">
        <v>5367</v>
      </c>
      <c r="I5374" s="455">
        <f t="shared" ca="1" si="208"/>
        <v>-528189525299908.06</v>
      </c>
      <c r="J5374" s="455">
        <f t="array" ref="J5374">IFERROR(INDEX('Retirement Calculator'!J:J,MATCH('Isaac 401k'!N5374,'Retirement Calculator'!A:A,0),0),0)</f>
        <v>0</v>
      </c>
      <c r="K5374" s="455">
        <f t="shared" ca="1" si="206"/>
        <v>-2200789688749.6167</v>
      </c>
      <c r="L5374" s="455">
        <f t="shared" ca="1" si="207"/>
        <v>-530390314988657.69</v>
      </c>
      <c r="M5374" s="471">
        <f t="shared" si="209"/>
        <v>0.05</v>
      </c>
      <c r="N5374" s="475">
        <f t="shared" si="210"/>
        <v>214612</v>
      </c>
    </row>
    <row r="5375" spans="7:14" ht="11.25" customHeight="1" x14ac:dyDescent="0.3">
      <c r="G5375" s="470"/>
      <c r="H5375" s="470">
        <v>5368</v>
      </c>
      <c r="I5375" s="455">
        <f t="shared" ca="1" si="208"/>
        <v>-530390314988657.69</v>
      </c>
      <c r="J5375" s="455">
        <f t="array" ref="J5375">IFERROR(INDEX('Retirement Calculator'!J:J,MATCH('Isaac 401k'!N5375,'Retirement Calculator'!A:A,0),0),0)</f>
        <v>0</v>
      </c>
      <c r="K5375" s="455">
        <f t="shared" ca="1" si="206"/>
        <v>-2209959645786.0737</v>
      </c>
      <c r="L5375" s="455">
        <f t="shared" ca="1" si="207"/>
        <v>-532600274634443.75</v>
      </c>
      <c r="M5375" s="471">
        <f t="shared" si="209"/>
        <v>0.05</v>
      </c>
      <c r="N5375" s="475">
        <f t="shared" si="210"/>
        <v>214643</v>
      </c>
    </row>
    <row r="5376" spans="7:14" ht="11.25" customHeight="1" x14ac:dyDescent="0.3">
      <c r="G5376" s="470"/>
      <c r="H5376" s="470">
        <v>5369</v>
      </c>
      <c r="I5376" s="455">
        <f t="shared" ca="1" si="208"/>
        <v>-532600274634443.75</v>
      </c>
      <c r="J5376" s="455">
        <f t="array" ref="J5376">IFERROR(INDEX('Retirement Calculator'!J:J,MATCH('Isaac 401k'!N5376,'Retirement Calculator'!A:A,0),0),0)</f>
        <v>0</v>
      </c>
      <c r="K5376" s="455">
        <f t="shared" ca="1" si="206"/>
        <v>-2219167810976.8491</v>
      </c>
      <c r="L5376" s="455">
        <f t="shared" ca="1" si="207"/>
        <v>-534819442445420.63</v>
      </c>
      <c r="M5376" s="471">
        <f t="shared" si="209"/>
        <v>0.05</v>
      </c>
      <c r="N5376" s="475">
        <f t="shared" si="210"/>
        <v>214673</v>
      </c>
    </row>
    <row r="5377" spans="7:14" ht="11.25" customHeight="1" x14ac:dyDescent="0.3">
      <c r="G5377" s="470"/>
      <c r="H5377" s="470">
        <v>5370</v>
      </c>
      <c r="I5377" s="455">
        <f t="shared" ca="1" si="208"/>
        <v>-534819442445420.63</v>
      </c>
      <c r="J5377" s="455">
        <f t="array" ref="J5377">IFERROR(INDEX('Retirement Calculator'!J:J,MATCH('Isaac 401k'!N5377,'Retirement Calculator'!A:A,0),0),0)</f>
        <v>0</v>
      </c>
      <c r="K5377" s="455">
        <f t="shared" ca="1" si="206"/>
        <v>-2228414343522.5859</v>
      </c>
      <c r="L5377" s="455">
        <f t="shared" ca="1" si="207"/>
        <v>-537047856788943.19</v>
      </c>
      <c r="M5377" s="471">
        <f t="shared" si="209"/>
        <v>0.05</v>
      </c>
      <c r="N5377" s="475">
        <f t="shared" si="210"/>
        <v>214704</v>
      </c>
    </row>
    <row r="5378" spans="7:14" ht="11.25" customHeight="1" x14ac:dyDescent="0.3">
      <c r="G5378" s="470"/>
      <c r="H5378" s="470">
        <v>5371</v>
      </c>
      <c r="I5378" s="455">
        <f t="shared" ca="1" si="208"/>
        <v>-537047856788943.19</v>
      </c>
      <c r="J5378" s="455">
        <f t="array" ref="J5378">IFERROR(INDEX('Retirement Calculator'!J:J,MATCH('Isaac 401k'!N5378,'Retirement Calculator'!A:A,0),0),0)</f>
        <v>0</v>
      </c>
      <c r="K5378" s="455">
        <f t="shared" ca="1" si="206"/>
        <v>-2237699403287.2632</v>
      </c>
      <c r="L5378" s="455">
        <f t="shared" ca="1" si="207"/>
        <v>-539285556192230.44</v>
      </c>
      <c r="M5378" s="471">
        <f t="shared" si="209"/>
        <v>0.05</v>
      </c>
      <c r="N5378" s="475">
        <f t="shared" si="210"/>
        <v>214734</v>
      </c>
    </row>
    <row r="5379" spans="7:14" ht="11.25" customHeight="1" x14ac:dyDescent="0.3">
      <c r="G5379" s="470"/>
      <c r="H5379" s="470">
        <v>5372</v>
      </c>
      <c r="I5379" s="455">
        <f t="shared" ca="1" si="208"/>
        <v>-539285556192230.44</v>
      </c>
      <c r="J5379" s="455">
        <f t="array" ref="J5379">IFERROR(INDEX('Retirement Calculator'!J:J,MATCH('Isaac 401k'!N5379,'Retirement Calculator'!A:A,0),0),0)</f>
        <v>0</v>
      </c>
      <c r="K5379" s="455">
        <f t="shared" ca="1" si="206"/>
        <v>-2247023150800.96</v>
      </c>
      <c r="L5379" s="455">
        <f t="shared" ca="1" si="207"/>
        <v>-541532579343031.38</v>
      </c>
      <c r="M5379" s="471">
        <f t="shared" si="209"/>
        <v>0.05</v>
      </c>
      <c r="N5379" s="475">
        <f t="shared" si="210"/>
        <v>214765</v>
      </c>
    </row>
    <row r="5380" spans="7:14" ht="11.25" customHeight="1" x14ac:dyDescent="0.3">
      <c r="G5380" s="470"/>
      <c r="H5380" s="470">
        <v>5373</v>
      </c>
      <c r="I5380" s="455">
        <f t="shared" ca="1" si="208"/>
        <v>-541532579343031.38</v>
      </c>
      <c r="J5380" s="455">
        <f t="array" ref="J5380">IFERROR(INDEX('Retirement Calculator'!J:J,MATCH('Isaac 401k'!N5380,'Retirement Calculator'!A:A,0),0),0)</f>
        <v>0</v>
      </c>
      <c r="K5380" s="455">
        <f t="shared" ca="1" si="206"/>
        <v>-2256385747262.6309</v>
      </c>
      <c r="L5380" s="455">
        <f t="shared" ca="1" si="207"/>
        <v>-543788965090294</v>
      </c>
      <c r="M5380" s="471">
        <f t="shared" si="209"/>
        <v>0.05</v>
      </c>
      <c r="N5380" s="475">
        <f t="shared" si="210"/>
        <v>214796</v>
      </c>
    </row>
    <row r="5381" spans="7:14" ht="11.25" customHeight="1" x14ac:dyDescent="0.3">
      <c r="G5381" s="470"/>
      <c r="H5381" s="470">
        <v>5374</v>
      </c>
      <c r="I5381" s="455">
        <f t="shared" ca="1" si="208"/>
        <v>-543788965090294</v>
      </c>
      <c r="J5381" s="455">
        <f t="array" ref="J5381">IFERROR(INDEX('Retirement Calculator'!J:J,MATCH('Isaac 401k'!N5381,'Retirement Calculator'!A:A,0),0),0)</f>
        <v>0</v>
      </c>
      <c r="K5381" s="455">
        <f t="shared" ca="1" si="206"/>
        <v>-2265787354542.8916</v>
      </c>
      <c r="L5381" s="455">
        <f t="shared" ca="1" si="207"/>
        <v>-546054752444836.88</v>
      </c>
      <c r="M5381" s="471">
        <f t="shared" si="209"/>
        <v>0.05</v>
      </c>
      <c r="N5381" s="475">
        <f t="shared" si="210"/>
        <v>214825</v>
      </c>
    </row>
    <row r="5382" spans="7:14" ht="11.25" customHeight="1" x14ac:dyDescent="0.3">
      <c r="G5382" s="470"/>
      <c r="H5382" s="470">
        <v>5375</v>
      </c>
      <c r="I5382" s="455">
        <f t="shared" ca="1" si="208"/>
        <v>-546054752444836.88</v>
      </c>
      <c r="J5382" s="455">
        <f t="array" ref="J5382">IFERROR(INDEX('Retirement Calculator'!J:J,MATCH('Isaac 401k'!N5382,'Retirement Calculator'!A:A,0),0),0)</f>
        <v>0</v>
      </c>
      <c r="K5382" s="455">
        <f t="shared" ca="1" si="206"/>
        <v>-2275228135186.8203</v>
      </c>
      <c r="L5382" s="455">
        <f t="shared" ca="1" si="207"/>
        <v>-548329980580023.69</v>
      </c>
      <c r="M5382" s="471">
        <f t="shared" si="209"/>
        <v>0.05</v>
      </c>
      <c r="N5382" s="475">
        <f t="shared" si="210"/>
        <v>214856</v>
      </c>
    </row>
    <row r="5383" spans="7:14" ht="11.25" customHeight="1" x14ac:dyDescent="0.3">
      <c r="G5383" s="470"/>
      <c r="H5383" s="470">
        <v>5376</v>
      </c>
      <c r="I5383" s="455">
        <f t="shared" ca="1" si="208"/>
        <v>-548329980580023.69</v>
      </c>
      <c r="J5383" s="455">
        <f t="array" ref="J5383">IFERROR(INDEX('Retirement Calculator'!J:J,MATCH('Isaac 401k'!N5383,'Retirement Calculator'!A:A,0),0),0)</f>
        <v>0</v>
      </c>
      <c r="K5383" s="455">
        <f t="shared" ca="1" si="206"/>
        <v>-2284708252416.7656</v>
      </c>
      <c r="L5383" s="455">
        <f t="shared" ca="1" si="207"/>
        <v>-550614688832440.44</v>
      </c>
      <c r="M5383" s="471">
        <f t="shared" si="209"/>
        <v>0.05</v>
      </c>
      <c r="N5383" s="475">
        <f t="shared" si="210"/>
        <v>214886</v>
      </c>
    </row>
    <row r="5384" spans="7:14" ht="11.25" customHeight="1" x14ac:dyDescent="0.3">
      <c r="G5384" s="470"/>
      <c r="H5384" s="470">
        <v>5377</v>
      </c>
      <c r="I5384" s="455">
        <f t="shared" ca="1" si="208"/>
        <v>-550614688832440.44</v>
      </c>
      <c r="J5384" s="455">
        <f t="array" ref="J5384">IFERROR(INDEX('Retirement Calculator'!J:J,MATCH('Isaac 401k'!N5384,'Retirement Calculator'!A:A,0),0),0)</f>
        <v>0</v>
      </c>
      <c r="K5384" s="455">
        <f t="shared" ca="1" si="206"/>
        <v>-2294227870135.1685</v>
      </c>
      <c r="L5384" s="455">
        <f t="shared" ca="1" si="207"/>
        <v>-552908916702575.63</v>
      </c>
      <c r="M5384" s="471">
        <f t="shared" si="209"/>
        <v>0.05</v>
      </c>
      <c r="N5384" s="475">
        <f t="shared" si="210"/>
        <v>214917</v>
      </c>
    </row>
    <row r="5385" spans="7:14" ht="11.25" customHeight="1" x14ac:dyDescent="0.3">
      <c r="G5385" s="470"/>
      <c r="H5385" s="470">
        <v>5378</v>
      </c>
      <c r="I5385" s="455">
        <f t="shared" ca="1" si="208"/>
        <v>-552908916702575.63</v>
      </c>
      <c r="J5385" s="455">
        <f t="array" ref="J5385">IFERROR(INDEX('Retirement Calculator'!J:J,MATCH('Isaac 401k'!N5385,'Retirement Calculator'!A:A,0),0),0)</f>
        <v>0</v>
      </c>
      <c r="K5385" s="455">
        <f t="shared" ca="1" si="206"/>
        <v>-2303787152927.3984</v>
      </c>
      <c r="L5385" s="455">
        <f t="shared" ca="1" si="207"/>
        <v>-555212703855503</v>
      </c>
      <c r="M5385" s="471">
        <f t="shared" si="209"/>
        <v>0.05</v>
      </c>
      <c r="N5385" s="475">
        <f t="shared" si="210"/>
        <v>214947</v>
      </c>
    </row>
    <row r="5386" spans="7:14" ht="11.25" customHeight="1" x14ac:dyDescent="0.3">
      <c r="G5386" s="470"/>
      <c r="H5386" s="470">
        <v>5379</v>
      </c>
      <c r="I5386" s="455">
        <f t="shared" ca="1" si="208"/>
        <v>-555212703855503</v>
      </c>
      <c r="J5386" s="455">
        <f t="array" ref="J5386">IFERROR(INDEX('Retirement Calculator'!J:J,MATCH('Isaac 401k'!N5386,'Retirement Calculator'!A:A,0),0),0)</f>
        <v>0</v>
      </c>
      <c r="K5386" s="455">
        <f t="shared" ca="1" si="206"/>
        <v>-2313386266064.5957</v>
      </c>
      <c r="L5386" s="455">
        <f t="shared" ca="1" si="207"/>
        <v>-557526090121567.63</v>
      </c>
      <c r="M5386" s="471">
        <f t="shared" si="209"/>
        <v>0.05</v>
      </c>
      <c r="N5386" s="475">
        <f t="shared" si="210"/>
        <v>214978</v>
      </c>
    </row>
    <row r="5387" spans="7:14" ht="11.25" customHeight="1" x14ac:dyDescent="0.3">
      <c r="G5387" s="470"/>
      <c r="H5387" s="470">
        <v>5380</v>
      </c>
      <c r="I5387" s="455">
        <f t="shared" ca="1" si="208"/>
        <v>-557526090121567.63</v>
      </c>
      <c r="J5387" s="455">
        <f t="array" ref="J5387">IFERROR(INDEX('Retirement Calculator'!J:J,MATCH('Isaac 401k'!N5387,'Retirement Calculator'!A:A,0),0),0)</f>
        <v>0</v>
      </c>
      <c r="K5387" s="455">
        <f t="shared" ca="1" si="206"/>
        <v>-2323025375506.5317</v>
      </c>
      <c r="L5387" s="455">
        <f t="shared" ca="1" si="207"/>
        <v>-559849115497074.19</v>
      </c>
      <c r="M5387" s="471">
        <f t="shared" si="209"/>
        <v>0.05</v>
      </c>
      <c r="N5387" s="475">
        <f t="shared" si="210"/>
        <v>215009</v>
      </c>
    </row>
    <row r="5388" spans="7:14" ht="11.25" customHeight="1" x14ac:dyDescent="0.3">
      <c r="G5388" s="470"/>
      <c r="H5388" s="470">
        <v>5381</v>
      </c>
      <c r="I5388" s="455">
        <f t="shared" ca="1" si="208"/>
        <v>-559849115497074.19</v>
      </c>
      <c r="J5388" s="455">
        <f t="array" ref="J5388">IFERROR(INDEX('Retirement Calculator'!J:J,MATCH('Isaac 401k'!N5388,'Retirement Calculator'!A:A,0),0),0)</f>
        <v>0</v>
      </c>
      <c r="K5388" s="455">
        <f t="shared" ca="1" si="206"/>
        <v>-2332704647904.4756</v>
      </c>
      <c r="L5388" s="455">
        <f t="shared" ca="1" si="207"/>
        <v>-562181820144978.69</v>
      </c>
      <c r="M5388" s="471">
        <f t="shared" si="209"/>
        <v>0.05</v>
      </c>
      <c r="N5388" s="475">
        <f t="shared" si="210"/>
        <v>215039</v>
      </c>
    </row>
    <row r="5389" spans="7:14" ht="11.25" customHeight="1" x14ac:dyDescent="0.3">
      <c r="G5389" s="470"/>
      <c r="H5389" s="470">
        <v>5382</v>
      </c>
      <c r="I5389" s="455">
        <f t="shared" ca="1" si="208"/>
        <v>-562181820144978.69</v>
      </c>
      <c r="J5389" s="455">
        <f t="array" ref="J5389">IFERROR(INDEX('Retirement Calculator'!J:J,MATCH('Isaac 401k'!N5389,'Retirement Calculator'!A:A,0),0),0)</f>
        <v>0</v>
      </c>
      <c r="K5389" s="455">
        <f t="shared" ca="1" si="206"/>
        <v>-2342424250604.0776</v>
      </c>
      <c r="L5389" s="455">
        <f t="shared" ca="1" si="207"/>
        <v>-564524244395582.75</v>
      </c>
      <c r="M5389" s="471">
        <f t="shared" si="209"/>
        <v>0.05</v>
      </c>
      <c r="N5389" s="475">
        <f t="shared" si="210"/>
        <v>215070</v>
      </c>
    </row>
    <row r="5390" spans="7:14" ht="11.25" customHeight="1" x14ac:dyDescent="0.3">
      <c r="G5390" s="470"/>
      <c r="H5390" s="470">
        <v>5383</v>
      </c>
      <c r="I5390" s="455">
        <f t="shared" ca="1" si="208"/>
        <v>-564524244395582.75</v>
      </c>
      <c r="J5390" s="455">
        <f t="array" ref="J5390">IFERROR(INDEX('Retirement Calculator'!J:J,MATCH('Isaac 401k'!N5390,'Retirement Calculator'!A:A,0),0),0)</f>
        <v>0</v>
      </c>
      <c r="K5390" s="455">
        <f t="shared" ca="1" si="206"/>
        <v>-2352184351648.2612</v>
      </c>
      <c r="L5390" s="455">
        <f t="shared" ca="1" si="207"/>
        <v>-566876428747231</v>
      </c>
      <c r="M5390" s="471">
        <f t="shared" si="209"/>
        <v>0.05</v>
      </c>
      <c r="N5390" s="475">
        <f t="shared" si="210"/>
        <v>215100</v>
      </c>
    </row>
    <row r="5391" spans="7:14" ht="11.25" customHeight="1" x14ac:dyDescent="0.3">
      <c r="G5391" s="470"/>
      <c r="H5391" s="470">
        <v>5384</v>
      </c>
      <c r="I5391" s="455">
        <f t="shared" ca="1" si="208"/>
        <v>-566876428747231</v>
      </c>
      <c r="J5391" s="455">
        <f t="array" ref="J5391">IFERROR(INDEX('Retirement Calculator'!J:J,MATCH('Isaac 401k'!N5391,'Retirement Calculator'!A:A,0),0),0)</f>
        <v>0</v>
      </c>
      <c r="K5391" s="455">
        <f t="shared" ca="1" si="206"/>
        <v>-2361985119780.1289</v>
      </c>
      <c r="L5391" s="455">
        <f t="shared" ca="1" si="207"/>
        <v>-569238413867011.13</v>
      </c>
      <c r="M5391" s="471">
        <f t="shared" si="209"/>
        <v>0.05</v>
      </c>
      <c r="N5391" s="475">
        <f t="shared" si="210"/>
        <v>215131</v>
      </c>
    </row>
    <row r="5392" spans="7:14" ht="11.25" customHeight="1" x14ac:dyDescent="0.3">
      <c r="G5392" s="470"/>
      <c r="H5392" s="470">
        <v>5385</v>
      </c>
      <c r="I5392" s="455">
        <f t="shared" ca="1" si="208"/>
        <v>-569238413867011.13</v>
      </c>
      <c r="J5392" s="455">
        <f t="array" ref="J5392">IFERROR(INDEX('Retirement Calculator'!J:J,MATCH('Isaac 401k'!N5392,'Retirement Calculator'!A:A,0),0),0)</f>
        <v>0</v>
      </c>
      <c r="K5392" s="455">
        <f t="shared" ca="1" si="206"/>
        <v>-2371826724445.8799</v>
      </c>
      <c r="L5392" s="455">
        <f t="shared" ca="1" si="207"/>
        <v>-571610240591457</v>
      </c>
      <c r="M5392" s="471">
        <f t="shared" si="209"/>
        <v>0.05</v>
      </c>
      <c r="N5392" s="475">
        <f t="shared" si="210"/>
        <v>215162</v>
      </c>
    </row>
    <row r="5393" spans="7:14" ht="11.25" customHeight="1" x14ac:dyDescent="0.3">
      <c r="G5393" s="470"/>
      <c r="H5393" s="470">
        <v>5386</v>
      </c>
      <c r="I5393" s="455">
        <f t="shared" ca="1" si="208"/>
        <v>-571610240591457</v>
      </c>
      <c r="J5393" s="455">
        <f t="array" ref="J5393">IFERROR(INDEX('Retirement Calculator'!J:J,MATCH('Isaac 401k'!N5393,'Retirement Calculator'!A:A,0),0),0)</f>
        <v>0</v>
      </c>
      <c r="K5393" s="455">
        <f t="shared" ca="1" si="206"/>
        <v>-2381709335797.7373</v>
      </c>
      <c r="L5393" s="455">
        <f t="shared" ca="1" si="207"/>
        <v>-573991949927254.75</v>
      </c>
      <c r="M5393" s="471">
        <f t="shared" si="209"/>
        <v>0.05</v>
      </c>
      <c r="N5393" s="475">
        <f t="shared" si="210"/>
        <v>215190</v>
      </c>
    </row>
    <row r="5394" spans="7:14" ht="11.25" customHeight="1" x14ac:dyDescent="0.3">
      <c r="G5394" s="470"/>
      <c r="H5394" s="470">
        <v>5387</v>
      </c>
      <c r="I5394" s="455">
        <f t="shared" ca="1" si="208"/>
        <v>-573991949927254.75</v>
      </c>
      <c r="J5394" s="455">
        <f t="array" ref="J5394">IFERROR(INDEX('Retirement Calculator'!J:J,MATCH('Isaac 401k'!N5394,'Retirement Calculator'!A:A,0),0),0)</f>
        <v>0</v>
      </c>
      <c r="K5394" s="455">
        <f t="shared" ca="1" si="206"/>
        <v>-2391633124696.8945</v>
      </c>
      <c r="L5394" s="455">
        <f t="shared" ca="1" si="207"/>
        <v>-576383583051951.63</v>
      </c>
      <c r="M5394" s="471">
        <f t="shared" si="209"/>
        <v>0.05</v>
      </c>
      <c r="N5394" s="475">
        <f t="shared" si="210"/>
        <v>215221</v>
      </c>
    </row>
    <row r="5395" spans="7:14" ht="11.25" customHeight="1" x14ac:dyDescent="0.3">
      <c r="G5395" s="470"/>
      <c r="H5395" s="470">
        <v>5388</v>
      </c>
      <c r="I5395" s="455">
        <f t="shared" ca="1" si="208"/>
        <v>-576383583051951.63</v>
      </c>
      <c r="J5395" s="455">
        <f t="array" ref="J5395">IFERROR(INDEX('Retirement Calculator'!J:J,MATCH('Isaac 401k'!N5395,'Retirement Calculator'!A:A,0),0),0)</f>
        <v>0</v>
      </c>
      <c r="K5395" s="455">
        <f t="shared" ca="1" si="206"/>
        <v>-2401598262716.4648</v>
      </c>
      <c r="L5395" s="455">
        <f t="shared" ca="1" si="207"/>
        <v>-578785181314668.13</v>
      </c>
      <c r="M5395" s="471">
        <f t="shared" si="209"/>
        <v>0.05</v>
      </c>
      <c r="N5395" s="475">
        <f t="shared" si="210"/>
        <v>215251</v>
      </c>
    </row>
    <row r="5396" spans="7:14" ht="11.25" customHeight="1" x14ac:dyDescent="0.3">
      <c r="G5396" s="470"/>
      <c r="H5396" s="470">
        <v>5389</v>
      </c>
      <c r="I5396" s="455">
        <f t="shared" ca="1" si="208"/>
        <v>-578785181314668.13</v>
      </c>
      <c r="J5396" s="455">
        <f t="array" ref="J5396">IFERROR(INDEX('Retirement Calculator'!J:J,MATCH('Isaac 401k'!N5396,'Retirement Calculator'!A:A,0),0),0)</f>
        <v>0</v>
      </c>
      <c r="K5396" s="455">
        <f t="shared" ca="1" si="206"/>
        <v>-2411604922144.4507</v>
      </c>
      <c r="L5396" s="455">
        <f t="shared" ca="1" si="207"/>
        <v>-581196786236812.63</v>
      </c>
      <c r="M5396" s="471">
        <f t="shared" si="209"/>
        <v>0.05</v>
      </c>
      <c r="N5396" s="475">
        <f t="shared" si="210"/>
        <v>215282</v>
      </c>
    </row>
    <row r="5397" spans="7:14" ht="11.25" customHeight="1" x14ac:dyDescent="0.3">
      <c r="G5397" s="470"/>
      <c r="H5397" s="470">
        <v>5390</v>
      </c>
      <c r="I5397" s="455">
        <f t="shared" ca="1" si="208"/>
        <v>-581196786236812.63</v>
      </c>
      <c r="J5397" s="455">
        <f t="array" ref="J5397">IFERROR(INDEX('Retirement Calculator'!J:J,MATCH('Isaac 401k'!N5397,'Retirement Calculator'!A:A,0),0),0)</f>
        <v>0</v>
      </c>
      <c r="K5397" s="455">
        <f t="shared" ca="1" si="206"/>
        <v>-2421653275986.7192</v>
      </c>
      <c r="L5397" s="455">
        <f t="shared" ca="1" si="207"/>
        <v>-583618439512799.38</v>
      </c>
      <c r="M5397" s="471">
        <f t="shared" si="209"/>
        <v>0.05</v>
      </c>
      <c r="N5397" s="475">
        <f t="shared" si="210"/>
        <v>215312</v>
      </c>
    </row>
    <row r="5398" spans="7:14" ht="11.25" customHeight="1" x14ac:dyDescent="0.3">
      <c r="G5398" s="470"/>
      <c r="H5398" s="470">
        <v>5391</v>
      </c>
      <c r="I5398" s="455">
        <f t="shared" ca="1" si="208"/>
        <v>-583618439512799.38</v>
      </c>
      <c r="J5398" s="455">
        <f t="array" ref="J5398">IFERROR(INDEX('Retirement Calculator'!J:J,MATCH('Isaac 401k'!N5398,'Retirement Calculator'!A:A,0),0),0)</f>
        <v>0</v>
      </c>
      <c r="K5398" s="455">
        <f t="shared" ca="1" si="206"/>
        <v>-2431743497969.9976</v>
      </c>
      <c r="L5398" s="455">
        <f t="shared" ca="1" si="207"/>
        <v>-586050183010769.38</v>
      </c>
      <c r="M5398" s="471">
        <f t="shared" si="209"/>
        <v>0.05</v>
      </c>
      <c r="N5398" s="475">
        <f t="shared" si="210"/>
        <v>215343</v>
      </c>
    </row>
    <row r="5399" spans="7:14" ht="11.25" customHeight="1" x14ac:dyDescent="0.3">
      <c r="G5399" s="470"/>
      <c r="H5399" s="470">
        <v>5392</v>
      </c>
      <c r="I5399" s="455">
        <f t="shared" ca="1" si="208"/>
        <v>-586050183010769.38</v>
      </c>
      <c r="J5399" s="455">
        <f t="array" ref="J5399">IFERROR(INDEX('Retirement Calculator'!J:J,MATCH('Isaac 401k'!N5399,'Retirement Calculator'!A:A,0),0),0)</f>
        <v>0</v>
      </c>
      <c r="K5399" s="455">
        <f t="shared" ca="1" si="206"/>
        <v>-2441875762544.8726</v>
      </c>
      <c r="L5399" s="455">
        <f t="shared" ca="1" si="207"/>
        <v>-588492058773314.25</v>
      </c>
      <c r="M5399" s="471">
        <f t="shared" si="209"/>
        <v>0.05</v>
      </c>
      <c r="N5399" s="475">
        <f t="shared" si="210"/>
        <v>215374</v>
      </c>
    </row>
    <row r="5400" spans="7:14" ht="11.25" customHeight="1" x14ac:dyDescent="0.3">
      <c r="G5400" s="470"/>
      <c r="H5400" s="470">
        <v>5393</v>
      </c>
      <c r="I5400" s="455">
        <f t="shared" ca="1" si="208"/>
        <v>-588492058773314.25</v>
      </c>
      <c r="J5400" s="455">
        <f t="array" ref="J5400">IFERROR(INDEX('Retirement Calculator'!J:J,MATCH('Isaac 401k'!N5400,'Retirement Calculator'!A:A,0),0),0)</f>
        <v>0</v>
      </c>
      <c r="K5400" s="455">
        <f t="shared" ca="1" si="206"/>
        <v>-2452050244888.8096</v>
      </c>
      <c r="L5400" s="455">
        <f t="shared" ca="1" si="207"/>
        <v>-590944109018203</v>
      </c>
      <c r="M5400" s="471">
        <f t="shared" si="209"/>
        <v>0.05</v>
      </c>
      <c r="N5400" s="475">
        <f t="shared" si="210"/>
        <v>215404</v>
      </c>
    </row>
    <row r="5401" spans="7:14" ht="11.25" customHeight="1" x14ac:dyDescent="0.3">
      <c r="G5401" s="470"/>
      <c r="H5401" s="470">
        <v>5394</v>
      </c>
      <c r="I5401" s="455">
        <f t="shared" ca="1" si="208"/>
        <v>-590944109018203</v>
      </c>
      <c r="J5401" s="455">
        <f t="array" ref="J5401">IFERROR(INDEX('Retirement Calculator'!J:J,MATCH('Isaac 401k'!N5401,'Retirement Calculator'!A:A,0),0),0)</f>
        <v>0</v>
      </c>
      <c r="K5401" s="455">
        <f t="shared" ca="1" si="206"/>
        <v>-2462267120909.1792</v>
      </c>
      <c r="L5401" s="455">
        <f t="shared" ca="1" si="207"/>
        <v>-593406376139112.13</v>
      </c>
      <c r="M5401" s="471">
        <f t="shared" si="209"/>
        <v>0.05</v>
      </c>
      <c r="N5401" s="475">
        <f t="shared" si="210"/>
        <v>215435</v>
      </c>
    </row>
    <row r="5402" spans="7:14" ht="11.25" customHeight="1" x14ac:dyDescent="0.3">
      <c r="G5402" s="470"/>
      <c r="H5402" s="470">
        <v>5395</v>
      </c>
      <c r="I5402" s="455">
        <f t="shared" ca="1" si="208"/>
        <v>-593406376139112.13</v>
      </c>
      <c r="J5402" s="455">
        <f t="array" ref="J5402">IFERROR(INDEX('Retirement Calculator'!J:J,MATCH('Isaac 401k'!N5402,'Retirement Calculator'!A:A,0),0),0)</f>
        <v>0</v>
      </c>
      <c r="K5402" s="455">
        <f t="shared" ca="1" si="206"/>
        <v>-2472526567246.3003</v>
      </c>
      <c r="L5402" s="455">
        <f t="shared" ca="1" si="207"/>
        <v>-595878902706358.38</v>
      </c>
      <c r="M5402" s="471">
        <f t="shared" si="209"/>
        <v>0.05</v>
      </c>
      <c r="N5402" s="475">
        <f t="shared" si="210"/>
        <v>215465</v>
      </c>
    </row>
    <row r="5403" spans="7:14" ht="11.25" customHeight="1" x14ac:dyDescent="0.3">
      <c r="G5403" s="470"/>
      <c r="H5403" s="470">
        <v>5396</v>
      </c>
      <c r="I5403" s="455">
        <f t="shared" ca="1" si="208"/>
        <v>-595878902706358.38</v>
      </c>
      <c r="J5403" s="455">
        <f t="array" ref="J5403">IFERROR(INDEX('Retirement Calculator'!J:J,MATCH('Isaac 401k'!N5403,'Retirement Calculator'!A:A,0),0),0)</f>
        <v>0</v>
      </c>
      <c r="K5403" s="455">
        <f t="shared" ca="1" si="206"/>
        <v>-2482828761276.4932</v>
      </c>
      <c r="L5403" s="455">
        <f t="shared" ca="1" si="207"/>
        <v>-598361731467634.88</v>
      </c>
      <c r="M5403" s="471">
        <f t="shared" si="209"/>
        <v>0.05</v>
      </c>
      <c r="N5403" s="475">
        <f t="shared" si="210"/>
        <v>215496</v>
      </c>
    </row>
    <row r="5404" spans="7:14" ht="11.25" customHeight="1" x14ac:dyDescent="0.3">
      <c r="G5404" s="470"/>
      <c r="H5404" s="470">
        <v>5397</v>
      </c>
      <c r="I5404" s="455">
        <f t="shared" ca="1" si="208"/>
        <v>-598361731467634.88</v>
      </c>
      <c r="J5404" s="455">
        <f t="array" ref="J5404">IFERROR(INDEX('Retirement Calculator'!J:J,MATCH('Isaac 401k'!N5404,'Retirement Calculator'!A:A,0),0),0)</f>
        <v>0</v>
      </c>
      <c r="K5404" s="455">
        <f t="shared" ca="1" si="206"/>
        <v>-2493173881115.1455</v>
      </c>
      <c r="L5404" s="455">
        <f t="shared" ca="1" si="207"/>
        <v>-600854905348750</v>
      </c>
      <c r="M5404" s="471">
        <f t="shared" si="209"/>
        <v>0.05</v>
      </c>
      <c r="N5404" s="475">
        <f t="shared" si="210"/>
        <v>215527</v>
      </c>
    </row>
    <row r="5405" spans="7:14" ht="11.25" customHeight="1" x14ac:dyDescent="0.3">
      <c r="G5405" s="470"/>
      <c r="H5405" s="470">
        <v>5398</v>
      </c>
      <c r="I5405" s="455">
        <f t="shared" ca="1" si="208"/>
        <v>-600854905348750</v>
      </c>
      <c r="J5405" s="455">
        <f t="array" ref="J5405">IFERROR(INDEX('Retirement Calculator'!J:J,MATCH('Isaac 401k'!N5405,'Retirement Calculator'!A:A,0),0),0)</f>
        <v>0</v>
      </c>
      <c r="K5405" s="455">
        <f t="shared" ca="1" si="206"/>
        <v>-2503562105619.7915</v>
      </c>
      <c r="L5405" s="455">
        <f t="shared" ca="1" si="207"/>
        <v>-603358467454369.75</v>
      </c>
      <c r="M5405" s="471">
        <f t="shared" si="209"/>
        <v>0.05</v>
      </c>
      <c r="N5405" s="475">
        <f t="shared" si="210"/>
        <v>215555</v>
      </c>
    </row>
    <row r="5406" spans="7:14" ht="11.25" customHeight="1" x14ac:dyDescent="0.3">
      <c r="G5406" s="470"/>
      <c r="H5406" s="470">
        <v>5399</v>
      </c>
      <c r="I5406" s="455">
        <f t="shared" ca="1" si="208"/>
        <v>-603358467454369.75</v>
      </c>
      <c r="J5406" s="455">
        <f t="array" ref="J5406">IFERROR(INDEX('Retirement Calculator'!J:J,MATCH('Isaac 401k'!N5406,'Retirement Calculator'!A:A,0),0),0)</f>
        <v>0</v>
      </c>
      <c r="K5406" s="455">
        <f t="shared" ca="1" si="206"/>
        <v>-2513993614393.207</v>
      </c>
      <c r="L5406" s="455">
        <f t="shared" ca="1" si="207"/>
        <v>-605872461068763</v>
      </c>
      <c r="M5406" s="471">
        <f t="shared" si="209"/>
        <v>0.05</v>
      </c>
      <c r="N5406" s="475">
        <f t="shared" si="210"/>
        <v>215586</v>
      </c>
    </row>
    <row r="5407" spans="7:14" ht="11.25" customHeight="1" x14ac:dyDescent="0.3">
      <c r="G5407" s="470"/>
      <c r="H5407" s="470">
        <v>5400</v>
      </c>
      <c r="I5407" s="455">
        <f t="shared" ca="1" si="208"/>
        <v>-605872461068763</v>
      </c>
      <c r="J5407" s="455">
        <f t="array" ref="J5407">IFERROR(INDEX('Retirement Calculator'!J:J,MATCH('Isaac 401k'!N5407,'Retirement Calculator'!A:A,0),0),0)</f>
        <v>0</v>
      </c>
      <c r="K5407" s="455">
        <f t="shared" ca="1" si="206"/>
        <v>-2524468587786.5127</v>
      </c>
      <c r="L5407" s="455">
        <f t="shared" ca="1" si="207"/>
        <v>-608396929656549.5</v>
      </c>
      <c r="M5407" s="471">
        <f t="shared" si="209"/>
        <v>0.05</v>
      </c>
      <c r="N5407" s="475">
        <f t="shared" si="210"/>
        <v>215616</v>
      </c>
    </row>
    <row r="5408" spans="7:14" ht="11.25" customHeight="1" x14ac:dyDescent="0.3">
      <c r="G5408" s="470"/>
      <c r="H5408" s="470">
        <v>5401</v>
      </c>
      <c r="I5408" s="455">
        <f t="shared" ca="1" si="208"/>
        <v>-608396929656549.5</v>
      </c>
      <c r="J5408" s="455">
        <f t="array" ref="J5408">IFERROR(INDEX('Retirement Calculator'!J:J,MATCH('Isaac 401k'!N5408,'Retirement Calculator'!A:A,0),0),0)</f>
        <v>0</v>
      </c>
      <c r="K5408" s="455">
        <f t="shared" ca="1" si="206"/>
        <v>-2534987206902.2896</v>
      </c>
      <c r="L5408" s="455">
        <f t="shared" ca="1" si="207"/>
        <v>-610931916863451.75</v>
      </c>
      <c r="M5408" s="471">
        <f t="shared" si="209"/>
        <v>0.05</v>
      </c>
      <c r="N5408" s="475">
        <f t="shared" si="210"/>
        <v>215647</v>
      </c>
    </row>
    <row r="5409" spans="7:14" ht="11.25" customHeight="1" x14ac:dyDescent="0.3">
      <c r="G5409" s="470"/>
      <c r="H5409" s="470">
        <v>5402</v>
      </c>
      <c r="I5409" s="455">
        <f t="shared" ca="1" si="208"/>
        <v>-610931916863451.75</v>
      </c>
      <c r="J5409" s="455">
        <f t="array" ref="J5409">IFERROR(INDEX('Retirement Calculator'!J:J,MATCH('Isaac 401k'!N5409,'Retirement Calculator'!A:A,0),0),0)</f>
        <v>0</v>
      </c>
      <c r="K5409" s="455">
        <f t="shared" ca="1" si="206"/>
        <v>-2545549653597.7158</v>
      </c>
      <c r="L5409" s="455">
        <f t="shared" ca="1" si="207"/>
        <v>-613477466517049.5</v>
      </c>
      <c r="M5409" s="471">
        <f t="shared" si="209"/>
        <v>0.05</v>
      </c>
      <c r="N5409" s="475">
        <f t="shared" si="210"/>
        <v>215677</v>
      </c>
    </row>
    <row r="5410" spans="7:14" ht="11.25" customHeight="1" x14ac:dyDescent="0.3">
      <c r="G5410" s="470"/>
      <c r="H5410" s="470">
        <v>5403</v>
      </c>
      <c r="I5410" s="455">
        <f t="shared" ca="1" si="208"/>
        <v>-613477466517049.5</v>
      </c>
      <c r="J5410" s="455">
        <f t="array" ref="J5410">IFERROR(INDEX('Retirement Calculator'!J:J,MATCH('Isaac 401k'!N5410,'Retirement Calculator'!A:A,0),0),0)</f>
        <v>0</v>
      </c>
      <c r="K5410" s="455">
        <f t="shared" ca="1" si="206"/>
        <v>-2556156110487.7061</v>
      </c>
      <c r="L5410" s="455">
        <f t="shared" ca="1" si="207"/>
        <v>-616033622627537.25</v>
      </c>
      <c r="M5410" s="471">
        <f t="shared" si="209"/>
        <v>0.05</v>
      </c>
      <c r="N5410" s="475">
        <f t="shared" si="210"/>
        <v>215708</v>
      </c>
    </row>
    <row r="5411" spans="7:14" ht="11.25" customHeight="1" x14ac:dyDescent="0.3">
      <c r="G5411" s="470"/>
      <c r="H5411" s="470">
        <v>5404</v>
      </c>
      <c r="I5411" s="455">
        <f t="shared" ca="1" si="208"/>
        <v>-616033622627537.25</v>
      </c>
      <c r="J5411" s="455">
        <f t="array" ref="J5411">IFERROR(INDEX('Retirement Calculator'!J:J,MATCH('Isaac 401k'!N5411,'Retirement Calculator'!A:A,0),0),0)</f>
        <v>0</v>
      </c>
      <c r="K5411" s="455">
        <f t="shared" ca="1" si="206"/>
        <v>-2566806760948.0718</v>
      </c>
      <c r="L5411" s="455">
        <f t="shared" ca="1" si="207"/>
        <v>-618600429388485.38</v>
      </c>
      <c r="M5411" s="471">
        <f t="shared" si="209"/>
        <v>0.05</v>
      </c>
      <c r="N5411" s="475">
        <f t="shared" si="210"/>
        <v>215739</v>
      </c>
    </row>
    <row r="5412" spans="7:14" ht="11.25" customHeight="1" x14ac:dyDescent="0.3">
      <c r="G5412" s="470"/>
      <c r="H5412" s="470">
        <v>5405</v>
      </c>
      <c r="I5412" s="455">
        <f t="shared" ca="1" si="208"/>
        <v>-618600429388485.38</v>
      </c>
      <c r="J5412" s="455">
        <f t="array" ref="J5412">IFERROR(INDEX('Retirement Calculator'!J:J,MATCH('Isaac 401k'!N5412,'Retirement Calculator'!A:A,0),0),0)</f>
        <v>0</v>
      </c>
      <c r="K5412" s="455">
        <f t="shared" ca="1" si="206"/>
        <v>-2577501789118.689</v>
      </c>
      <c r="L5412" s="455">
        <f t="shared" ca="1" si="207"/>
        <v>-621177931177604.13</v>
      </c>
      <c r="M5412" s="471">
        <f t="shared" si="209"/>
        <v>0.05</v>
      </c>
      <c r="N5412" s="475">
        <f t="shared" si="210"/>
        <v>215769</v>
      </c>
    </row>
    <row r="5413" spans="7:14" ht="11.25" customHeight="1" x14ac:dyDescent="0.3">
      <c r="G5413" s="470"/>
      <c r="H5413" s="470">
        <v>5406</v>
      </c>
      <c r="I5413" s="455">
        <f t="shared" ca="1" si="208"/>
        <v>-621177931177604.13</v>
      </c>
      <c r="J5413" s="455">
        <f t="array" ref="J5413">IFERROR(INDEX('Retirement Calculator'!J:J,MATCH('Isaac 401k'!N5413,'Retirement Calculator'!A:A,0),0),0)</f>
        <v>0</v>
      </c>
      <c r="K5413" s="455">
        <f t="shared" ca="1" si="206"/>
        <v>-2588241379906.6836</v>
      </c>
      <c r="L5413" s="455">
        <f t="shared" ca="1" si="207"/>
        <v>-623766172557510.75</v>
      </c>
      <c r="M5413" s="471">
        <f t="shared" si="209"/>
        <v>0.05</v>
      </c>
      <c r="N5413" s="475">
        <f t="shared" si="210"/>
        <v>215800</v>
      </c>
    </row>
    <row r="5414" spans="7:14" ht="11.25" customHeight="1" x14ac:dyDescent="0.3">
      <c r="G5414" s="470"/>
      <c r="H5414" s="470">
        <v>5407</v>
      </c>
      <c r="I5414" s="455">
        <f t="shared" ca="1" si="208"/>
        <v>-623766172557510.75</v>
      </c>
      <c r="J5414" s="455">
        <f t="array" ref="J5414">IFERROR(INDEX('Retirement Calculator'!J:J,MATCH('Isaac 401k'!N5414,'Retirement Calculator'!A:A,0),0),0)</f>
        <v>0</v>
      </c>
      <c r="K5414" s="455">
        <f t="shared" ca="1" si="206"/>
        <v>-2599025718989.6279</v>
      </c>
      <c r="L5414" s="455">
        <f t="shared" ca="1" si="207"/>
        <v>-626365198276500.38</v>
      </c>
      <c r="M5414" s="471">
        <f t="shared" si="209"/>
        <v>0.05</v>
      </c>
      <c r="N5414" s="475">
        <f t="shared" si="210"/>
        <v>215830</v>
      </c>
    </row>
    <row r="5415" spans="7:14" ht="11.25" customHeight="1" x14ac:dyDescent="0.3">
      <c r="G5415" s="470"/>
      <c r="H5415" s="470">
        <v>5408</v>
      </c>
      <c r="I5415" s="455">
        <f t="shared" ca="1" si="208"/>
        <v>-626365198276500.38</v>
      </c>
      <c r="J5415" s="455">
        <f t="array" ref="J5415">IFERROR(INDEX('Retirement Calculator'!J:J,MATCH('Isaac 401k'!N5415,'Retirement Calculator'!A:A,0),0),0)</f>
        <v>0</v>
      </c>
      <c r="K5415" s="455">
        <f t="shared" ca="1" si="206"/>
        <v>-2609854992818.7515</v>
      </c>
      <c r="L5415" s="455">
        <f t="shared" ca="1" si="207"/>
        <v>-628975053269319.13</v>
      </c>
      <c r="M5415" s="471">
        <f t="shared" si="209"/>
        <v>0.05</v>
      </c>
      <c r="N5415" s="475">
        <f t="shared" si="210"/>
        <v>215861</v>
      </c>
    </row>
    <row r="5416" spans="7:14" ht="11.25" customHeight="1" x14ac:dyDescent="0.3">
      <c r="G5416" s="470"/>
      <c r="H5416" s="470">
        <v>5409</v>
      </c>
      <c r="I5416" s="455">
        <f t="shared" ca="1" si="208"/>
        <v>-628975053269319.13</v>
      </c>
      <c r="J5416" s="455">
        <f t="array" ref="J5416">IFERROR(INDEX('Retirement Calculator'!J:J,MATCH('Isaac 401k'!N5416,'Retirement Calculator'!A:A,0),0),0)</f>
        <v>0</v>
      </c>
      <c r="K5416" s="455">
        <f t="shared" ca="1" si="206"/>
        <v>-2620729388622.1631</v>
      </c>
      <c r="L5416" s="455">
        <f t="shared" ca="1" si="207"/>
        <v>-631595782657941.25</v>
      </c>
      <c r="M5416" s="471">
        <f t="shared" si="209"/>
        <v>0.05</v>
      </c>
      <c r="N5416" s="475">
        <f t="shared" si="210"/>
        <v>215892</v>
      </c>
    </row>
    <row r="5417" spans="7:14" ht="11.25" customHeight="1" x14ac:dyDescent="0.3">
      <c r="G5417" s="470"/>
      <c r="H5417" s="470">
        <v>5410</v>
      </c>
      <c r="I5417" s="455">
        <f t="shared" ca="1" si="208"/>
        <v>-631595782657941.25</v>
      </c>
      <c r="J5417" s="455">
        <f t="array" ref="J5417">IFERROR(INDEX('Retirement Calculator'!J:J,MATCH('Isaac 401k'!N5417,'Retirement Calculator'!A:A,0),0),0)</f>
        <v>0</v>
      </c>
      <c r="K5417" s="455">
        <f t="shared" ca="1" si="206"/>
        <v>-2631649094408.0884</v>
      </c>
      <c r="L5417" s="455">
        <f t="shared" ca="1" si="207"/>
        <v>-634227431752349.38</v>
      </c>
      <c r="M5417" s="471">
        <f t="shared" si="209"/>
        <v>0.05</v>
      </c>
      <c r="N5417" s="475">
        <f t="shared" si="210"/>
        <v>215920</v>
      </c>
    </row>
    <row r="5418" spans="7:14" ht="11.25" customHeight="1" x14ac:dyDescent="0.3">
      <c r="G5418" s="470"/>
      <c r="H5418" s="470">
        <v>5411</v>
      </c>
      <c r="I5418" s="455">
        <f t="shared" ca="1" si="208"/>
        <v>-634227431752349.38</v>
      </c>
      <c r="J5418" s="455">
        <f t="array" ref="J5418">IFERROR(INDEX('Retirement Calculator'!J:J,MATCH('Isaac 401k'!N5418,'Retirement Calculator'!A:A,0),0),0)</f>
        <v>0</v>
      </c>
      <c r="K5418" s="455">
        <f t="shared" ca="1" si="206"/>
        <v>-2642614298968.1226</v>
      </c>
      <c r="L5418" s="455">
        <f t="shared" ca="1" si="207"/>
        <v>-636870046051317.5</v>
      </c>
      <c r="M5418" s="471">
        <f t="shared" si="209"/>
        <v>0.05</v>
      </c>
      <c r="N5418" s="475">
        <f t="shared" si="210"/>
        <v>215951</v>
      </c>
    </row>
    <row r="5419" spans="7:14" ht="11.25" customHeight="1" x14ac:dyDescent="0.3">
      <c r="G5419" s="470"/>
      <c r="H5419" s="470">
        <v>5412</v>
      </c>
      <c r="I5419" s="455">
        <f t="shared" ca="1" si="208"/>
        <v>-636870046051317.5</v>
      </c>
      <c r="J5419" s="455">
        <f t="array" ref="J5419">IFERROR(INDEX('Retirement Calculator'!J:J,MATCH('Isaac 401k'!N5419,'Retirement Calculator'!A:A,0),0),0)</f>
        <v>0</v>
      </c>
      <c r="K5419" s="455">
        <f t="shared" ca="1" si="206"/>
        <v>-2653625191880.4897</v>
      </c>
      <c r="L5419" s="455">
        <f t="shared" ca="1" si="207"/>
        <v>-639523671243198</v>
      </c>
      <c r="M5419" s="471">
        <f t="shared" si="209"/>
        <v>0.05</v>
      </c>
      <c r="N5419" s="475">
        <f t="shared" si="210"/>
        <v>215981</v>
      </c>
    </row>
    <row r="5420" spans="7:14" ht="11.25" customHeight="1" x14ac:dyDescent="0.3">
      <c r="G5420" s="470"/>
      <c r="H5420" s="470">
        <v>5413</v>
      </c>
      <c r="I5420" s="455">
        <f t="shared" ca="1" si="208"/>
        <v>-639523671243198</v>
      </c>
      <c r="J5420" s="455">
        <f t="array" ref="J5420">IFERROR(INDEX('Retirement Calculator'!J:J,MATCH('Isaac 401k'!N5420,'Retirement Calculator'!A:A,0),0),0)</f>
        <v>0</v>
      </c>
      <c r="K5420" s="455">
        <f t="shared" ca="1" si="206"/>
        <v>-2664681963513.3252</v>
      </c>
      <c r="L5420" s="455">
        <f t="shared" ca="1" si="207"/>
        <v>-642188353206711.38</v>
      </c>
      <c r="M5420" s="471">
        <f t="shared" si="209"/>
        <v>0.05</v>
      </c>
      <c r="N5420" s="475">
        <f t="shared" si="210"/>
        <v>216012</v>
      </c>
    </row>
    <row r="5421" spans="7:14" ht="11.25" customHeight="1" x14ac:dyDescent="0.3">
      <c r="G5421" s="470"/>
      <c r="H5421" s="470">
        <v>5414</v>
      </c>
      <c r="I5421" s="455">
        <f t="shared" ca="1" si="208"/>
        <v>-642188353206711.38</v>
      </c>
      <c r="J5421" s="455">
        <f t="array" ref="J5421">IFERROR(INDEX('Retirement Calculator'!J:J,MATCH('Isaac 401k'!N5421,'Retirement Calculator'!A:A,0),0),0)</f>
        <v>0</v>
      </c>
      <c r="K5421" s="455">
        <f t="shared" ca="1" si="206"/>
        <v>-2675784805027.9639</v>
      </c>
      <c r="L5421" s="455">
        <f t="shared" ca="1" si="207"/>
        <v>-644864138011739.38</v>
      </c>
      <c r="M5421" s="471">
        <f t="shared" si="209"/>
        <v>0.05</v>
      </c>
      <c r="N5421" s="475">
        <f t="shared" si="210"/>
        <v>216042</v>
      </c>
    </row>
    <row r="5422" spans="7:14" ht="11.25" customHeight="1" x14ac:dyDescent="0.3">
      <c r="G5422" s="470"/>
      <c r="H5422" s="470">
        <v>5415</v>
      </c>
      <c r="I5422" s="455">
        <f t="shared" ca="1" si="208"/>
        <v>-644864138011739.38</v>
      </c>
      <c r="J5422" s="455">
        <f t="array" ref="J5422">IFERROR(INDEX('Retirement Calculator'!J:J,MATCH('Isaac 401k'!N5422,'Retirement Calculator'!A:A,0),0),0)</f>
        <v>0</v>
      </c>
      <c r="K5422" s="455">
        <f t="shared" ca="1" si="206"/>
        <v>-2686933908382.2476</v>
      </c>
      <c r="L5422" s="455">
        <f t="shared" ca="1" si="207"/>
        <v>-647551071920121.63</v>
      </c>
      <c r="M5422" s="471">
        <f t="shared" si="209"/>
        <v>0.05</v>
      </c>
      <c r="N5422" s="475">
        <f t="shared" si="210"/>
        <v>216073</v>
      </c>
    </row>
    <row r="5423" spans="7:14" ht="11.25" customHeight="1" x14ac:dyDescent="0.3">
      <c r="G5423" s="470"/>
      <c r="H5423" s="470">
        <v>5416</v>
      </c>
      <c r="I5423" s="455">
        <f t="shared" ca="1" si="208"/>
        <v>-647551071920121.63</v>
      </c>
      <c r="J5423" s="455">
        <f t="array" ref="J5423">IFERROR(INDEX('Retirement Calculator'!J:J,MATCH('Isaac 401k'!N5423,'Retirement Calculator'!A:A,0),0),0)</f>
        <v>0</v>
      </c>
      <c r="K5423" s="455">
        <f t="shared" ca="1" si="206"/>
        <v>-2698129466333.8398</v>
      </c>
      <c r="L5423" s="455">
        <f t="shared" ca="1" si="207"/>
        <v>-650249201386455.5</v>
      </c>
      <c r="M5423" s="471">
        <f t="shared" si="209"/>
        <v>0.05</v>
      </c>
      <c r="N5423" s="475">
        <f t="shared" si="210"/>
        <v>216104</v>
      </c>
    </row>
    <row r="5424" spans="7:14" ht="11.25" customHeight="1" x14ac:dyDescent="0.3">
      <c r="G5424" s="470"/>
      <c r="H5424" s="470">
        <v>5417</v>
      </c>
      <c r="I5424" s="455">
        <f t="shared" ca="1" si="208"/>
        <v>-650249201386455.5</v>
      </c>
      <c r="J5424" s="455">
        <f t="array" ref="J5424">IFERROR(INDEX('Retirement Calculator'!J:J,MATCH('Isaac 401k'!N5424,'Retirement Calculator'!A:A,0),0),0)</f>
        <v>0</v>
      </c>
      <c r="K5424" s="455">
        <f t="shared" ca="1" si="206"/>
        <v>-2709371672443.5645</v>
      </c>
      <c r="L5424" s="455">
        <f t="shared" ca="1" si="207"/>
        <v>-652958573058899.13</v>
      </c>
      <c r="M5424" s="471">
        <f t="shared" si="209"/>
        <v>0.05</v>
      </c>
      <c r="N5424" s="475">
        <f t="shared" si="210"/>
        <v>216134</v>
      </c>
    </row>
    <row r="5425" spans="7:14" ht="11.25" customHeight="1" x14ac:dyDescent="0.3">
      <c r="G5425" s="470"/>
      <c r="H5425" s="470">
        <v>5418</v>
      </c>
      <c r="I5425" s="455">
        <f t="shared" ca="1" si="208"/>
        <v>-652958573058899.13</v>
      </c>
      <c r="J5425" s="455">
        <f t="array" ref="J5425">IFERROR(INDEX('Retirement Calculator'!J:J,MATCH('Isaac 401k'!N5425,'Retirement Calculator'!A:A,0),0),0)</f>
        <v>0</v>
      </c>
      <c r="K5425" s="455">
        <f t="shared" ca="1" si="206"/>
        <v>-2720660721078.7461</v>
      </c>
      <c r="L5425" s="455">
        <f t="shared" ca="1" si="207"/>
        <v>-655679233779977.88</v>
      </c>
      <c r="M5425" s="471">
        <f t="shared" si="209"/>
        <v>0.05</v>
      </c>
      <c r="N5425" s="475">
        <f t="shared" si="210"/>
        <v>216165</v>
      </c>
    </row>
    <row r="5426" spans="7:14" ht="11.25" customHeight="1" x14ac:dyDescent="0.3">
      <c r="G5426" s="470"/>
      <c r="H5426" s="470">
        <v>5419</v>
      </c>
      <c r="I5426" s="455">
        <f t="shared" ca="1" si="208"/>
        <v>-655679233779977.88</v>
      </c>
      <c r="J5426" s="455">
        <f t="array" ref="J5426">IFERROR(INDEX('Retirement Calculator'!J:J,MATCH('Isaac 401k'!N5426,'Retirement Calculator'!A:A,0),0),0)</f>
        <v>0</v>
      </c>
      <c r="K5426" s="455">
        <f t="shared" ca="1" si="206"/>
        <v>-2731996807416.5742</v>
      </c>
      <c r="L5426" s="455">
        <f t="shared" ca="1" si="207"/>
        <v>-658411230587394.5</v>
      </c>
      <c r="M5426" s="471">
        <f t="shared" si="209"/>
        <v>0.05</v>
      </c>
      <c r="N5426" s="475">
        <f t="shared" si="210"/>
        <v>216195</v>
      </c>
    </row>
    <row r="5427" spans="7:14" ht="11.25" customHeight="1" x14ac:dyDescent="0.3">
      <c r="G5427" s="470"/>
      <c r="H5427" s="470">
        <v>5420</v>
      </c>
      <c r="I5427" s="455">
        <f t="shared" ca="1" si="208"/>
        <v>-658411230587394.5</v>
      </c>
      <c r="J5427" s="455">
        <f t="array" ref="J5427">IFERROR(INDEX('Retirement Calculator'!J:J,MATCH('Isaac 401k'!N5427,'Retirement Calculator'!A:A,0),0),0)</f>
        <v>0</v>
      </c>
      <c r="K5427" s="455">
        <f t="shared" ca="1" si="206"/>
        <v>-2743380127447.4771</v>
      </c>
      <c r="L5427" s="455">
        <f t="shared" ca="1" si="207"/>
        <v>-661154610714842</v>
      </c>
      <c r="M5427" s="471">
        <f t="shared" si="209"/>
        <v>0.05</v>
      </c>
      <c r="N5427" s="475">
        <f t="shared" si="210"/>
        <v>216226</v>
      </c>
    </row>
    <row r="5428" spans="7:14" ht="11.25" customHeight="1" x14ac:dyDescent="0.3">
      <c r="G5428" s="470"/>
      <c r="H5428" s="470">
        <v>5421</v>
      </c>
      <c r="I5428" s="455">
        <f t="shared" ca="1" si="208"/>
        <v>-661154610714842</v>
      </c>
      <c r="J5428" s="455">
        <f t="array" ref="J5428">IFERROR(INDEX('Retirement Calculator'!J:J,MATCH('Isaac 401k'!N5428,'Retirement Calculator'!A:A,0),0),0)</f>
        <v>0</v>
      </c>
      <c r="K5428" s="455">
        <f t="shared" ca="1" si="206"/>
        <v>-2754810877978.5083</v>
      </c>
      <c r="L5428" s="455">
        <f t="shared" ca="1" si="207"/>
        <v>-663909421592820.5</v>
      </c>
      <c r="M5428" s="471">
        <f t="shared" si="209"/>
        <v>0.05</v>
      </c>
      <c r="N5428" s="475">
        <f t="shared" si="210"/>
        <v>216257</v>
      </c>
    </row>
    <row r="5429" spans="7:14" ht="11.25" customHeight="1" x14ac:dyDescent="0.3">
      <c r="G5429" s="470"/>
      <c r="H5429" s="470">
        <v>5422</v>
      </c>
      <c r="I5429" s="455">
        <f t="shared" ca="1" si="208"/>
        <v>-663909421592820.5</v>
      </c>
      <c r="J5429" s="455">
        <f t="array" ref="J5429">IFERROR(INDEX('Retirement Calculator'!J:J,MATCH('Isaac 401k'!N5429,'Retirement Calculator'!A:A,0),0),0)</f>
        <v>0</v>
      </c>
      <c r="K5429" s="455">
        <f t="shared" ca="1" si="206"/>
        <v>-2766289256636.752</v>
      </c>
      <c r="L5429" s="455">
        <f t="shared" ca="1" si="207"/>
        <v>-666675710849457.25</v>
      </c>
      <c r="M5429" s="471">
        <f t="shared" si="209"/>
        <v>0.05</v>
      </c>
      <c r="N5429" s="475">
        <f t="shared" si="210"/>
        <v>216286</v>
      </c>
    </row>
    <row r="5430" spans="7:14" ht="11.25" customHeight="1" x14ac:dyDescent="0.3">
      <c r="G5430" s="470"/>
      <c r="H5430" s="470">
        <v>5423</v>
      </c>
      <c r="I5430" s="455">
        <f t="shared" ca="1" si="208"/>
        <v>-666675710849457.25</v>
      </c>
      <c r="J5430" s="455">
        <f t="array" ref="J5430">IFERROR(INDEX('Retirement Calculator'!J:J,MATCH('Isaac 401k'!N5430,'Retirement Calculator'!A:A,0),0),0)</f>
        <v>0</v>
      </c>
      <c r="K5430" s="455">
        <f t="shared" ca="1" si="206"/>
        <v>-2777815461872.7383</v>
      </c>
      <c r="L5430" s="455">
        <f t="shared" ca="1" si="207"/>
        <v>-669453526311330</v>
      </c>
      <c r="M5430" s="471">
        <f t="shared" si="209"/>
        <v>0.05</v>
      </c>
      <c r="N5430" s="475">
        <f t="shared" si="210"/>
        <v>216317</v>
      </c>
    </row>
    <row r="5431" spans="7:14" ht="11.25" customHeight="1" x14ac:dyDescent="0.3">
      <c r="G5431" s="470"/>
      <c r="H5431" s="470">
        <v>5424</v>
      </c>
      <c r="I5431" s="455">
        <f t="shared" ca="1" si="208"/>
        <v>-669453526311330</v>
      </c>
      <c r="J5431" s="455">
        <f t="array" ref="J5431">IFERROR(INDEX('Retirement Calculator'!J:J,MATCH('Isaac 401k'!N5431,'Retirement Calculator'!A:A,0),0),0)</f>
        <v>0</v>
      </c>
      <c r="K5431" s="455">
        <f t="shared" ca="1" si="206"/>
        <v>-2789389692963.875</v>
      </c>
      <c r="L5431" s="455">
        <f t="shared" ca="1" si="207"/>
        <v>-672242916004293.88</v>
      </c>
      <c r="M5431" s="471">
        <f t="shared" si="209"/>
        <v>0.05</v>
      </c>
      <c r="N5431" s="475">
        <f t="shared" si="210"/>
        <v>216347</v>
      </c>
    </row>
    <row r="5432" spans="7:14" ht="11.25" customHeight="1" x14ac:dyDescent="0.3">
      <c r="G5432" s="470"/>
      <c r="H5432" s="470">
        <v>5425</v>
      </c>
      <c r="I5432" s="455">
        <f t="shared" ca="1" si="208"/>
        <v>-672242916004293.88</v>
      </c>
      <c r="J5432" s="455">
        <f t="array" ref="J5432">IFERROR(INDEX('Retirement Calculator'!J:J,MATCH('Isaac 401k'!N5432,'Retirement Calculator'!A:A,0),0),0)</f>
        <v>0</v>
      </c>
      <c r="K5432" s="455">
        <f t="shared" ca="1" si="206"/>
        <v>-2801012150017.8911</v>
      </c>
      <c r="L5432" s="455">
        <f t="shared" ca="1" si="207"/>
        <v>-675043928154311.75</v>
      </c>
      <c r="M5432" s="471">
        <f t="shared" si="209"/>
        <v>0.05</v>
      </c>
      <c r="N5432" s="475">
        <f t="shared" si="210"/>
        <v>216378</v>
      </c>
    </row>
    <row r="5433" spans="7:14" ht="11.25" customHeight="1" x14ac:dyDescent="0.3">
      <c r="G5433" s="470"/>
      <c r="H5433" s="470">
        <v>5426</v>
      </c>
      <c r="I5433" s="455">
        <f t="shared" ca="1" si="208"/>
        <v>-675043928154311.75</v>
      </c>
      <c r="J5433" s="455">
        <f t="array" ref="J5433">IFERROR(INDEX('Retirement Calculator'!J:J,MATCH('Isaac 401k'!N5433,'Retirement Calculator'!A:A,0),0),0)</f>
        <v>0</v>
      </c>
      <c r="K5433" s="455">
        <f t="shared" ca="1" si="206"/>
        <v>-2812683033976.2988</v>
      </c>
      <c r="L5433" s="455">
        <f t="shared" ca="1" si="207"/>
        <v>-677856611188288</v>
      </c>
      <c r="M5433" s="471">
        <f t="shared" si="209"/>
        <v>0.05</v>
      </c>
      <c r="N5433" s="475">
        <f t="shared" si="210"/>
        <v>216408</v>
      </c>
    </row>
    <row r="5434" spans="7:14" ht="11.25" customHeight="1" x14ac:dyDescent="0.3">
      <c r="G5434" s="470"/>
      <c r="H5434" s="470">
        <v>5427</v>
      </c>
      <c r="I5434" s="455">
        <f t="shared" ca="1" si="208"/>
        <v>-677856611188288</v>
      </c>
      <c r="J5434" s="455">
        <f t="array" ref="J5434">IFERROR(INDEX('Retirement Calculator'!J:J,MATCH('Isaac 401k'!N5434,'Retirement Calculator'!A:A,0),0),0)</f>
        <v>0</v>
      </c>
      <c r="K5434" s="455">
        <f t="shared" ca="1" si="206"/>
        <v>-2824402546617.8667</v>
      </c>
      <c r="L5434" s="455">
        <f t="shared" ca="1" si="207"/>
        <v>-680681013734905.88</v>
      </c>
      <c r="M5434" s="471">
        <f t="shared" si="209"/>
        <v>0.05</v>
      </c>
      <c r="N5434" s="475">
        <f t="shared" si="210"/>
        <v>216439</v>
      </c>
    </row>
    <row r="5435" spans="7:14" ht="11.25" customHeight="1" x14ac:dyDescent="0.3">
      <c r="G5435" s="470"/>
      <c r="H5435" s="470">
        <v>5428</v>
      </c>
      <c r="I5435" s="455">
        <f t="shared" ca="1" si="208"/>
        <v>-680681013734905.88</v>
      </c>
      <c r="J5435" s="455">
        <f t="array" ref="J5435">IFERROR(INDEX('Retirement Calculator'!J:J,MATCH('Isaac 401k'!N5435,'Retirement Calculator'!A:A,0),0),0)</f>
        <v>0</v>
      </c>
      <c r="K5435" s="455">
        <f t="shared" ca="1" si="206"/>
        <v>-2836170890562.1079</v>
      </c>
      <c r="L5435" s="455">
        <f t="shared" ca="1" si="207"/>
        <v>-683517184625468</v>
      </c>
      <c r="M5435" s="471">
        <f t="shared" si="209"/>
        <v>0.05</v>
      </c>
      <c r="N5435" s="475">
        <f t="shared" si="210"/>
        <v>216470</v>
      </c>
    </row>
    <row r="5436" spans="7:14" ht="11.25" customHeight="1" x14ac:dyDescent="0.3">
      <c r="G5436" s="470"/>
      <c r="H5436" s="470">
        <v>5429</v>
      </c>
      <c r="I5436" s="455">
        <f t="shared" ca="1" si="208"/>
        <v>-683517184625468</v>
      </c>
      <c r="J5436" s="455">
        <f t="array" ref="J5436">IFERROR(INDEX('Retirement Calculator'!J:J,MATCH('Isaac 401k'!N5436,'Retirement Calculator'!A:A,0),0),0)</f>
        <v>0</v>
      </c>
      <c r="K5436" s="455">
        <f t="shared" ca="1" si="206"/>
        <v>-2847988269272.7832</v>
      </c>
      <c r="L5436" s="455">
        <f t="shared" ca="1" si="207"/>
        <v>-686365172894740.75</v>
      </c>
      <c r="M5436" s="471">
        <f t="shared" si="209"/>
        <v>0.05</v>
      </c>
      <c r="N5436" s="475">
        <f t="shared" si="210"/>
        <v>216500</v>
      </c>
    </row>
    <row r="5437" spans="7:14" ht="11.25" customHeight="1" x14ac:dyDescent="0.3">
      <c r="G5437" s="470"/>
      <c r="H5437" s="470">
        <v>5430</v>
      </c>
      <c r="I5437" s="455">
        <f t="shared" ca="1" si="208"/>
        <v>-686365172894740.75</v>
      </c>
      <c r="J5437" s="455">
        <f t="array" ref="J5437">IFERROR(INDEX('Retirement Calculator'!J:J,MATCH('Isaac 401k'!N5437,'Retirement Calculator'!A:A,0),0),0)</f>
        <v>0</v>
      </c>
      <c r="K5437" s="455">
        <f t="shared" ca="1" si="206"/>
        <v>-2859854887061.4199</v>
      </c>
      <c r="L5437" s="455">
        <f t="shared" ca="1" si="207"/>
        <v>-689225027781802.13</v>
      </c>
      <c r="M5437" s="471">
        <f t="shared" si="209"/>
        <v>0.05</v>
      </c>
      <c r="N5437" s="475">
        <f t="shared" si="210"/>
        <v>216531</v>
      </c>
    </row>
    <row r="5438" spans="7:14" ht="11.25" customHeight="1" x14ac:dyDescent="0.3">
      <c r="G5438" s="470"/>
      <c r="H5438" s="470">
        <v>5431</v>
      </c>
      <c r="I5438" s="455">
        <f t="shared" ca="1" si="208"/>
        <v>-689225027781802.13</v>
      </c>
      <c r="J5438" s="455">
        <f t="array" ref="J5438">IFERROR(INDEX('Retirement Calculator'!J:J,MATCH('Isaac 401k'!N5438,'Retirement Calculator'!A:A,0),0),0)</f>
        <v>0</v>
      </c>
      <c r="K5438" s="455">
        <f t="shared" ca="1" si="206"/>
        <v>-2871770949090.8423</v>
      </c>
      <c r="L5438" s="455">
        <f t="shared" ca="1" si="207"/>
        <v>-692096798730893</v>
      </c>
      <c r="M5438" s="471">
        <f t="shared" si="209"/>
        <v>0.05</v>
      </c>
      <c r="N5438" s="475">
        <f t="shared" si="210"/>
        <v>216561</v>
      </c>
    </row>
    <row r="5439" spans="7:14" ht="11.25" customHeight="1" x14ac:dyDescent="0.3">
      <c r="G5439" s="470"/>
      <c r="H5439" s="470">
        <v>5432</v>
      </c>
      <c r="I5439" s="455">
        <f t="shared" ca="1" si="208"/>
        <v>-692096798730893</v>
      </c>
      <c r="J5439" s="455">
        <f t="array" ref="J5439">IFERROR(INDEX('Retirement Calculator'!J:J,MATCH('Isaac 401k'!N5439,'Retirement Calculator'!A:A,0),0),0)</f>
        <v>0</v>
      </c>
      <c r="K5439" s="455">
        <f t="shared" ca="1" si="206"/>
        <v>-2883736661378.7207</v>
      </c>
      <c r="L5439" s="455">
        <f t="shared" ca="1" si="207"/>
        <v>-694980535392271.75</v>
      </c>
      <c r="M5439" s="471">
        <f t="shared" si="209"/>
        <v>0.05</v>
      </c>
      <c r="N5439" s="475">
        <f t="shared" si="210"/>
        <v>216592</v>
      </c>
    </row>
    <row r="5440" spans="7:14" ht="11.25" customHeight="1" x14ac:dyDescent="0.3">
      <c r="G5440" s="470"/>
      <c r="H5440" s="470">
        <v>5433</v>
      </c>
      <c r="I5440" s="455">
        <f t="shared" ca="1" si="208"/>
        <v>-694980535392271.75</v>
      </c>
      <c r="J5440" s="455">
        <f t="array" ref="J5440">IFERROR(INDEX('Retirement Calculator'!J:J,MATCH('Isaac 401k'!N5440,'Retirement Calculator'!A:A,0),0),0)</f>
        <v>0</v>
      </c>
      <c r="K5440" s="455">
        <f t="shared" ca="1" si="206"/>
        <v>-2895752230801.1323</v>
      </c>
      <c r="L5440" s="455">
        <f t="shared" ca="1" si="207"/>
        <v>-697876287623072.88</v>
      </c>
      <c r="M5440" s="471">
        <f t="shared" si="209"/>
        <v>0.05</v>
      </c>
      <c r="N5440" s="475">
        <f t="shared" si="210"/>
        <v>216623</v>
      </c>
    </row>
    <row r="5441" spans="7:14" ht="11.25" customHeight="1" x14ac:dyDescent="0.3">
      <c r="G5441" s="470"/>
      <c r="H5441" s="470">
        <v>5434</v>
      </c>
      <c r="I5441" s="455">
        <f t="shared" ca="1" si="208"/>
        <v>-697876287623072.88</v>
      </c>
      <c r="J5441" s="455">
        <f t="array" ref="J5441">IFERROR(INDEX('Retirement Calculator'!J:J,MATCH('Isaac 401k'!N5441,'Retirement Calculator'!A:A,0),0),0)</f>
        <v>0</v>
      </c>
      <c r="K5441" s="455">
        <f t="shared" ca="1" si="206"/>
        <v>-2907817865096.1367</v>
      </c>
      <c r="L5441" s="455">
        <f t="shared" ca="1" si="207"/>
        <v>-700784105488169</v>
      </c>
      <c r="M5441" s="471">
        <f t="shared" si="209"/>
        <v>0.05</v>
      </c>
      <c r="N5441" s="475">
        <f t="shared" si="210"/>
        <v>216651</v>
      </c>
    </row>
    <row r="5442" spans="7:14" ht="11.25" customHeight="1" x14ac:dyDescent="0.3">
      <c r="G5442" s="470"/>
      <c r="H5442" s="470">
        <v>5435</v>
      </c>
      <c r="I5442" s="455">
        <f t="shared" ca="1" si="208"/>
        <v>-700784105488169</v>
      </c>
      <c r="J5442" s="455">
        <f t="array" ref="J5442">IFERROR(INDEX('Retirement Calculator'!J:J,MATCH('Isaac 401k'!N5442,'Retirement Calculator'!A:A,0),0),0)</f>
        <v>0</v>
      </c>
      <c r="K5442" s="455">
        <f t="shared" ca="1" si="206"/>
        <v>-2919933772867.3706</v>
      </c>
      <c r="L5442" s="455">
        <f t="shared" ca="1" si="207"/>
        <v>-703704039261036.38</v>
      </c>
      <c r="M5442" s="471">
        <f t="shared" si="209"/>
        <v>0.05</v>
      </c>
      <c r="N5442" s="475">
        <f t="shared" si="210"/>
        <v>216682</v>
      </c>
    </row>
    <row r="5443" spans="7:14" ht="11.25" customHeight="1" x14ac:dyDescent="0.3">
      <c r="G5443" s="470"/>
      <c r="H5443" s="470">
        <v>5436</v>
      </c>
      <c r="I5443" s="455">
        <f t="shared" ca="1" si="208"/>
        <v>-703704039261036.38</v>
      </c>
      <c r="J5443" s="455">
        <f t="array" ref="J5443">IFERROR(INDEX('Retirement Calculator'!J:J,MATCH('Isaac 401k'!N5443,'Retirement Calculator'!A:A,0),0),0)</f>
        <v>0</v>
      </c>
      <c r="K5443" s="455">
        <f t="shared" ca="1" si="206"/>
        <v>-2932100163587.6514</v>
      </c>
      <c r="L5443" s="455">
        <f t="shared" ca="1" si="207"/>
        <v>-706636139424624</v>
      </c>
      <c r="M5443" s="471">
        <f t="shared" si="209"/>
        <v>0.05</v>
      </c>
      <c r="N5443" s="475">
        <f t="shared" si="210"/>
        <v>216712</v>
      </c>
    </row>
    <row r="5444" spans="7:14" ht="11.25" customHeight="1" x14ac:dyDescent="0.3">
      <c r="G5444" s="470"/>
      <c r="H5444" s="470">
        <v>5437</v>
      </c>
      <c r="I5444" s="455">
        <f t="shared" ca="1" si="208"/>
        <v>-706636139424624</v>
      </c>
      <c r="J5444" s="455">
        <f t="array" ref="J5444">IFERROR(INDEX('Retirement Calculator'!J:J,MATCH('Isaac 401k'!N5444,'Retirement Calculator'!A:A,0),0),0)</f>
        <v>0</v>
      </c>
      <c r="K5444" s="455">
        <f t="shared" ca="1" si="206"/>
        <v>-2944317247602.6001</v>
      </c>
      <c r="L5444" s="455">
        <f t="shared" ca="1" si="207"/>
        <v>-709580456672226.63</v>
      </c>
      <c r="M5444" s="471">
        <f t="shared" si="209"/>
        <v>0.05</v>
      </c>
      <c r="N5444" s="475">
        <f t="shared" si="210"/>
        <v>216743</v>
      </c>
    </row>
    <row r="5445" spans="7:14" ht="11.25" customHeight="1" x14ac:dyDescent="0.3">
      <c r="G5445" s="470"/>
      <c r="H5445" s="470">
        <v>5438</v>
      </c>
      <c r="I5445" s="455">
        <f t="shared" ca="1" si="208"/>
        <v>-709580456672226.63</v>
      </c>
      <c r="J5445" s="455">
        <f t="array" ref="J5445">IFERROR(INDEX('Retirement Calculator'!J:J,MATCH('Isaac 401k'!N5445,'Retirement Calculator'!A:A,0),0),0)</f>
        <v>0</v>
      </c>
      <c r="K5445" s="455">
        <f t="shared" ca="1" si="206"/>
        <v>-2956585236134.2773</v>
      </c>
      <c r="L5445" s="455">
        <f t="shared" ca="1" si="207"/>
        <v>-712537041908360.88</v>
      </c>
      <c r="M5445" s="471">
        <f t="shared" si="209"/>
        <v>0.05</v>
      </c>
      <c r="N5445" s="475">
        <f t="shared" si="210"/>
        <v>216773</v>
      </c>
    </row>
    <row r="5446" spans="7:14" ht="11.25" customHeight="1" x14ac:dyDescent="0.3">
      <c r="G5446" s="470"/>
      <c r="H5446" s="470">
        <v>5439</v>
      </c>
      <c r="I5446" s="455">
        <f t="shared" ca="1" si="208"/>
        <v>-712537041908360.88</v>
      </c>
      <c r="J5446" s="455">
        <f t="array" ref="J5446">IFERROR(INDEX('Retirement Calculator'!J:J,MATCH('Isaac 401k'!N5446,'Retirement Calculator'!A:A,0),0),0)</f>
        <v>0</v>
      </c>
      <c r="K5446" s="455">
        <f t="shared" ca="1" si="206"/>
        <v>-2968904341284.8369</v>
      </c>
      <c r="L5446" s="455">
        <f t="shared" ca="1" si="207"/>
        <v>-715505946249645.75</v>
      </c>
      <c r="M5446" s="471">
        <f t="shared" si="209"/>
        <v>0.05</v>
      </c>
      <c r="N5446" s="475">
        <f t="shared" si="210"/>
        <v>216804</v>
      </c>
    </row>
    <row r="5447" spans="7:14" ht="11.25" customHeight="1" x14ac:dyDescent="0.3">
      <c r="G5447" s="470"/>
      <c r="H5447" s="470">
        <v>5440</v>
      </c>
      <c r="I5447" s="455">
        <f t="shared" ca="1" si="208"/>
        <v>-715505946249645.75</v>
      </c>
      <c r="J5447" s="455">
        <f t="array" ref="J5447">IFERROR(INDEX('Retirement Calculator'!J:J,MATCH('Isaac 401k'!N5447,'Retirement Calculator'!A:A,0),0),0)</f>
        <v>0</v>
      </c>
      <c r="K5447" s="455">
        <f t="shared" ca="1" si="206"/>
        <v>-2981274776040.1904</v>
      </c>
      <c r="L5447" s="455">
        <f t="shared" ca="1" si="207"/>
        <v>-718487221025686</v>
      </c>
      <c r="M5447" s="471">
        <f t="shared" si="209"/>
        <v>0.05</v>
      </c>
      <c r="N5447" s="475">
        <f t="shared" si="210"/>
        <v>216835</v>
      </c>
    </row>
    <row r="5448" spans="7:14" ht="11.25" customHeight="1" x14ac:dyDescent="0.3">
      <c r="G5448" s="470"/>
      <c r="H5448" s="470">
        <v>5441</v>
      </c>
      <c r="I5448" s="455">
        <f t="shared" ca="1" si="208"/>
        <v>-718487221025686</v>
      </c>
      <c r="J5448" s="455">
        <f t="array" ref="J5448">IFERROR(INDEX('Retirement Calculator'!J:J,MATCH('Isaac 401k'!N5448,'Retirement Calculator'!A:A,0),0),0)</f>
        <v>0</v>
      </c>
      <c r="K5448" s="455">
        <f t="shared" ca="1" si="206"/>
        <v>-2993696754273.6914</v>
      </c>
      <c r="L5448" s="455">
        <f t="shared" ca="1" si="207"/>
        <v>-721480917779959.75</v>
      </c>
      <c r="M5448" s="471">
        <f t="shared" si="209"/>
        <v>0.05</v>
      </c>
      <c r="N5448" s="475">
        <f t="shared" si="210"/>
        <v>216865</v>
      </c>
    </row>
    <row r="5449" spans="7:14" ht="11.25" customHeight="1" x14ac:dyDescent="0.3">
      <c r="G5449" s="470"/>
      <c r="H5449" s="470">
        <v>5442</v>
      </c>
      <c r="I5449" s="455">
        <f t="shared" ca="1" si="208"/>
        <v>-721480917779959.75</v>
      </c>
      <c r="J5449" s="455">
        <f t="array" ref="J5449">IFERROR(INDEX('Retirement Calculator'!J:J,MATCH('Isaac 401k'!N5449,'Retirement Calculator'!A:A,0),0),0)</f>
        <v>0</v>
      </c>
      <c r="K5449" s="455">
        <f t="shared" ca="1" si="206"/>
        <v>-3006170490749.832</v>
      </c>
      <c r="L5449" s="455">
        <f t="shared" ca="1" si="207"/>
        <v>-724487088270709.63</v>
      </c>
      <c r="M5449" s="471">
        <f t="shared" si="209"/>
        <v>0.05</v>
      </c>
      <c r="N5449" s="475">
        <f t="shared" si="210"/>
        <v>216896</v>
      </c>
    </row>
    <row r="5450" spans="7:14" ht="11.25" customHeight="1" x14ac:dyDescent="0.3">
      <c r="G5450" s="470"/>
      <c r="H5450" s="470">
        <v>5443</v>
      </c>
      <c r="I5450" s="455">
        <f t="shared" ca="1" si="208"/>
        <v>-724487088270709.63</v>
      </c>
      <c r="J5450" s="455">
        <f t="array" ref="J5450">IFERROR(INDEX('Retirement Calculator'!J:J,MATCH('Isaac 401k'!N5450,'Retirement Calculator'!A:A,0),0),0)</f>
        <v>0</v>
      </c>
      <c r="K5450" s="455">
        <f t="shared" ca="1" si="206"/>
        <v>-3018696201127.9565</v>
      </c>
      <c r="L5450" s="455">
        <f t="shared" ca="1" si="207"/>
        <v>-727505784471837.63</v>
      </c>
      <c r="M5450" s="471">
        <f t="shared" si="209"/>
        <v>0.05</v>
      </c>
      <c r="N5450" s="475">
        <f t="shared" si="210"/>
        <v>216926</v>
      </c>
    </row>
    <row r="5451" spans="7:14" ht="11.25" customHeight="1" x14ac:dyDescent="0.3">
      <c r="G5451" s="470"/>
      <c r="H5451" s="470">
        <v>5444</v>
      </c>
      <c r="I5451" s="455">
        <f t="shared" ca="1" si="208"/>
        <v>-727505784471837.63</v>
      </c>
      <c r="J5451" s="455">
        <f t="array" ref="J5451">IFERROR(INDEX('Retirement Calculator'!J:J,MATCH('Isaac 401k'!N5451,'Retirement Calculator'!A:A,0),0),0)</f>
        <v>0</v>
      </c>
      <c r="K5451" s="455">
        <f t="shared" ca="1" si="206"/>
        <v>-3031274101965.9902</v>
      </c>
      <c r="L5451" s="455">
        <f t="shared" ca="1" si="207"/>
        <v>-730537058573803.63</v>
      </c>
      <c r="M5451" s="471">
        <f t="shared" si="209"/>
        <v>0.05</v>
      </c>
      <c r="N5451" s="475">
        <f t="shared" si="210"/>
        <v>216957</v>
      </c>
    </row>
    <row r="5452" spans="7:14" ht="11.25" customHeight="1" x14ac:dyDescent="0.3">
      <c r="G5452" s="470"/>
      <c r="H5452" s="470">
        <v>5445</v>
      </c>
      <c r="I5452" s="455">
        <f t="shared" ca="1" si="208"/>
        <v>-730537058573803.63</v>
      </c>
      <c r="J5452" s="455">
        <f t="array" ref="J5452">IFERROR(INDEX('Retirement Calculator'!J:J,MATCH('Isaac 401k'!N5452,'Retirement Calculator'!A:A,0),0),0)</f>
        <v>0</v>
      </c>
      <c r="K5452" s="455">
        <f t="shared" ca="1" si="206"/>
        <v>-3043904410724.1816</v>
      </c>
      <c r="L5452" s="455">
        <f t="shared" ca="1" si="207"/>
        <v>-733580962984527.75</v>
      </c>
      <c r="M5452" s="471">
        <f t="shared" si="209"/>
        <v>0.05</v>
      </c>
      <c r="N5452" s="475">
        <f t="shared" si="210"/>
        <v>216988</v>
      </c>
    </row>
    <row r="5453" spans="7:14" ht="11.25" customHeight="1" x14ac:dyDescent="0.3">
      <c r="G5453" s="470"/>
      <c r="H5453" s="470">
        <v>5446</v>
      </c>
      <c r="I5453" s="455">
        <f t="shared" ca="1" si="208"/>
        <v>-733580962984527.75</v>
      </c>
      <c r="J5453" s="455">
        <f t="array" ref="J5453">IFERROR(INDEX('Retirement Calculator'!J:J,MATCH('Isaac 401k'!N5453,'Retirement Calculator'!A:A,0),0),0)</f>
        <v>0</v>
      </c>
      <c r="K5453" s="455">
        <f t="shared" ca="1" si="206"/>
        <v>-3056587345768.8657</v>
      </c>
      <c r="L5453" s="455">
        <f t="shared" ca="1" si="207"/>
        <v>-736637550330296.63</v>
      </c>
      <c r="M5453" s="471">
        <f t="shared" si="209"/>
        <v>0.05</v>
      </c>
      <c r="N5453" s="475">
        <f t="shared" si="210"/>
        <v>217016</v>
      </c>
    </row>
    <row r="5454" spans="7:14" ht="11.25" customHeight="1" x14ac:dyDescent="0.3">
      <c r="G5454" s="470"/>
      <c r="H5454" s="470">
        <v>5447</v>
      </c>
      <c r="I5454" s="455">
        <f t="shared" ca="1" si="208"/>
        <v>-736637550330296.63</v>
      </c>
      <c r="J5454" s="455">
        <f t="array" ref="J5454">IFERROR(INDEX('Retirement Calculator'!J:J,MATCH('Isaac 401k'!N5454,'Retirement Calculator'!A:A,0),0),0)</f>
        <v>0</v>
      </c>
      <c r="K5454" s="455">
        <f t="shared" ca="1" si="206"/>
        <v>-3069323126376.2358</v>
      </c>
      <c r="L5454" s="455">
        <f t="shared" ca="1" si="207"/>
        <v>-739706873456672.88</v>
      </c>
      <c r="M5454" s="471">
        <f t="shared" si="209"/>
        <v>0.05</v>
      </c>
      <c r="N5454" s="475">
        <f t="shared" si="210"/>
        <v>217047</v>
      </c>
    </row>
    <row r="5455" spans="7:14" ht="11.25" customHeight="1" x14ac:dyDescent="0.3">
      <c r="G5455" s="470"/>
      <c r="H5455" s="470">
        <v>5448</v>
      </c>
      <c r="I5455" s="455">
        <f t="shared" ca="1" si="208"/>
        <v>-739706873456672.88</v>
      </c>
      <c r="J5455" s="455">
        <f t="array" ref="J5455">IFERROR(INDEX('Retirement Calculator'!J:J,MATCH('Isaac 401k'!N5455,'Retirement Calculator'!A:A,0),0),0)</f>
        <v>0</v>
      </c>
      <c r="K5455" s="455">
        <f t="shared" ca="1" si="206"/>
        <v>-3082111972736.1367</v>
      </c>
      <c r="L5455" s="455">
        <f t="shared" ca="1" si="207"/>
        <v>-742788985429409</v>
      </c>
      <c r="M5455" s="471">
        <f t="shared" si="209"/>
        <v>0.05</v>
      </c>
      <c r="N5455" s="475">
        <f t="shared" si="210"/>
        <v>217077</v>
      </c>
    </row>
    <row r="5456" spans="7:14" ht="11.25" customHeight="1" x14ac:dyDescent="0.3">
      <c r="G5456" s="470"/>
      <c r="H5456" s="470">
        <v>5449</v>
      </c>
      <c r="I5456" s="455">
        <f t="shared" ca="1" si="208"/>
        <v>-742788985429409</v>
      </c>
      <c r="J5456" s="455">
        <f t="array" ref="J5456">IFERROR(INDEX('Retirement Calculator'!J:J,MATCH('Isaac 401k'!N5456,'Retirement Calculator'!A:A,0),0),0)</f>
        <v>0</v>
      </c>
      <c r="K5456" s="455">
        <f t="shared" ca="1" si="206"/>
        <v>-3094954105955.8706</v>
      </c>
      <c r="L5456" s="455">
        <f t="shared" ca="1" si="207"/>
        <v>-745883939535364.88</v>
      </c>
      <c r="M5456" s="471">
        <f t="shared" si="209"/>
        <v>0.05</v>
      </c>
      <c r="N5456" s="475">
        <f t="shared" si="210"/>
        <v>217108</v>
      </c>
    </row>
    <row r="5457" spans="7:14" ht="11.25" customHeight="1" x14ac:dyDescent="0.3">
      <c r="G5457" s="470"/>
      <c r="H5457" s="470">
        <v>5450</v>
      </c>
      <c r="I5457" s="455">
        <f t="shared" ca="1" si="208"/>
        <v>-745883939535364.88</v>
      </c>
      <c r="J5457" s="455">
        <f t="array" ref="J5457">IFERROR(INDEX('Retirement Calculator'!J:J,MATCH('Isaac 401k'!N5457,'Retirement Calculator'!A:A,0),0),0)</f>
        <v>0</v>
      </c>
      <c r="K5457" s="455">
        <f t="shared" ca="1" si="206"/>
        <v>-3107849748064.0205</v>
      </c>
      <c r="L5457" s="455">
        <f t="shared" ca="1" si="207"/>
        <v>-748991789283428.88</v>
      </c>
      <c r="M5457" s="471">
        <f t="shared" si="209"/>
        <v>0.05</v>
      </c>
      <c r="N5457" s="475">
        <f t="shared" si="210"/>
        <v>217138</v>
      </c>
    </row>
    <row r="5458" spans="7:14" ht="11.25" customHeight="1" x14ac:dyDescent="0.3">
      <c r="G5458" s="470"/>
      <c r="H5458" s="470">
        <v>5451</v>
      </c>
      <c r="I5458" s="455">
        <f t="shared" ca="1" si="208"/>
        <v>-748991789283428.88</v>
      </c>
      <c r="J5458" s="455">
        <f t="array" ref="J5458">IFERROR(INDEX('Retirement Calculator'!J:J,MATCH('Isaac 401k'!N5458,'Retirement Calculator'!A:A,0),0),0)</f>
        <v>0</v>
      </c>
      <c r="K5458" s="455">
        <f t="shared" ca="1" si="206"/>
        <v>-3120799122014.2871</v>
      </c>
      <c r="L5458" s="455">
        <f t="shared" ca="1" si="207"/>
        <v>-752112588405443.13</v>
      </c>
      <c r="M5458" s="471">
        <f t="shared" si="209"/>
        <v>0.05</v>
      </c>
      <c r="N5458" s="475">
        <f t="shared" si="210"/>
        <v>217169</v>
      </c>
    </row>
    <row r="5459" spans="7:14" ht="11.25" customHeight="1" x14ac:dyDescent="0.3">
      <c r="G5459" s="470"/>
      <c r="H5459" s="470">
        <v>5452</v>
      </c>
      <c r="I5459" s="455">
        <f t="shared" ca="1" si="208"/>
        <v>-752112588405443.13</v>
      </c>
      <c r="J5459" s="455">
        <f t="array" ref="J5459">IFERROR(INDEX('Retirement Calculator'!J:J,MATCH('Isaac 401k'!N5459,'Retirement Calculator'!A:A,0),0),0)</f>
        <v>0</v>
      </c>
      <c r="K5459" s="455">
        <f t="shared" ca="1" si="206"/>
        <v>-3133802451689.3462</v>
      </c>
      <c r="L5459" s="455">
        <f t="shared" ca="1" si="207"/>
        <v>-755246390857132.5</v>
      </c>
      <c r="M5459" s="471">
        <f t="shared" si="209"/>
        <v>0.05</v>
      </c>
      <c r="N5459" s="475">
        <f t="shared" si="210"/>
        <v>217200</v>
      </c>
    </row>
    <row r="5460" spans="7:14" ht="11.25" customHeight="1" x14ac:dyDescent="0.3">
      <c r="G5460" s="470"/>
      <c r="H5460" s="470">
        <v>5453</v>
      </c>
      <c r="I5460" s="455">
        <f t="shared" ca="1" si="208"/>
        <v>-755246390857132.5</v>
      </c>
      <c r="J5460" s="455">
        <f t="array" ref="J5460">IFERROR(INDEX('Retirement Calculator'!J:J,MATCH('Isaac 401k'!N5460,'Retirement Calculator'!A:A,0),0),0)</f>
        <v>0</v>
      </c>
      <c r="K5460" s="455">
        <f t="shared" ca="1" si="206"/>
        <v>-3146859961904.7188</v>
      </c>
      <c r="L5460" s="455">
        <f t="shared" ca="1" si="207"/>
        <v>-758393250819037.25</v>
      </c>
      <c r="M5460" s="471">
        <f t="shared" si="209"/>
        <v>0.05</v>
      </c>
      <c r="N5460" s="475">
        <f t="shared" si="210"/>
        <v>217230</v>
      </c>
    </row>
    <row r="5461" spans="7:14" ht="11.25" customHeight="1" x14ac:dyDescent="0.3">
      <c r="G5461" s="470"/>
      <c r="H5461" s="470">
        <v>5454</v>
      </c>
      <c r="I5461" s="455">
        <f t="shared" ca="1" si="208"/>
        <v>-758393250819037.25</v>
      </c>
      <c r="J5461" s="455">
        <f t="array" ref="J5461">IFERROR(INDEX('Retirement Calculator'!J:J,MATCH('Isaac 401k'!N5461,'Retirement Calculator'!A:A,0),0),0)</f>
        <v>0</v>
      </c>
      <c r="K5461" s="455">
        <f t="shared" ca="1" si="206"/>
        <v>-3159971878412.6553</v>
      </c>
      <c r="L5461" s="455">
        <f t="shared" ca="1" si="207"/>
        <v>-761553222697449.88</v>
      </c>
      <c r="M5461" s="471">
        <f t="shared" si="209"/>
        <v>0.05</v>
      </c>
      <c r="N5461" s="475">
        <f t="shared" si="210"/>
        <v>217261</v>
      </c>
    </row>
    <row r="5462" spans="7:14" ht="11.25" customHeight="1" x14ac:dyDescent="0.3">
      <c r="G5462" s="470"/>
      <c r="H5462" s="470">
        <v>5455</v>
      </c>
      <c r="I5462" s="455">
        <f t="shared" ca="1" si="208"/>
        <v>-761553222697449.88</v>
      </c>
      <c r="J5462" s="455">
        <f t="array" ref="J5462">IFERROR(INDEX('Retirement Calculator'!J:J,MATCH('Isaac 401k'!N5462,'Retirement Calculator'!A:A,0),0),0)</f>
        <v>0</v>
      </c>
      <c r="K5462" s="455">
        <f t="shared" ca="1" si="206"/>
        <v>-3173138427906.041</v>
      </c>
      <c r="L5462" s="455">
        <f t="shared" ca="1" si="207"/>
        <v>-764726361125355.88</v>
      </c>
      <c r="M5462" s="471">
        <f t="shared" si="209"/>
        <v>0.05</v>
      </c>
      <c r="N5462" s="475">
        <f t="shared" si="210"/>
        <v>217291</v>
      </c>
    </row>
    <row r="5463" spans="7:14" ht="11.25" customHeight="1" x14ac:dyDescent="0.3">
      <c r="G5463" s="470"/>
      <c r="H5463" s="470">
        <v>5456</v>
      </c>
      <c r="I5463" s="455">
        <f t="shared" ca="1" si="208"/>
        <v>-764726361125355.88</v>
      </c>
      <c r="J5463" s="455">
        <f t="array" ref="J5463">IFERROR(INDEX('Retirement Calculator'!J:J,MATCH('Isaac 401k'!N5463,'Retirement Calculator'!A:A,0),0),0)</f>
        <v>0</v>
      </c>
      <c r="K5463" s="455">
        <f t="shared" ca="1" si="206"/>
        <v>-3186359838022.3159</v>
      </c>
      <c r="L5463" s="455">
        <f t="shared" ca="1" si="207"/>
        <v>-767912720963378.25</v>
      </c>
      <c r="M5463" s="471">
        <f t="shared" si="209"/>
        <v>0.05</v>
      </c>
      <c r="N5463" s="475">
        <f t="shared" si="210"/>
        <v>217322</v>
      </c>
    </row>
    <row r="5464" spans="7:14" ht="11.25" customHeight="1" x14ac:dyDescent="0.3">
      <c r="G5464" s="470"/>
      <c r="H5464" s="470">
        <v>5457</v>
      </c>
      <c r="I5464" s="455">
        <f t="shared" ca="1" si="208"/>
        <v>-767912720963378.25</v>
      </c>
      <c r="J5464" s="455">
        <f t="array" ref="J5464">IFERROR(INDEX('Retirement Calculator'!J:J,MATCH('Isaac 401k'!N5464,'Retirement Calculator'!A:A,0),0),0)</f>
        <v>0</v>
      </c>
      <c r="K5464" s="455">
        <f t="shared" ca="1" si="206"/>
        <v>-3199636337347.4092</v>
      </c>
      <c r="L5464" s="455">
        <f t="shared" ca="1" si="207"/>
        <v>-771112357300725.63</v>
      </c>
      <c r="M5464" s="471">
        <f t="shared" si="209"/>
        <v>0.05</v>
      </c>
      <c r="N5464" s="475">
        <f t="shared" si="210"/>
        <v>217353</v>
      </c>
    </row>
    <row r="5465" spans="7:14" ht="11.25" customHeight="1" x14ac:dyDescent="0.3">
      <c r="G5465" s="470"/>
      <c r="H5465" s="470">
        <v>5458</v>
      </c>
      <c r="I5465" s="455">
        <f t="shared" ca="1" si="208"/>
        <v>-771112357300725.63</v>
      </c>
      <c r="J5465" s="455">
        <f t="array" ref="J5465">IFERROR(INDEX('Retirement Calculator'!J:J,MATCH('Isaac 401k'!N5465,'Retirement Calculator'!A:A,0),0),0)</f>
        <v>0</v>
      </c>
      <c r="K5465" s="455">
        <f t="shared" ca="1" si="206"/>
        <v>-3212968155419.6899</v>
      </c>
      <c r="L5465" s="455">
        <f t="shared" ca="1" si="207"/>
        <v>-774325325456145.38</v>
      </c>
      <c r="M5465" s="471">
        <f t="shared" si="209"/>
        <v>0.05</v>
      </c>
      <c r="N5465" s="475">
        <f t="shared" si="210"/>
        <v>217381</v>
      </c>
    </row>
    <row r="5466" spans="7:14" ht="11.25" customHeight="1" x14ac:dyDescent="0.3">
      <c r="G5466" s="470"/>
      <c r="H5466" s="470">
        <v>5459</v>
      </c>
      <c r="I5466" s="455">
        <f t="shared" ca="1" si="208"/>
        <v>-774325325456145.38</v>
      </c>
      <c r="J5466" s="455">
        <f t="array" ref="J5466">IFERROR(INDEX('Retirement Calculator'!J:J,MATCH('Isaac 401k'!N5466,'Retirement Calculator'!A:A,0),0),0)</f>
        <v>0</v>
      </c>
      <c r="K5466" s="455">
        <f t="shared" ca="1" si="206"/>
        <v>-3226355522733.939</v>
      </c>
      <c r="L5466" s="455">
        <f t="shared" ca="1" si="207"/>
        <v>-777551680978879.38</v>
      </c>
      <c r="M5466" s="471">
        <f t="shared" si="209"/>
        <v>0.05</v>
      </c>
      <c r="N5466" s="475">
        <f t="shared" si="210"/>
        <v>217412</v>
      </c>
    </row>
    <row r="5467" spans="7:14" ht="11.25" customHeight="1" x14ac:dyDescent="0.3">
      <c r="G5467" s="470"/>
      <c r="H5467" s="470">
        <v>5460</v>
      </c>
      <c r="I5467" s="455">
        <f t="shared" ca="1" si="208"/>
        <v>-777551680978879.38</v>
      </c>
      <c r="J5467" s="455">
        <f t="array" ref="J5467">IFERROR(INDEX('Retirement Calculator'!J:J,MATCH('Isaac 401k'!N5467,'Retirement Calculator'!A:A,0),0),0)</f>
        <v>0</v>
      </c>
      <c r="K5467" s="455">
        <f t="shared" ca="1" si="206"/>
        <v>-3239798670745.3306</v>
      </c>
      <c r="L5467" s="455">
        <f t="shared" ca="1" si="207"/>
        <v>-780791479649624.75</v>
      </c>
      <c r="M5467" s="471">
        <f t="shared" si="209"/>
        <v>0.05</v>
      </c>
      <c r="N5467" s="475">
        <f t="shared" si="210"/>
        <v>217442</v>
      </c>
    </row>
    <row r="5468" spans="7:14" ht="11.25" customHeight="1" x14ac:dyDescent="0.3">
      <c r="G5468" s="470"/>
      <c r="H5468" s="470">
        <v>5461</v>
      </c>
      <c r="I5468" s="455">
        <f t="shared" ca="1" si="208"/>
        <v>-780791479649624.75</v>
      </c>
      <c r="J5468" s="455">
        <f t="array" ref="J5468">IFERROR(INDEX('Retirement Calculator'!J:J,MATCH('Isaac 401k'!N5468,'Retirement Calculator'!A:A,0),0),0)</f>
        <v>0</v>
      </c>
      <c r="K5468" s="455">
        <f t="shared" ca="1" si="206"/>
        <v>-3253297831873.4365</v>
      </c>
      <c r="L5468" s="455">
        <f t="shared" ca="1" si="207"/>
        <v>-784044777481498.13</v>
      </c>
      <c r="M5468" s="471">
        <f t="shared" si="209"/>
        <v>0.05</v>
      </c>
      <c r="N5468" s="475">
        <f t="shared" si="210"/>
        <v>217473</v>
      </c>
    </row>
    <row r="5469" spans="7:14" ht="11.25" customHeight="1" x14ac:dyDescent="0.3">
      <c r="G5469" s="470"/>
      <c r="H5469" s="470">
        <v>5462</v>
      </c>
      <c r="I5469" s="455">
        <f t="shared" ca="1" si="208"/>
        <v>-784044777481498.13</v>
      </c>
      <c r="J5469" s="455">
        <f t="array" ref="J5469">IFERROR(INDEX('Retirement Calculator'!J:J,MATCH('Isaac 401k'!N5469,'Retirement Calculator'!A:A,0),0),0)</f>
        <v>0</v>
      </c>
      <c r="K5469" s="455">
        <f t="shared" ca="1" si="206"/>
        <v>-3266853239506.2422</v>
      </c>
      <c r="L5469" s="455">
        <f t="shared" ca="1" si="207"/>
        <v>-787311630721004.38</v>
      </c>
      <c r="M5469" s="471">
        <f t="shared" si="209"/>
        <v>0.05</v>
      </c>
      <c r="N5469" s="475">
        <f t="shared" si="210"/>
        <v>217503</v>
      </c>
    </row>
    <row r="5470" spans="7:14" ht="11.25" customHeight="1" x14ac:dyDescent="0.3">
      <c r="G5470" s="470"/>
      <c r="H5470" s="470">
        <v>5463</v>
      </c>
      <c r="I5470" s="455">
        <f t="shared" ca="1" si="208"/>
        <v>-787311630721004.38</v>
      </c>
      <c r="J5470" s="455">
        <f t="array" ref="J5470">IFERROR(INDEX('Retirement Calculator'!J:J,MATCH('Isaac 401k'!N5470,'Retirement Calculator'!A:A,0),0),0)</f>
        <v>0</v>
      </c>
      <c r="K5470" s="455">
        <f t="shared" ca="1" si="206"/>
        <v>-3280465128004.1851</v>
      </c>
      <c r="L5470" s="455">
        <f t="shared" ca="1" si="207"/>
        <v>-790592095849008.5</v>
      </c>
      <c r="M5470" s="471">
        <f t="shared" si="209"/>
        <v>0.05</v>
      </c>
      <c r="N5470" s="475">
        <f t="shared" si="210"/>
        <v>217534</v>
      </c>
    </row>
    <row r="5471" spans="7:14" ht="11.25" customHeight="1" x14ac:dyDescent="0.3">
      <c r="G5471" s="470"/>
      <c r="H5471" s="470">
        <v>5464</v>
      </c>
      <c r="I5471" s="455">
        <f t="shared" ca="1" si="208"/>
        <v>-790592095849008.5</v>
      </c>
      <c r="J5471" s="455">
        <f t="array" ref="J5471">IFERROR(INDEX('Retirement Calculator'!J:J,MATCH('Isaac 401k'!N5471,'Retirement Calculator'!A:A,0),0),0)</f>
        <v>0</v>
      </c>
      <c r="K5471" s="455">
        <f t="shared" ca="1" si="206"/>
        <v>-3294133732704.2021</v>
      </c>
      <c r="L5471" s="455">
        <f t="shared" ca="1" si="207"/>
        <v>-793886229581712.75</v>
      </c>
      <c r="M5471" s="471">
        <f t="shared" si="209"/>
        <v>0.05</v>
      </c>
      <c r="N5471" s="475">
        <f t="shared" si="210"/>
        <v>217565</v>
      </c>
    </row>
    <row r="5472" spans="7:14" ht="11.25" customHeight="1" x14ac:dyDescent="0.3">
      <c r="G5472" s="470"/>
      <c r="H5472" s="470">
        <v>5465</v>
      </c>
      <c r="I5472" s="455">
        <f t="shared" ca="1" si="208"/>
        <v>-793886229581712.75</v>
      </c>
      <c r="J5472" s="455">
        <f t="array" ref="J5472">IFERROR(INDEX('Retirement Calculator'!J:J,MATCH('Isaac 401k'!N5472,'Retirement Calculator'!A:A,0),0),0)</f>
        <v>0</v>
      </c>
      <c r="K5472" s="455">
        <f t="shared" ca="1" si="206"/>
        <v>-3307859289923.8032</v>
      </c>
      <c r="L5472" s="455">
        <f t="shared" ca="1" si="207"/>
        <v>-797194088871636.5</v>
      </c>
      <c r="M5472" s="471">
        <f t="shared" si="209"/>
        <v>0.05</v>
      </c>
      <c r="N5472" s="475">
        <f t="shared" si="210"/>
        <v>217595</v>
      </c>
    </row>
    <row r="5473" spans="7:14" ht="11.25" customHeight="1" x14ac:dyDescent="0.3">
      <c r="G5473" s="470"/>
      <c r="H5473" s="470">
        <v>5466</v>
      </c>
      <c r="I5473" s="455">
        <f t="shared" ca="1" si="208"/>
        <v>-797194088871636.5</v>
      </c>
      <c r="J5473" s="455">
        <f t="array" ref="J5473">IFERROR(INDEX('Retirement Calculator'!J:J,MATCH('Isaac 401k'!N5473,'Retirement Calculator'!A:A,0),0),0)</f>
        <v>0</v>
      </c>
      <c r="K5473" s="455">
        <f t="shared" ca="1" si="206"/>
        <v>-3321642036965.1519</v>
      </c>
      <c r="L5473" s="455">
        <f t="shared" ca="1" si="207"/>
        <v>-800515730908601.63</v>
      </c>
      <c r="M5473" s="471">
        <f t="shared" si="209"/>
        <v>0.05</v>
      </c>
      <c r="N5473" s="475">
        <f t="shared" si="210"/>
        <v>217626</v>
      </c>
    </row>
    <row r="5474" spans="7:14" ht="11.25" customHeight="1" x14ac:dyDescent="0.3">
      <c r="G5474" s="470"/>
      <c r="H5474" s="470">
        <v>5467</v>
      </c>
      <c r="I5474" s="455">
        <f t="shared" ca="1" si="208"/>
        <v>-800515730908601.63</v>
      </c>
      <c r="J5474" s="455">
        <f t="array" ref="J5474">IFERROR(INDEX('Retirement Calculator'!J:J,MATCH('Isaac 401k'!N5474,'Retirement Calculator'!A:A,0),0),0)</f>
        <v>0</v>
      </c>
      <c r="K5474" s="455">
        <f t="shared" ca="1" si="206"/>
        <v>-3335482212119.1733</v>
      </c>
      <c r="L5474" s="455">
        <f t="shared" ca="1" si="207"/>
        <v>-803851213120720.75</v>
      </c>
      <c r="M5474" s="471">
        <f t="shared" si="209"/>
        <v>0.05</v>
      </c>
      <c r="N5474" s="475">
        <f t="shared" si="210"/>
        <v>217656</v>
      </c>
    </row>
    <row r="5475" spans="7:14" ht="11.25" customHeight="1" x14ac:dyDescent="0.3">
      <c r="G5475" s="470"/>
      <c r="H5475" s="470">
        <v>5468</v>
      </c>
      <c r="I5475" s="455">
        <f t="shared" ca="1" si="208"/>
        <v>-803851213120720.75</v>
      </c>
      <c r="J5475" s="455">
        <f t="array" ref="J5475">IFERROR(INDEX('Retirement Calculator'!J:J,MATCH('Isaac 401k'!N5475,'Retirement Calculator'!A:A,0),0),0)</f>
        <v>0</v>
      </c>
      <c r="K5475" s="455">
        <f t="shared" ca="1" si="206"/>
        <v>-3349380054669.6699</v>
      </c>
      <c r="L5475" s="455">
        <f t="shared" ca="1" si="207"/>
        <v>-807200593175390.38</v>
      </c>
      <c r="M5475" s="471">
        <f t="shared" si="209"/>
        <v>0.05</v>
      </c>
      <c r="N5475" s="475">
        <f t="shared" si="210"/>
        <v>217687</v>
      </c>
    </row>
    <row r="5476" spans="7:14" ht="11.25" customHeight="1" x14ac:dyDescent="0.3">
      <c r="G5476" s="470"/>
      <c r="H5476" s="470">
        <v>5469</v>
      </c>
      <c r="I5476" s="455">
        <f t="shared" ca="1" si="208"/>
        <v>-807200593175390.38</v>
      </c>
      <c r="J5476" s="455">
        <f t="array" ref="J5476">IFERROR(INDEX('Retirement Calculator'!J:J,MATCH('Isaac 401k'!N5476,'Retirement Calculator'!A:A,0),0),0)</f>
        <v>0</v>
      </c>
      <c r="K5476" s="455">
        <f t="shared" ca="1" si="206"/>
        <v>-3363335804897.46</v>
      </c>
      <c r="L5476" s="455">
        <f t="shared" ca="1" si="207"/>
        <v>-810563928980287.88</v>
      </c>
      <c r="M5476" s="471">
        <f t="shared" si="209"/>
        <v>0.05</v>
      </c>
      <c r="N5476" s="475">
        <f t="shared" si="210"/>
        <v>217718</v>
      </c>
    </row>
    <row r="5477" spans="7:14" ht="11.25" customHeight="1" x14ac:dyDescent="0.3">
      <c r="G5477" s="470"/>
      <c r="H5477" s="470">
        <v>5470</v>
      </c>
      <c r="I5477" s="455">
        <f t="shared" ca="1" si="208"/>
        <v>-810563928980287.88</v>
      </c>
      <c r="J5477" s="455">
        <f t="array" ref="J5477">IFERROR(INDEX('Retirement Calculator'!J:J,MATCH('Isaac 401k'!N5477,'Retirement Calculator'!A:A,0),0),0)</f>
        <v>0</v>
      </c>
      <c r="K5477" s="455">
        <f t="shared" ca="1" si="206"/>
        <v>-3377349704084.5327</v>
      </c>
      <c r="L5477" s="455">
        <f t="shared" ca="1" si="207"/>
        <v>-813941278684372.38</v>
      </c>
      <c r="M5477" s="471">
        <f t="shared" si="209"/>
        <v>0.05</v>
      </c>
      <c r="N5477" s="475">
        <f t="shared" si="210"/>
        <v>217747</v>
      </c>
    </row>
    <row r="5478" spans="7:14" ht="11.25" customHeight="1" x14ac:dyDescent="0.3">
      <c r="G5478" s="470"/>
      <c r="H5478" s="470">
        <v>5471</v>
      </c>
      <c r="I5478" s="455">
        <f t="shared" ca="1" si="208"/>
        <v>-813941278684372.38</v>
      </c>
      <c r="J5478" s="455">
        <f t="array" ref="J5478">IFERROR(INDEX('Retirement Calculator'!J:J,MATCH('Isaac 401k'!N5478,'Retirement Calculator'!A:A,0),0),0)</f>
        <v>0</v>
      </c>
      <c r="K5478" s="455">
        <f t="shared" ca="1" si="206"/>
        <v>-3391421994518.2183</v>
      </c>
      <c r="L5478" s="455">
        <f t="shared" ca="1" si="207"/>
        <v>-817332700678890.63</v>
      </c>
      <c r="M5478" s="471">
        <f t="shared" si="209"/>
        <v>0.05</v>
      </c>
      <c r="N5478" s="475">
        <f t="shared" si="210"/>
        <v>217778</v>
      </c>
    </row>
    <row r="5479" spans="7:14" ht="11.25" customHeight="1" x14ac:dyDescent="0.3">
      <c r="G5479" s="470"/>
      <c r="H5479" s="470">
        <v>5472</v>
      </c>
      <c r="I5479" s="455">
        <f t="shared" ca="1" si="208"/>
        <v>-817332700678890.63</v>
      </c>
      <c r="J5479" s="455">
        <f t="array" ref="J5479">IFERROR(INDEX('Retirement Calculator'!J:J,MATCH('Isaac 401k'!N5479,'Retirement Calculator'!A:A,0),0),0)</f>
        <v>0</v>
      </c>
      <c r="K5479" s="455">
        <f t="shared" ca="1" si="206"/>
        <v>-3405552919495.3774</v>
      </c>
      <c r="L5479" s="455">
        <f t="shared" ca="1" si="207"/>
        <v>-820738253598386</v>
      </c>
      <c r="M5479" s="471">
        <f t="shared" si="209"/>
        <v>0.05</v>
      </c>
      <c r="N5479" s="475">
        <f t="shared" si="210"/>
        <v>217808</v>
      </c>
    </row>
    <row r="5480" spans="7:14" ht="11.25" customHeight="1" x14ac:dyDescent="0.3">
      <c r="G5480" s="470"/>
      <c r="H5480" s="470">
        <v>5473</v>
      </c>
      <c r="I5480" s="455">
        <f t="shared" ca="1" si="208"/>
        <v>-820738253598386</v>
      </c>
      <c r="J5480" s="455">
        <f t="array" ref="J5480">IFERROR(INDEX('Retirement Calculator'!J:J,MATCH('Isaac 401k'!N5480,'Retirement Calculator'!A:A,0),0),0)</f>
        <v>0</v>
      </c>
      <c r="K5480" s="455">
        <f t="shared" ca="1" si="206"/>
        <v>-3419742723326.6084</v>
      </c>
      <c r="L5480" s="455">
        <f t="shared" ca="1" si="207"/>
        <v>-824157996321712.63</v>
      </c>
      <c r="M5480" s="471">
        <f t="shared" si="209"/>
        <v>0.05</v>
      </c>
      <c r="N5480" s="475">
        <f t="shared" si="210"/>
        <v>217839</v>
      </c>
    </row>
    <row r="5481" spans="7:14" ht="11.25" customHeight="1" x14ac:dyDescent="0.3">
      <c r="G5481" s="470"/>
      <c r="H5481" s="470">
        <v>5474</v>
      </c>
      <c r="I5481" s="455">
        <f t="shared" ca="1" si="208"/>
        <v>-824157996321712.63</v>
      </c>
      <c r="J5481" s="455">
        <f t="array" ref="J5481">IFERROR(INDEX('Retirement Calculator'!J:J,MATCH('Isaac 401k'!N5481,'Retirement Calculator'!A:A,0),0),0)</f>
        <v>0</v>
      </c>
      <c r="K5481" s="455">
        <f t="shared" ca="1" si="206"/>
        <v>-3433991651340.4692</v>
      </c>
      <c r="L5481" s="455">
        <f t="shared" ca="1" si="207"/>
        <v>-827591987973053.13</v>
      </c>
      <c r="M5481" s="471">
        <f t="shared" si="209"/>
        <v>0.05</v>
      </c>
      <c r="N5481" s="475">
        <f t="shared" si="210"/>
        <v>217869</v>
      </c>
    </row>
    <row r="5482" spans="7:14" ht="11.25" customHeight="1" x14ac:dyDescent="0.3">
      <c r="G5482" s="470"/>
      <c r="H5482" s="470">
        <v>5475</v>
      </c>
      <c r="I5482" s="455">
        <f t="shared" ca="1" si="208"/>
        <v>-827591987973053.13</v>
      </c>
      <c r="J5482" s="455">
        <f t="array" ref="J5482">IFERROR(INDEX('Retirement Calculator'!J:J,MATCH('Isaac 401k'!N5482,'Retirement Calculator'!A:A,0),0),0)</f>
        <v>0</v>
      </c>
      <c r="K5482" s="455">
        <f t="shared" ca="1" si="206"/>
        <v>-3448299949887.7212</v>
      </c>
      <c r="L5482" s="455">
        <f t="shared" ca="1" si="207"/>
        <v>-831040287922940.88</v>
      </c>
      <c r="M5482" s="471">
        <f t="shared" si="209"/>
        <v>0.05</v>
      </c>
      <c r="N5482" s="475">
        <f t="shared" si="210"/>
        <v>217900</v>
      </c>
    </row>
    <row r="5483" spans="7:14" ht="11.25" customHeight="1" x14ac:dyDescent="0.3">
      <c r="G5483" s="470"/>
      <c r="H5483" s="470">
        <v>5476</v>
      </c>
      <c r="I5483" s="455">
        <f t="shared" ca="1" si="208"/>
        <v>-831040287922940.88</v>
      </c>
      <c r="J5483" s="455">
        <f t="array" ref="J5483">IFERROR(INDEX('Retirement Calculator'!J:J,MATCH('Isaac 401k'!N5483,'Retirement Calculator'!A:A,0),0),0)</f>
        <v>0</v>
      </c>
      <c r="K5483" s="455">
        <f t="shared" ca="1" si="206"/>
        <v>-3462667866345.5869</v>
      </c>
      <c r="L5483" s="455">
        <f t="shared" ca="1" si="207"/>
        <v>-834502955789286.5</v>
      </c>
      <c r="M5483" s="471">
        <f t="shared" si="209"/>
        <v>0.05</v>
      </c>
      <c r="N5483" s="475">
        <f t="shared" si="210"/>
        <v>217931</v>
      </c>
    </row>
    <row r="5484" spans="7:14" ht="11.25" customHeight="1" x14ac:dyDescent="0.3">
      <c r="G5484" s="470"/>
      <c r="H5484" s="470">
        <v>5477</v>
      </c>
      <c r="I5484" s="455">
        <f t="shared" ca="1" si="208"/>
        <v>-834502955789286.5</v>
      </c>
      <c r="J5484" s="455">
        <f t="array" ref="J5484">IFERROR(INDEX('Retirement Calculator'!J:J,MATCH('Isaac 401k'!N5484,'Retirement Calculator'!A:A,0),0),0)</f>
        <v>0</v>
      </c>
      <c r="K5484" s="455">
        <f t="shared" ca="1" si="206"/>
        <v>-3477095649122.0269</v>
      </c>
      <c r="L5484" s="455">
        <f t="shared" ca="1" si="207"/>
        <v>-837980051438408.5</v>
      </c>
      <c r="M5484" s="471">
        <f t="shared" si="209"/>
        <v>0.05</v>
      </c>
      <c r="N5484" s="475">
        <f t="shared" si="210"/>
        <v>217961</v>
      </c>
    </row>
    <row r="5485" spans="7:14" ht="11.25" customHeight="1" x14ac:dyDescent="0.3">
      <c r="G5485" s="470"/>
      <c r="H5485" s="470">
        <v>5478</v>
      </c>
      <c r="I5485" s="455">
        <f t="shared" ca="1" si="208"/>
        <v>-837980051438408.5</v>
      </c>
      <c r="J5485" s="455">
        <f t="array" ref="J5485">IFERROR(INDEX('Retirement Calculator'!J:J,MATCH('Isaac 401k'!N5485,'Retirement Calculator'!A:A,0),0),0)</f>
        <v>0</v>
      </c>
      <c r="K5485" s="455">
        <f t="shared" ca="1" si="206"/>
        <v>-3491583547660.0352</v>
      </c>
      <c r="L5485" s="455">
        <f t="shared" ca="1" si="207"/>
        <v>-841471634986068.5</v>
      </c>
      <c r="M5485" s="471">
        <f t="shared" si="209"/>
        <v>0.05</v>
      </c>
      <c r="N5485" s="475">
        <f t="shared" si="210"/>
        <v>217992</v>
      </c>
    </row>
    <row r="5486" spans="7:14" ht="11.25" customHeight="1" x14ac:dyDescent="0.3">
      <c r="G5486" s="470"/>
      <c r="H5486" s="470">
        <v>5479</v>
      </c>
      <c r="I5486" s="455">
        <f t="shared" ca="1" si="208"/>
        <v>-841471634986068.5</v>
      </c>
      <c r="J5486" s="455">
        <f t="array" ref="J5486">IFERROR(INDEX('Retirement Calculator'!J:J,MATCH('Isaac 401k'!N5486,'Retirement Calculator'!A:A,0),0),0)</f>
        <v>0</v>
      </c>
      <c r="K5486" s="455">
        <f t="shared" ca="1" si="206"/>
        <v>-3506131812441.9521</v>
      </c>
      <c r="L5486" s="455">
        <f t="shared" ca="1" si="207"/>
        <v>-844977766798510.5</v>
      </c>
      <c r="M5486" s="471">
        <f t="shared" si="209"/>
        <v>0.05</v>
      </c>
      <c r="N5486" s="475">
        <f t="shared" si="210"/>
        <v>218022</v>
      </c>
    </row>
    <row r="5487" spans="7:14" ht="11.25" customHeight="1" x14ac:dyDescent="0.3">
      <c r="G5487" s="470"/>
      <c r="H5487" s="470">
        <v>5480</v>
      </c>
      <c r="I5487" s="455">
        <f t="shared" ca="1" si="208"/>
        <v>-844977766798510.5</v>
      </c>
      <c r="J5487" s="455">
        <f t="array" ref="J5487">IFERROR(INDEX('Retirement Calculator'!J:J,MATCH('Isaac 401k'!N5487,'Retirement Calculator'!A:A,0),0),0)</f>
        <v>0</v>
      </c>
      <c r="K5487" s="455">
        <f t="shared" ca="1" si="206"/>
        <v>-3520740694993.7939</v>
      </c>
      <c r="L5487" s="455">
        <f t="shared" ca="1" si="207"/>
        <v>-848498507493504.25</v>
      </c>
      <c r="M5487" s="471">
        <f t="shared" si="209"/>
        <v>0.05</v>
      </c>
      <c r="N5487" s="475">
        <f t="shared" si="210"/>
        <v>218053</v>
      </c>
    </row>
    <row r="5488" spans="7:14" ht="11.25" customHeight="1" x14ac:dyDescent="0.3">
      <c r="G5488" s="470"/>
      <c r="H5488" s="470">
        <v>5481</v>
      </c>
      <c r="I5488" s="455">
        <f t="shared" ca="1" si="208"/>
        <v>-848498507493504.25</v>
      </c>
      <c r="J5488" s="455">
        <f t="array" ref="J5488">IFERROR(INDEX('Retirement Calculator'!J:J,MATCH('Isaac 401k'!N5488,'Retirement Calculator'!A:A,0),0),0)</f>
        <v>0</v>
      </c>
      <c r="K5488" s="455">
        <f t="shared" ca="1" si="206"/>
        <v>-3535410447889.6011</v>
      </c>
      <c r="L5488" s="455">
        <f t="shared" ca="1" si="207"/>
        <v>-852033917941393.88</v>
      </c>
      <c r="M5488" s="471">
        <f t="shared" si="209"/>
        <v>0.05</v>
      </c>
      <c r="N5488" s="475">
        <f t="shared" si="210"/>
        <v>218084</v>
      </c>
    </row>
    <row r="5489" spans="7:14" ht="11.25" customHeight="1" x14ac:dyDescent="0.3">
      <c r="G5489" s="470"/>
      <c r="H5489" s="470">
        <v>5482</v>
      </c>
      <c r="I5489" s="455">
        <f t="shared" ca="1" si="208"/>
        <v>-852033917941393.88</v>
      </c>
      <c r="J5489" s="455">
        <f t="array" ref="J5489">IFERROR(INDEX('Retirement Calculator'!J:J,MATCH('Isaac 401k'!N5489,'Retirement Calculator'!A:A,0),0),0)</f>
        <v>0</v>
      </c>
      <c r="K5489" s="455">
        <f t="shared" ca="1" si="206"/>
        <v>-3550141324755.8076</v>
      </c>
      <c r="L5489" s="455">
        <f t="shared" ca="1" si="207"/>
        <v>-855584059266149.63</v>
      </c>
      <c r="M5489" s="471">
        <f t="shared" si="209"/>
        <v>0.05</v>
      </c>
      <c r="N5489" s="475">
        <f t="shared" si="210"/>
        <v>218112</v>
      </c>
    </row>
    <row r="5490" spans="7:14" ht="11.25" customHeight="1" x14ac:dyDescent="0.3">
      <c r="G5490" s="470"/>
      <c r="H5490" s="470">
        <v>5483</v>
      </c>
      <c r="I5490" s="455">
        <f t="shared" ca="1" si="208"/>
        <v>-855584059266149.63</v>
      </c>
      <c r="J5490" s="455">
        <f t="array" ref="J5490">IFERROR(INDEX('Retirement Calculator'!J:J,MATCH('Isaac 401k'!N5490,'Retirement Calculator'!A:A,0),0),0)</f>
        <v>0</v>
      </c>
      <c r="K5490" s="455">
        <f t="shared" ca="1" si="206"/>
        <v>-3564933580275.6235</v>
      </c>
      <c r="L5490" s="455">
        <f t="shared" ca="1" si="207"/>
        <v>-859148992846425.25</v>
      </c>
      <c r="M5490" s="471">
        <f t="shared" si="209"/>
        <v>0.05</v>
      </c>
      <c r="N5490" s="475">
        <f t="shared" si="210"/>
        <v>218143</v>
      </c>
    </row>
    <row r="5491" spans="7:14" ht="11.25" customHeight="1" x14ac:dyDescent="0.3">
      <c r="G5491" s="470"/>
      <c r="H5491" s="470">
        <v>5484</v>
      </c>
      <c r="I5491" s="455">
        <f t="shared" ca="1" si="208"/>
        <v>-859148992846425.25</v>
      </c>
      <c r="J5491" s="455">
        <f t="array" ref="J5491">IFERROR(INDEX('Retirement Calculator'!J:J,MATCH('Isaac 401k'!N5491,'Retirement Calculator'!A:A,0),0),0)</f>
        <v>0</v>
      </c>
      <c r="K5491" s="455">
        <f t="shared" ca="1" si="206"/>
        <v>-3579787470193.4385</v>
      </c>
      <c r="L5491" s="455">
        <f t="shared" ca="1" si="207"/>
        <v>-862728780316618.75</v>
      </c>
      <c r="M5491" s="471">
        <f t="shared" si="209"/>
        <v>0.05</v>
      </c>
      <c r="N5491" s="475">
        <f t="shared" si="210"/>
        <v>218173</v>
      </c>
    </row>
    <row r="5492" spans="7:14" ht="11.25" customHeight="1" x14ac:dyDescent="0.3">
      <c r="G5492" s="470"/>
      <c r="H5492" s="470">
        <v>5485</v>
      </c>
      <c r="I5492" s="455">
        <f t="shared" ca="1" si="208"/>
        <v>-862728780316618.75</v>
      </c>
      <c r="J5492" s="455">
        <f t="array" ref="J5492">IFERROR(INDEX('Retirement Calculator'!J:J,MATCH('Isaac 401k'!N5492,'Retirement Calculator'!A:A,0),0),0)</f>
        <v>0</v>
      </c>
      <c r="K5492" s="455">
        <f t="shared" ca="1" si="206"/>
        <v>-3594703251319.2446</v>
      </c>
      <c r="L5492" s="455">
        <f t="shared" ca="1" si="207"/>
        <v>-866323483567938</v>
      </c>
      <c r="M5492" s="471">
        <f t="shared" si="209"/>
        <v>0.05</v>
      </c>
      <c r="N5492" s="475">
        <f t="shared" si="210"/>
        <v>218204</v>
      </c>
    </row>
    <row r="5493" spans="7:14" ht="11.25" customHeight="1" x14ac:dyDescent="0.3">
      <c r="G5493" s="470"/>
      <c r="H5493" s="470">
        <v>5486</v>
      </c>
      <c r="I5493" s="455">
        <f t="shared" ca="1" si="208"/>
        <v>-866323483567938</v>
      </c>
      <c r="J5493" s="455">
        <f t="array" ref="J5493">IFERROR(INDEX('Retirement Calculator'!J:J,MATCH('Isaac 401k'!N5493,'Retirement Calculator'!A:A,0),0),0)</f>
        <v>0</v>
      </c>
      <c r="K5493" s="455">
        <f t="shared" ca="1" si="206"/>
        <v>-3609681181533.0747</v>
      </c>
      <c r="L5493" s="455">
        <f t="shared" ca="1" si="207"/>
        <v>-869933164749471.13</v>
      </c>
      <c r="M5493" s="471">
        <f t="shared" si="209"/>
        <v>0.05</v>
      </c>
      <c r="N5493" s="475">
        <f t="shared" si="210"/>
        <v>218234</v>
      </c>
    </row>
    <row r="5494" spans="7:14" ht="11.25" customHeight="1" x14ac:dyDescent="0.3">
      <c r="G5494" s="470"/>
      <c r="H5494" s="470">
        <v>5487</v>
      </c>
      <c r="I5494" s="455">
        <f t="shared" ca="1" si="208"/>
        <v>-869933164749471.13</v>
      </c>
      <c r="J5494" s="455">
        <f t="array" ref="J5494">IFERROR(INDEX('Retirement Calculator'!J:J,MATCH('Isaac 401k'!N5494,'Retirement Calculator'!A:A,0),0),0)</f>
        <v>0</v>
      </c>
      <c r="K5494" s="455">
        <f t="shared" ca="1" si="206"/>
        <v>-3624721519789.4629</v>
      </c>
      <c r="L5494" s="455">
        <f t="shared" ca="1" si="207"/>
        <v>-873557886269260.63</v>
      </c>
      <c r="M5494" s="471">
        <f t="shared" si="209"/>
        <v>0.05</v>
      </c>
      <c r="N5494" s="475">
        <f t="shared" si="210"/>
        <v>218265</v>
      </c>
    </row>
    <row r="5495" spans="7:14" ht="11.25" customHeight="1" x14ac:dyDescent="0.3">
      <c r="G5495" s="470"/>
      <c r="H5495" s="470">
        <v>5488</v>
      </c>
      <c r="I5495" s="455">
        <f t="shared" ca="1" si="208"/>
        <v>-873557886269260.63</v>
      </c>
      <c r="J5495" s="455">
        <f t="array" ref="J5495">IFERROR(INDEX('Retirement Calculator'!J:J,MATCH('Isaac 401k'!N5495,'Retirement Calculator'!A:A,0),0),0)</f>
        <v>0</v>
      </c>
      <c r="K5495" s="455">
        <f t="shared" ca="1" si="206"/>
        <v>-3639824526121.9194</v>
      </c>
      <c r="L5495" s="455">
        <f t="shared" ca="1" si="207"/>
        <v>-877197710795382.5</v>
      </c>
      <c r="M5495" s="471">
        <f t="shared" si="209"/>
        <v>0.05</v>
      </c>
      <c r="N5495" s="475">
        <f t="shared" si="210"/>
        <v>218296</v>
      </c>
    </row>
    <row r="5496" spans="7:14" ht="11.25" customHeight="1" x14ac:dyDescent="0.3">
      <c r="G5496" s="470"/>
      <c r="H5496" s="470">
        <v>5489</v>
      </c>
      <c r="I5496" s="455">
        <f t="shared" ca="1" si="208"/>
        <v>-877197710795382.5</v>
      </c>
      <c r="J5496" s="455">
        <f t="array" ref="J5496">IFERROR(INDEX('Retirement Calculator'!J:J,MATCH('Isaac 401k'!N5496,'Retirement Calculator'!A:A,0),0),0)</f>
        <v>0</v>
      </c>
      <c r="K5496" s="455">
        <f t="shared" ca="1" si="206"/>
        <v>-3654990461647.4272</v>
      </c>
      <c r="L5496" s="455">
        <f t="shared" ca="1" si="207"/>
        <v>-880852701257029.88</v>
      </c>
      <c r="M5496" s="471">
        <f t="shared" si="209"/>
        <v>0.05</v>
      </c>
      <c r="N5496" s="475">
        <f t="shared" si="210"/>
        <v>218326</v>
      </c>
    </row>
    <row r="5497" spans="7:14" ht="11.25" customHeight="1" x14ac:dyDescent="0.3">
      <c r="G5497" s="470"/>
      <c r="H5497" s="470">
        <v>5490</v>
      </c>
      <c r="I5497" s="455">
        <f t="shared" ca="1" si="208"/>
        <v>-880852701257029.88</v>
      </c>
      <c r="J5497" s="455">
        <f t="array" ref="J5497">IFERROR(INDEX('Retirement Calculator'!J:J,MATCH('Isaac 401k'!N5497,'Retirement Calculator'!A:A,0),0),0)</f>
        <v>0</v>
      </c>
      <c r="K5497" s="455">
        <f t="shared" ca="1" si="206"/>
        <v>-3670219588570.9575</v>
      </c>
      <c r="L5497" s="455">
        <f t="shared" ca="1" si="207"/>
        <v>-884522920845600.88</v>
      </c>
      <c r="M5497" s="471">
        <f t="shared" si="209"/>
        <v>0.05</v>
      </c>
      <c r="N5497" s="475">
        <f t="shared" si="210"/>
        <v>218357</v>
      </c>
    </row>
    <row r="5498" spans="7:14" ht="11.25" customHeight="1" x14ac:dyDescent="0.3">
      <c r="G5498" s="470"/>
      <c r="H5498" s="470">
        <v>5491</v>
      </c>
      <c r="I5498" s="455">
        <f t="shared" ca="1" si="208"/>
        <v>-884522920845600.88</v>
      </c>
      <c r="J5498" s="455">
        <f t="array" ref="J5498">IFERROR(INDEX('Retirement Calculator'!J:J,MATCH('Isaac 401k'!N5498,'Retirement Calculator'!A:A,0),0),0)</f>
        <v>0</v>
      </c>
      <c r="K5498" s="455">
        <f t="shared" ca="1" si="206"/>
        <v>-3685512170190.0034</v>
      </c>
      <c r="L5498" s="455">
        <f t="shared" ca="1" si="207"/>
        <v>-888208433015790.88</v>
      </c>
      <c r="M5498" s="471">
        <f t="shared" si="209"/>
        <v>0.05</v>
      </c>
      <c r="N5498" s="475">
        <f t="shared" si="210"/>
        <v>218387</v>
      </c>
    </row>
    <row r="5499" spans="7:14" ht="11.25" customHeight="1" x14ac:dyDescent="0.3">
      <c r="G5499" s="470"/>
      <c r="H5499" s="470">
        <v>5492</v>
      </c>
      <c r="I5499" s="455">
        <f t="shared" ca="1" si="208"/>
        <v>-888208433015790.88</v>
      </c>
      <c r="J5499" s="455">
        <f t="array" ref="J5499">IFERROR(INDEX('Retirement Calculator'!J:J,MATCH('Isaac 401k'!N5499,'Retirement Calculator'!A:A,0),0),0)</f>
        <v>0</v>
      </c>
      <c r="K5499" s="455">
        <f t="shared" ca="1" si="206"/>
        <v>-3700868470899.1289</v>
      </c>
      <c r="L5499" s="455">
        <f t="shared" ca="1" si="207"/>
        <v>-891909301486690</v>
      </c>
      <c r="M5499" s="471">
        <f t="shared" si="209"/>
        <v>0.05</v>
      </c>
      <c r="N5499" s="475">
        <f t="shared" si="210"/>
        <v>218418</v>
      </c>
    </row>
    <row r="5500" spans="7:14" ht="11.25" customHeight="1" x14ac:dyDescent="0.3">
      <c r="G5500" s="470"/>
      <c r="H5500" s="470">
        <v>5493</v>
      </c>
      <c r="I5500" s="455">
        <f t="shared" ca="1" si="208"/>
        <v>-891909301486690</v>
      </c>
      <c r="J5500" s="455">
        <f t="array" ref="J5500">IFERROR(INDEX('Retirement Calculator'!J:J,MATCH('Isaac 401k'!N5500,'Retirement Calculator'!A:A,0),0),0)</f>
        <v>0</v>
      </c>
      <c r="K5500" s="455">
        <f t="shared" ca="1" si="206"/>
        <v>-3716288756194.5415</v>
      </c>
      <c r="L5500" s="455">
        <f t="shared" ca="1" si="207"/>
        <v>-895625590242884.5</v>
      </c>
      <c r="M5500" s="471">
        <f t="shared" si="209"/>
        <v>0.05</v>
      </c>
      <c r="N5500" s="475">
        <f t="shared" si="210"/>
        <v>218449</v>
      </c>
    </row>
    <row r="5501" spans="7:14" ht="11.25" customHeight="1" x14ac:dyDescent="0.3">
      <c r="G5501" s="470"/>
      <c r="H5501" s="470">
        <v>5494</v>
      </c>
      <c r="I5501" s="455">
        <f t="shared" ca="1" si="208"/>
        <v>-895625590242884.5</v>
      </c>
      <c r="J5501" s="455">
        <f t="array" ref="J5501">IFERROR(INDEX('Retirement Calculator'!J:J,MATCH('Isaac 401k'!N5501,'Retirement Calculator'!A:A,0),0),0)</f>
        <v>0</v>
      </c>
      <c r="K5501" s="455">
        <f t="shared" ca="1" si="206"/>
        <v>-3731773292678.686</v>
      </c>
      <c r="L5501" s="455">
        <f t="shared" ca="1" si="207"/>
        <v>-899357363535563.13</v>
      </c>
      <c r="M5501" s="471">
        <f t="shared" si="209"/>
        <v>0.05</v>
      </c>
      <c r="N5501" s="475">
        <f t="shared" si="210"/>
        <v>218477</v>
      </c>
    </row>
    <row r="5502" spans="7:14" ht="11.25" customHeight="1" x14ac:dyDescent="0.3">
      <c r="G5502" s="470"/>
      <c r="H5502" s="470">
        <v>5495</v>
      </c>
      <c r="I5502" s="455">
        <f t="shared" ca="1" si="208"/>
        <v>-899357363535563.13</v>
      </c>
      <c r="J5502" s="455">
        <f t="array" ref="J5502">IFERROR(INDEX('Retirement Calculator'!J:J,MATCH('Isaac 401k'!N5502,'Retirement Calculator'!A:A,0),0),0)</f>
        <v>0</v>
      </c>
      <c r="K5502" s="455">
        <f t="shared" ca="1" si="206"/>
        <v>-3747322348064.8462</v>
      </c>
      <c r="L5502" s="455">
        <f t="shared" ca="1" si="207"/>
        <v>-903104685883628</v>
      </c>
      <c r="M5502" s="471">
        <f t="shared" si="209"/>
        <v>0.05</v>
      </c>
      <c r="N5502" s="475">
        <f t="shared" si="210"/>
        <v>218508</v>
      </c>
    </row>
    <row r="5503" spans="7:14" ht="11.25" customHeight="1" x14ac:dyDescent="0.3">
      <c r="G5503" s="470"/>
      <c r="H5503" s="470">
        <v>5496</v>
      </c>
      <c r="I5503" s="455">
        <f t="shared" ca="1" si="208"/>
        <v>-903104685883628</v>
      </c>
      <c r="J5503" s="455">
        <f t="array" ref="J5503">IFERROR(INDEX('Retirement Calculator'!J:J,MATCH('Isaac 401k'!N5503,'Retirement Calculator'!A:A,0),0),0)</f>
        <v>0</v>
      </c>
      <c r="K5503" s="455">
        <f t="shared" ca="1" si="206"/>
        <v>-3762936191181.7832</v>
      </c>
      <c r="L5503" s="455">
        <f t="shared" ca="1" si="207"/>
        <v>-906867622074809.75</v>
      </c>
      <c r="M5503" s="471">
        <f t="shared" si="209"/>
        <v>0.05</v>
      </c>
      <c r="N5503" s="475">
        <f t="shared" si="210"/>
        <v>218538</v>
      </c>
    </row>
    <row r="5504" spans="7:14" ht="11.25" customHeight="1" x14ac:dyDescent="0.3">
      <c r="G5504" s="470"/>
      <c r="H5504" s="470">
        <v>5497</v>
      </c>
      <c r="I5504" s="455">
        <f t="shared" ca="1" si="208"/>
        <v>-906867622074809.75</v>
      </c>
      <c r="J5504" s="455">
        <f t="array" ref="J5504">IFERROR(INDEX('Retirement Calculator'!J:J,MATCH('Isaac 401k'!N5504,'Retirement Calculator'!A:A,0),0),0)</f>
        <v>0</v>
      </c>
      <c r="K5504" s="455">
        <f t="shared" ca="1" si="206"/>
        <v>-3778615091978.374</v>
      </c>
      <c r="L5504" s="455">
        <f t="shared" ca="1" si="207"/>
        <v>-910646237166788.13</v>
      </c>
      <c r="M5504" s="471">
        <f t="shared" si="209"/>
        <v>0.05</v>
      </c>
      <c r="N5504" s="475">
        <f t="shared" si="210"/>
        <v>218569</v>
      </c>
    </row>
    <row r="5505" spans="7:14" ht="11.25" customHeight="1" x14ac:dyDescent="0.3">
      <c r="G5505" s="470"/>
      <c r="H5505" s="470">
        <v>5498</v>
      </c>
      <c r="I5505" s="455">
        <f t="shared" ca="1" si="208"/>
        <v>-910646237166788.13</v>
      </c>
      <c r="J5505" s="455">
        <f t="array" ref="J5505">IFERROR(INDEX('Retirement Calculator'!J:J,MATCH('Isaac 401k'!N5505,'Retirement Calculator'!A:A,0),0),0)</f>
        <v>0</v>
      </c>
      <c r="K5505" s="455">
        <f t="shared" ca="1" si="206"/>
        <v>-3794359321528.2837</v>
      </c>
      <c r="L5505" s="455">
        <f t="shared" ca="1" si="207"/>
        <v>-914440596488316.38</v>
      </c>
      <c r="M5505" s="471">
        <f t="shared" si="209"/>
        <v>0.05</v>
      </c>
      <c r="N5505" s="475">
        <f t="shared" si="210"/>
        <v>218599</v>
      </c>
    </row>
    <row r="5506" spans="7:14" ht="11.25" customHeight="1" x14ac:dyDescent="0.3">
      <c r="G5506" s="470"/>
      <c r="H5506" s="470">
        <v>5499</v>
      </c>
      <c r="I5506" s="455">
        <f t="shared" ca="1" si="208"/>
        <v>-914440596488316.38</v>
      </c>
      <c r="J5506" s="455">
        <f t="array" ref="J5506">IFERROR(INDEX('Retirement Calculator'!J:J,MATCH('Isaac 401k'!N5506,'Retirement Calculator'!A:A,0),0),0)</f>
        <v>0</v>
      </c>
      <c r="K5506" s="455">
        <f t="shared" ca="1" si="206"/>
        <v>-3810169152034.6514</v>
      </c>
      <c r="L5506" s="455">
        <f t="shared" ca="1" si="207"/>
        <v>-918250765640351</v>
      </c>
      <c r="M5506" s="471">
        <f t="shared" si="209"/>
        <v>0.05</v>
      </c>
      <c r="N5506" s="475">
        <f t="shared" si="210"/>
        <v>218630</v>
      </c>
    </row>
    <row r="5507" spans="7:14" ht="11.25" customHeight="1" x14ac:dyDescent="0.3">
      <c r="G5507" s="470"/>
      <c r="H5507" s="470">
        <v>5500</v>
      </c>
      <c r="I5507" s="455">
        <f t="shared" ca="1" si="208"/>
        <v>-918250765640351</v>
      </c>
      <c r="J5507" s="455">
        <f t="array" ref="J5507">IFERROR(INDEX('Retirement Calculator'!J:J,MATCH('Isaac 401k'!N5507,'Retirement Calculator'!A:A,0),0),0)</f>
        <v>0</v>
      </c>
      <c r="K5507" s="455">
        <f t="shared" ca="1" si="206"/>
        <v>-3826044856834.7959</v>
      </c>
      <c r="L5507" s="455">
        <f t="shared" ca="1" si="207"/>
        <v>-922076810497185.75</v>
      </c>
      <c r="M5507" s="471">
        <f t="shared" si="209"/>
        <v>0.05</v>
      </c>
      <c r="N5507" s="475">
        <f t="shared" si="210"/>
        <v>218661</v>
      </c>
    </row>
    <row r="5508" spans="7:14" ht="11.25" customHeight="1" x14ac:dyDescent="0.3">
      <c r="G5508" s="470"/>
      <c r="H5508" s="470">
        <v>5501</v>
      </c>
      <c r="I5508" s="455">
        <f t="shared" ca="1" si="208"/>
        <v>-922076810497185.75</v>
      </c>
      <c r="J5508" s="455">
        <f t="array" ref="J5508">IFERROR(INDEX('Retirement Calculator'!J:J,MATCH('Isaac 401k'!N5508,'Retirement Calculator'!A:A,0),0),0)</f>
        <v>0</v>
      </c>
      <c r="K5508" s="455">
        <f t="shared" ca="1" si="206"/>
        <v>-3841986710404.9404</v>
      </c>
      <c r="L5508" s="455">
        <f t="shared" ca="1" si="207"/>
        <v>-925918797207590.75</v>
      </c>
      <c r="M5508" s="471">
        <f t="shared" si="209"/>
        <v>0.05</v>
      </c>
      <c r="N5508" s="475">
        <f t="shared" si="210"/>
        <v>218691</v>
      </c>
    </row>
    <row r="5509" spans="7:14" ht="11.25" customHeight="1" x14ac:dyDescent="0.3">
      <c r="G5509" s="470"/>
      <c r="H5509" s="470">
        <v>5502</v>
      </c>
      <c r="I5509" s="455">
        <f t="shared" ca="1" si="208"/>
        <v>-925918797207590.75</v>
      </c>
      <c r="J5509" s="455">
        <f t="array" ref="J5509">IFERROR(INDEX('Retirement Calculator'!J:J,MATCH('Isaac 401k'!N5509,'Retirement Calculator'!A:A,0),0),0)</f>
        <v>0</v>
      </c>
      <c r="K5509" s="455">
        <f t="shared" ca="1" si="206"/>
        <v>-3857994988364.9614</v>
      </c>
      <c r="L5509" s="455">
        <f t="shared" ca="1" si="207"/>
        <v>-929776792195955.75</v>
      </c>
      <c r="M5509" s="471">
        <f t="shared" si="209"/>
        <v>0.05</v>
      </c>
      <c r="N5509" s="475">
        <f t="shared" si="210"/>
        <v>218722</v>
      </c>
    </row>
    <row r="5510" spans="7:14" ht="11.25" customHeight="1" x14ac:dyDescent="0.3">
      <c r="G5510" s="470"/>
      <c r="H5510" s="470">
        <v>5503</v>
      </c>
      <c r="I5510" s="455">
        <f t="shared" ca="1" si="208"/>
        <v>-929776792195955.75</v>
      </c>
      <c r="J5510" s="455">
        <f t="array" ref="J5510">IFERROR(INDEX('Retirement Calculator'!J:J,MATCH('Isaac 401k'!N5510,'Retirement Calculator'!A:A,0),0),0)</f>
        <v>0</v>
      </c>
      <c r="K5510" s="455">
        <f t="shared" ca="1" si="206"/>
        <v>-3874069967483.1489</v>
      </c>
      <c r="L5510" s="455">
        <f t="shared" ca="1" si="207"/>
        <v>-933650862163438.88</v>
      </c>
      <c r="M5510" s="471">
        <f t="shared" si="209"/>
        <v>0.05</v>
      </c>
      <c r="N5510" s="475">
        <f t="shared" si="210"/>
        <v>218752</v>
      </c>
    </row>
    <row r="5511" spans="7:14" ht="11.25" customHeight="1" x14ac:dyDescent="0.3">
      <c r="G5511" s="470"/>
      <c r="H5511" s="470">
        <v>5504</v>
      </c>
      <c r="I5511" s="455">
        <f t="shared" ca="1" si="208"/>
        <v>-933650862163438.88</v>
      </c>
      <c r="J5511" s="455">
        <f t="array" ref="J5511">IFERROR(INDEX('Retirement Calculator'!J:J,MATCH('Isaac 401k'!N5511,'Retirement Calculator'!A:A,0),0),0)</f>
        <v>0</v>
      </c>
      <c r="K5511" s="455">
        <f t="shared" ca="1" si="206"/>
        <v>-3890211925680.9956</v>
      </c>
      <c r="L5511" s="455">
        <f t="shared" ca="1" si="207"/>
        <v>-937541074089119.88</v>
      </c>
      <c r="M5511" s="471">
        <f t="shared" si="209"/>
        <v>0.05</v>
      </c>
      <c r="N5511" s="475">
        <f t="shared" si="210"/>
        <v>218783</v>
      </c>
    </row>
    <row r="5512" spans="7:14" ht="11.25" customHeight="1" x14ac:dyDescent="0.3">
      <c r="G5512" s="470"/>
      <c r="H5512" s="470">
        <v>5505</v>
      </c>
      <c r="I5512" s="455">
        <f t="shared" ca="1" si="208"/>
        <v>-937541074089119.88</v>
      </c>
      <c r="J5512" s="455">
        <f t="array" ref="J5512">IFERROR(INDEX('Retirement Calculator'!J:J,MATCH('Isaac 401k'!N5512,'Retirement Calculator'!A:A,0),0),0)</f>
        <v>0</v>
      </c>
      <c r="K5512" s="455">
        <f t="shared" ca="1" si="206"/>
        <v>-3906421142037.999</v>
      </c>
      <c r="L5512" s="455">
        <f t="shared" ca="1" si="207"/>
        <v>-941447495231157.88</v>
      </c>
      <c r="M5512" s="471">
        <f t="shared" si="209"/>
        <v>0.05</v>
      </c>
      <c r="N5512" s="475">
        <f t="shared" si="210"/>
        <v>218814</v>
      </c>
    </row>
    <row r="5513" spans="7:14" ht="11.25" customHeight="1" x14ac:dyDescent="0.3">
      <c r="G5513" s="470"/>
      <c r="H5513" s="470">
        <v>5506</v>
      </c>
      <c r="I5513" s="455">
        <f t="shared" ca="1" si="208"/>
        <v>-941447495231157.88</v>
      </c>
      <c r="J5513" s="455">
        <f t="array" ref="J5513">IFERROR(INDEX('Retirement Calculator'!J:J,MATCH('Isaac 401k'!N5513,'Retirement Calculator'!A:A,0),0),0)</f>
        <v>0</v>
      </c>
      <c r="K5513" s="455">
        <f t="shared" ca="1" si="206"/>
        <v>-3922697896796.4917</v>
      </c>
      <c r="L5513" s="455">
        <f t="shared" ca="1" si="207"/>
        <v>-945370193127954.38</v>
      </c>
      <c r="M5513" s="471">
        <f t="shared" si="209"/>
        <v>0.05</v>
      </c>
      <c r="N5513" s="475">
        <f t="shared" si="210"/>
        <v>218842</v>
      </c>
    </row>
    <row r="5514" spans="7:14" ht="11.25" customHeight="1" x14ac:dyDescent="0.3">
      <c r="G5514" s="470"/>
      <c r="H5514" s="470">
        <v>5507</v>
      </c>
      <c r="I5514" s="455">
        <f t="shared" ca="1" si="208"/>
        <v>-945370193127954.38</v>
      </c>
      <c r="J5514" s="455">
        <f t="array" ref="J5514">IFERROR(INDEX('Retirement Calculator'!J:J,MATCH('Isaac 401k'!N5514,'Retirement Calculator'!A:A,0),0),0)</f>
        <v>0</v>
      </c>
      <c r="K5514" s="455">
        <f t="shared" ca="1" si="206"/>
        <v>-3939042471366.4761</v>
      </c>
      <c r="L5514" s="455">
        <f t="shared" ca="1" si="207"/>
        <v>-949309235599320.88</v>
      </c>
      <c r="M5514" s="471">
        <f t="shared" si="209"/>
        <v>0.05</v>
      </c>
      <c r="N5514" s="475">
        <f t="shared" si="210"/>
        <v>218873</v>
      </c>
    </row>
    <row r="5515" spans="7:14" ht="11.25" customHeight="1" x14ac:dyDescent="0.3">
      <c r="G5515" s="470"/>
      <c r="H5515" s="470">
        <v>5508</v>
      </c>
      <c r="I5515" s="455">
        <f t="shared" ca="1" si="208"/>
        <v>-949309235599320.88</v>
      </c>
      <c r="J5515" s="455">
        <f t="array" ref="J5515">IFERROR(INDEX('Retirement Calculator'!J:J,MATCH('Isaac 401k'!N5515,'Retirement Calculator'!A:A,0),0),0)</f>
        <v>0</v>
      </c>
      <c r="K5515" s="455">
        <f t="shared" ca="1" si="206"/>
        <v>-3955455148330.5034</v>
      </c>
      <c r="L5515" s="455">
        <f t="shared" ca="1" si="207"/>
        <v>-953264690747651.38</v>
      </c>
      <c r="M5515" s="471">
        <f t="shared" si="209"/>
        <v>0.05</v>
      </c>
      <c r="N5515" s="475">
        <f t="shared" si="210"/>
        <v>218903</v>
      </c>
    </row>
    <row r="5516" spans="7:14" ht="11.25" customHeight="1" x14ac:dyDescent="0.3">
      <c r="G5516" s="470"/>
      <c r="H5516" s="470">
        <v>5509</v>
      </c>
      <c r="I5516" s="455">
        <f t="shared" ca="1" si="208"/>
        <v>-953264690747651.38</v>
      </c>
      <c r="J5516" s="455">
        <f t="array" ref="J5516">IFERROR(INDEX('Retirement Calculator'!J:J,MATCH('Isaac 401k'!N5516,'Retirement Calculator'!A:A,0),0),0)</f>
        <v>0</v>
      </c>
      <c r="K5516" s="455">
        <f t="shared" ca="1" si="206"/>
        <v>-3971936211448.5474</v>
      </c>
      <c r="L5516" s="455">
        <f t="shared" ca="1" si="207"/>
        <v>-957236626959099.88</v>
      </c>
      <c r="M5516" s="471">
        <f t="shared" si="209"/>
        <v>0.05</v>
      </c>
      <c r="N5516" s="475">
        <f t="shared" si="210"/>
        <v>218934</v>
      </c>
    </row>
    <row r="5517" spans="7:14" ht="11.25" customHeight="1" x14ac:dyDescent="0.3">
      <c r="G5517" s="470"/>
      <c r="H5517" s="470">
        <v>5510</v>
      </c>
      <c r="I5517" s="455">
        <f t="shared" ca="1" si="208"/>
        <v>-957236626959099.88</v>
      </c>
      <c r="J5517" s="455">
        <f t="array" ref="J5517">IFERROR(INDEX('Retirement Calculator'!J:J,MATCH('Isaac 401k'!N5517,'Retirement Calculator'!A:A,0),0),0)</f>
        <v>0</v>
      </c>
      <c r="K5517" s="455">
        <f t="shared" ca="1" si="206"/>
        <v>-3988485945662.916</v>
      </c>
      <c r="L5517" s="455">
        <f t="shared" ca="1" si="207"/>
        <v>-961225112904762.75</v>
      </c>
      <c r="M5517" s="471">
        <f t="shared" si="209"/>
        <v>0.05</v>
      </c>
      <c r="N5517" s="475">
        <f t="shared" si="210"/>
        <v>218964</v>
      </c>
    </row>
    <row r="5518" spans="7:14" ht="11.25" customHeight="1" x14ac:dyDescent="0.3">
      <c r="G5518" s="470"/>
      <c r="H5518" s="470">
        <v>5511</v>
      </c>
      <c r="I5518" s="455">
        <f t="shared" ca="1" si="208"/>
        <v>-961225112904762.75</v>
      </c>
      <c r="J5518" s="455">
        <f t="array" ref="J5518">IFERROR(INDEX('Retirement Calculator'!J:J,MATCH('Isaac 401k'!N5518,'Retirement Calculator'!A:A,0),0),0)</f>
        <v>0</v>
      </c>
      <c r="K5518" s="455">
        <f t="shared" ca="1" si="206"/>
        <v>-4005104637103.1782</v>
      </c>
      <c r="L5518" s="455">
        <f t="shared" ca="1" si="207"/>
        <v>-965230217541865.88</v>
      </c>
      <c r="M5518" s="471">
        <f t="shared" si="209"/>
        <v>0.05</v>
      </c>
      <c r="N5518" s="475">
        <f t="shared" si="210"/>
        <v>218995</v>
      </c>
    </row>
    <row r="5519" spans="7:14" ht="11.25" customHeight="1" x14ac:dyDescent="0.3">
      <c r="G5519" s="470"/>
      <c r="H5519" s="470">
        <v>5512</v>
      </c>
      <c r="I5519" s="455">
        <f t="shared" ca="1" si="208"/>
        <v>-965230217541865.88</v>
      </c>
      <c r="J5519" s="455">
        <f t="array" ref="J5519">IFERROR(INDEX('Retirement Calculator'!J:J,MATCH('Isaac 401k'!N5519,'Retirement Calculator'!A:A,0),0),0)</f>
        <v>0</v>
      </c>
      <c r="K5519" s="455">
        <f t="shared" ca="1" si="206"/>
        <v>-4021792573091.1079</v>
      </c>
      <c r="L5519" s="455">
        <f t="shared" ca="1" si="207"/>
        <v>-969252010114957</v>
      </c>
      <c r="M5519" s="471">
        <f t="shared" si="209"/>
        <v>0.05</v>
      </c>
      <c r="N5519" s="475">
        <f t="shared" si="210"/>
        <v>219026</v>
      </c>
    </row>
    <row r="5520" spans="7:14" ht="11.25" customHeight="1" x14ac:dyDescent="0.3">
      <c r="G5520" s="470"/>
      <c r="H5520" s="470">
        <v>5513</v>
      </c>
      <c r="I5520" s="455">
        <f t="shared" ca="1" si="208"/>
        <v>-969252010114957</v>
      </c>
      <c r="J5520" s="455">
        <f t="array" ref="J5520">IFERROR(INDEX('Retirement Calculator'!J:J,MATCH('Isaac 401k'!N5520,'Retirement Calculator'!A:A,0),0),0)</f>
        <v>0</v>
      </c>
      <c r="K5520" s="455">
        <f t="shared" ca="1" si="206"/>
        <v>-4038550042145.6538</v>
      </c>
      <c r="L5520" s="455">
        <f t="shared" ca="1" si="207"/>
        <v>-973290560157102.63</v>
      </c>
      <c r="M5520" s="471">
        <f t="shared" si="209"/>
        <v>0.05</v>
      </c>
      <c r="N5520" s="475">
        <f t="shared" si="210"/>
        <v>219056</v>
      </c>
    </row>
    <row r="5521" spans="7:14" ht="11.25" customHeight="1" x14ac:dyDescent="0.3">
      <c r="G5521" s="470"/>
      <c r="H5521" s="470">
        <v>5514</v>
      </c>
      <c r="I5521" s="455">
        <f t="shared" ca="1" si="208"/>
        <v>-973290560157102.63</v>
      </c>
      <c r="J5521" s="455">
        <f t="array" ref="J5521">IFERROR(INDEX('Retirement Calculator'!J:J,MATCH('Isaac 401k'!N5521,'Retirement Calculator'!A:A,0),0),0)</f>
        <v>0</v>
      </c>
      <c r="K5521" s="455">
        <f t="shared" ca="1" si="206"/>
        <v>-4055377333987.9277</v>
      </c>
      <c r="L5521" s="455">
        <f t="shared" ca="1" si="207"/>
        <v>-977345937491090.5</v>
      </c>
      <c r="M5521" s="471">
        <f t="shared" si="209"/>
        <v>0.05</v>
      </c>
      <c r="N5521" s="475">
        <f t="shared" si="210"/>
        <v>219087</v>
      </c>
    </row>
    <row r="5522" spans="7:14" ht="11.25" customHeight="1" x14ac:dyDescent="0.3">
      <c r="G5522" s="470"/>
      <c r="H5522" s="470">
        <v>5515</v>
      </c>
      <c r="I5522" s="455">
        <f t="shared" ca="1" si="208"/>
        <v>-977345937491090.5</v>
      </c>
      <c r="J5522" s="455">
        <f t="array" ref="J5522">IFERROR(INDEX('Retirement Calculator'!J:J,MATCH('Isaac 401k'!N5522,'Retirement Calculator'!A:A,0),0),0)</f>
        <v>0</v>
      </c>
      <c r="K5522" s="455">
        <f t="shared" ca="1" si="206"/>
        <v>-4072274739546.2104</v>
      </c>
      <c r="L5522" s="455">
        <f t="shared" ca="1" si="207"/>
        <v>-981418212230636.75</v>
      </c>
      <c r="M5522" s="471">
        <f t="shared" si="209"/>
        <v>0.05</v>
      </c>
      <c r="N5522" s="475">
        <f t="shared" si="210"/>
        <v>219117</v>
      </c>
    </row>
    <row r="5523" spans="7:14" ht="11.25" customHeight="1" x14ac:dyDescent="0.3">
      <c r="G5523" s="470"/>
      <c r="H5523" s="470">
        <v>5516</v>
      </c>
      <c r="I5523" s="455">
        <f t="shared" ca="1" si="208"/>
        <v>-981418212230636.75</v>
      </c>
      <c r="J5523" s="455">
        <f t="array" ref="J5523">IFERROR(INDEX('Retirement Calculator'!J:J,MATCH('Isaac 401k'!N5523,'Retirement Calculator'!A:A,0),0),0)</f>
        <v>0</v>
      </c>
      <c r="K5523" s="455">
        <f t="shared" ca="1" si="206"/>
        <v>-4089242550960.9863</v>
      </c>
      <c r="L5523" s="455">
        <f t="shared" ca="1" si="207"/>
        <v>-985507454781597.75</v>
      </c>
      <c r="M5523" s="471">
        <f t="shared" si="209"/>
        <v>0.05</v>
      </c>
      <c r="N5523" s="475">
        <f t="shared" si="210"/>
        <v>219148</v>
      </c>
    </row>
    <row r="5524" spans="7:14" ht="11.25" customHeight="1" x14ac:dyDescent="0.3">
      <c r="G5524" s="470"/>
      <c r="H5524" s="470">
        <v>5517</v>
      </c>
      <c r="I5524" s="455">
        <f t="shared" ca="1" si="208"/>
        <v>-985507454781597.75</v>
      </c>
      <c r="J5524" s="455">
        <f t="array" ref="J5524">IFERROR(INDEX('Retirement Calculator'!J:J,MATCH('Isaac 401k'!N5524,'Retirement Calculator'!A:A,0),0),0)</f>
        <v>0</v>
      </c>
      <c r="K5524" s="455">
        <f t="shared" ca="1" si="206"/>
        <v>-4106281061589.9902</v>
      </c>
      <c r="L5524" s="455">
        <f t="shared" ca="1" si="207"/>
        <v>-989613735843187.75</v>
      </c>
      <c r="M5524" s="471">
        <f t="shared" si="209"/>
        <v>0.05</v>
      </c>
      <c r="N5524" s="475">
        <f t="shared" si="210"/>
        <v>219179</v>
      </c>
    </row>
    <row r="5525" spans="7:14" ht="11.25" customHeight="1" x14ac:dyDescent="0.3">
      <c r="G5525" s="470"/>
      <c r="H5525" s="470">
        <v>5518</v>
      </c>
      <c r="I5525" s="455">
        <f t="shared" ca="1" si="208"/>
        <v>-989613735843187.75</v>
      </c>
      <c r="J5525" s="455">
        <f t="array" ref="J5525">IFERROR(INDEX('Retirement Calculator'!J:J,MATCH('Isaac 401k'!N5525,'Retirement Calculator'!A:A,0),0),0)</f>
        <v>0</v>
      </c>
      <c r="K5525" s="455">
        <f t="shared" ca="1" si="206"/>
        <v>-4123390566013.2822</v>
      </c>
      <c r="L5525" s="455">
        <f t="shared" ca="1" si="207"/>
        <v>-993737126409201</v>
      </c>
      <c r="M5525" s="471">
        <f t="shared" si="209"/>
        <v>0.05</v>
      </c>
      <c r="N5525" s="475">
        <f t="shared" si="210"/>
        <v>219207</v>
      </c>
    </row>
    <row r="5526" spans="7:14" ht="11.25" customHeight="1" x14ac:dyDescent="0.3">
      <c r="G5526" s="470"/>
      <c r="H5526" s="470">
        <v>5519</v>
      </c>
      <c r="I5526" s="455">
        <f t="shared" ca="1" si="208"/>
        <v>-993737126409201</v>
      </c>
      <c r="J5526" s="455">
        <f t="array" ref="J5526">IFERROR(INDEX('Retirement Calculator'!J:J,MATCH('Isaac 401k'!N5526,'Retirement Calculator'!A:A,0),0),0)</f>
        <v>0</v>
      </c>
      <c r="K5526" s="455">
        <f t="shared" ca="1" si="206"/>
        <v>-4140571360038.3374</v>
      </c>
      <c r="L5526" s="455">
        <f t="shared" ca="1" si="207"/>
        <v>-997877697769239.38</v>
      </c>
      <c r="M5526" s="471">
        <f t="shared" si="209"/>
        <v>0.05</v>
      </c>
      <c r="N5526" s="475">
        <f t="shared" si="210"/>
        <v>219238</v>
      </c>
    </row>
    <row r="5527" spans="7:14" ht="11.25" customHeight="1" x14ac:dyDescent="0.3">
      <c r="G5527" s="470"/>
      <c r="H5527" s="470">
        <v>5520</v>
      </c>
      <c r="I5527" s="455">
        <f t="shared" ca="1" si="208"/>
        <v>-997877697769239.38</v>
      </c>
      <c r="J5527" s="455">
        <f t="array" ref="J5527">IFERROR(INDEX('Retirement Calculator'!J:J,MATCH('Isaac 401k'!N5527,'Retirement Calculator'!A:A,0),0),0)</f>
        <v>0</v>
      </c>
      <c r="K5527" s="455">
        <f t="shared" ca="1" si="206"/>
        <v>-4157823740705.1641</v>
      </c>
      <c r="L5527" s="455">
        <f t="shared" ca="1" si="207"/>
        <v>-1002035521509944.5</v>
      </c>
      <c r="M5527" s="471">
        <f t="shared" si="209"/>
        <v>0.05</v>
      </c>
      <c r="N5527" s="475">
        <f t="shared" si="210"/>
        <v>219268</v>
      </c>
    </row>
    <row r="5528" spans="7:14" ht="11.25" customHeight="1" x14ac:dyDescent="0.3">
      <c r="G5528" s="470"/>
      <c r="H5528" s="470">
        <v>5521</v>
      </c>
      <c r="I5528" s="455">
        <f t="shared" ca="1" si="208"/>
        <v>-1002035521509944.5</v>
      </c>
      <c r="J5528" s="455">
        <f t="array" ref="J5528">IFERROR(INDEX('Retirement Calculator'!J:J,MATCH('Isaac 401k'!N5528,'Retirement Calculator'!A:A,0),0),0)</f>
        <v>0</v>
      </c>
      <c r="K5528" s="455">
        <f t="shared" ca="1" si="206"/>
        <v>-4175148006291.4355</v>
      </c>
      <c r="L5528" s="455">
        <f t="shared" ca="1" si="207"/>
        <v>-1006210669516235.9</v>
      </c>
      <c r="M5528" s="471">
        <f t="shared" si="209"/>
        <v>0.05</v>
      </c>
      <c r="N5528" s="475">
        <f t="shared" si="210"/>
        <v>219299</v>
      </c>
    </row>
    <row r="5529" spans="7:14" ht="11.25" customHeight="1" x14ac:dyDescent="0.3">
      <c r="G5529" s="470"/>
      <c r="H5529" s="470">
        <v>5522</v>
      </c>
      <c r="I5529" s="455">
        <f t="shared" ca="1" si="208"/>
        <v>-1006210669516235.9</v>
      </c>
      <c r="J5529" s="455">
        <f t="array" ref="J5529">IFERROR(INDEX('Retirement Calculator'!J:J,MATCH('Isaac 401k'!N5529,'Retirement Calculator'!A:A,0),0),0)</f>
        <v>0</v>
      </c>
      <c r="K5529" s="455">
        <f t="shared" ca="1" si="206"/>
        <v>-4192544456317.6494</v>
      </c>
      <c r="L5529" s="455">
        <f t="shared" ca="1" si="207"/>
        <v>-1010403213972553.5</v>
      </c>
      <c r="M5529" s="471">
        <f t="shared" si="209"/>
        <v>0.05</v>
      </c>
      <c r="N5529" s="475">
        <f t="shared" si="210"/>
        <v>219329</v>
      </c>
    </row>
    <row r="5530" spans="7:14" ht="11.25" customHeight="1" x14ac:dyDescent="0.3">
      <c r="G5530" s="470"/>
      <c r="H5530" s="470">
        <v>5523</v>
      </c>
      <c r="I5530" s="455">
        <f t="shared" ca="1" si="208"/>
        <v>-1010403213972553.5</v>
      </c>
      <c r="J5530" s="455">
        <f t="array" ref="J5530">IFERROR(INDEX('Retirement Calculator'!J:J,MATCH('Isaac 401k'!N5530,'Retirement Calculator'!A:A,0),0),0)</f>
        <v>0</v>
      </c>
      <c r="K5530" s="455">
        <f t="shared" ca="1" si="206"/>
        <v>-4210013391552.3062</v>
      </c>
      <c r="L5530" s="455">
        <f t="shared" ca="1" si="207"/>
        <v>-1014613227364105.8</v>
      </c>
      <c r="M5530" s="471">
        <f t="shared" si="209"/>
        <v>0.05</v>
      </c>
      <c r="N5530" s="475">
        <f t="shared" si="210"/>
        <v>219360</v>
      </c>
    </row>
    <row r="5531" spans="7:14" ht="11.25" customHeight="1" x14ac:dyDescent="0.3">
      <c r="G5531" s="470"/>
      <c r="H5531" s="470">
        <v>5524</v>
      </c>
      <c r="I5531" s="455">
        <f t="shared" ca="1" si="208"/>
        <v>-1014613227364105.8</v>
      </c>
      <c r="J5531" s="455">
        <f t="array" ref="J5531">IFERROR(INDEX('Retirement Calculator'!J:J,MATCH('Isaac 401k'!N5531,'Retirement Calculator'!A:A,0),0),0)</f>
        <v>0</v>
      </c>
      <c r="K5531" s="455">
        <f t="shared" ca="1" si="206"/>
        <v>-4227555114017.1079</v>
      </c>
      <c r="L5531" s="455">
        <f t="shared" ca="1" si="207"/>
        <v>-1018840782478122.9</v>
      </c>
      <c r="M5531" s="471">
        <f t="shared" si="209"/>
        <v>0.05</v>
      </c>
      <c r="N5531" s="475">
        <f t="shared" si="210"/>
        <v>219391</v>
      </c>
    </row>
    <row r="5532" spans="7:14" ht="11.25" customHeight="1" x14ac:dyDescent="0.3">
      <c r="G5532" s="470"/>
      <c r="H5532" s="470">
        <v>5525</v>
      </c>
      <c r="I5532" s="455">
        <f t="shared" ca="1" si="208"/>
        <v>-1018840782478122.9</v>
      </c>
      <c r="J5532" s="455">
        <f t="array" ref="J5532">IFERROR(INDEX('Retirement Calculator'!J:J,MATCH('Isaac 401k'!N5532,'Retirement Calculator'!A:A,0),0),0)</f>
        <v>0</v>
      </c>
      <c r="K5532" s="455">
        <f t="shared" ca="1" si="206"/>
        <v>-4245169926992.1787</v>
      </c>
      <c r="L5532" s="455">
        <f t="shared" ca="1" si="207"/>
        <v>-1023085952405115</v>
      </c>
      <c r="M5532" s="471">
        <f t="shared" si="209"/>
        <v>0.05</v>
      </c>
      <c r="N5532" s="475">
        <f t="shared" si="210"/>
        <v>219421</v>
      </c>
    </row>
    <row r="5533" spans="7:14" ht="11.25" customHeight="1" x14ac:dyDescent="0.3">
      <c r="G5533" s="470"/>
      <c r="H5533" s="470">
        <v>5526</v>
      </c>
      <c r="I5533" s="455">
        <f t="shared" ca="1" si="208"/>
        <v>-1023085952405115</v>
      </c>
      <c r="J5533" s="455">
        <f t="array" ref="J5533">IFERROR(INDEX('Retirement Calculator'!J:J,MATCH('Isaac 401k'!N5533,'Retirement Calculator'!A:A,0),0),0)</f>
        <v>0</v>
      </c>
      <c r="K5533" s="455">
        <f t="shared" ca="1" si="206"/>
        <v>-4262858135021.3125</v>
      </c>
      <c r="L5533" s="455">
        <f t="shared" ca="1" si="207"/>
        <v>-1027348810540136.3</v>
      </c>
      <c r="M5533" s="471">
        <f t="shared" si="209"/>
        <v>0.05</v>
      </c>
      <c r="N5533" s="475">
        <f t="shared" si="210"/>
        <v>219452</v>
      </c>
    </row>
    <row r="5534" spans="7:14" ht="11.25" customHeight="1" x14ac:dyDescent="0.3">
      <c r="G5534" s="470"/>
      <c r="H5534" s="470">
        <v>5527</v>
      </c>
      <c r="I5534" s="455">
        <f t="shared" ca="1" si="208"/>
        <v>-1027348810540136.3</v>
      </c>
      <c r="J5534" s="455">
        <f t="array" ref="J5534">IFERROR(INDEX('Retirement Calculator'!J:J,MATCH('Isaac 401k'!N5534,'Retirement Calculator'!A:A,0),0),0)</f>
        <v>0</v>
      </c>
      <c r="K5534" s="455">
        <f t="shared" ca="1" si="206"/>
        <v>-4280620043917.2344</v>
      </c>
      <c r="L5534" s="455">
        <f t="shared" ca="1" si="207"/>
        <v>-1031629430584053.5</v>
      </c>
      <c r="M5534" s="471">
        <f t="shared" si="209"/>
        <v>0.05</v>
      </c>
      <c r="N5534" s="475">
        <f t="shared" si="210"/>
        <v>219482</v>
      </c>
    </row>
    <row r="5535" spans="7:14" ht="11.25" customHeight="1" x14ac:dyDescent="0.3">
      <c r="G5535" s="470"/>
      <c r="H5535" s="470">
        <v>5528</v>
      </c>
      <c r="I5535" s="455">
        <f t="shared" ca="1" si="208"/>
        <v>-1031629430584053.5</v>
      </c>
      <c r="J5535" s="455">
        <f t="array" ref="J5535">IFERROR(INDEX('Retirement Calculator'!J:J,MATCH('Isaac 401k'!N5535,'Retirement Calculator'!A:A,0),0),0)</f>
        <v>0</v>
      </c>
      <c r="K5535" s="455">
        <f t="shared" ca="1" si="206"/>
        <v>-4298455960766.8892</v>
      </c>
      <c r="L5535" s="455">
        <f t="shared" ca="1" si="207"/>
        <v>-1035927886544820.4</v>
      </c>
      <c r="M5535" s="471">
        <f t="shared" si="209"/>
        <v>0.05</v>
      </c>
      <c r="N5535" s="475">
        <f t="shared" si="210"/>
        <v>219513</v>
      </c>
    </row>
    <row r="5536" spans="7:14" ht="11.25" customHeight="1" x14ac:dyDescent="0.3">
      <c r="G5536" s="470"/>
      <c r="H5536" s="470">
        <v>5529</v>
      </c>
      <c r="I5536" s="455">
        <f t="shared" ca="1" si="208"/>
        <v>-1035927886544820.4</v>
      </c>
      <c r="J5536" s="455">
        <f t="array" ref="J5536">IFERROR(INDEX('Retirement Calculator'!J:J,MATCH('Isaac 401k'!N5536,'Retirement Calculator'!A:A,0),0),0)</f>
        <v>0</v>
      </c>
      <c r="K5536" s="455">
        <f t="shared" ca="1" si="206"/>
        <v>-4316366193936.7515</v>
      </c>
      <c r="L5536" s="455">
        <f t="shared" ca="1" si="207"/>
        <v>-1040244252738757.1</v>
      </c>
      <c r="M5536" s="471">
        <f t="shared" si="209"/>
        <v>0.05</v>
      </c>
      <c r="N5536" s="475">
        <f t="shared" si="210"/>
        <v>219544</v>
      </c>
    </row>
    <row r="5537" spans="7:14" ht="11.25" customHeight="1" x14ac:dyDescent="0.3">
      <c r="G5537" s="470"/>
      <c r="H5537" s="470">
        <v>5530</v>
      </c>
      <c r="I5537" s="455">
        <f t="shared" ca="1" si="208"/>
        <v>-1040244252738757.1</v>
      </c>
      <c r="J5537" s="455">
        <f t="array" ref="J5537">IFERROR(INDEX('Retirement Calculator'!J:J,MATCH('Isaac 401k'!N5537,'Retirement Calculator'!A:A,0),0),0)</f>
        <v>0</v>
      </c>
      <c r="K5537" s="455">
        <f t="shared" ca="1" si="206"/>
        <v>-4334351053078.1548</v>
      </c>
      <c r="L5537" s="455">
        <f t="shared" ca="1" si="207"/>
        <v>-1044578603791835.3</v>
      </c>
      <c r="M5537" s="471">
        <f t="shared" si="209"/>
        <v>0.05</v>
      </c>
      <c r="N5537" s="475">
        <f t="shared" si="210"/>
        <v>219572</v>
      </c>
    </row>
    <row r="5538" spans="7:14" ht="11.25" customHeight="1" x14ac:dyDescent="0.3">
      <c r="G5538" s="470"/>
      <c r="H5538" s="470">
        <v>5531</v>
      </c>
      <c r="I5538" s="455">
        <f t="shared" ca="1" si="208"/>
        <v>-1044578603791835.3</v>
      </c>
      <c r="J5538" s="455">
        <f t="array" ref="J5538">IFERROR(INDEX('Retirement Calculator'!J:J,MATCH('Isaac 401k'!N5538,'Retirement Calculator'!A:A,0),0),0)</f>
        <v>0</v>
      </c>
      <c r="K5538" s="455">
        <f t="shared" ca="1" si="206"/>
        <v>-4352410849132.6465</v>
      </c>
      <c r="L5538" s="455">
        <f t="shared" ca="1" si="207"/>
        <v>-1048931014640967.9</v>
      </c>
      <c r="M5538" s="471">
        <f t="shared" si="209"/>
        <v>0.05</v>
      </c>
      <c r="N5538" s="475">
        <f t="shared" si="210"/>
        <v>219603</v>
      </c>
    </row>
    <row r="5539" spans="7:14" ht="11.25" customHeight="1" x14ac:dyDescent="0.3">
      <c r="G5539" s="470"/>
      <c r="H5539" s="470">
        <v>5532</v>
      </c>
      <c r="I5539" s="455">
        <f t="shared" ca="1" si="208"/>
        <v>-1048931014640967.9</v>
      </c>
      <c r="J5539" s="455">
        <f t="array" ref="J5539">IFERROR(INDEX('Retirement Calculator'!J:J,MATCH('Isaac 401k'!N5539,'Retirement Calculator'!A:A,0),0),0)</f>
        <v>0</v>
      </c>
      <c r="K5539" s="455">
        <f t="shared" ca="1" si="206"/>
        <v>-4370545894337.3662</v>
      </c>
      <c r="L5539" s="455">
        <f t="shared" ca="1" si="207"/>
        <v>-1053301560535305.3</v>
      </c>
      <c r="M5539" s="471">
        <f t="shared" si="209"/>
        <v>0.05</v>
      </c>
      <c r="N5539" s="475">
        <f t="shared" si="210"/>
        <v>219633</v>
      </c>
    </row>
    <row r="5540" spans="7:14" ht="11.25" customHeight="1" x14ac:dyDescent="0.3">
      <c r="G5540" s="470"/>
      <c r="H5540" s="470">
        <v>5533</v>
      </c>
      <c r="I5540" s="455">
        <f t="shared" ca="1" si="208"/>
        <v>-1053301560535305.3</v>
      </c>
      <c r="J5540" s="455">
        <f t="array" ref="J5540">IFERROR(INDEX('Retirement Calculator'!J:J,MATCH('Isaac 401k'!N5540,'Retirement Calculator'!A:A,0),0),0)</f>
        <v>0</v>
      </c>
      <c r="K5540" s="455">
        <f t="shared" ca="1" si="206"/>
        <v>-4388756502230.4385</v>
      </c>
      <c r="L5540" s="455">
        <f t="shared" ca="1" si="207"/>
        <v>-1057690317037535.8</v>
      </c>
      <c r="M5540" s="471">
        <f t="shared" si="209"/>
        <v>0.05</v>
      </c>
      <c r="N5540" s="475">
        <f t="shared" si="210"/>
        <v>219664</v>
      </c>
    </row>
    <row r="5541" spans="7:14" ht="11.25" customHeight="1" x14ac:dyDescent="0.3">
      <c r="G5541" s="470"/>
      <c r="H5541" s="470">
        <v>5534</v>
      </c>
      <c r="I5541" s="455">
        <f t="shared" ca="1" si="208"/>
        <v>-1057690317037535.8</v>
      </c>
      <c r="J5541" s="455">
        <f t="array" ref="J5541">IFERROR(INDEX('Retirement Calculator'!J:J,MATCH('Isaac 401k'!N5541,'Retirement Calculator'!A:A,0),0),0)</f>
        <v>0</v>
      </c>
      <c r="K5541" s="455">
        <f t="shared" ca="1" si="206"/>
        <v>-4407042987656.3984</v>
      </c>
      <c r="L5541" s="455">
        <f t="shared" ca="1" si="207"/>
        <v>-1062097360025192.1</v>
      </c>
      <c r="M5541" s="471">
        <f t="shared" si="209"/>
        <v>0.05</v>
      </c>
      <c r="N5541" s="475">
        <f t="shared" si="210"/>
        <v>219694</v>
      </c>
    </row>
    <row r="5542" spans="7:14" ht="11.25" customHeight="1" x14ac:dyDescent="0.3">
      <c r="G5542" s="470"/>
      <c r="H5542" s="470">
        <v>5535</v>
      </c>
      <c r="I5542" s="455">
        <f t="shared" ca="1" si="208"/>
        <v>-1062097360025192.1</v>
      </c>
      <c r="J5542" s="455">
        <f t="array" ref="J5542">IFERROR(INDEX('Retirement Calculator'!J:J,MATCH('Isaac 401k'!N5542,'Retirement Calculator'!A:A,0),0),0)</f>
        <v>0</v>
      </c>
      <c r="K5542" s="455">
        <f t="shared" ca="1" si="206"/>
        <v>-4425405666771.6338</v>
      </c>
      <c r="L5542" s="455">
        <f t="shared" ca="1" si="207"/>
        <v>-1066522765691963.8</v>
      </c>
      <c r="M5542" s="471">
        <f t="shared" si="209"/>
        <v>0.05</v>
      </c>
      <c r="N5542" s="475">
        <f t="shared" si="210"/>
        <v>219725</v>
      </c>
    </row>
    <row r="5543" spans="7:14" ht="11.25" customHeight="1" x14ac:dyDescent="0.3">
      <c r="G5543" s="470"/>
      <c r="H5543" s="470">
        <v>5536</v>
      </c>
      <c r="I5543" s="455">
        <f t="shared" ca="1" si="208"/>
        <v>-1066522765691963.8</v>
      </c>
      <c r="J5543" s="455">
        <f t="array" ref="J5543">IFERROR(INDEX('Retirement Calculator'!J:J,MATCH('Isaac 401k'!N5543,'Retirement Calculator'!A:A,0),0),0)</f>
        <v>0</v>
      </c>
      <c r="K5543" s="455">
        <f t="shared" ca="1" si="206"/>
        <v>-4443844857049.8486</v>
      </c>
      <c r="L5543" s="455">
        <f t="shared" ca="1" si="207"/>
        <v>-1070966610549013.6</v>
      </c>
      <c r="M5543" s="471">
        <f t="shared" si="209"/>
        <v>0.05</v>
      </c>
      <c r="N5543" s="475">
        <f t="shared" si="210"/>
        <v>219756</v>
      </c>
    </row>
    <row r="5544" spans="7:14" ht="11.25" customHeight="1" x14ac:dyDescent="0.3">
      <c r="G5544" s="470"/>
      <c r="H5544" s="470">
        <v>5537</v>
      </c>
      <c r="I5544" s="455">
        <f t="shared" ca="1" si="208"/>
        <v>-1070966610549013.6</v>
      </c>
      <c r="J5544" s="455">
        <f t="array" ref="J5544">IFERROR(INDEX('Retirement Calculator'!J:J,MATCH('Isaac 401k'!N5544,'Retirement Calculator'!A:A,0),0),0)</f>
        <v>0</v>
      </c>
      <c r="K5544" s="455">
        <f t="shared" ca="1" si="206"/>
        <v>-4462360877287.5566</v>
      </c>
      <c r="L5544" s="455">
        <f t="shared" ca="1" si="207"/>
        <v>-1075428971426301.1</v>
      </c>
      <c r="M5544" s="471">
        <f t="shared" si="209"/>
        <v>0.05</v>
      </c>
      <c r="N5544" s="475">
        <f t="shared" si="210"/>
        <v>219786</v>
      </c>
    </row>
    <row r="5545" spans="7:14" ht="11.25" customHeight="1" x14ac:dyDescent="0.3">
      <c r="G5545" s="470"/>
      <c r="H5545" s="470">
        <v>5538</v>
      </c>
      <c r="I5545" s="455">
        <f t="shared" ca="1" si="208"/>
        <v>-1075428971426301.1</v>
      </c>
      <c r="J5545" s="455">
        <f t="array" ref="J5545">IFERROR(INDEX('Retirement Calculator'!J:J,MATCH('Isaac 401k'!N5545,'Retirement Calculator'!A:A,0),0),0)</f>
        <v>0</v>
      </c>
      <c r="K5545" s="455">
        <f t="shared" ca="1" si="206"/>
        <v>-4480954047609.5889</v>
      </c>
      <c r="L5545" s="455">
        <f t="shared" ca="1" si="207"/>
        <v>-1079909925473910.8</v>
      </c>
      <c r="M5545" s="471">
        <f t="shared" si="209"/>
        <v>0.05</v>
      </c>
      <c r="N5545" s="475">
        <f t="shared" si="210"/>
        <v>219817</v>
      </c>
    </row>
    <row r="5546" spans="7:14" ht="11.25" customHeight="1" x14ac:dyDescent="0.3">
      <c r="G5546" s="470"/>
      <c r="H5546" s="470">
        <v>5539</v>
      </c>
      <c r="I5546" s="455">
        <f t="shared" ca="1" si="208"/>
        <v>-1079909925473910.8</v>
      </c>
      <c r="J5546" s="455">
        <f t="array" ref="J5546">IFERROR(INDEX('Retirement Calculator'!J:J,MATCH('Isaac 401k'!N5546,'Retirement Calculator'!A:A,0),0),0)</f>
        <v>0</v>
      </c>
      <c r="K5546" s="455">
        <f t="shared" ca="1" si="206"/>
        <v>-4499624689474.6289</v>
      </c>
      <c r="L5546" s="455">
        <f t="shared" ca="1" si="207"/>
        <v>-1084409550163385.4</v>
      </c>
      <c r="M5546" s="471">
        <f t="shared" si="209"/>
        <v>0.05</v>
      </c>
      <c r="N5546" s="475">
        <f t="shared" si="210"/>
        <v>219847</v>
      </c>
    </row>
    <row r="5547" spans="7:14" ht="11.25" customHeight="1" x14ac:dyDescent="0.3">
      <c r="G5547" s="470"/>
      <c r="H5547" s="470">
        <v>5540</v>
      </c>
      <c r="I5547" s="455">
        <f t="shared" ca="1" si="208"/>
        <v>-1084409550163385.4</v>
      </c>
      <c r="J5547" s="455">
        <f t="array" ref="J5547">IFERROR(INDEX('Retirement Calculator'!J:J,MATCH('Isaac 401k'!N5547,'Retirement Calculator'!A:A,0),0),0)</f>
        <v>0</v>
      </c>
      <c r="K5547" s="455">
        <f t="shared" ca="1" si="206"/>
        <v>-4518373125680.7725</v>
      </c>
      <c r="L5547" s="455">
        <f t="shared" ca="1" si="207"/>
        <v>-1088927923289066.1</v>
      </c>
      <c r="M5547" s="471">
        <f t="shared" si="209"/>
        <v>0.05</v>
      </c>
      <c r="N5547" s="475">
        <f t="shared" si="210"/>
        <v>219878</v>
      </c>
    </row>
    <row r="5548" spans="7:14" ht="11.25" customHeight="1" x14ac:dyDescent="0.3">
      <c r="G5548" s="470"/>
      <c r="H5548" s="470">
        <v>5541</v>
      </c>
      <c r="I5548" s="455">
        <f t="shared" ca="1" si="208"/>
        <v>-1088927923289066.1</v>
      </c>
      <c r="J5548" s="455">
        <f t="array" ref="J5548">IFERROR(INDEX('Retirement Calculator'!J:J,MATCH('Isaac 401k'!N5548,'Retirement Calculator'!A:A,0),0),0)</f>
        <v>0</v>
      </c>
      <c r="K5548" s="455">
        <f t="shared" ca="1" si="206"/>
        <v>-4537199680371.1094</v>
      </c>
      <c r="L5548" s="455">
        <f t="shared" ca="1" si="207"/>
        <v>-1093465122969437.3</v>
      </c>
      <c r="M5548" s="471">
        <f t="shared" si="209"/>
        <v>0.05</v>
      </c>
      <c r="N5548" s="475">
        <f t="shared" si="210"/>
        <v>219909</v>
      </c>
    </row>
    <row r="5549" spans="7:14" ht="11.25" customHeight="1" x14ac:dyDescent="0.3">
      <c r="G5549" s="470"/>
      <c r="H5549" s="470">
        <v>5542</v>
      </c>
      <c r="I5549" s="455">
        <f t="shared" ca="1" si="208"/>
        <v>-1093465122969437.3</v>
      </c>
      <c r="J5549" s="455">
        <f t="array" ref="J5549">IFERROR(INDEX('Retirement Calculator'!J:J,MATCH('Isaac 401k'!N5549,'Retirement Calculator'!A:A,0),0),0)</f>
        <v>0</v>
      </c>
      <c r="K5549" s="455">
        <f t="shared" ca="1" si="206"/>
        <v>-4556104679039.3223</v>
      </c>
      <c r="L5549" s="455">
        <f t="shared" ca="1" si="207"/>
        <v>-1098021227648476.6</v>
      </c>
      <c r="M5549" s="471">
        <f t="shared" si="209"/>
        <v>0.05</v>
      </c>
      <c r="N5549" s="475">
        <f t="shared" si="210"/>
        <v>219937</v>
      </c>
    </row>
    <row r="5550" spans="7:14" ht="11.25" customHeight="1" x14ac:dyDescent="0.3">
      <c r="G5550" s="470"/>
      <c r="H5550" s="470">
        <v>5543</v>
      </c>
      <c r="I5550" s="455">
        <f t="shared" ca="1" si="208"/>
        <v>-1098021227648476.6</v>
      </c>
      <c r="J5550" s="455">
        <f t="array" ref="J5550">IFERROR(INDEX('Retirement Calculator'!J:J,MATCH('Isaac 401k'!N5550,'Retirement Calculator'!A:A,0),0),0)</f>
        <v>0</v>
      </c>
      <c r="K5550" s="455">
        <f t="shared" ca="1" si="206"/>
        <v>-4575088448535.3193</v>
      </c>
      <c r="L5550" s="455">
        <f t="shared" ca="1" si="207"/>
        <v>-1102596316097012</v>
      </c>
      <c r="M5550" s="471">
        <f t="shared" si="209"/>
        <v>0.05</v>
      </c>
      <c r="N5550" s="475">
        <f t="shared" si="210"/>
        <v>219968</v>
      </c>
    </row>
    <row r="5551" spans="7:14" ht="11.25" customHeight="1" x14ac:dyDescent="0.3">
      <c r="G5551" s="470"/>
      <c r="H5551" s="470">
        <v>5544</v>
      </c>
      <c r="I5551" s="455">
        <f t="shared" ca="1" si="208"/>
        <v>-1102596316097012</v>
      </c>
      <c r="J5551" s="455">
        <f t="array" ref="J5551">IFERROR(INDEX('Retirement Calculator'!J:J,MATCH('Isaac 401k'!N5551,'Retirement Calculator'!A:A,0),0),0)</f>
        <v>0</v>
      </c>
      <c r="K5551" s="455">
        <f t="shared" ca="1" si="206"/>
        <v>-4594151317070.8828</v>
      </c>
      <c r="L5551" s="455">
        <f t="shared" ca="1" si="207"/>
        <v>-1107190467414082.9</v>
      </c>
      <c r="M5551" s="471">
        <f t="shared" si="209"/>
        <v>0.05</v>
      </c>
      <c r="N5551" s="475">
        <f t="shared" si="210"/>
        <v>219998</v>
      </c>
    </row>
    <row r="5552" spans="7:14" ht="11.25" customHeight="1" x14ac:dyDescent="0.3">
      <c r="G5552" s="470"/>
      <c r="H5552" s="470">
        <v>5545</v>
      </c>
      <c r="I5552" s="455">
        <f t="shared" ca="1" si="208"/>
        <v>-1107190467414082.9</v>
      </c>
      <c r="J5552" s="455">
        <f t="array" ref="J5552">IFERROR(INDEX('Retirement Calculator'!J:J,MATCH('Isaac 401k'!N5552,'Retirement Calculator'!A:A,0),0),0)</f>
        <v>0</v>
      </c>
      <c r="K5552" s="455">
        <f t="shared" ca="1" si="206"/>
        <v>-4613293614225.3457</v>
      </c>
      <c r="L5552" s="455">
        <f t="shared" ca="1" si="207"/>
        <v>-1111803761028308.3</v>
      </c>
      <c r="M5552" s="471">
        <f t="shared" si="209"/>
        <v>0.05</v>
      </c>
      <c r="N5552" s="475">
        <f t="shared" si="210"/>
        <v>220029</v>
      </c>
    </row>
    <row r="5553" spans="7:14" ht="11.25" customHeight="1" x14ac:dyDescent="0.3">
      <c r="G5553" s="470"/>
      <c r="H5553" s="470">
        <v>5546</v>
      </c>
      <c r="I5553" s="455">
        <f t="shared" ca="1" si="208"/>
        <v>-1111803761028308.3</v>
      </c>
      <c r="J5553" s="455">
        <f t="array" ref="J5553">IFERROR(INDEX('Retirement Calculator'!J:J,MATCH('Isaac 401k'!N5553,'Retirement Calculator'!A:A,0),0),0)</f>
        <v>0</v>
      </c>
      <c r="K5553" s="455">
        <f t="shared" ca="1" si="206"/>
        <v>-4632515670951.2852</v>
      </c>
      <c r="L5553" s="455">
        <f t="shared" ca="1" si="207"/>
        <v>-1116436276699259.5</v>
      </c>
      <c r="M5553" s="471">
        <f t="shared" si="209"/>
        <v>0.05</v>
      </c>
      <c r="N5553" s="475">
        <f t="shared" si="210"/>
        <v>220059</v>
      </c>
    </row>
    <row r="5554" spans="7:14" ht="11.25" customHeight="1" x14ac:dyDescent="0.3">
      <c r="G5554" s="470"/>
      <c r="H5554" s="470">
        <v>5547</v>
      </c>
      <c r="I5554" s="455">
        <f t="shared" ca="1" si="208"/>
        <v>-1116436276699259.5</v>
      </c>
      <c r="J5554" s="455">
        <f t="array" ref="J5554">IFERROR(INDEX('Retirement Calculator'!J:J,MATCH('Isaac 401k'!N5554,'Retirement Calculator'!A:A,0),0),0)</f>
        <v>0</v>
      </c>
      <c r="K5554" s="455">
        <f t="shared" ca="1" si="206"/>
        <v>-4651817819580.2471</v>
      </c>
      <c r="L5554" s="455">
        <f t="shared" ca="1" si="207"/>
        <v>-1121088094518839.8</v>
      </c>
      <c r="M5554" s="471">
        <f t="shared" si="209"/>
        <v>0.05</v>
      </c>
      <c r="N5554" s="475">
        <f t="shared" si="210"/>
        <v>220090</v>
      </c>
    </row>
    <row r="5555" spans="7:14" ht="11.25" customHeight="1" x14ac:dyDescent="0.3">
      <c r="G5555" s="470"/>
      <c r="H5555" s="470">
        <v>5548</v>
      </c>
      <c r="I5555" s="455">
        <f t="shared" ca="1" si="208"/>
        <v>-1121088094518839.8</v>
      </c>
      <c r="J5555" s="455">
        <f t="array" ref="J5555">IFERROR(INDEX('Retirement Calculator'!J:J,MATCH('Isaac 401k'!N5555,'Retirement Calculator'!A:A,0),0),0)</f>
        <v>0</v>
      </c>
      <c r="K5555" s="455">
        <f t="shared" ca="1" si="206"/>
        <v>-4671200393828.498</v>
      </c>
      <c r="L5555" s="455">
        <f t="shared" ca="1" si="207"/>
        <v>-1125759294912668.3</v>
      </c>
      <c r="M5555" s="471">
        <f t="shared" si="209"/>
        <v>0.05</v>
      </c>
      <c r="N5555" s="475">
        <f t="shared" si="210"/>
        <v>220121</v>
      </c>
    </row>
    <row r="5556" spans="7:14" ht="11.25" customHeight="1" x14ac:dyDescent="0.3">
      <c r="G5556" s="470"/>
      <c r="H5556" s="470">
        <v>5549</v>
      </c>
      <c r="I5556" s="455">
        <f t="shared" ca="1" si="208"/>
        <v>-1125759294912668.3</v>
      </c>
      <c r="J5556" s="455">
        <f t="array" ref="J5556">IFERROR(INDEX('Retirement Calculator'!J:J,MATCH('Isaac 401k'!N5556,'Retirement Calculator'!A:A,0),0),0)</f>
        <v>0</v>
      </c>
      <c r="K5556" s="455">
        <f t="shared" ca="1" si="206"/>
        <v>-4690663728802.7852</v>
      </c>
      <c r="L5556" s="455">
        <f t="shared" ca="1" si="207"/>
        <v>-1130449958641471</v>
      </c>
      <c r="M5556" s="471">
        <f t="shared" si="209"/>
        <v>0.05</v>
      </c>
      <c r="N5556" s="475">
        <f t="shared" si="210"/>
        <v>220151</v>
      </c>
    </row>
    <row r="5557" spans="7:14" ht="11.25" customHeight="1" x14ac:dyDescent="0.3">
      <c r="G5557" s="470"/>
      <c r="H5557" s="470">
        <v>5550</v>
      </c>
      <c r="I5557" s="455">
        <f t="shared" ca="1" si="208"/>
        <v>-1130449958641471</v>
      </c>
      <c r="J5557" s="455">
        <f t="array" ref="J5557">IFERROR(INDEX('Retirement Calculator'!J:J,MATCH('Isaac 401k'!N5557,'Retirement Calculator'!A:A,0),0),0)</f>
        <v>0</v>
      </c>
      <c r="K5557" s="455">
        <f t="shared" ca="1" si="206"/>
        <v>-4710208161006.1289</v>
      </c>
      <c r="L5557" s="455">
        <f t="shared" ca="1" si="207"/>
        <v>-1135160166802477.3</v>
      </c>
      <c r="M5557" s="471">
        <f t="shared" si="209"/>
        <v>0.05</v>
      </c>
      <c r="N5557" s="475">
        <f t="shared" si="210"/>
        <v>220182</v>
      </c>
    </row>
    <row r="5558" spans="7:14" ht="11.25" customHeight="1" x14ac:dyDescent="0.3">
      <c r="G5558" s="470"/>
      <c r="H5558" s="470">
        <v>5551</v>
      </c>
      <c r="I5558" s="455">
        <f t="shared" ca="1" si="208"/>
        <v>-1135160166802477.3</v>
      </c>
      <c r="J5558" s="455">
        <f t="array" ref="J5558">IFERROR(INDEX('Retirement Calculator'!J:J,MATCH('Isaac 401k'!N5558,'Retirement Calculator'!A:A,0),0),0)</f>
        <v>0</v>
      </c>
      <c r="K5558" s="455">
        <f t="shared" ca="1" si="206"/>
        <v>-4729834028343.6553</v>
      </c>
      <c r="L5558" s="455">
        <f t="shared" ca="1" si="207"/>
        <v>-1139890000830821</v>
      </c>
      <c r="M5558" s="471">
        <f t="shared" si="209"/>
        <v>0.05</v>
      </c>
      <c r="N5558" s="475">
        <f t="shared" si="210"/>
        <v>220212</v>
      </c>
    </row>
    <row r="5559" spans="7:14" ht="11.25" customHeight="1" x14ac:dyDescent="0.3">
      <c r="G5559" s="470"/>
      <c r="H5559" s="470">
        <v>5552</v>
      </c>
      <c r="I5559" s="455">
        <f t="shared" ca="1" si="208"/>
        <v>-1139890000830821</v>
      </c>
      <c r="J5559" s="455">
        <f t="array" ref="J5559">IFERROR(INDEX('Retirement Calculator'!J:J,MATCH('Isaac 401k'!N5559,'Retirement Calculator'!A:A,0),0),0)</f>
        <v>0</v>
      </c>
      <c r="K5559" s="455">
        <f t="shared" ca="1" si="206"/>
        <v>-4749541670128.4209</v>
      </c>
      <c r="L5559" s="455">
        <f t="shared" ca="1" si="207"/>
        <v>-1144639542500949.5</v>
      </c>
      <c r="M5559" s="471">
        <f t="shared" si="209"/>
        <v>0.05</v>
      </c>
      <c r="N5559" s="475">
        <f t="shared" si="210"/>
        <v>220243</v>
      </c>
    </row>
    <row r="5560" spans="7:14" ht="11.25" customHeight="1" x14ac:dyDescent="0.3">
      <c r="G5560" s="470"/>
      <c r="H5560" s="470">
        <v>5553</v>
      </c>
      <c r="I5560" s="455">
        <f t="shared" ca="1" si="208"/>
        <v>-1144639542500949.5</v>
      </c>
      <c r="J5560" s="455">
        <f t="array" ref="J5560">IFERROR(INDEX('Retirement Calculator'!J:J,MATCH('Isaac 401k'!N5560,'Retirement Calculator'!A:A,0),0),0)</f>
        <v>0</v>
      </c>
      <c r="K5560" s="455">
        <f t="shared" ca="1" si="206"/>
        <v>-4769331427087.2891</v>
      </c>
      <c r="L5560" s="455">
        <f t="shared" ca="1" si="207"/>
        <v>-1149408873928036.8</v>
      </c>
      <c r="M5560" s="471">
        <f t="shared" si="209"/>
        <v>0.05</v>
      </c>
      <c r="N5560" s="475">
        <f t="shared" si="210"/>
        <v>220274</v>
      </c>
    </row>
    <row r="5561" spans="7:14" ht="11.25" customHeight="1" x14ac:dyDescent="0.3">
      <c r="G5561" s="470"/>
      <c r="H5561" s="470">
        <v>5554</v>
      </c>
      <c r="I5561" s="455">
        <f t="shared" ca="1" si="208"/>
        <v>-1149408873928036.8</v>
      </c>
      <c r="J5561" s="455">
        <f t="array" ref="J5561">IFERROR(INDEX('Retirement Calculator'!J:J,MATCH('Isaac 401k'!N5561,'Retirement Calculator'!A:A,0),0),0)</f>
        <v>0</v>
      </c>
      <c r="K5561" s="455">
        <f t="shared" ca="1" si="206"/>
        <v>-4789203641366.8193</v>
      </c>
      <c r="L5561" s="455">
        <f t="shared" ca="1" si="207"/>
        <v>-1154198077569403.5</v>
      </c>
      <c r="M5561" s="471">
        <f t="shared" si="209"/>
        <v>0.05</v>
      </c>
      <c r="N5561" s="475">
        <f t="shared" si="210"/>
        <v>220302</v>
      </c>
    </row>
    <row r="5562" spans="7:14" ht="11.25" customHeight="1" x14ac:dyDescent="0.3">
      <c r="G5562" s="470"/>
      <c r="H5562" s="470">
        <v>5555</v>
      </c>
      <c r="I5562" s="455">
        <f t="shared" ca="1" si="208"/>
        <v>-1154198077569403.5</v>
      </c>
      <c r="J5562" s="455">
        <f t="array" ref="J5562">IFERROR(INDEX('Retirement Calculator'!J:J,MATCH('Isaac 401k'!N5562,'Retirement Calculator'!A:A,0),0),0)</f>
        <v>0</v>
      </c>
      <c r="K5562" s="455">
        <f t="shared" ca="1" si="206"/>
        <v>-4809158656539.1816</v>
      </c>
      <c r="L5562" s="455">
        <f t="shared" ca="1" si="207"/>
        <v>-1159007236225942.8</v>
      </c>
      <c r="M5562" s="471">
        <f t="shared" si="209"/>
        <v>0.05</v>
      </c>
      <c r="N5562" s="475">
        <f t="shared" si="210"/>
        <v>220333</v>
      </c>
    </row>
    <row r="5563" spans="7:14" ht="11.25" customHeight="1" x14ac:dyDescent="0.3">
      <c r="G5563" s="470"/>
      <c r="H5563" s="470">
        <v>5556</v>
      </c>
      <c r="I5563" s="455">
        <f t="shared" ca="1" si="208"/>
        <v>-1159007236225942.8</v>
      </c>
      <c r="J5563" s="455">
        <f t="array" ref="J5563">IFERROR(INDEX('Retirement Calculator'!J:J,MATCH('Isaac 401k'!N5563,'Retirement Calculator'!A:A,0),0),0)</f>
        <v>0</v>
      </c>
      <c r="K5563" s="455">
        <f t="shared" ca="1" si="206"/>
        <v>-4829196817608.0947</v>
      </c>
      <c r="L5563" s="455">
        <f t="shared" ca="1" si="207"/>
        <v>-1163836433043550.8</v>
      </c>
      <c r="M5563" s="471">
        <f t="shared" si="209"/>
        <v>0.05</v>
      </c>
      <c r="N5563" s="475">
        <f t="shared" si="210"/>
        <v>220363</v>
      </c>
    </row>
    <row r="5564" spans="7:14" ht="11.25" customHeight="1" x14ac:dyDescent="0.3">
      <c r="G5564" s="470"/>
      <c r="H5564" s="470">
        <v>5557</v>
      </c>
      <c r="I5564" s="455">
        <f t="shared" ca="1" si="208"/>
        <v>-1163836433043550.8</v>
      </c>
      <c r="J5564" s="455">
        <f t="array" ref="J5564">IFERROR(INDEX('Retirement Calculator'!J:J,MATCH('Isaac 401k'!N5564,'Retirement Calculator'!A:A,0),0),0)</f>
        <v>0</v>
      </c>
      <c r="K5564" s="455">
        <f t="shared" ca="1" si="206"/>
        <v>-4849318471014.7949</v>
      </c>
      <c r="L5564" s="455">
        <f t="shared" ca="1" si="207"/>
        <v>-1168685751514565.5</v>
      </c>
      <c r="M5564" s="471">
        <f t="shared" si="209"/>
        <v>0.05</v>
      </c>
      <c r="N5564" s="475">
        <f t="shared" si="210"/>
        <v>220394</v>
      </c>
    </row>
    <row r="5565" spans="7:14" ht="11.25" customHeight="1" x14ac:dyDescent="0.3">
      <c r="G5565" s="470"/>
      <c r="H5565" s="470">
        <v>5558</v>
      </c>
      <c r="I5565" s="455">
        <f t="shared" ca="1" si="208"/>
        <v>-1168685751514565.5</v>
      </c>
      <c r="J5565" s="455">
        <f t="array" ref="J5565">IFERROR(INDEX('Retirement Calculator'!J:J,MATCH('Isaac 401k'!N5565,'Retirement Calculator'!A:A,0),0),0)</f>
        <v>0</v>
      </c>
      <c r="K5565" s="455">
        <f t="shared" ca="1" si="206"/>
        <v>-4869523964644.0225</v>
      </c>
      <c r="L5565" s="455">
        <f t="shared" ca="1" si="207"/>
        <v>-1173555275479209.5</v>
      </c>
      <c r="M5565" s="471">
        <f t="shared" si="209"/>
        <v>0.05</v>
      </c>
      <c r="N5565" s="475">
        <f t="shared" si="210"/>
        <v>220424</v>
      </c>
    </row>
    <row r="5566" spans="7:14" ht="11.25" customHeight="1" x14ac:dyDescent="0.3">
      <c r="G5566" s="470"/>
      <c r="H5566" s="470">
        <v>5559</v>
      </c>
      <c r="I5566" s="455">
        <f t="shared" ca="1" si="208"/>
        <v>-1173555275479209.5</v>
      </c>
      <c r="J5566" s="455">
        <f t="array" ref="J5566">IFERROR(INDEX('Retirement Calculator'!J:J,MATCH('Isaac 401k'!N5566,'Retirement Calculator'!A:A,0),0),0)</f>
        <v>0</v>
      </c>
      <c r="K5566" s="455">
        <f t="shared" ca="1" si="206"/>
        <v>-4889813647830.0391</v>
      </c>
      <c r="L5566" s="455">
        <f t="shared" ca="1" si="207"/>
        <v>-1178445089127039.5</v>
      </c>
      <c r="M5566" s="471">
        <f t="shared" si="209"/>
        <v>0.05</v>
      </c>
      <c r="N5566" s="475">
        <f t="shared" si="210"/>
        <v>220455</v>
      </c>
    </row>
    <row r="5567" spans="7:14" ht="11.25" customHeight="1" x14ac:dyDescent="0.3">
      <c r="G5567" s="470"/>
      <c r="H5567" s="470">
        <v>5560</v>
      </c>
      <c r="I5567" s="455">
        <f t="shared" ca="1" si="208"/>
        <v>-1178445089127039.5</v>
      </c>
      <c r="J5567" s="455">
        <f t="array" ref="J5567">IFERROR(INDEX('Retirement Calculator'!J:J,MATCH('Isaac 401k'!N5567,'Retirement Calculator'!A:A,0),0),0)</f>
        <v>0</v>
      </c>
      <c r="K5567" s="455">
        <f t="shared" ca="1" si="206"/>
        <v>-4910187871362.6641</v>
      </c>
      <c r="L5567" s="455">
        <f t="shared" ca="1" si="207"/>
        <v>-1183355276998402.3</v>
      </c>
      <c r="M5567" s="471">
        <f t="shared" si="209"/>
        <v>0.05</v>
      </c>
      <c r="N5567" s="475">
        <f t="shared" si="210"/>
        <v>220486</v>
      </c>
    </row>
    <row r="5568" spans="7:14" ht="11.25" customHeight="1" x14ac:dyDescent="0.3">
      <c r="G5568" s="470"/>
      <c r="H5568" s="470">
        <v>5561</v>
      </c>
      <c r="I5568" s="455">
        <f t="shared" ca="1" si="208"/>
        <v>-1183355276998402.3</v>
      </c>
      <c r="J5568" s="455">
        <f t="array" ref="J5568">IFERROR(INDEX('Retirement Calculator'!J:J,MATCH('Isaac 401k'!N5568,'Retirement Calculator'!A:A,0),0),0)</f>
        <v>0</v>
      </c>
      <c r="K5568" s="455">
        <f t="shared" ca="1" si="206"/>
        <v>-4930646987493.3428</v>
      </c>
      <c r="L5568" s="455">
        <f t="shared" ca="1" si="207"/>
        <v>-1188285923985895.5</v>
      </c>
      <c r="M5568" s="471">
        <f t="shared" si="209"/>
        <v>0.05</v>
      </c>
      <c r="N5568" s="475">
        <f t="shared" si="210"/>
        <v>220516</v>
      </c>
    </row>
    <row r="5569" spans="7:14" ht="11.25" customHeight="1" x14ac:dyDescent="0.3">
      <c r="G5569" s="470"/>
      <c r="H5569" s="470">
        <v>5562</v>
      </c>
      <c r="I5569" s="455">
        <f t="shared" ca="1" si="208"/>
        <v>-1188285923985895.5</v>
      </c>
      <c r="J5569" s="455">
        <f t="array" ref="J5569">IFERROR(INDEX('Retirement Calculator'!J:J,MATCH('Isaac 401k'!N5569,'Retirement Calculator'!A:A,0),0),0)</f>
        <v>0</v>
      </c>
      <c r="K5569" s="455">
        <f t="shared" ca="1" si="206"/>
        <v>-4951191349941.2314</v>
      </c>
      <c r="L5569" s="455">
        <f t="shared" ca="1" si="207"/>
        <v>-1193237115335836.8</v>
      </c>
      <c r="M5569" s="471">
        <f t="shared" si="209"/>
        <v>0.05</v>
      </c>
      <c r="N5569" s="475">
        <f t="shared" si="210"/>
        <v>220547</v>
      </c>
    </row>
    <row r="5570" spans="7:14" ht="11.25" customHeight="1" x14ac:dyDescent="0.3">
      <c r="G5570" s="470"/>
      <c r="H5570" s="470">
        <v>5563</v>
      </c>
      <c r="I5570" s="455">
        <f t="shared" ca="1" si="208"/>
        <v>-1193237115335836.8</v>
      </c>
      <c r="J5570" s="455">
        <f t="array" ref="J5570">IFERROR(INDEX('Retirement Calculator'!J:J,MATCH('Isaac 401k'!N5570,'Retirement Calculator'!A:A,0),0),0)</f>
        <v>0</v>
      </c>
      <c r="K5570" s="455">
        <f t="shared" ca="1" si="206"/>
        <v>-4971821313899.3193</v>
      </c>
      <c r="L5570" s="455">
        <f t="shared" ca="1" si="207"/>
        <v>-1198208936649736</v>
      </c>
      <c r="M5570" s="471">
        <f t="shared" si="209"/>
        <v>0.05</v>
      </c>
      <c r="N5570" s="475">
        <f t="shared" si="210"/>
        <v>220577</v>
      </c>
    </row>
    <row r="5571" spans="7:14" ht="11.25" customHeight="1" x14ac:dyDescent="0.3">
      <c r="G5571" s="470"/>
      <c r="H5571" s="470">
        <v>5564</v>
      </c>
      <c r="I5571" s="455">
        <f t="shared" ca="1" si="208"/>
        <v>-1198208936649736</v>
      </c>
      <c r="J5571" s="455">
        <f t="array" ref="J5571">IFERROR(INDEX('Retirement Calculator'!J:J,MATCH('Isaac 401k'!N5571,'Retirement Calculator'!A:A,0),0),0)</f>
        <v>0</v>
      </c>
      <c r="K5571" s="455">
        <f t="shared" ca="1" si="206"/>
        <v>-4992537236040.5664</v>
      </c>
      <c r="L5571" s="455">
        <f t="shared" ca="1" si="207"/>
        <v>-1203201473885776.5</v>
      </c>
      <c r="M5571" s="471">
        <f t="shared" si="209"/>
        <v>0.05</v>
      </c>
      <c r="N5571" s="475">
        <f t="shared" si="210"/>
        <v>220608</v>
      </c>
    </row>
    <row r="5572" spans="7:14" ht="11.25" customHeight="1" x14ac:dyDescent="0.3">
      <c r="G5572" s="470"/>
      <c r="H5572" s="470">
        <v>5565</v>
      </c>
      <c r="I5572" s="455">
        <f t="shared" ca="1" si="208"/>
        <v>-1203201473885776.5</v>
      </c>
      <c r="J5572" s="455">
        <f t="array" ref="J5572">IFERROR(INDEX('Retirement Calculator'!J:J,MATCH('Isaac 401k'!N5572,'Retirement Calculator'!A:A,0),0),0)</f>
        <v>0</v>
      </c>
      <c r="K5572" s="455">
        <f t="shared" ca="1" si="206"/>
        <v>-5013339474524.0684</v>
      </c>
      <c r="L5572" s="455">
        <f t="shared" ca="1" si="207"/>
        <v>-1208214813360300.5</v>
      </c>
      <c r="M5572" s="471">
        <f t="shared" si="209"/>
        <v>0.05</v>
      </c>
      <c r="N5572" s="475">
        <f t="shared" si="210"/>
        <v>220639</v>
      </c>
    </row>
    <row r="5573" spans="7:14" ht="11.25" customHeight="1" x14ac:dyDescent="0.3">
      <c r="G5573" s="470"/>
      <c r="H5573" s="470">
        <v>5566</v>
      </c>
      <c r="I5573" s="455">
        <f t="shared" ca="1" si="208"/>
        <v>-1208214813360300.5</v>
      </c>
      <c r="J5573" s="455">
        <f t="array" ref="J5573">IFERROR(INDEX('Retirement Calculator'!J:J,MATCH('Isaac 401k'!N5573,'Retirement Calculator'!A:A,0),0),0)</f>
        <v>0</v>
      </c>
      <c r="K5573" s="455">
        <f t="shared" ca="1" si="206"/>
        <v>-5034228389001.252</v>
      </c>
      <c r="L5573" s="455">
        <f t="shared" ca="1" si="207"/>
        <v>-1213249041749301.8</v>
      </c>
      <c r="M5573" s="471">
        <f t="shared" si="209"/>
        <v>0.05</v>
      </c>
      <c r="N5573" s="475">
        <f t="shared" si="210"/>
        <v>220668</v>
      </c>
    </row>
    <row r="5574" spans="7:14" ht="11.25" customHeight="1" x14ac:dyDescent="0.3">
      <c r="G5574" s="470"/>
      <c r="H5574" s="470">
        <v>5567</v>
      </c>
      <c r="I5574" s="455">
        <f t="shared" ca="1" si="208"/>
        <v>-1213249041749301.8</v>
      </c>
      <c r="J5574" s="455">
        <f t="array" ref="J5574">IFERROR(INDEX('Retirement Calculator'!J:J,MATCH('Isaac 401k'!N5574,'Retirement Calculator'!A:A,0),0),0)</f>
        <v>0</v>
      </c>
      <c r="K5574" s="455">
        <f t="shared" ca="1" si="206"/>
        <v>-5055204340622.0908</v>
      </c>
      <c r="L5574" s="455">
        <f t="shared" ca="1" si="207"/>
        <v>-1218304246089923.8</v>
      </c>
      <c r="M5574" s="471">
        <f t="shared" si="209"/>
        <v>0.05</v>
      </c>
      <c r="N5574" s="475">
        <f t="shared" si="210"/>
        <v>220699</v>
      </c>
    </row>
    <row r="5575" spans="7:14" ht="11.25" customHeight="1" x14ac:dyDescent="0.3">
      <c r="G5575" s="470"/>
      <c r="H5575" s="470">
        <v>5568</v>
      </c>
      <c r="I5575" s="455">
        <f t="shared" ca="1" si="208"/>
        <v>-1218304246089923.8</v>
      </c>
      <c r="J5575" s="455">
        <f t="array" ref="J5575">IFERROR(INDEX('Retirement Calculator'!J:J,MATCH('Isaac 401k'!N5575,'Retirement Calculator'!A:A,0),0),0)</f>
        <v>0</v>
      </c>
      <c r="K5575" s="455">
        <f t="shared" ca="1" si="206"/>
        <v>-5076267692041.3486</v>
      </c>
      <c r="L5575" s="455">
        <f t="shared" ca="1" si="207"/>
        <v>-1223380513781965</v>
      </c>
      <c r="M5575" s="471">
        <f t="shared" si="209"/>
        <v>0.05</v>
      </c>
      <c r="N5575" s="475">
        <f t="shared" si="210"/>
        <v>220729</v>
      </c>
    </row>
    <row r="5576" spans="7:14" ht="11.25" customHeight="1" x14ac:dyDescent="0.3">
      <c r="G5576" s="470"/>
      <c r="H5576" s="470">
        <v>5569</v>
      </c>
      <c r="I5576" s="455">
        <f t="shared" ca="1" si="208"/>
        <v>-1223380513781965</v>
      </c>
      <c r="J5576" s="455">
        <f t="array" ref="J5576">IFERROR(INDEX('Retirement Calculator'!J:J,MATCH('Isaac 401k'!N5576,'Retirement Calculator'!A:A,0),0),0)</f>
        <v>0</v>
      </c>
      <c r="K5576" s="455">
        <f t="shared" ca="1" si="206"/>
        <v>-5097418807424.8545</v>
      </c>
      <c r="L5576" s="455">
        <f t="shared" ca="1" si="207"/>
        <v>-1228477932589389.8</v>
      </c>
      <c r="M5576" s="471">
        <f t="shared" si="209"/>
        <v>0.05</v>
      </c>
      <c r="N5576" s="475">
        <f t="shared" si="210"/>
        <v>220760</v>
      </c>
    </row>
    <row r="5577" spans="7:14" ht="11.25" customHeight="1" x14ac:dyDescent="0.3">
      <c r="G5577" s="470"/>
      <c r="H5577" s="470">
        <v>5570</v>
      </c>
      <c r="I5577" s="455">
        <f t="shared" ca="1" si="208"/>
        <v>-1228477932589389.8</v>
      </c>
      <c r="J5577" s="455">
        <f t="array" ref="J5577">IFERROR(INDEX('Retirement Calculator'!J:J,MATCH('Isaac 401k'!N5577,'Retirement Calculator'!A:A,0),0),0)</f>
        <v>0</v>
      </c>
      <c r="K5577" s="455">
        <f t="shared" ca="1" si="206"/>
        <v>-5118658052455.791</v>
      </c>
      <c r="L5577" s="455">
        <f t="shared" ca="1" si="207"/>
        <v>-1233596590641845.5</v>
      </c>
      <c r="M5577" s="471">
        <f t="shared" si="209"/>
        <v>0.05</v>
      </c>
      <c r="N5577" s="475">
        <f t="shared" si="210"/>
        <v>220790</v>
      </c>
    </row>
    <row r="5578" spans="7:14" ht="11.25" customHeight="1" x14ac:dyDescent="0.3">
      <c r="G5578" s="470"/>
      <c r="H5578" s="470">
        <v>5571</v>
      </c>
      <c r="I5578" s="455">
        <f t="shared" ca="1" si="208"/>
        <v>-1233596590641845.5</v>
      </c>
      <c r="J5578" s="455">
        <f t="array" ref="J5578">IFERROR(INDEX('Retirement Calculator'!J:J,MATCH('Isaac 401k'!N5578,'Retirement Calculator'!A:A,0),0),0)</f>
        <v>0</v>
      </c>
      <c r="K5578" s="455">
        <f t="shared" ca="1" si="206"/>
        <v>-5139985794341.0225</v>
      </c>
      <c r="L5578" s="455">
        <f t="shared" ca="1" si="207"/>
        <v>-1238736576436186.5</v>
      </c>
      <c r="M5578" s="471">
        <f t="shared" si="209"/>
        <v>0.05</v>
      </c>
      <c r="N5578" s="475">
        <f t="shared" si="210"/>
        <v>220821</v>
      </c>
    </row>
    <row r="5579" spans="7:14" ht="11.25" customHeight="1" x14ac:dyDescent="0.3">
      <c r="G5579" s="470"/>
      <c r="H5579" s="470">
        <v>5572</v>
      </c>
      <c r="I5579" s="455">
        <f t="shared" ca="1" si="208"/>
        <v>-1238736576436186.5</v>
      </c>
      <c r="J5579" s="455">
        <f t="array" ref="J5579">IFERROR(INDEX('Retirement Calculator'!J:J,MATCH('Isaac 401k'!N5579,'Retirement Calculator'!A:A,0),0),0)</f>
        <v>0</v>
      </c>
      <c r="K5579" s="455">
        <f t="shared" ca="1" si="206"/>
        <v>-5161402401817.4434</v>
      </c>
      <c r="L5579" s="455">
        <f t="shared" ca="1" si="207"/>
        <v>-1243897978838004</v>
      </c>
      <c r="M5579" s="471">
        <f t="shared" si="209"/>
        <v>0.05</v>
      </c>
      <c r="N5579" s="475">
        <f t="shared" si="210"/>
        <v>220852</v>
      </c>
    </row>
    <row r="5580" spans="7:14" ht="11.25" customHeight="1" x14ac:dyDescent="0.3">
      <c r="G5580" s="470"/>
      <c r="H5580" s="470">
        <v>5573</v>
      </c>
      <c r="I5580" s="455">
        <f t="shared" ca="1" si="208"/>
        <v>-1243897978838004</v>
      </c>
      <c r="J5580" s="455">
        <f t="array" ref="J5580">IFERROR(INDEX('Retirement Calculator'!J:J,MATCH('Isaac 401k'!N5580,'Retirement Calculator'!A:A,0),0),0)</f>
        <v>0</v>
      </c>
      <c r="K5580" s="455">
        <f t="shared" ca="1" si="206"/>
        <v>-5182908245158.3496</v>
      </c>
      <c r="L5580" s="455">
        <f t="shared" ca="1" si="207"/>
        <v>-1249080887083162.3</v>
      </c>
      <c r="M5580" s="471">
        <f t="shared" si="209"/>
        <v>0.05</v>
      </c>
      <c r="N5580" s="475">
        <f t="shared" si="210"/>
        <v>220882</v>
      </c>
    </row>
    <row r="5581" spans="7:14" ht="11.25" customHeight="1" x14ac:dyDescent="0.3">
      <c r="G5581" s="470"/>
      <c r="H5581" s="470">
        <v>5574</v>
      </c>
      <c r="I5581" s="455">
        <f t="shared" ca="1" si="208"/>
        <v>-1249080887083162.3</v>
      </c>
      <c r="J5581" s="455">
        <f t="array" ref="J5581">IFERROR(INDEX('Retirement Calculator'!J:J,MATCH('Isaac 401k'!N5581,'Retirement Calculator'!A:A,0),0),0)</f>
        <v>0</v>
      </c>
      <c r="K5581" s="455">
        <f t="shared" ca="1" si="206"/>
        <v>-5204503696179.8428</v>
      </c>
      <c r="L5581" s="455">
        <f t="shared" ca="1" si="207"/>
        <v>-1254285390779342</v>
      </c>
      <c r="M5581" s="471">
        <f t="shared" si="209"/>
        <v>0.05</v>
      </c>
      <c r="N5581" s="475">
        <f t="shared" si="210"/>
        <v>220913</v>
      </c>
    </row>
    <row r="5582" spans="7:14" ht="11.25" customHeight="1" x14ac:dyDescent="0.3">
      <c r="G5582" s="470"/>
      <c r="H5582" s="470">
        <v>5575</v>
      </c>
      <c r="I5582" s="455">
        <f t="shared" ca="1" si="208"/>
        <v>-1254285390779342</v>
      </c>
      <c r="J5582" s="455">
        <f t="array" ref="J5582">IFERROR(INDEX('Retirement Calculator'!J:J,MATCH('Isaac 401k'!N5582,'Retirement Calculator'!A:A,0),0),0)</f>
        <v>0</v>
      </c>
      <c r="K5582" s="455">
        <f t="shared" ca="1" si="206"/>
        <v>-5226189128247.2578</v>
      </c>
      <c r="L5582" s="455">
        <f t="shared" ca="1" si="207"/>
        <v>-1259511579907589.3</v>
      </c>
      <c r="M5582" s="471">
        <f t="shared" si="209"/>
        <v>0.05</v>
      </c>
      <c r="N5582" s="475">
        <f t="shared" si="210"/>
        <v>220943</v>
      </c>
    </row>
    <row r="5583" spans="7:14" ht="11.25" customHeight="1" x14ac:dyDescent="0.3">
      <c r="G5583" s="470"/>
      <c r="H5583" s="470">
        <v>5576</v>
      </c>
      <c r="I5583" s="455">
        <f t="shared" ca="1" si="208"/>
        <v>-1259511579907589.3</v>
      </c>
      <c r="J5583" s="455">
        <f t="array" ref="J5583">IFERROR(INDEX('Retirement Calculator'!J:J,MATCH('Isaac 401k'!N5583,'Retirement Calculator'!A:A,0),0),0)</f>
        <v>0</v>
      </c>
      <c r="K5583" s="455">
        <f t="shared" ca="1" si="206"/>
        <v>-5247964916281.6221</v>
      </c>
      <c r="L5583" s="455">
        <f t="shared" ca="1" si="207"/>
        <v>-1264759544823870.8</v>
      </c>
      <c r="M5583" s="471">
        <f t="shared" si="209"/>
        <v>0.05</v>
      </c>
      <c r="N5583" s="475">
        <f t="shared" si="210"/>
        <v>220974</v>
      </c>
    </row>
    <row r="5584" spans="7:14" ht="11.25" customHeight="1" x14ac:dyDescent="0.3">
      <c r="G5584" s="470"/>
      <c r="H5584" s="470">
        <v>5577</v>
      </c>
      <c r="I5584" s="455">
        <f t="shared" ca="1" si="208"/>
        <v>-1264759544823870.8</v>
      </c>
      <c r="J5584" s="455">
        <f t="array" ref="J5584">IFERROR(INDEX('Retirement Calculator'!J:J,MATCH('Isaac 401k'!N5584,'Retirement Calculator'!A:A,0),0),0)</f>
        <v>0</v>
      </c>
      <c r="K5584" s="455">
        <f t="shared" ca="1" si="206"/>
        <v>-5269831436766.1279</v>
      </c>
      <c r="L5584" s="455">
        <f t="shared" ca="1" si="207"/>
        <v>-1270029376260637</v>
      </c>
      <c r="M5584" s="471">
        <f t="shared" si="209"/>
        <v>0.05</v>
      </c>
      <c r="N5584" s="475">
        <f t="shared" si="210"/>
        <v>221005</v>
      </c>
    </row>
    <row r="5585" spans="7:14" ht="11.25" customHeight="1" x14ac:dyDescent="0.3">
      <c r="G5585" s="470"/>
      <c r="H5585" s="470">
        <v>5578</v>
      </c>
      <c r="I5585" s="455">
        <f t="shared" ca="1" si="208"/>
        <v>-1270029376260637</v>
      </c>
      <c r="J5585" s="455">
        <f t="array" ref="J5585">IFERROR(INDEX('Retirement Calculator'!J:J,MATCH('Isaac 401k'!N5585,'Retirement Calculator'!A:A,0),0),0)</f>
        <v>0</v>
      </c>
      <c r="K5585" s="455">
        <f t="shared" ca="1" si="206"/>
        <v>-5291789067752.6543</v>
      </c>
      <c r="L5585" s="455">
        <f t="shared" ca="1" si="207"/>
        <v>-1275321165328389.8</v>
      </c>
      <c r="M5585" s="471">
        <f t="shared" si="209"/>
        <v>0.05</v>
      </c>
      <c r="N5585" s="475">
        <f t="shared" si="210"/>
        <v>221033</v>
      </c>
    </row>
    <row r="5586" spans="7:14" ht="11.25" customHeight="1" x14ac:dyDescent="0.3">
      <c r="G5586" s="470"/>
      <c r="H5586" s="470">
        <v>5579</v>
      </c>
      <c r="I5586" s="455">
        <f t="shared" ca="1" si="208"/>
        <v>-1275321165328389.8</v>
      </c>
      <c r="J5586" s="455">
        <f t="array" ref="J5586">IFERROR(INDEX('Retirement Calculator'!J:J,MATCH('Isaac 401k'!N5586,'Retirement Calculator'!A:A,0),0),0)</f>
        <v>0</v>
      </c>
      <c r="K5586" s="455">
        <f t="shared" ca="1" si="206"/>
        <v>-5313838188868.291</v>
      </c>
      <c r="L5586" s="455">
        <f t="shared" ca="1" si="207"/>
        <v>-1280635003517258</v>
      </c>
      <c r="M5586" s="471">
        <f t="shared" si="209"/>
        <v>0.05</v>
      </c>
      <c r="N5586" s="475">
        <f t="shared" si="210"/>
        <v>221064</v>
      </c>
    </row>
    <row r="5587" spans="7:14" ht="11.25" customHeight="1" x14ac:dyDescent="0.3">
      <c r="G5587" s="470"/>
      <c r="H5587" s="470">
        <v>5580</v>
      </c>
      <c r="I5587" s="455">
        <f t="shared" ca="1" si="208"/>
        <v>-1280635003517258</v>
      </c>
      <c r="J5587" s="455">
        <f t="array" ref="J5587">IFERROR(INDEX('Retirement Calculator'!J:J,MATCH('Isaac 401k'!N5587,'Retirement Calculator'!A:A,0),0),0)</f>
        <v>0</v>
      </c>
      <c r="K5587" s="455">
        <f t="shared" ca="1" si="206"/>
        <v>-5335979181321.9082</v>
      </c>
      <c r="L5587" s="455">
        <f t="shared" ca="1" si="207"/>
        <v>-1285970982698580</v>
      </c>
      <c r="M5587" s="471">
        <f t="shared" si="209"/>
        <v>0.05</v>
      </c>
      <c r="N5587" s="475">
        <f t="shared" si="210"/>
        <v>221094</v>
      </c>
    </row>
    <row r="5588" spans="7:14" ht="11.25" customHeight="1" x14ac:dyDescent="0.3">
      <c r="G5588" s="470"/>
      <c r="H5588" s="470">
        <v>5581</v>
      </c>
      <c r="I5588" s="455">
        <f t="shared" ca="1" si="208"/>
        <v>-1285970982698580</v>
      </c>
      <c r="J5588" s="455">
        <f t="array" ref="J5588">IFERROR(INDEX('Retirement Calculator'!J:J,MATCH('Isaac 401k'!N5588,'Retirement Calculator'!A:A,0),0),0)</f>
        <v>0</v>
      </c>
      <c r="K5588" s="455">
        <f t="shared" ca="1" si="206"/>
        <v>-5358212427910.75</v>
      </c>
      <c r="L5588" s="455">
        <f t="shared" ca="1" si="207"/>
        <v>-1291329195126490.8</v>
      </c>
      <c r="M5588" s="471">
        <f t="shared" si="209"/>
        <v>0.05</v>
      </c>
      <c r="N5588" s="475">
        <f t="shared" si="210"/>
        <v>221125</v>
      </c>
    </row>
    <row r="5589" spans="7:14" ht="11.25" customHeight="1" x14ac:dyDescent="0.3">
      <c r="G5589" s="470"/>
      <c r="H5589" s="470">
        <v>5582</v>
      </c>
      <c r="I5589" s="455">
        <f t="shared" ca="1" si="208"/>
        <v>-1291329195126490.8</v>
      </c>
      <c r="J5589" s="455">
        <f t="array" ref="J5589">IFERROR(INDEX('Retirement Calculator'!J:J,MATCH('Isaac 401k'!N5589,'Retirement Calculator'!A:A,0),0),0)</f>
        <v>0</v>
      </c>
      <c r="K5589" s="455">
        <f t="shared" ca="1" si="206"/>
        <v>-5380538313027.0449</v>
      </c>
      <c r="L5589" s="455">
        <f t="shared" ca="1" si="207"/>
        <v>-1296709733439517.8</v>
      </c>
      <c r="M5589" s="471">
        <f t="shared" si="209"/>
        <v>0.05</v>
      </c>
      <c r="N5589" s="475">
        <f t="shared" si="210"/>
        <v>221155</v>
      </c>
    </row>
    <row r="5590" spans="7:14" ht="11.25" customHeight="1" x14ac:dyDescent="0.3">
      <c r="G5590" s="470"/>
      <c r="H5590" s="470">
        <v>5583</v>
      </c>
      <c r="I5590" s="455">
        <f t="shared" ca="1" si="208"/>
        <v>-1296709733439517.8</v>
      </c>
      <c r="J5590" s="455">
        <f t="array" ref="J5590">IFERROR(INDEX('Retirement Calculator'!J:J,MATCH('Isaac 401k'!N5590,'Retirement Calculator'!A:A,0),0),0)</f>
        <v>0</v>
      </c>
      <c r="K5590" s="455">
        <f t="shared" ca="1" si="206"/>
        <v>-5402957222664.6572</v>
      </c>
      <c r="L5590" s="455">
        <f t="shared" ca="1" si="207"/>
        <v>-1302112690662182.5</v>
      </c>
      <c r="M5590" s="471">
        <f t="shared" si="209"/>
        <v>0.05</v>
      </c>
      <c r="N5590" s="475">
        <f t="shared" si="210"/>
        <v>221186</v>
      </c>
    </row>
    <row r="5591" spans="7:14" ht="11.25" customHeight="1" x14ac:dyDescent="0.3">
      <c r="G5591" s="470"/>
      <c r="H5591" s="470">
        <v>5584</v>
      </c>
      <c r="I5591" s="455">
        <f t="shared" ca="1" si="208"/>
        <v>-1302112690662182.5</v>
      </c>
      <c r="J5591" s="455">
        <f t="array" ref="J5591">IFERROR(INDEX('Retirement Calculator'!J:J,MATCH('Isaac 401k'!N5591,'Retirement Calculator'!A:A,0),0),0)</f>
        <v>0</v>
      </c>
      <c r="K5591" s="455">
        <f t="shared" ca="1" si="206"/>
        <v>-5425469544425.7607</v>
      </c>
      <c r="L5591" s="455">
        <f t="shared" ca="1" si="207"/>
        <v>-1307538160206608.3</v>
      </c>
      <c r="M5591" s="471">
        <f t="shared" si="209"/>
        <v>0.05</v>
      </c>
      <c r="N5591" s="475">
        <f t="shared" si="210"/>
        <v>221217</v>
      </c>
    </row>
    <row r="5592" spans="7:14" ht="11.25" customHeight="1" x14ac:dyDescent="0.3">
      <c r="G5592" s="470"/>
      <c r="H5592" s="470">
        <v>5585</v>
      </c>
      <c r="I5592" s="455">
        <f t="shared" ca="1" si="208"/>
        <v>-1307538160206608.3</v>
      </c>
      <c r="J5592" s="455">
        <f t="array" ref="J5592">IFERROR(INDEX('Retirement Calculator'!J:J,MATCH('Isaac 401k'!N5592,'Retirement Calculator'!A:A,0),0),0)</f>
        <v>0</v>
      </c>
      <c r="K5592" s="455">
        <f t="shared" ca="1" si="206"/>
        <v>-5448075667527.5342</v>
      </c>
      <c r="L5592" s="455">
        <f t="shared" ca="1" si="207"/>
        <v>-1312986235874135.8</v>
      </c>
      <c r="M5592" s="471">
        <f t="shared" si="209"/>
        <v>0.05</v>
      </c>
      <c r="N5592" s="475">
        <f t="shared" si="210"/>
        <v>221247</v>
      </c>
    </row>
    <row r="5593" spans="7:14" ht="11.25" customHeight="1" x14ac:dyDescent="0.3">
      <c r="G5593" s="470"/>
      <c r="H5593" s="470">
        <v>5586</v>
      </c>
      <c r="I5593" s="455">
        <f t="shared" ca="1" si="208"/>
        <v>-1312986235874135.8</v>
      </c>
      <c r="J5593" s="455">
        <f t="array" ref="J5593">IFERROR(INDEX('Retirement Calculator'!J:J,MATCH('Isaac 401k'!N5593,'Retirement Calculator'!A:A,0),0),0)</f>
        <v>0</v>
      </c>
      <c r="K5593" s="455">
        <f t="shared" ca="1" si="206"/>
        <v>-5470775982808.8984</v>
      </c>
      <c r="L5593" s="455">
        <f t="shared" ca="1" si="207"/>
        <v>-1318457011856944.8</v>
      </c>
      <c r="M5593" s="471">
        <f t="shared" si="209"/>
        <v>0.05</v>
      </c>
      <c r="N5593" s="475">
        <f t="shared" si="210"/>
        <v>221278</v>
      </c>
    </row>
    <row r="5594" spans="7:14" ht="11.25" customHeight="1" x14ac:dyDescent="0.3">
      <c r="G5594" s="470"/>
      <c r="H5594" s="470">
        <v>5587</v>
      </c>
      <c r="I5594" s="455">
        <f t="shared" ca="1" si="208"/>
        <v>-1318457011856944.8</v>
      </c>
      <c r="J5594" s="455">
        <f t="array" ref="J5594">IFERROR(INDEX('Retirement Calculator'!J:J,MATCH('Isaac 401k'!N5594,'Retirement Calculator'!A:A,0),0),0)</f>
        <v>0</v>
      </c>
      <c r="K5594" s="455">
        <f t="shared" ca="1" si="206"/>
        <v>-5493570882737.2695</v>
      </c>
      <c r="L5594" s="455">
        <f t="shared" ca="1" si="207"/>
        <v>-1323950582739682</v>
      </c>
      <c r="M5594" s="471">
        <f t="shared" si="209"/>
        <v>0.05</v>
      </c>
      <c r="N5594" s="475">
        <f t="shared" si="210"/>
        <v>221308</v>
      </c>
    </row>
    <row r="5595" spans="7:14" ht="11.25" customHeight="1" x14ac:dyDescent="0.3">
      <c r="G5595" s="470"/>
      <c r="H5595" s="470">
        <v>5588</v>
      </c>
      <c r="I5595" s="455">
        <f t="shared" ca="1" si="208"/>
        <v>-1323950582739682</v>
      </c>
      <c r="J5595" s="455">
        <f t="array" ref="J5595">IFERROR(INDEX('Retirement Calculator'!J:J,MATCH('Isaac 401k'!N5595,'Retirement Calculator'!A:A,0),0),0)</f>
        <v>0</v>
      </c>
      <c r="K5595" s="455">
        <f t="shared" ca="1" si="206"/>
        <v>-5516460761415.3418</v>
      </c>
      <c r="L5595" s="455">
        <f t="shared" ca="1" si="207"/>
        <v>-1329467043501097.3</v>
      </c>
      <c r="M5595" s="471">
        <f t="shared" si="209"/>
        <v>0.05</v>
      </c>
      <c r="N5595" s="475">
        <f t="shared" si="210"/>
        <v>221339</v>
      </c>
    </row>
    <row r="5596" spans="7:14" ht="11.25" customHeight="1" x14ac:dyDescent="0.3">
      <c r="G5596" s="470"/>
      <c r="H5596" s="470">
        <v>5589</v>
      </c>
      <c r="I5596" s="455">
        <f t="shared" ca="1" si="208"/>
        <v>-1329467043501097.3</v>
      </c>
      <c r="J5596" s="455">
        <f t="array" ref="J5596">IFERROR(INDEX('Retirement Calculator'!J:J,MATCH('Isaac 401k'!N5596,'Retirement Calculator'!A:A,0),0),0)</f>
        <v>0</v>
      </c>
      <c r="K5596" s="455">
        <f t="shared" ca="1" si="206"/>
        <v>-5539446014587.9053</v>
      </c>
      <c r="L5596" s="455">
        <f t="shared" ca="1" si="207"/>
        <v>-1335006489515685.3</v>
      </c>
      <c r="M5596" s="471">
        <f t="shared" si="209"/>
        <v>0.05</v>
      </c>
      <c r="N5596" s="475">
        <f t="shared" si="210"/>
        <v>221370</v>
      </c>
    </row>
    <row r="5597" spans="7:14" ht="11.25" customHeight="1" x14ac:dyDescent="0.3">
      <c r="G5597" s="470"/>
      <c r="H5597" s="470">
        <v>5590</v>
      </c>
      <c r="I5597" s="455">
        <f t="shared" ca="1" si="208"/>
        <v>-1335006489515685.3</v>
      </c>
      <c r="J5597" s="455">
        <f t="array" ref="J5597">IFERROR(INDEX('Retirement Calculator'!J:J,MATCH('Isaac 401k'!N5597,'Retirement Calculator'!A:A,0),0),0)</f>
        <v>0</v>
      </c>
      <c r="K5597" s="455">
        <f t="shared" ca="1" si="206"/>
        <v>-5562527039648.6885</v>
      </c>
      <c r="L5597" s="455">
        <f t="shared" ca="1" si="207"/>
        <v>-1340569016555334</v>
      </c>
      <c r="M5597" s="471">
        <f t="shared" si="209"/>
        <v>0.05</v>
      </c>
      <c r="N5597" s="475">
        <f t="shared" si="210"/>
        <v>221398</v>
      </c>
    </row>
    <row r="5598" spans="7:14" ht="11.25" customHeight="1" x14ac:dyDescent="0.3">
      <c r="G5598" s="470"/>
      <c r="H5598" s="470">
        <v>5591</v>
      </c>
      <c r="I5598" s="455">
        <f t="shared" ca="1" si="208"/>
        <v>-1340569016555334</v>
      </c>
      <c r="J5598" s="455">
        <f t="array" ref="J5598">IFERROR(INDEX('Retirement Calculator'!J:J,MATCH('Isaac 401k'!N5598,'Retirement Calculator'!A:A,0),0),0)</f>
        <v>0</v>
      </c>
      <c r="K5598" s="455">
        <f t="shared" ca="1" si="206"/>
        <v>-5585704235647.2246</v>
      </c>
      <c r="L5598" s="455">
        <f t="shared" ca="1" si="207"/>
        <v>-1346154720790981.3</v>
      </c>
      <c r="M5598" s="471">
        <f t="shared" si="209"/>
        <v>0.05</v>
      </c>
      <c r="N5598" s="475">
        <f t="shared" si="210"/>
        <v>221429</v>
      </c>
    </row>
    <row r="5599" spans="7:14" ht="11.25" customHeight="1" x14ac:dyDescent="0.3">
      <c r="G5599" s="470"/>
      <c r="H5599" s="470">
        <v>5592</v>
      </c>
      <c r="I5599" s="455">
        <f t="shared" ca="1" si="208"/>
        <v>-1346154720790981.3</v>
      </c>
      <c r="J5599" s="455">
        <f t="array" ref="J5599">IFERROR(INDEX('Retirement Calculator'!J:J,MATCH('Isaac 401k'!N5599,'Retirement Calculator'!A:A,0),0),0)</f>
        <v>0</v>
      </c>
      <c r="K5599" s="455">
        <f t="shared" ca="1" si="206"/>
        <v>-5608978003295.7549</v>
      </c>
      <c r="L5599" s="455">
        <f t="shared" ca="1" si="207"/>
        <v>-1351763698794277</v>
      </c>
      <c r="M5599" s="471">
        <f t="shared" si="209"/>
        <v>0.05</v>
      </c>
      <c r="N5599" s="475">
        <f t="shared" si="210"/>
        <v>221459</v>
      </c>
    </row>
    <row r="5600" spans="7:14" ht="11.25" customHeight="1" x14ac:dyDescent="0.3">
      <c r="G5600" s="470"/>
      <c r="H5600" s="470">
        <v>5593</v>
      </c>
      <c r="I5600" s="455">
        <f t="shared" ca="1" si="208"/>
        <v>-1351763698794277</v>
      </c>
      <c r="J5600" s="455">
        <f t="array" ref="J5600">IFERROR(INDEX('Retirement Calculator'!J:J,MATCH('Isaac 401k'!N5600,'Retirement Calculator'!A:A,0),0),0)</f>
        <v>0</v>
      </c>
      <c r="K5600" s="455">
        <f t="shared" ca="1" si="206"/>
        <v>-5632348744976.1543</v>
      </c>
      <c r="L5600" s="455">
        <f t="shared" ca="1" si="207"/>
        <v>-1357396047539253.3</v>
      </c>
      <c r="M5600" s="471">
        <f t="shared" si="209"/>
        <v>0.05</v>
      </c>
      <c r="N5600" s="475">
        <f t="shared" si="210"/>
        <v>221490</v>
      </c>
    </row>
    <row r="5601" spans="7:14" ht="11.25" customHeight="1" x14ac:dyDescent="0.3">
      <c r="G5601" s="470"/>
      <c r="H5601" s="470">
        <v>5594</v>
      </c>
      <c r="I5601" s="455">
        <f t="shared" ca="1" si="208"/>
        <v>-1357396047539253.3</v>
      </c>
      <c r="J5601" s="455">
        <f t="array" ref="J5601">IFERROR(INDEX('Retirement Calculator'!J:J,MATCH('Isaac 401k'!N5601,'Retirement Calculator'!A:A,0),0),0)</f>
        <v>0</v>
      </c>
      <c r="K5601" s="455">
        <f t="shared" ca="1" si="206"/>
        <v>-5655816864746.8887</v>
      </c>
      <c r="L5601" s="455">
        <f t="shared" ca="1" si="207"/>
        <v>-1363051864404000.3</v>
      </c>
      <c r="M5601" s="471">
        <f t="shared" si="209"/>
        <v>0.05</v>
      </c>
      <c r="N5601" s="475">
        <f t="shared" si="210"/>
        <v>221520</v>
      </c>
    </row>
    <row r="5602" spans="7:14" ht="11.25" customHeight="1" x14ac:dyDescent="0.3">
      <c r="G5602" s="470"/>
      <c r="H5602" s="470">
        <v>5595</v>
      </c>
      <c r="I5602" s="455">
        <f t="shared" ca="1" si="208"/>
        <v>-1363051864404000.3</v>
      </c>
      <c r="J5602" s="455">
        <f t="array" ref="J5602">IFERROR(INDEX('Retirement Calculator'!J:J,MATCH('Isaac 401k'!N5602,'Retirement Calculator'!A:A,0),0),0)</f>
        <v>0</v>
      </c>
      <c r="K5602" s="455">
        <f t="shared" ca="1" si="206"/>
        <v>-5679382768350.001</v>
      </c>
      <c r="L5602" s="455">
        <f t="shared" ca="1" si="207"/>
        <v>-1368731247172350.3</v>
      </c>
      <c r="M5602" s="471">
        <f t="shared" si="209"/>
        <v>0.05</v>
      </c>
      <c r="N5602" s="475">
        <f t="shared" si="210"/>
        <v>221551</v>
      </c>
    </row>
    <row r="5603" spans="7:14" ht="11.25" customHeight="1" x14ac:dyDescent="0.3">
      <c r="G5603" s="470"/>
      <c r="H5603" s="470">
        <v>5596</v>
      </c>
      <c r="I5603" s="455">
        <f t="shared" ca="1" si="208"/>
        <v>-1368731247172350.3</v>
      </c>
      <c r="J5603" s="455">
        <f t="array" ref="J5603">IFERROR(INDEX('Retirement Calculator'!J:J,MATCH('Isaac 401k'!N5603,'Retirement Calculator'!A:A,0),0),0)</f>
        <v>0</v>
      </c>
      <c r="K5603" s="455">
        <f t="shared" ca="1" si="206"/>
        <v>-5703046863218.126</v>
      </c>
      <c r="L5603" s="455">
        <f t="shared" ca="1" si="207"/>
        <v>-1374434294035568.5</v>
      </c>
      <c r="M5603" s="471">
        <f t="shared" si="209"/>
        <v>0.05</v>
      </c>
      <c r="N5603" s="475">
        <f t="shared" si="210"/>
        <v>221582</v>
      </c>
    </row>
    <row r="5604" spans="7:14" ht="11.25" customHeight="1" x14ac:dyDescent="0.3">
      <c r="G5604" s="470"/>
      <c r="H5604" s="470">
        <v>5597</v>
      </c>
      <c r="I5604" s="455">
        <f t="shared" ca="1" si="208"/>
        <v>-1374434294035568.5</v>
      </c>
      <c r="J5604" s="455">
        <f t="array" ref="J5604">IFERROR(INDEX('Retirement Calculator'!J:J,MATCH('Isaac 401k'!N5604,'Retirement Calculator'!A:A,0),0),0)</f>
        <v>0</v>
      </c>
      <c r="K5604" s="455">
        <f t="shared" ca="1" si="206"/>
        <v>-5726809558481.5352</v>
      </c>
      <c r="L5604" s="455">
        <f t="shared" ca="1" si="207"/>
        <v>-1380161103594050</v>
      </c>
      <c r="M5604" s="471">
        <f t="shared" si="209"/>
        <v>0.05</v>
      </c>
      <c r="N5604" s="475">
        <f t="shared" si="210"/>
        <v>221612</v>
      </c>
    </row>
    <row r="5605" spans="7:14" ht="11.25" customHeight="1" x14ac:dyDescent="0.3">
      <c r="G5605" s="470"/>
      <c r="H5605" s="470">
        <v>5598</v>
      </c>
      <c r="I5605" s="455">
        <f t="shared" ca="1" si="208"/>
        <v>-1380161103594050</v>
      </c>
      <c r="J5605" s="455">
        <f t="array" ref="J5605">IFERROR(INDEX('Retirement Calculator'!J:J,MATCH('Isaac 401k'!N5605,'Retirement Calculator'!A:A,0),0),0)</f>
        <v>0</v>
      </c>
      <c r="K5605" s="455">
        <f t="shared" ca="1" si="206"/>
        <v>-5750671264975.208</v>
      </c>
      <c r="L5605" s="455">
        <f t="shared" ca="1" si="207"/>
        <v>-1385911774859025.3</v>
      </c>
      <c r="M5605" s="471">
        <f t="shared" si="209"/>
        <v>0.05</v>
      </c>
      <c r="N5605" s="475">
        <f t="shared" si="210"/>
        <v>221643</v>
      </c>
    </row>
    <row r="5606" spans="7:14" ht="11.25" customHeight="1" x14ac:dyDescent="0.3">
      <c r="G5606" s="470"/>
      <c r="H5606" s="470">
        <v>5599</v>
      </c>
      <c r="I5606" s="455">
        <f t="shared" ca="1" si="208"/>
        <v>-1385911774859025.3</v>
      </c>
      <c r="J5606" s="455">
        <f t="array" ref="J5606">IFERROR(INDEX('Retirement Calculator'!J:J,MATCH('Isaac 401k'!N5606,'Retirement Calculator'!A:A,0),0),0)</f>
        <v>0</v>
      </c>
      <c r="K5606" s="455">
        <f t="shared" ca="1" si="206"/>
        <v>-5774632395245.9385</v>
      </c>
      <c r="L5606" s="455">
        <f t="shared" ca="1" si="207"/>
        <v>-1391686407254271.3</v>
      </c>
      <c r="M5606" s="471">
        <f t="shared" si="209"/>
        <v>0.05</v>
      </c>
      <c r="N5606" s="475">
        <f t="shared" si="210"/>
        <v>221673</v>
      </c>
    </row>
    <row r="5607" spans="7:14" ht="11.25" customHeight="1" x14ac:dyDescent="0.3">
      <c r="G5607" s="470"/>
      <c r="H5607" s="470">
        <v>5600</v>
      </c>
      <c r="I5607" s="455">
        <f t="shared" ca="1" si="208"/>
        <v>-1391686407254271.3</v>
      </c>
      <c r="J5607" s="455">
        <f t="array" ref="J5607">IFERROR(INDEX('Retirement Calculator'!J:J,MATCH('Isaac 401k'!N5607,'Retirement Calculator'!A:A,0),0),0)</f>
        <v>0</v>
      </c>
      <c r="K5607" s="455">
        <f t="shared" ca="1" si="206"/>
        <v>-5798693363559.4639</v>
      </c>
      <c r="L5607" s="455">
        <f t="shared" ca="1" si="207"/>
        <v>-1397485100617830.8</v>
      </c>
      <c r="M5607" s="471">
        <f t="shared" si="209"/>
        <v>0.05</v>
      </c>
      <c r="N5607" s="475">
        <f t="shared" si="210"/>
        <v>221704</v>
      </c>
    </row>
    <row r="5608" spans="7:14" ht="11.25" customHeight="1" x14ac:dyDescent="0.3">
      <c r="G5608" s="470"/>
      <c r="H5608" s="470">
        <v>5601</v>
      </c>
      <c r="I5608" s="455">
        <f t="shared" ca="1" si="208"/>
        <v>-1397485100617830.8</v>
      </c>
      <c r="J5608" s="455">
        <f t="array" ref="J5608">IFERROR(INDEX('Retirement Calculator'!J:J,MATCH('Isaac 401k'!N5608,'Retirement Calculator'!A:A,0),0),0)</f>
        <v>0</v>
      </c>
      <c r="K5608" s="455">
        <f t="shared" ca="1" si="206"/>
        <v>-5822854585907.6279</v>
      </c>
      <c r="L5608" s="455">
        <f t="shared" ca="1" si="207"/>
        <v>-1403307955203738.5</v>
      </c>
      <c r="M5608" s="471">
        <f t="shared" si="209"/>
        <v>0.05</v>
      </c>
      <c r="N5608" s="475">
        <f t="shared" si="210"/>
        <v>221735</v>
      </c>
    </row>
    <row r="5609" spans="7:14" ht="11.25" customHeight="1" x14ac:dyDescent="0.3">
      <c r="G5609" s="470"/>
      <c r="H5609" s="470">
        <v>5602</v>
      </c>
      <c r="I5609" s="455">
        <f t="shared" ca="1" si="208"/>
        <v>-1403307955203738.5</v>
      </c>
      <c r="J5609" s="455">
        <f t="array" ref="J5609">IFERROR(INDEX('Retirement Calculator'!J:J,MATCH('Isaac 401k'!N5609,'Retirement Calculator'!A:A,0),0),0)</f>
        <v>0</v>
      </c>
      <c r="K5609" s="455">
        <f t="shared" ca="1" si="206"/>
        <v>-5847116480015.5771</v>
      </c>
      <c r="L5609" s="455">
        <f t="shared" ca="1" si="207"/>
        <v>-1409155071683754</v>
      </c>
      <c r="M5609" s="471">
        <f t="shared" si="209"/>
        <v>0.05</v>
      </c>
      <c r="N5609" s="475">
        <f t="shared" si="210"/>
        <v>221763</v>
      </c>
    </row>
    <row r="5610" spans="7:14" ht="11.25" customHeight="1" x14ac:dyDescent="0.3">
      <c r="G5610" s="470"/>
      <c r="H5610" s="470">
        <v>5603</v>
      </c>
      <c r="I5610" s="455">
        <f t="shared" ca="1" si="208"/>
        <v>-1409155071683754</v>
      </c>
      <c r="J5610" s="455">
        <f t="array" ref="J5610">IFERROR(INDEX('Retirement Calculator'!J:J,MATCH('Isaac 401k'!N5610,'Retirement Calculator'!A:A,0),0),0)</f>
        <v>0</v>
      </c>
      <c r="K5610" s="455">
        <f t="shared" ca="1" si="206"/>
        <v>-5871479465348.9746</v>
      </c>
      <c r="L5610" s="455">
        <f t="shared" ca="1" si="207"/>
        <v>-1415026551149103</v>
      </c>
      <c r="M5610" s="471">
        <f t="shared" si="209"/>
        <v>0.05</v>
      </c>
      <c r="N5610" s="475">
        <f t="shared" si="210"/>
        <v>221794</v>
      </c>
    </row>
    <row r="5611" spans="7:14" ht="11.25" customHeight="1" x14ac:dyDescent="0.3">
      <c r="G5611" s="470"/>
      <c r="H5611" s="470">
        <v>5604</v>
      </c>
      <c r="I5611" s="455">
        <f t="shared" ca="1" si="208"/>
        <v>-1415026551149103</v>
      </c>
      <c r="J5611" s="455">
        <f t="array" ref="J5611">IFERROR(INDEX('Retirement Calculator'!J:J,MATCH('Isaac 401k'!N5611,'Retirement Calculator'!A:A,0),0),0)</f>
        <v>0</v>
      </c>
      <c r="K5611" s="455">
        <f t="shared" ca="1" si="206"/>
        <v>-5895943963121.2627</v>
      </c>
      <c r="L5611" s="455">
        <f t="shared" ca="1" si="207"/>
        <v>-1420922495112224.3</v>
      </c>
      <c r="M5611" s="471">
        <f t="shared" si="209"/>
        <v>0.05</v>
      </c>
      <c r="N5611" s="475">
        <f t="shared" si="210"/>
        <v>221824</v>
      </c>
    </row>
    <row r="5612" spans="7:14" ht="11.25" customHeight="1" x14ac:dyDescent="0.3">
      <c r="G5612" s="470"/>
      <c r="H5612" s="470">
        <v>5605</v>
      </c>
      <c r="I5612" s="455">
        <f t="shared" ca="1" si="208"/>
        <v>-1420922495112224.3</v>
      </c>
      <c r="J5612" s="455">
        <f t="array" ref="J5612">IFERROR(INDEX('Retirement Calculator'!J:J,MATCH('Isaac 401k'!N5612,'Retirement Calculator'!A:A,0),0),0)</f>
        <v>0</v>
      </c>
      <c r="K5612" s="455">
        <f t="shared" ca="1" si="206"/>
        <v>-5920510396300.9346</v>
      </c>
      <c r="L5612" s="455">
        <f t="shared" ca="1" si="207"/>
        <v>-1426843005508525.3</v>
      </c>
      <c r="M5612" s="471">
        <f t="shared" si="209"/>
        <v>0.05</v>
      </c>
      <c r="N5612" s="475">
        <f t="shared" si="210"/>
        <v>221855</v>
      </c>
    </row>
    <row r="5613" spans="7:14" ht="11.25" customHeight="1" x14ac:dyDescent="0.3">
      <c r="G5613" s="470"/>
      <c r="H5613" s="470">
        <v>5606</v>
      </c>
      <c r="I5613" s="455">
        <f t="shared" ca="1" si="208"/>
        <v>-1426843005508525.3</v>
      </c>
      <c r="J5613" s="455">
        <f t="array" ref="J5613">IFERROR(INDEX('Retirement Calculator'!J:J,MATCH('Isaac 401k'!N5613,'Retirement Calculator'!A:A,0),0),0)</f>
        <v>0</v>
      </c>
      <c r="K5613" s="455">
        <f t="shared" ca="1" si="206"/>
        <v>-5945179189618.8555</v>
      </c>
      <c r="L5613" s="455">
        <f t="shared" ca="1" si="207"/>
        <v>-1432788184698144</v>
      </c>
      <c r="M5613" s="471">
        <f t="shared" si="209"/>
        <v>0.05</v>
      </c>
      <c r="N5613" s="475">
        <f t="shared" si="210"/>
        <v>221885</v>
      </c>
    </row>
    <row r="5614" spans="7:14" ht="11.25" customHeight="1" x14ac:dyDescent="0.3">
      <c r="G5614" s="470"/>
      <c r="H5614" s="470">
        <v>5607</v>
      </c>
      <c r="I5614" s="455">
        <f t="shared" ca="1" si="208"/>
        <v>-1432788184698144</v>
      </c>
      <c r="J5614" s="455">
        <f t="array" ref="J5614">IFERROR(INDEX('Retirement Calculator'!J:J,MATCH('Isaac 401k'!N5614,'Retirement Calculator'!A:A,0),0),0)</f>
        <v>0</v>
      </c>
      <c r="K5614" s="455">
        <f t="shared" ca="1" si="206"/>
        <v>-5969950769575.5996</v>
      </c>
      <c r="L5614" s="455">
        <f t="shared" ca="1" si="207"/>
        <v>-1438758135467719.5</v>
      </c>
      <c r="M5614" s="471">
        <f t="shared" si="209"/>
        <v>0.05</v>
      </c>
      <c r="N5614" s="475">
        <f t="shared" si="210"/>
        <v>221916</v>
      </c>
    </row>
    <row r="5615" spans="7:14" ht="11.25" customHeight="1" x14ac:dyDescent="0.3">
      <c r="G5615" s="470"/>
      <c r="H5615" s="470">
        <v>5608</v>
      </c>
      <c r="I5615" s="455">
        <f t="shared" ca="1" si="208"/>
        <v>-1438758135467719.5</v>
      </c>
      <c r="J5615" s="455">
        <f t="array" ref="J5615">IFERROR(INDEX('Retirement Calculator'!J:J,MATCH('Isaac 401k'!N5615,'Retirement Calculator'!A:A,0),0),0)</f>
        <v>0</v>
      </c>
      <c r="K5615" s="455">
        <f t="shared" ca="1" si="206"/>
        <v>-5994825564448.8311</v>
      </c>
      <c r="L5615" s="455">
        <f t="shared" ca="1" si="207"/>
        <v>-1444752961032168.3</v>
      </c>
      <c r="M5615" s="471">
        <f t="shared" si="209"/>
        <v>0.05</v>
      </c>
      <c r="N5615" s="475">
        <f t="shared" si="210"/>
        <v>221947</v>
      </c>
    </row>
    <row r="5616" spans="7:14" ht="11.25" customHeight="1" x14ac:dyDescent="0.3">
      <c r="G5616" s="470"/>
      <c r="H5616" s="470">
        <v>5609</v>
      </c>
      <c r="I5616" s="455">
        <f t="shared" ca="1" si="208"/>
        <v>-1444752961032168.3</v>
      </c>
      <c r="J5616" s="455">
        <f t="array" ref="J5616">IFERROR(INDEX('Retirement Calculator'!J:J,MATCH('Isaac 401k'!N5616,'Retirement Calculator'!A:A,0),0),0)</f>
        <v>0</v>
      </c>
      <c r="K5616" s="455">
        <f t="shared" ca="1" si="206"/>
        <v>-6019804004300.7012</v>
      </c>
      <c r="L5616" s="455">
        <f t="shared" ca="1" si="207"/>
        <v>-1450772765036469</v>
      </c>
      <c r="M5616" s="471">
        <f t="shared" si="209"/>
        <v>0.05</v>
      </c>
      <c r="N5616" s="475">
        <f t="shared" si="210"/>
        <v>221977</v>
      </c>
    </row>
    <row r="5617" spans="7:14" ht="11.25" customHeight="1" x14ac:dyDescent="0.3">
      <c r="G5617" s="470"/>
      <c r="H5617" s="470">
        <v>5610</v>
      </c>
      <c r="I5617" s="455">
        <f t="shared" ca="1" si="208"/>
        <v>-1450772765036469</v>
      </c>
      <c r="J5617" s="455">
        <f t="array" ref="J5617">IFERROR(INDEX('Retirement Calculator'!J:J,MATCH('Isaac 401k'!N5617,'Retirement Calculator'!A:A,0),0),0)</f>
        <v>0</v>
      </c>
      <c r="K5617" s="455">
        <f t="shared" ca="1" si="206"/>
        <v>-6044886520985.2871</v>
      </c>
      <c r="L5617" s="455">
        <f t="shared" ca="1" si="207"/>
        <v>-1456817651557454.3</v>
      </c>
      <c r="M5617" s="471">
        <f t="shared" si="209"/>
        <v>0.05</v>
      </c>
      <c r="N5617" s="475">
        <f t="shared" si="210"/>
        <v>222008</v>
      </c>
    </row>
    <row r="5618" spans="7:14" ht="11.25" customHeight="1" x14ac:dyDescent="0.3">
      <c r="G5618" s="470"/>
      <c r="H5618" s="470">
        <v>5611</v>
      </c>
      <c r="I5618" s="455">
        <f t="shared" ca="1" si="208"/>
        <v>-1456817651557454.3</v>
      </c>
      <c r="J5618" s="455">
        <f t="array" ref="J5618">IFERROR(INDEX('Retirement Calculator'!J:J,MATCH('Isaac 401k'!N5618,'Retirement Calculator'!A:A,0),0),0)</f>
        <v>0</v>
      </c>
      <c r="K5618" s="455">
        <f t="shared" ref="K5618:K5872" ca="1" si="211">IPMT(M5618/12,1,12,-I5618+J5618,,0)</f>
        <v>-6070073548156.0596</v>
      </c>
      <c r="L5618" s="455">
        <f t="shared" ref="L5618:L5872" ca="1" si="212">I5618-J5618+K5618</f>
        <v>-1462887725105610.3</v>
      </c>
      <c r="M5618" s="471">
        <f t="shared" si="209"/>
        <v>0.05</v>
      </c>
      <c r="N5618" s="475">
        <f t="shared" si="210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213">L5618</f>
        <v>-1462887725105610.3</v>
      </c>
      <c r="J5619" s="455">
        <f t="array" ref="J5619">IFERROR(INDEX('Retirement Calculator'!J:J,MATCH('Isaac 401k'!N5619,'Retirement Calculator'!A:A,0),0),0)</f>
        <v>0</v>
      </c>
      <c r="K5619" s="455">
        <f t="shared" ca="1" si="211"/>
        <v>-6095365521273.376</v>
      </c>
      <c r="L5619" s="455">
        <f t="shared" ca="1" si="212"/>
        <v>-1468983090626883.8</v>
      </c>
      <c r="M5619" s="471">
        <f t="shared" ref="M5619:M5873" si="214">M5618</f>
        <v>0.05</v>
      </c>
      <c r="N5619" s="475">
        <f t="shared" ref="N5619:N5873" si="215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213"/>
        <v>-1468983090626883.8</v>
      </c>
      <c r="J5620" s="455">
        <f t="array" ref="J5620">IFERROR(INDEX('Retirement Calculator'!J:J,MATCH('Isaac 401k'!N5620,'Retirement Calculator'!A:A,0),0),0)</f>
        <v>0</v>
      </c>
      <c r="K5620" s="455">
        <f t="shared" ca="1" si="211"/>
        <v>-6120762877612.0156</v>
      </c>
      <c r="L5620" s="455">
        <f t="shared" ca="1" si="212"/>
        <v>-1475103853504495.8</v>
      </c>
      <c r="M5620" s="471">
        <f t="shared" si="214"/>
        <v>0.05</v>
      </c>
      <c r="N5620" s="475">
        <f t="shared" si="215"/>
        <v>222100</v>
      </c>
    </row>
    <row r="5621" spans="7:14" ht="11.25" customHeight="1" x14ac:dyDescent="0.3">
      <c r="G5621" s="470"/>
      <c r="H5621" s="470">
        <v>5614</v>
      </c>
      <c r="I5621" s="455">
        <f t="shared" ca="1" si="213"/>
        <v>-1475103853504495.8</v>
      </c>
      <c r="J5621" s="455">
        <f t="array" ref="J5621">IFERROR(INDEX('Retirement Calculator'!J:J,MATCH('Isaac 401k'!N5621,'Retirement Calculator'!A:A,0),0),0)</f>
        <v>0</v>
      </c>
      <c r="K5621" s="455">
        <f t="shared" ca="1" si="211"/>
        <v>-6146266056268.7324</v>
      </c>
      <c r="L5621" s="455">
        <f t="shared" ca="1" si="212"/>
        <v>-1481250119560764.5</v>
      </c>
      <c r="M5621" s="471">
        <f t="shared" si="214"/>
        <v>0.05</v>
      </c>
      <c r="N5621" s="475">
        <f t="shared" si="215"/>
        <v>222129</v>
      </c>
    </row>
    <row r="5622" spans="7:14" ht="11.25" customHeight="1" x14ac:dyDescent="0.3">
      <c r="G5622" s="470"/>
      <c r="H5622" s="470">
        <v>5615</v>
      </c>
      <c r="I5622" s="455">
        <f t="shared" ca="1" si="213"/>
        <v>-1481250119560764.5</v>
      </c>
      <c r="J5622" s="455">
        <f t="array" ref="J5622">IFERROR(INDEX('Retirement Calculator'!J:J,MATCH('Isaac 401k'!N5622,'Retirement Calculator'!A:A,0),0),0)</f>
        <v>0</v>
      </c>
      <c r="K5622" s="455">
        <f t="shared" ca="1" si="211"/>
        <v>-6171875498169.8516</v>
      </c>
      <c r="L5622" s="455">
        <f t="shared" ca="1" si="212"/>
        <v>-1487421995058934.3</v>
      </c>
      <c r="M5622" s="471">
        <f t="shared" si="214"/>
        <v>0.05</v>
      </c>
      <c r="N5622" s="475">
        <f t="shared" si="215"/>
        <v>222160</v>
      </c>
    </row>
    <row r="5623" spans="7:14" ht="11.25" customHeight="1" x14ac:dyDescent="0.3">
      <c r="G5623" s="470"/>
      <c r="H5623" s="470">
        <v>5616</v>
      </c>
      <c r="I5623" s="455">
        <f t="shared" ca="1" si="213"/>
        <v>-1487421995058934.3</v>
      </c>
      <c r="J5623" s="455">
        <f t="array" ref="J5623">IFERROR(INDEX('Retirement Calculator'!J:J,MATCH('Isaac 401k'!N5623,'Retirement Calculator'!A:A,0),0),0)</f>
        <v>0</v>
      </c>
      <c r="K5623" s="455">
        <f t="shared" ca="1" si="211"/>
        <v>-6197591646078.8926</v>
      </c>
      <c r="L5623" s="455">
        <f t="shared" ca="1" si="212"/>
        <v>-1493619586705013.3</v>
      </c>
      <c r="M5623" s="471">
        <f t="shared" si="214"/>
        <v>0.05</v>
      </c>
      <c r="N5623" s="475">
        <f t="shared" si="215"/>
        <v>222190</v>
      </c>
    </row>
    <row r="5624" spans="7:14" ht="11.25" customHeight="1" x14ac:dyDescent="0.3">
      <c r="G5624" s="470"/>
      <c r="H5624" s="470">
        <v>5617</v>
      </c>
      <c r="I5624" s="455">
        <f t="shared" ca="1" si="213"/>
        <v>-1493619586705013.3</v>
      </c>
      <c r="J5624" s="455">
        <f t="array" ref="J5624">IFERROR(INDEX('Retirement Calculator'!J:J,MATCH('Isaac 401k'!N5624,'Retirement Calculator'!A:A,0),0),0)</f>
        <v>0</v>
      </c>
      <c r="K5624" s="455">
        <f t="shared" ca="1" si="211"/>
        <v>-6223414944604.2217</v>
      </c>
      <c r="L5624" s="455">
        <f t="shared" ca="1" si="212"/>
        <v>-1499843001649617.5</v>
      </c>
      <c r="M5624" s="471">
        <f t="shared" si="214"/>
        <v>0.05</v>
      </c>
      <c r="N5624" s="475">
        <f t="shared" si="215"/>
        <v>222221</v>
      </c>
    </row>
    <row r="5625" spans="7:14" ht="11.25" customHeight="1" x14ac:dyDescent="0.3">
      <c r="G5625" s="470"/>
      <c r="H5625" s="470">
        <v>5618</v>
      </c>
      <c r="I5625" s="455">
        <f t="shared" ca="1" si="213"/>
        <v>-1499843001649617.5</v>
      </c>
      <c r="J5625" s="455">
        <f t="array" ref="J5625">IFERROR(INDEX('Retirement Calculator'!J:J,MATCH('Isaac 401k'!N5625,'Retirement Calculator'!A:A,0),0),0)</f>
        <v>0</v>
      </c>
      <c r="K5625" s="455">
        <f t="shared" ca="1" si="211"/>
        <v>-6249345840206.7393</v>
      </c>
      <c r="L5625" s="455">
        <f t="shared" ca="1" si="212"/>
        <v>-1506092347489824.3</v>
      </c>
      <c r="M5625" s="471">
        <f t="shared" si="214"/>
        <v>0.05</v>
      </c>
      <c r="N5625" s="475">
        <f t="shared" si="215"/>
        <v>222251</v>
      </c>
    </row>
    <row r="5626" spans="7:14" ht="11.25" customHeight="1" x14ac:dyDescent="0.3">
      <c r="G5626" s="470"/>
      <c r="H5626" s="470">
        <v>5619</v>
      </c>
      <c r="I5626" s="455">
        <f t="shared" ca="1" si="213"/>
        <v>-1506092347489824.3</v>
      </c>
      <c r="J5626" s="455">
        <f t="array" ref="J5626">IFERROR(INDEX('Retirement Calculator'!J:J,MATCH('Isaac 401k'!N5626,'Retirement Calculator'!A:A,0),0),0)</f>
        <v>0</v>
      </c>
      <c r="K5626" s="455">
        <f t="shared" ca="1" si="211"/>
        <v>-6275384781207.6006</v>
      </c>
      <c r="L5626" s="455">
        <f t="shared" ca="1" si="212"/>
        <v>-1512367732271031.8</v>
      </c>
      <c r="M5626" s="471">
        <f t="shared" si="214"/>
        <v>0.05</v>
      </c>
      <c r="N5626" s="475">
        <f t="shared" si="215"/>
        <v>222282</v>
      </c>
    </row>
    <row r="5627" spans="7:14" ht="11.25" customHeight="1" x14ac:dyDescent="0.3">
      <c r="G5627" s="470"/>
      <c r="H5627" s="470">
        <v>5620</v>
      </c>
      <c r="I5627" s="455">
        <f t="shared" ca="1" si="213"/>
        <v>-1512367732271031.8</v>
      </c>
      <c r="J5627" s="455">
        <f t="array" ref="J5627">IFERROR(INDEX('Retirement Calculator'!J:J,MATCH('Isaac 401k'!N5627,'Retirement Calculator'!A:A,0),0),0)</f>
        <v>0</v>
      </c>
      <c r="K5627" s="455">
        <f t="shared" ca="1" si="211"/>
        <v>-6301532217795.9658</v>
      </c>
      <c r="L5627" s="455">
        <f t="shared" ca="1" si="212"/>
        <v>-1518669264488827.8</v>
      </c>
      <c r="M5627" s="471">
        <f t="shared" si="214"/>
        <v>0.05</v>
      </c>
      <c r="N5627" s="475">
        <f t="shared" si="215"/>
        <v>222313</v>
      </c>
    </row>
    <row r="5628" spans="7:14" ht="11.25" customHeight="1" x14ac:dyDescent="0.3">
      <c r="G5628" s="470"/>
      <c r="H5628" s="470">
        <v>5621</v>
      </c>
      <c r="I5628" s="455">
        <f t="shared" ca="1" si="213"/>
        <v>-1518669264488827.8</v>
      </c>
      <c r="J5628" s="455">
        <f t="array" ref="J5628">IFERROR(INDEX('Retirement Calculator'!J:J,MATCH('Isaac 401k'!N5628,'Retirement Calculator'!A:A,0),0),0)</f>
        <v>0</v>
      </c>
      <c r="K5628" s="455">
        <f t="shared" ca="1" si="211"/>
        <v>-6327788602036.7822</v>
      </c>
      <c r="L5628" s="455">
        <f t="shared" ca="1" si="212"/>
        <v>-1524997053090864.5</v>
      </c>
      <c r="M5628" s="471">
        <f t="shared" si="214"/>
        <v>0.05</v>
      </c>
      <c r="N5628" s="475">
        <f t="shared" si="215"/>
        <v>222343</v>
      </c>
    </row>
    <row r="5629" spans="7:14" ht="11.25" customHeight="1" x14ac:dyDescent="0.3">
      <c r="G5629" s="470"/>
      <c r="H5629" s="470">
        <v>5622</v>
      </c>
      <c r="I5629" s="455">
        <f t="shared" ca="1" si="213"/>
        <v>-1524997053090864.5</v>
      </c>
      <c r="J5629" s="455">
        <f t="array" ref="J5629">IFERROR(INDEX('Retirement Calculator'!J:J,MATCH('Isaac 401k'!N5629,'Retirement Calculator'!A:A,0),0),0)</f>
        <v>0</v>
      </c>
      <c r="K5629" s="455">
        <f t="shared" ca="1" si="211"/>
        <v>-6354154387878.6016</v>
      </c>
      <c r="L5629" s="455">
        <f t="shared" ca="1" si="212"/>
        <v>-1531351207478743</v>
      </c>
      <c r="M5629" s="471">
        <f t="shared" si="214"/>
        <v>0.05</v>
      </c>
      <c r="N5629" s="475">
        <f t="shared" si="215"/>
        <v>222374</v>
      </c>
    </row>
    <row r="5630" spans="7:14" ht="11.25" customHeight="1" x14ac:dyDescent="0.3">
      <c r="G5630" s="470"/>
      <c r="H5630" s="470">
        <v>5623</v>
      </c>
      <c r="I5630" s="455">
        <f t="shared" ca="1" si="213"/>
        <v>-1531351207478743</v>
      </c>
      <c r="J5630" s="455">
        <f t="array" ref="J5630">IFERROR(INDEX('Retirement Calculator'!J:J,MATCH('Isaac 401k'!N5630,'Retirement Calculator'!A:A,0),0),0)</f>
        <v>0</v>
      </c>
      <c r="K5630" s="455">
        <f t="shared" ca="1" si="211"/>
        <v>-6380630031161.4287</v>
      </c>
      <c r="L5630" s="455">
        <f t="shared" ca="1" si="212"/>
        <v>-1537731837509904.5</v>
      </c>
      <c r="M5630" s="471">
        <f t="shared" si="214"/>
        <v>0.05</v>
      </c>
      <c r="N5630" s="475">
        <f t="shared" si="215"/>
        <v>222404</v>
      </c>
    </row>
    <row r="5631" spans="7:14" ht="11.25" customHeight="1" x14ac:dyDescent="0.3">
      <c r="G5631" s="470"/>
      <c r="H5631" s="470">
        <v>5624</v>
      </c>
      <c r="I5631" s="455">
        <f t="shared" ca="1" si="213"/>
        <v>-1537731837509904.5</v>
      </c>
      <c r="J5631" s="455">
        <f t="array" ref="J5631">IFERROR(INDEX('Retirement Calculator'!J:J,MATCH('Isaac 401k'!N5631,'Retirement Calculator'!A:A,0),0),0)</f>
        <v>0</v>
      </c>
      <c r="K5631" s="455">
        <f t="shared" ca="1" si="211"/>
        <v>-6407215989624.6016</v>
      </c>
      <c r="L5631" s="455">
        <f t="shared" ca="1" si="212"/>
        <v>-1544139053499529</v>
      </c>
      <c r="M5631" s="471">
        <f t="shared" si="214"/>
        <v>0.05</v>
      </c>
      <c r="N5631" s="475">
        <f t="shared" si="215"/>
        <v>222435</v>
      </c>
    </row>
    <row r="5632" spans="7:14" ht="11.25" customHeight="1" x14ac:dyDescent="0.3">
      <c r="G5632" s="470"/>
      <c r="H5632" s="470">
        <v>5625</v>
      </c>
      <c r="I5632" s="455">
        <f t="shared" ca="1" si="213"/>
        <v>-1544139053499529</v>
      </c>
      <c r="J5632" s="455">
        <f t="array" ref="J5632">IFERROR(INDEX('Retirement Calculator'!J:J,MATCH('Isaac 401k'!N5632,'Retirement Calculator'!A:A,0),0),0)</f>
        <v>0</v>
      </c>
      <c r="K5632" s="455">
        <f t="shared" ca="1" si="211"/>
        <v>-6433912722914.7041</v>
      </c>
      <c r="L5632" s="455">
        <f t="shared" ca="1" si="212"/>
        <v>-1550572966222443.8</v>
      </c>
      <c r="M5632" s="471">
        <f t="shared" si="214"/>
        <v>0.05</v>
      </c>
      <c r="N5632" s="475">
        <f t="shared" si="215"/>
        <v>222466</v>
      </c>
    </row>
    <row r="5633" spans="7:14" ht="11.25" customHeight="1" x14ac:dyDescent="0.3">
      <c r="G5633" s="470"/>
      <c r="H5633" s="470">
        <v>5626</v>
      </c>
      <c r="I5633" s="455">
        <f t="shared" ca="1" si="213"/>
        <v>-1550572966222443.8</v>
      </c>
      <c r="J5633" s="455">
        <f t="array" ref="J5633">IFERROR(INDEX('Retirement Calculator'!J:J,MATCH('Isaac 401k'!N5633,'Retirement Calculator'!A:A,0),0),0)</f>
        <v>0</v>
      </c>
      <c r="K5633" s="455">
        <f t="shared" ca="1" si="211"/>
        <v>-6460720692593.5156</v>
      </c>
      <c r="L5633" s="455">
        <f t="shared" ca="1" si="212"/>
        <v>-1557033686915037.3</v>
      </c>
      <c r="M5633" s="471">
        <f t="shared" si="214"/>
        <v>0.05</v>
      </c>
      <c r="N5633" s="475">
        <f t="shared" si="215"/>
        <v>222494</v>
      </c>
    </row>
    <row r="5634" spans="7:14" ht="11.25" customHeight="1" x14ac:dyDescent="0.3">
      <c r="G5634" s="470"/>
      <c r="H5634" s="470">
        <v>5627</v>
      </c>
      <c r="I5634" s="455">
        <f t="shared" ca="1" si="213"/>
        <v>-1557033686915037.3</v>
      </c>
      <c r="J5634" s="455">
        <f t="array" ref="J5634">IFERROR(INDEX('Retirement Calculator'!J:J,MATCH('Isaac 401k'!N5634,'Retirement Calculator'!A:A,0),0),0)</f>
        <v>0</v>
      </c>
      <c r="K5634" s="455">
        <f t="shared" ca="1" si="211"/>
        <v>-6487640362145.9883</v>
      </c>
      <c r="L5634" s="455">
        <f t="shared" ca="1" si="212"/>
        <v>-1563521327277183.3</v>
      </c>
      <c r="M5634" s="471">
        <f t="shared" si="214"/>
        <v>0.05</v>
      </c>
      <c r="N5634" s="475">
        <f t="shared" si="215"/>
        <v>222525</v>
      </c>
    </row>
    <row r="5635" spans="7:14" ht="11.25" customHeight="1" x14ac:dyDescent="0.3">
      <c r="G5635" s="470"/>
      <c r="H5635" s="470">
        <v>5628</v>
      </c>
      <c r="I5635" s="455">
        <f t="shared" ca="1" si="213"/>
        <v>-1563521327277183.3</v>
      </c>
      <c r="J5635" s="455">
        <f t="array" ref="J5635">IFERROR(INDEX('Retirement Calculator'!J:J,MATCH('Isaac 401k'!N5635,'Retirement Calculator'!A:A,0),0),0)</f>
        <v>0</v>
      </c>
      <c r="K5635" s="455">
        <f t="shared" ca="1" si="211"/>
        <v>-6514672196988.2637</v>
      </c>
      <c r="L5635" s="455">
        <f t="shared" ca="1" si="212"/>
        <v>-1570035999474171.5</v>
      </c>
      <c r="M5635" s="471">
        <f t="shared" si="214"/>
        <v>0.05</v>
      </c>
      <c r="N5635" s="475">
        <f t="shared" si="215"/>
        <v>222555</v>
      </c>
    </row>
    <row r="5636" spans="7:14" ht="11.25" customHeight="1" x14ac:dyDescent="0.3">
      <c r="G5636" s="470"/>
      <c r="H5636" s="470">
        <v>5629</v>
      </c>
      <c r="I5636" s="455">
        <f t="shared" ca="1" si="213"/>
        <v>-1570035999474171.5</v>
      </c>
      <c r="J5636" s="455">
        <f t="array" ref="J5636">IFERROR(INDEX('Retirement Calculator'!J:J,MATCH('Isaac 401k'!N5636,'Retirement Calculator'!A:A,0),0),0)</f>
        <v>0</v>
      </c>
      <c r="K5636" s="455">
        <f t="shared" ca="1" si="211"/>
        <v>-6541816664475.7148</v>
      </c>
      <c r="L5636" s="455">
        <f t="shared" ca="1" si="212"/>
        <v>-1576577816138647.3</v>
      </c>
      <c r="M5636" s="471">
        <f t="shared" si="214"/>
        <v>0.05</v>
      </c>
      <c r="N5636" s="475">
        <f t="shared" si="215"/>
        <v>222586</v>
      </c>
    </row>
    <row r="5637" spans="7:14" ht="11.25" customHeight="1" x14ac:dyDescent="0.3">
      <c r="G5637" s="470"/>
      <c r="H5637" s="470">
        <v>5630</v>
      </c>
      <c r="I5637" s="455">
        <f t="shared" ca="1" si="213"/>
        <v>-1576577816138647.3</v>
      </c>
      <c r="J5637" s="455">
        <f t="array" ref="J5637">IFERROR(INDEX('Retirement Calculator'!J:J,MATCH('Isaac 401k'!N5637,'Retirement Calculator'!A:A,0),0),0)</f>
        <v>0</v>
      </c>
      <c r="K5637" s="455">
        <f t="shared" ca="1" si="211"/>
        <v>-6569074233911.0303</v>
      </c>
      <c r="L5637" s="455">
        <f t="shared" ca="1" si="212"/>
        <v>-1583146890372558.3</v>
      </c>
      <c r="M5637" s="471">
        <f t="shared" si="214"/>
        <v>0.05</v>
      </c>
      <c r="N5637" s="475">
        <f t="shared" si="215"/>
        <v>222616</v>
      </c>
    </row>
    <row r="5638" spans="7:14" ht="11.25" customHeight="1" x14ac:dyDescent="0.3">
      <c r="G5638" s="470"/>
      <c r="H5638" s="470">
        <v>5631</v>
      </c>
      <c r="I5638" s="455">
        <f t="shared" ca="1" si="213"/>
        <v>-1583146890372558.3</v>
      </c>
      <c r="J5638" s="455">
        <f t="array" ref="J5638">IFERROR(INDEX('Retirement Calculator'!J:J,MATCH('Isaac 401k'!N5638,'Retirement Calculator'!A:A,0),0),0)</f>
        <v>0</v>
      </c>
      <c r="K5638" s="455">
        <f t="shared" ca="1" si="211"/>
        <v>-6596445376552.3262</v>
      </c>
      <c r="L5638" s="455">
        <f t="shared" ca="1" si="212"/>
        <v>-1589743335749110.5</v>
      </c>
      <c r="M5638" s="471">
        <f t="shared" si="214"/>
        <v>0.05</v>
      </c>
      <c r="N5638" s="475">
        <f t="shared" si="215"/>
        <v>222647</v>
      </c>
    </row>
    <row r="5639" spans="7:14" ht="11.25" customHeight="1" x14ac:dyDescent="0.3">
      <c r="G5639" s="470"/>
      <c r="H5639" s="470">
        <v>5632</v>
      </c>
      <c r="I5639" s="455">
        <f t="shared" ca="1" si="213"/>
        <v>-1589743335749110.5</v>
      </c>
      <c r="J5639" s="455">
        <f t="array" ref="J5639">IFERROR(INDEX('Retirement Calculator'!J:J,MATCH('Isaac 401k'!N5639,'Retirement Calculator'!A:A,0),0),0)</f>
        <v>0</v>
      </c>
      <c r="K5639" s="455">
        <f t="shared" ca="1" si="211"/>
        <v>-6623930565621.2939</v>
      </c>
      <c r="L5639" s="455">
        <f t="shared" ca="1" si="212"/>
        <v>-1596367266314731.8</v>
      </c>
      <c r="M5639" s="471">
        <f t="shared" si="214"/>
        <v>0.05</v>
      </c>
      <c r="N5639" s="475">
        <f t="shared" si="215"/>
        <v>222678</v>
      </c>
    </row>
    <row r="5640" spans="7:14" ht="11.25" customHeight="1" x14ac:dyDescent="0.3">
      <c r="G5640" s="470"/>
      <c r="H5640" s="470">
        <v>5633</v>
      </c>
      <c r="I5640" s="455">
        <f t="shared" ca="1" si="213"/>
        <v>-1596367266314731.8</v>
      </c>
      <c r="J5640" s="455">
        <f t="array" ref="J5640">IFERROR(INDEX('Retirement Calculator'!J:J,MATCH('Isaac 401k'!N5640,'Retirement Calculator'!A:A,0),0),0)</f>
        <v>0</v>
      </c>
      <c r="K5640" s="455">
        <f t="shared" ca="1" si="211"/>
        <v>-6651530276311.3818</v>
      </c>
      <c r="L5640" s="455">
        <f t="shared" ca="1" si="212"/>
        <v>-1603018796591043.3</v>
      </c>
      <c r="M5640" s="471">
        <f t="shared" si="214"/>
        <v>0.05</v>
      </c>
      <c r="N5640" s="475">
        <f t="shared" si="215"/>
        <v>222708</v>
      </c>
    </row>
    <row r="5641" spans="7:14" ht="11.25" customHeight="1" x14ac:dyDescent="0.3">
      <c r="G5641" s="470"/>
      <c r="H5641" s="470">
        <v>5634</v>
      </c>
      <c r="I5641" s="455">
        <f t="shared" ca="1" si="213"/>
        <v>-1603018796591043.3</v>
      </c>
      <c r="J5641" s="455">
        <f t="array" ref="J5641">IFERROR(INDEX('Retirement Calculator'!J:J,MATCH('Isaac 401k'!N5641,'Retirement Calculator'!A:A,0),0),0)</f>
        <v>0</v>
      </c>
      <c r="K5641" s="455">
        <f t="shared" ca="1" si="211"/>
        <v>-6679244985796.0137</v>
      </c>
      <c r="L5641" s="455">
        <f t="shared" ca="1" si="212"/>
        <v>-1609698041576839.3</v>
      </c>
      <c r="M5641" s="471">
        <f t="shared" si="214"/>
        <v>0.05</v>
      </c>
      <c r="N5641" s="475">
        <f t="shared" si="215"/>
        <v>222739</v>
      </c>
    </row>
    <row r="5642" spans="7:14" ht="11.25" customHeight="1" x14ac:dyDescent="0.3">
      <c r="G5642" s="470"/>
      <c r="H5642" s="470">
        <v>5635</v>
      </c>
      <c r="I5642" s="455">
        <f t="shared" ca="1" si="213"/>
        <v>-1609698041576839.3</v>
      </c>
      <c r="J5642" s="455">
        <f t="array" ref="J5642">IFERROR(INDEX('Retirement Calculator'!J:J,MATCH('Isaac 401k'!N5642,'Retirement Calculator'!A:A,0),0),0)</f>
        <v>0</v>
      </c>
      <c r="K5642" s="455">
        <f t="shared" ca="1" si="211"/>
        <v>-6707075173236.8301</v>
      </c>
      <c r="L5642" s="455">
        <f t="shared" ca="1" si="212"/>
        <v>-1616405116750076</v>
      </c>
      <c r="M5642" s="471">
        <f t="shared" si="214"/>
        <v>0.05</v>
      </c>
      <c r="N5642" s="475">
        <f t="shared" si="215"/>
        <v>222769</v>
      </c>
    </row>
    <row r="5643" spans="7:14" ht="11.25" customHeight="1" x14ac:dyDescent="0.3">
      <c r="G5643" s="470"/>
      <c r="H5643" s="470">
        <v>5636</v>
      </c>
      <c r="I5643" s="455">
        <f t="shared" ca="1" si="213"/>
        <v>-1616405116750076</v>
      </c>
      <c r="J5643" s="455">
        <f t="array" ref="J5643">IFERROR(INDEX('Retirement Calculator'!J:J,MATCH('Isaac 401k'!N5643,'Retirement Calculator'!A:A,0),0),0)</f>
        <v>0</v>
      </c>
      <c r="K5643" s="455">
        <f t="shared" ca="1" si="211"/>
        <v>-6735021319791.9834</v>
      </c>
      <c r="L5643" s="455">
        <f t="shared" ca="1" si="212"/>
        <v>-1623140138069868</v>
      </c>
      <c r="M5643" s="471">
        <f t="shared" si="214"/>
        <v>0.05</v>
      </c>
      <c r="N5643" s="475">
        <f t="shared" si="215"/>
        <v>222800</v>
      </c>
    </row>
    <row r="5644" spans="7:14" ht="11.25" customHeight="1" x14ac:dyDescent="0.3">
      <c r="G5644" s="470"/>
      <c r="H5644" s="470">
        <v>5637</v>
      </c>
      <c r="I5644" s="455">
        <f t="shared" ca="1" si="213"/>
        <v>-1623140138069868</v>
      </c>
      <c r="J5644" s="455">
        <f t="array" ref="J5644">IFERROR(INDEX('Retirement Calculator'!J:J,MATCH('Isaac 401k'!N5644,'Retirement Calculator'!A:A,0),0),0)</f>
        <v>0</v>
      </c>
      <c r="K5644" s="455">
        <f t="shared" ca="1" si="211"/>
        <v>-6763083908624.4502</v>
      </c>
      <c r="L5644" s="455">
        <f t="shared" ca="1" si="212"/>
        <v>-1629903221978492.5</v>
      </c>
      <c r="M5644" s="471">
        <f t="shared" si="214"/>
        <v>0.05</v>
      </c>
      <c r="N5644" s="475">
        <f t="shared" si="215"/>
        <v>222831</v>
      </c>
    </row>
    <row r="5645" spans="7:14" ht="11.25" customHeight="1" x14ac:dyDescent="0.3">
      <c r="G5645" s="470"/>
      <c r="H5645" s="470">
        <v>5638</v>
      </c>
      <c r="I5645" s="455">
        <f t="shared" ca="1" si="213"/>
        <v>-1629903221978492.5</v>
      </c>
      <c r="J5645" s="455">
        <f t="array" ref="J5645">IFERROR(INDEX('Retirement Calculator'!J:J,MATCH('Isaac 401k'!N5645,'Retirement Calculator'!A:A,0),0),0)</f>
        <v>0</v>
      </c>
      <c r="K5645" s="455">
        <f t="shared" ca="1" si="211"/>
        <v>-6791263424910.3857</v>
      </c>
      <c r="L5645" s="455">
        <f t="shared" ca="1" si="212"/>
        <v>-1636694485403403</v>
      </c>
      <c r="M5645" s="471">
        <f t="shared" si="214"/>
        <v>0.05</v>
      </c>
      <c r="N5645" s="475">
        <f t="shared" si="215"/>
        <v>222859</v>
      </c>
    </row>
    <row r="5646" spans="7:14" ht="11.25" customHeight="1" x14ac:dyDescent="0.3">
      <c r="G5646" s="470"/>
      <c r="H5646" s="470">
        <v>5639</v>
      </c>
      <c r="I5646" s="455">
        <f t="shared" ca="1" si="213"/>
        <v>-1636694485403403</v>
      </c>
      <c r="J5646" s="455">
        <f t="array" ref="J5646">IFERROR(INDEX('Retirement Calculator'!J:J,MATCH('Isaac 401k'!N5646,'Retirement Calculator'!A:A,0),0),0)</f>
        <v>0</v>
      </c>
      <c r="K5646" s="455">
        <f t="shared" ca="1" si="211"/>
        <v>-6819560355847.5127</v>
      </c>
      <c r="L5646" s="455">
        <f t="shared" ca="1" si="212"/>
        <v>-1643514045759250.5</v>
      </c>
      <c r="M5646" s="471">
        <f t="shared" si="214"/>
        <v>0.05</v>
      </c>
      <c r="N5646" s="475">
        <f t="shared" si="215"/>
        <v>222890</v>
      </c>
    </row>
    <row r="5647" spans="7:14" ht="11.25" customHeight="1" x14ac:dyDescent="0.3">
      <c r="G5647" s="470"/>
      <c r="H5647" s="470">
        <v>5640</v>
      </c>
      <c r="I5647" s="455">
        <f t="shared" ca="1" si="213"/>
        <v>-1643514045759250.5</v>
      </c>
      <c r="J5647" s="455">
        <f t="array" ref="J5647">IFERROR(INDEX('Retirement Calculator'!J:J,MATCH('Isaac 401k'!N5647,'Retirement Calculator'!A:A,0),0),0)</f>
        <v>0</v>
      </c>
      <c r="K5647" s="455">
        <f t="shared" ca="1" si="211"/>
        <v>-6847975190663.5439</v>
      </c>
      <c r="L5647" s="455">
        <f t="shared" ca="1" si="212"/>
        <v>-1650362020949914</v>
      </c>
      <c r="M5647" s="471">
        <f t="shared" si="214"/>
        <v>0.05</v>
      </c>
      <c r="N5647" s="475">
        <f t="shared" si="215"/>
        <v>222920</v>
      </c>
    </row>
    <row r="5648" spans="7:14" ht="11.25" customHeight="1" x14ac:dyDescent="0.3">
      <c r="G5648" s="470"/>
      <c r="H5648" s="470">
        <v>5641</v>
      </c>
      <c r="I5648" s="455">
        <f t="shared" ca="1" si="213"/>
        <v>-1650362020949914</v>
      </c>
      <c r="J5648" s="455">
        <f t="array" ref="J5648">IFERROR(INDEX('Retirement Calculator'!J:J,MATCH('Isaac 401k'!N5648,'Retirement Calculator'!A:A,0),0),0)</f>
        <v>0</v>
      </c>
      <c r="K5648" s="455">
        <f t="shared" ca="1" si="211"/>
        <v>-6876508420624.6416</v>
      </c>
      <c r="L5648" s="455">
        <f t="shared" ca="1" si="212"/>
        <v>-1657238529370538.8</v>
      </c>
      <c r="M5648" s="471">
        <f t="shared" si="214"/>
        <v>0.05</v>
      </c>
      <c r="N5648" s="475">
        <f t="shared" si="215"/>
        <v>222951</v>
      </c>
    </row>
    <row r="5649" spans="7:14" ht="11.25" customHeight="1" x14ac:dyDescent="0.3">
      <c r="G5649" s="470"/>
      <c r="H5649" s="470">
        <v>5642</v>
      </c>
      <c r="I5649" s="455">
        <f t="shared" ca="1" si="213"/>
        <v>-1657238529370538.8</v>
      </c>
      <c r="J5649" s="455">
        <f t="array" ref="J5649">IFERROR(INDEX('Retirement Calculator'!J:J,MATCH('Isaac 401k'!N5649,'Retirement Calculator'!A:A,0),0),0)</f>
        <v>0</v>
      </c>
      <c r="K5649" s="455">
        <f t="shared" ca="1" si="211"/>
        <v>-6905160539043.9111</v>
      </c>
      <c r="L5649" s="455">
        <f t="shared" ca="1" si="212"/>
        <v>-1664143689909582.8</v>
      </c>
      <c r="M5649" s="471">
        <f t="shared" si="214"/>
        <v>0.05</v>
      </c>
      <c r="N5649" s="475">
        <f t="shared" si="215"/>
        <v>222981</v>
      </c>
    </row>
    <row r="5650" spans="7:14" ht="11.25" customHeight="1" x14ac:dyDescent="0.3">
      <c r="G5650" s="470"/>
      <c r="H5650" s="470">
        <v>5643</v>
      </c>
      <c r="I5650" s="455">
        <f t="shared" ca="1" si="213"/>
        <v>-1664143689909582.8</v>
      </c>
      <c r="J5650" s="455">
        <f t="array" ref="J5650">IFERROR(INDEX('Retirement Calculator'!J:J,MATCH('Isaac 401k'!N5650,'Retirement Calculator'!A:A,0),0),0)</f>
        <v>0</v>
      </c>
      <c r="K5650" s="455">
        <f t="shared" ca="1" si="211"/>
        <v>-6933932041289.9277</v>
      </c>
      <c r="L5650" s="455">
        <f t="shared" ca="1" si="212"/>
        <v>-1671077621950872.8</v>
      </c>
      <c r="M5650" s="471">
        <f t="shared" si="214"/>
        <v>0.05</v>
      </c>
      <c r="N5650" s="475">
        <f t="shared" si="215"/>
        <v>223012</v>
      </c>
    </row>
    <row r="5651" spans="7:14" ht="11.25" customHeight="1" x14ac:dyDescent="0.3">
      <c r="G5651" s="470"/>
      <c r="H5651" s="470">
        <v>5644</v>
      </c>
      <c r="I5651" s="455">
        <f t="shared" ca="1" si="213"/>
        <v>-1671077621950872.8</v>
      </c>
      <c r="J5651" s="455">
        <f t="array" ref="J5651">IFERROR(INDEX('Retirement Calculator'!J:J,MATCH('Isaac 401k'!N5651,'Retirement Calculator'!A:A,0),0),0)</f>
        <v>0</v>
      </c>
      <c r="K5651" s="455">
        <f t="shared" ca="1" si="211"/>
        <v>-6962823424795.3027</v>
      </c>
      <c r="L5651" s="455">
        <f t="shared" ca="1" si="212"/>
        <v>-1678040445375668</v>
      </c>
      <c r="M5651" s="471">
        <f t="shared" si="214"/>
        <v>0.05</v>
      </c>
      <c r="N5651" s="475">
        <f t="shared" si="215"/>
        <v>223043</v>
      </c>
    </row>
    <row r="5652" spans="7:14" ht="11.25" customHeight="1" x14ac:dyDescent="0.3">
      <c r="G5652" s="470"/>
      <c r="H5652" s="470">
        <v>5645</v>
      </c>
      <c r="I5652" s="455">
        <f t="shared" ca="1" si="213"/>
        <v>-1678040445375668</v>
      </c>
      <c r="J5652" s="455">
        <f t="array" ref="J5652">IFERROR(INDEX('Retirement Calculator'!J:J,MATCH('Isaac 401k'!N5652,'Retirement Calculator'!A:A,0),0),0)</f>
        <v>0</v>
      </c>
      <c r="K5652" s="455">
        <f t="shared" ca="1" si="211"/>
        <v>-6991835189065.2832</v>
      </c>
      <c r="L5652" s="455">
        <f t="shared" ca="1" si="212"/>
        <v>-1685032280564733.3</v>
      </c>
      <c r="M5652" s="471">
        <f t="shared" si="214"/>
        <v>0.05</v>
      </c>
      <c r="N5652" s="475">
        <f t="shared" si="215"/>
        <v>223073</v>
      </c>
    </row>
    <row r="5653" spans="7:14" ht="11.25" customHeight="1" x14ac:dyDescent="0.3">
      <c r="G5653" s="470"/>
      <c r="H5653" s="470">
        <v>5646</v>
      </c>
      <c r="I5653" s="455">
        <f t="shared" ca="1" si="213"/>
        <v>-1685032280564733.3</v>
      </c>
      <c r="J5653" s="455">
        <f t="array" ref="J5653">IFERROR(INDEX('Retirement Calculator'!J:J,MATCH('Isaac 401k'!N5653,'Retirement Calculator'!A:A,0),0),0)</f>
        <v>0</v>
      </c>
      <c r="K5653" s="455">
        <f t="shared" ca="1" si="211"/>
        <v>-7020967835686.3887</v>
      </c>
      <c r="L5653" s="455">
        <f t="shared" ca="1" si="212"/>
        <v>-1692053248400419.8</v>
      </c>
      <c r="M5653" s="471">
        <f t="shared" si="214"/>
        <v>0.05</v>
      </c>
      <c r="N5653" s="475">
        <f t="shared" si="215"/>
        <v>223104</v>
      </c>
    </row>
    <row r="5654" spans="7:14" ht="11.25" customHeight="1" x14ac:dyDescent="0.3">
      <c r="G5654" s="470"/>
      <c r="H5654" s="470">
        <v>5647</v>
      </c>
      <c r="I5654" s="455">
        <f t="shared" ca="1" si="213"/>
        <v>-1692053248400419.8</v>
      </c>
      <c r="J5654" s="455">
        <f t="array" ref="J5654">IFERROR(INDEX('Retirement Calculator'!J:J,MATCH('Isaac 401k'!N5654,'Retirement Calculator'!A:A,0),0),0)</f>
        <v>0</v>
      </c>
      <c r="K5654" s="455">
        <f t="shared" ca="1" si="211"/>
        <v>-7050221868335.082</v>
      </c>
      <c r="L5654" s="455">
        <f t="shared" ca="1" si="212"/>
        <v>-1699103470268754.8</v>
      </c>
      <c r="M5654" s="471">
        <f t="shared" si="214"/>
        <v>0.05</v>
      </c>
      <c r="N5654" s="475">
        <f t="shared" si="215"/>
        <v>223134</v>
      </c>
    </row>
    <row r="5655" spans="7:14" ht="11.25" customHeight="1" x14ac:dyDescent="0.3">
      <c r="G5655" s="470"/>
      <c r="H5655" s="470">
        <v>5648</v>
      </c>
      <c r="I5655" s="455">
        <f t="shared" ca="1" si="213"/>
        <v>-1699103470268754.8</v>
      </c>
      <c r="J5655" s="455">
        <f t="array" ref="J5655">IFERROR(INDEX('Retirement Calculator'!J:J,MATCH('Isaac 401k'!N5655,'Retirement Calculator'!A:A,0),0),0)</f>
        <v>0</v>
      </c>
      <c r="K5655" s="455">
        <f t="shared" ca="1" si="211"/>
        <v>-7079597792786.4775</v>
      </c>
      <c r="L5655" s="455">
        <f t="shared" ca="1" si="212"/>
        <v>-1706183068061541.3</v>
      </c>
      <c r="M5655" s="471">
        <f t="shared" si="214"/>
        <v>0.05</v>
      </c>
      <c r="N5655" s="475">
        <f t="shared" si="215"/>
        <v>223165</v>
      </c>
    </row>
    <row r="5656" spans="7:14" ht="11.25" customHeight="1" x14ac:dyDescent="0.3">
      <c r="G5656" s="470"/>
      <c r="H5656" s="470">
        <v>5649</v>
      </c>
      <c r="I5656" s="455">
        <f t="shared" ca="1" si="213"/>
        <v>-1706183068061541.3</v>
      </c>
      <c r="J5656" s="455">
        <f t="array" ref="J5656">IFERROR(INDEX('Retirement Calculator'!J:J,MATCH('Isaac 401k'!N5656,'Retirement Calculator'!A:A,0),0),0)</f>
        <v>0</v>
      </c>
      <c r="K5656" s="455">
        <f t="shared" ca="1" si="211"/>
        <v>-7109096116923.0889</v>
      </c>
      <c r="L5656" s="455">
        <f t="shared" ca="1" si="212"/>
        <v>-1713292164178464.3</v>
      </c>
      <c r="M5656" s="471">
        <f t="shared" si="214"/>
        <v>0.05</v>
      </c>
      <c r="N5656" s="475">
        <f t="shared" si="215"/>
        <v>223196</v>
      </c>
    </row>
    <row r="5657" spans="7:14" ht="11.25" customHeight="1" x14ac:dyDescent="0.3">
      <c r="G5657" s="470"/>
      <c r="H5657" s="470">
        <v>5650</v>
      </c>
      <c r="I5657" s="455">
        <f t="shared" ca="1" si="213"/>
        <v>-1713292164178464.3</v>
      </c>
      <c r="J5657" s="455">
        <f t="array" ref="J5657">IFERROR(INDEX('Retirement Calculator'!J:J,MATCH('Isaac 401k'!N5657,'Retirement Calculator'!A:A,0),0),0)</f>
        <v>0</v>
      </c>
      <c r="K5657" s="455">
        <f t="shared" ca="1" si="211"/>
        <v>-7138717350743.6006</v>
      </c>
      <c r="L5657" s="455">
        <f t="shared" ca="1" si="212"/>
        <v>-1720430881529207.8</v>
      </c>
      <c r="M5657" s="471">
        <f t="shared" si="214"/>
        <v>0.05</v>
      </c>
      <c r="N5657" s="475">
        <f t="shared" si="215"/>
        <v>223224</v>
      </c>
    </row>
    <row r="5658" spans="7:14" ht="11.25" customHeight="1" x14ac:dyDescent="0.3">
      <c r="G5658" s="470"/>
      <c r="H5658" s="470">
        <v>5651</v>
      </c>
      <c r="I5658" s="455">
        <f t="shared" ca="1" si="213"/>
        <v>-1720430881529207.8</v>
      </c>
      <c r="J5658" s="455">
        <f t="array" ref="J5658">IFERROR(INDEX('Retirement Calculator'!J:J,MATCH('Isaac 401k'!N5658,'Retirement Calculator'!A:A,0),0),0)</f>
        <v>0</v>
      </c>
      <c r="K5658" s="455">
        <f t="shared" ca="1" si="211"/>
        <v>-7168462006371.6992</v>
      </c>
      <c r="L5658" s="455">
        <f t="shared" ca="1" si="212"/>
        <v>-1727599343535579.5</v>
      </c>
      <c r="M5658" s="471">
        <f t="shared" si="214"/>
        <v>0.05</v>
      </c>
      <c r="N5658" s="475">
        <f t="shared" si="215"/>
        <v>223255</v>
      </c>
    </row>
    <row r="5659" spans="7:14" ht="11.25" customHeight="1" x14ac:dyDescent="0.3">
      <c r="G5659" s="470"/>
      <c r="H5659" s="470">
        <v>5652</v>
      </c>
      <c r="I5659" s="455">
        <f t="shared" ca="1" si="213"/>
        <v>-1727599343535579.5</v>
      </c>
      <c r="J5659" s="455">
        <f t="array" ref="J5659">IFERROR(INDEX('Retirement Calculator'!J:J,MATCH('Isaac 401k'!N5659,'Retirement Calculator'!A:A,0),0),0)</f>
        <v>0</v>
      </c>
      <c r="K5659" s="455">
        <f t="shared" ca="1" si="211"/>
        <v>-7198330598064.9141</v>
      </c>
      <c r="L5659" s="455">
        <f t="shared" ca="1" si="212"/>
        <v>-1734797674133644.5</v>
      </c>
      <c r="M5659" s="471">
        <f t="shared" si="214"/>
        <v>0.05</v>
      </c>
      <c r="N5659" s="475">
        <f t="shared" si="215"/>
        <v>223285</v>
      </c>
    </row>
    <row r="5660" spans="7:14" ht="11.25" customHeight="1" x14ac:dyDescent="0.3">
      <c r="G5660" s="470"/>
      <c r="H5660" s="470">
        <v>5653</v>
      </c>
      <c r="I5660" s="455">
        <f t="shared" ca="1" si="213"/>
        <v>-1734797674133644.5</v>
      </c>
      <c r="J5660" s="455">
        <f t="array" ref="J5660">IFERROR(INDEX('Retirement Calculator'!J:J,MATCH('Isaac 401k'!N5660,'Retirement Calculator'!A:A,0),0),0)</f>
        <v>0</v>
      </c>
      <c r="K5660" s="455">
        <f t="shared" ca="1" si="211"/>
        <v>-7228323642223.5186</v>
      </c>
      <c r="L5660" s="455">
        <f t="shared" ca="1" si="212"/>
        <v>-1742025997775868</v>
      </c>
      <c r="M5660" s="471">
        <f t="shared" si="214"/>
        <v>0.05</v>
      </c>
      <c r="N5660" s="475">
        <f t="shared" si="215"/>
        <v>223316</v>
      </c>
    </row>
    <row r="5661" spans="7:14" ht="11.25" customHeight="1" x14ac:dyDescent="0.3">
      <c r="G5661" s="470"/>
      <c r="H5661" s="470">
        <v>5654</v>
      </c>
      <c r="I5661" s="455">
        <f t="shared" ca="1" si="213"/>
        <v>-1742025997775868</v>
      </c>
      <c r="J5661" s="455">
        <f t="array" ref="J5661">IFERROR(INDEX('Retirement Calculator'!J:J,MATCH('Isaac 401k'!N5661,'Retirement Calculator'!A:A,0),0),0)</f>
        <v>0</v>
      </c>
      <c r="K5661" s="455">
        <f t="shared" ca="1" si="211"/>
        <v>-7258441657399.4502</v>
      </c>
      <c r="L5661" s="455">
        <f t="shared" ca="1" si="212"/>
        <v>-1749284439433267.5</v>
      </c>
      <c r="M5661" s="471">
        <f t="shared" si="214"/>
        <v>0.05</v>
      </c>
      <c r="N5661" s="475">
        <f t="shared" si="215"/>
        <v>223346</v>
      </c>
    </row>
    <row r="5662" spans="7:14" ht="11.25" customHeight="1" x14ac:dyDescent="0.3">
      <c r="G5662" s="470"/>
      <c r="H5662" s="470">
        <v>5655</v>
      </c>
      <c r="I5662" s="455">
        <f t="shared" ca="1" si="213"/>
        <v>-1749284439433267.5</v>
      </c>
      <c r="J5662" s="455">
        <f t="array" ref="J5662">IFERROR(INDEX('Retirement Calculator'!J:J,MATCH('Isaac 401k'!N5662,'Retirement Calculator'!A:A,0),0),0)</f>
        <v>0</v>
      </c>
      <c r="K5662" s="455">
        <f t="shared" ca="1" si="211"/>
        <v>-7288685164305.2813</v>
      </c>
      <c r="L5662" s="455">
        <f t="shared" ca="1" si="212"/>
        <v>-1756573124597572.8</v>
      </c>
      <c r="M5662" s="471">
        <f t="shared" si="214"/>
        <v>0.05</v>
      </c>
      <c r="N5662" s="475">
        <f t="shared" si="215"/>
        <v>223377</v>
      </c>
    </row>
    <row r="5663" spans="7:14" ht="11.25" customHeight="1" x14ac:dyDescent="0.3">
      <c r="G5663" s="470"/>
      <c r="H5663" s="470">
        <v>5656</v>
      </c>
      <c r="I5663" s="455">
        <f t="shared" ca="1" si="213"/>
        <v>-1756573124597572.8</v>
      </c>
      <c r="J5663" s="455">
        <f t="array" ref="J5663">IFERROR(INDEX('Retirement Calculator'!J:J,MATCH('Isaac 401k'!N5663,'Retirement Calculator'!A:A,0),0),0)</f>
        <v>0</v>
      </c>
      <c r="K5663" s="455">
        <f t="shared" ca="1" si="211"/>
        <v>-7319054685823.2188</v>
      </c>
      <c r="L5663" s="455">
        <f t="shared" ca="1" si="212"/>
        <v>-1763892179283396</v>
      </c>
      <c r="M5663" s="471">
        <f t="shared" si="214"/>
        <v>0.05</v>
      </c>
      <c r="N5663" s="475">
        <f t="shared" si="215"/>
        <v>223408</v>
      </c>
    </row>
    <row r="5664" spans="7:14" ht="11.25" customHeight="1" x14ac:dyDescent="0.3">
      <c r="G5664" s="470"/>
      <c r="H5664" s="470">
        <v>5657</v>
      </c>
      <c r="I5664" s="455">
        <f t="shared" ca="1" si="213"/>
        <v>-1763892179283396</v>
      </c>
      <c r="J5664" s="455">
        <f t="array" ref="J5664">IFERROR(INDEX('Retirement Calculator'!J:J,MATCH('Isaac 401k'!N5664,'Retirement Calculator'!A:A,0),0),0)</f>
        <v>0</v>
      </c>
      <c r="K5664" s="455">
        <f t="shared" ca="1" si="211"/>
        <v>-7349550747014.1514</v>
      </c>
      <c r="L5664" s="455">
        <f t="shared" ca="1" si="212"/>
        <v>-1771241730030410.3</v>
      </c>
      <c r="M5664" s="471">
        <f t="shared" si="214"/>
        <v>0.05</v>
      </c>
      <c r="N5664" s="475">
        <f t="shared" si="215"/>
        <v>223438</v>
      </c>
    </row>
    <row r="5665" spans="7:14" ht="11.25" customHeight="1" x14ac:dyDescent="0.3">
      <c r="G5665" s="470"/>
      <c r="H5665" s="470">
        <v>5658</v>
      </c>
      <c r="I5665" s="455">
        <f t="shared" ca="1" si="213"/>
        <v>-1771241730030410.3</v>
      </c>
      <c r="J5665" s="455">
        <f t="array" ref="J5665">IFERROR(INDEX('Retirement Calculator'!J:J,MATCH('Isaac 401k'!N5665,'Retirement Calculator'!A:A,0),0),0)</f>
        <v>0</v>
      </c>
      <c r="K5665" s="455">
        <f t="shared" ca="1" si="211"/>
        <v>-7380173875126.709</v>
      </c>
      <c r="L5665" s="455">
        <f t="shared" ca="1" si="212"/>
        <v>-1778621903905537</v>
      </c>
      <c r="M5665" s="471">
        <f t="shared" si="214"/>
        <v>0.05</v>
      </c>
      <c r="N5665" s="475">
        <f t="shared" si="215"/>
        <v>223469</v>
      </c>
    </row>
    <row r="5666" spans="7:14" ht="11.25" customHeight="1" x14ac:dyDescent="0.3">
      <c r="G5666" s="470"/>
      <c r="H5666" s="470">
        <v>5659</v>
      </c>
      <c r="I5666" s="455">
        <f t="shared" ca="1" si="213"/>
        <v>-1778621903905537</v>
      </c>
      <c r="J5666" s="455">
        <f t="array" ref="J5666">IFERROR(INDEX('Retirement Calculator'!J:J,MATCH('Isaac 401k'!N5666,'Retirement Calculator'!A:A,0),0),0)</f>
        <v>0</v>
      </c>
      <c r="K5666" s="455">
        <f t="shared" ca="1" si="211"/>
        <v>-7410924599606.4043</v>
      </c>
      <c r="L5666" s="455">
        <f t="shared" ca="1" si="212"/>
        <v>-1786032828505143.5</v>
      </c>
      <c r="M5666" s="471">
        <f t="shared" si="214"/>
        <v>0.05</v>
      </c>
      <c r="N5666" s="475">
        <f t="shared" si="215"/>
        <v>223499</v>
      </c>
    </row>
    <row r="5667" spans="7:14" ht="11.25" customHeight="1" x14ac:dyDescent="0.3">
      <c r="G5667" s="470"/>
      <c r="H5667" s="470">
        <v>5660</v>
      </c>
      <c r="I5667" s="455">
        <f t="shared" ca="1" si="213"/>
        <v>-1786032828505143.5</v>
      </c>
      <c r="J5667" s="455">
        <f t="array" ref="J5667">IFERROR(INDEX('Retirement Calculator'!J:J,MATCH('Isaac 401k'!N5667,'Retirement Calculator'!A:A,0),0),0)</f>
        <v>0</v>
      </c>
      <c r="K5667" s="455">
        <f t="shared" ca="1" si="211"/>
        <v>-7441803452104.7646</v>
      </c>
      <c r="L5667" s="455">
        <f t="shared" ca="1" si="212"/>
        <v>-1793474631957248.3</v>
      </c>
      <c r="M5667" s="471">
        <f t="shared" si="214"/>
        <v>0.05</v>
      </c>
      <c r="N5667" s="475">
        <f t="shared" si="215"/>
        <v>223530</v>
      </c>
    </row>
    <row r="5668" spans="7:14" ht="11.25" customHeight="1" x14ac:dyDescent="0.3">
      <c r="G5668" s="470"/>
      <c r="H5668" s="470">
        <v>5661</v>
      </c>
      <c r="I5668" s="455">
        <f t="shared" ca="1" si="213"/>
        <v>-1793474631957248.3</v>
      </c>
      <c r="J5668" s="455">
        <f t="array" ref="J5668">IFERROR(INDEX('Retirement Calculator'!J:J,MATCH('Isaac 401k'!N5668,'Retirement Calculator'!A:A,0),0),0)</f>
        <v>0</v>
      </c>
      <c r="K5668" s="455">
        <f t="shared" ca="1" si="211"/>
        <v>-7472810966488.5352</v>
      </c>
      <c r="L5668" s="455">
        <f t="shared" ca="1" si="212"/>
        <v>-1800947442923736.8</v>
      </c>
      <c r="M5668" s="471">
        <f t="shared" si="214"/>
        <v>0.05</v>
      </c>
      <c r="N5668" s="475">
        <f t="shared" si="215"/>
        <v>223561</v>
      </c>
    </row>
    <row r="5669" spans="7:14" ht="11.25" customHeight="1" x14ac:dyDescent="0.3">
      <c r="G5669" s="470"/>
      <c r="H5669" s="470">
        <v>5662</v>
      </c>
      <c r="I5669" s="455">
        <f t="shared" ca="1" si="213"/>
        <v>-1800947442923736.8</v>
      </c>
      <c r="J5669" s="455">
        <f t="array" ref="J5669">IFERROR(INDEX('Retirement Calculator'!J:J,MATCH('Isaac 401k'!N5669,'Retirement Calculator'!A:A,0),0),0)</f>
        <v>0</v>
      </c>
      <c r="K5669" s="455">
        <f t="shared" ca="1" si="211"/>
        <v>-7503947678848.9033</v>
      </c>
      <c r="L5669" s="455">
        <f t="shared" ca="1" si="212"/>
        <v>-1808451390602585.8</v>
      </c>
      <c r="M5669" s="471">
        <f t="shared" si="214"/>
        <v>0.05</v>
      </c>
      <c r="N5669" s="475">
        <f t="shared" si="215"/>
        <v>223590</v>
      </c>
    </row>
    <row r="5670" spans="7:14" ht="11.25" customHeight="1" x14ac:dyDescent="0.3">
      <c r="G5670" s="470"/>
      <c r="H5670" s="470">
        <v>5663</v>
      </c>
      <c r="I5670" s="455">
        <f t="shared" ca="1" si="213"/>
        <v>-1808451390602585.8</v>
      </c>
      <c r="J5670" s="455">
        <f t="array" ref="J5670">IFERROR(INDEX('Retirement Calculator'!J:J,MATCH('Isaac 401k'!N5670,'Retirement Calculator'!A:A,0),0),0)</f>
        <v>0</v>
      </c>
      <c r="K5670" s="455">
        <f t="shared" ca="1" si="211"/>
        <v>-7535214127510.7725</v>
      </c>
      <c r="L5670" s="455">
        <f t="shared" ca="1" si="212"/>
        <v>-1815986604730096.5</v>
      </c>
      <c r="M5670" s="471">
        <f t="shared" si="214"/>
        <v>0.05</v>
      </c>
      <c r="N5670" s="475">
        <f t="shared" si="215"/>
        <v>223621</v>
      </c>
    </row>
    <row r="5671" spans="7:14" ht="11.25" customHeight="1" x14ac:dyDescent="0.3">
      <c r="G5671" s="470"/>
      <c r="H5671" s="470">
        <v>5664</v>
      </c>
      <c r="I5671" s="455">
        <f t="shared" ca="1" si="213"/>
        <v>-1815986604730096.5</v>
      </c>
      <c r="J5671" s="455">
        <f t="array" ref="J5671">IFERROR(INDEX('Retirement Calculator'!J:J,MATCH('Isaac 401k'!N5671,'Retirement Calculator'!A:A,0),0),0)</f>
        <v>0</v>
      </c>
      <c r="K5671" s="455">
        <f t="shared" ca="1" si="211"/>
        <v>-7566610853042.0684</v>
      </c>
      <c r="L5671" s="455">
        <f t="shared" ca="1" si="212"/>
        <v>-1823553215583138.5</v>
      </c>
      <c r="M5671" s="471">
        <f t="shared" si="214"/>
        <v>0.05</v>
      </c>
      <c r="N5671" s="475">
        <f t="shared" si="215"/>
        <v>223651</v>
      </c>
    </row>
    <row r="5672" spans="7:14" ht="11.25" customHeight="1" x14ac:dyDescent="0.3">
      <c r="G5672" s="470"/>
      <c r="H5672" s="470">
        <v>5665</v>
      </c>
      <c r="I5672" s="455">
        <f t="shared" ca="1" si="213"/>
        <v>-1823553215583138.5</v>
      </c>
      <c r="J5672" s="455">
        <f t="array" ref="J5672">IFERROR(INDEX('Retirement Calculator'!J:J,MATCH('Isaac 401k'!N5672,'Retirement Calculator'!A:A,0),0),0)</f>
        <v>0</v>
      </c>
      <c r="K5672" s="455">
        <f t="shared" ca="1" si="211"/>
        <v>-7598138398263.0771</v>
      </c>
      <c r="L5672" s="455">
        <f t="shared" ca="1" si="212"/>
        <v>-1831151353981401.5</v>
      </c>
      <c r="M5672" s="471">
        <f t="shared" si="214"/>
        <v>0.05</v>
      </c>
      <c r="N5672" s="475">
        <f t="shared" si="215"/>
        <v>223682</v>
      </c>
    </row>
    <row r="5673" spans="7:14" ht="11.25" customHeight="1" x14ac:dyDescent="0.3">
      <c r="G5673" s="470"/>
      <c r="H5673" s="470">
        <v>5666</v>
      </c>
      <c r="I5673" s="455">
        <f t="shared" ca="1" si="213"/>
        <v>-1831151353981401.5</v>
      </c>
      <c r="J5673" s="455">
        <f t="array" ref="J5673">IFERROR(INDEX('Retirement Calculator'!J:J,MATCH('Isaac 401k'!N5673,'Retirement Calculator'!A:A,0),0),0)</f>
        <v>0</v>
      </c>
      <c r="K5673" s="455">
        <f t="shared" ca="1" si="211"/>
        <v>-7629797308255.8408</v>
      </c>
      <c r="L5673" s="455">
        <f t="shared" ca="1" si="212"/>
        <v>-1838781151289657.3</v>
      </c>
      <c r="M5673" s="471">
        <f t="shared" si="214"/>
        <v>0.05</v>
      </c>
      <c r="N5673" s="475">
        <f t="shared" si="215"/>
        <v>223712</v>
      </c>
    </row>
    <row r="5674" spans="7:14" ht="11.25" customHeight="1" x14ac:dyDescent="0.3">
      <c r="G5674" s="470"/>
      <c r="H5674" s="470">
        <v>5667</v>
      </c>
      <c r="I5674" s="455">
        <f t="shared" ca="1" si="213"/>
        <v>-1838781151289657.3</v>
      </c>
      <c r="J5674" s="455">
        <f t="array" ref="J5674">IFERROR(INDEX('Retirement Calculator'!J:J,MATCH('Isaac 401k'!N5674,'Retirement Calculator'!A:A,0),0),0)</f>
        <v>0</v>
      </c>
      <c r="K5674" s="455">
        <f t="shared" ca="1" si="211"/>
        <v>-7661588130373.5732</v>
      </c>
      <c r="L5674" s="455">
        <f t="shared" ca="1" si="212"/>
        <v>-1846442739420030.8</v>
      </c>
      <c r="M5674" s="471">
        <f t="shared" si="214"/>
        <v>0.05</v>
      </c>
      <c r="N5674" s="475">
        <f t="shared" si="215"/>
        <v>223743</v>
      </c>
    </row>
    <row r="5675" spans="7:14" ht="11.25" customHeight="1" x14ac:dyDescent="0.3">
      <c r="G5675" s="470"/>
      <c r="H5675" s="470">
        <v>5668</v>
      </c>
      <c r="I5675" s="455">
        <f t="shared" ca="1" si="213"/>
        <v>-1846442739420030.8</v>
      </c>
      <c r="J5675" s="455">
        <f t="array" ref="J5675">IFERROR(INDEX('Retirement Calculator'!J:J,MATCH('Isaac 401k'!N5675,'Retirement Calculator'!A:A,0),0),0)</f>
        <v>0</v>
      </c>
      <c r="K5675" s="455">
        <f t="shared" ca="1" si="211"/>
        <v>-7693511414250.1279</v>
      </c>
      <c r="L5675" s="455">
        <f t="shared" ca="1" si="212"/>
        <v>-1854136250834281</v>
      </c>
      <c r="M5675" s="471">
        <f t="shared" si="214"/>
        <v>0.05</v>
      </c>
      <c r="N5675" s="475">
        <f t="shared" si="215"/>
        <v>223774</v>
      </c>
    </row>
    <row r="5676" spans="7:14" ht="11.25" customHeight="1" x14ac:dyDescent="0.3">
      <c r="G5676" s="470"/>
      <c r="H5676" s="470">
        <v>5669</v>
      </c>
      <c r="I5676" s="455">
        <f t="shared" ca="1" si="213"/>
        <v>-1854136250834281</v>
      </c>
      <c r="J5676" s="455">
        <f t="array" ref="J5676">IFERROR(INDEX('Retirement Calculator'!J:J,MATCH('Isaac 401k'!N5676,'Retirement Calculator'!A:A,0),0),0)</f>
        <v>0</v>
      </c>
      <c r="K5676" s="455">
        <f t="shared" ca="1" si="211"/>
        <v>-7725567711809.5039</v>
      </c>
      <c r="L5676" s="455">
        <f t="shared" ca="1" si="212"/>
        <v>-1861861818546090.5</v>
      </c>
      <c r="M5676" s="471">
        <f t="shared" si="214"/>
        <v>0.05</v>
      </c>
      <c r="N5676" s="475">
        <f t="shared" si="215"/>
        <v>223804</v>
      </c>
    </row>
    <row r="5677" spans="7:14" ht="11.25" customHeight="1" x14ac:dyDescent="0.3">
      <c r="G5677" s="470"/>
      <c r="H5677" s="470">
        <v>5670</v>
      </c>
      <c r="I5677" s="455">
        <f t="shared" ca="1" si="213"/>
        <v>-1861861818546090.5</v>
      </c>
      <c r="J5677" s="455">
        <f t="array" ref="J5677">IFERROR(INDEX('Retirement Calculator'!J:J,MATCH('Isaac 401k'!N5677,'Retirement Calculator'!A:A,0),0),0)</f>
        <v>0</v>
      </c>
      <c r="K5677" s="455">
        <f t="shared" ca="1" si="211"/>
        <v>-7757757577275.377</v>
      </c>
      <c r="L5677" s="455">
        <f t="shared" ca="1" si="212"/>
        <v>-1869619576123366</v>
      </c>
      <c r="M5677" s="471">
        <f t="shared" si="214"/>
        <v>0.05</v>
      </c>
      <c r="N5677" s="475">
        <f t="shared" si="215"/>
        <v>223835</v>
      </c>
    </row>
    <row r="5678" spans="7:14" ht="11.25" customHeight="1" x14ac:dyDescent="0.3">
      <c r="G5678" s="470"/>
      <c r="H5678" s="470">
        <v>5671</v>
      </c>
      <c r="I5678" s="455">
        <f t="shared" ca="1" si="213"/>
        <v>-1869619576123366</v>
      </c>
      <c r="J5678" s="455">
        <f t="array" ref="J5678">IFERROR(INDEX('Retirement Calculator'!J:J,MATCH('Isaac 401k'!N5678,'Retirement Calculator'!A:A,0),0),0)</f>
        <v>0</v>
      </c>
      <c r="K5678" s="455">
        <f t="shared" ca="1" si="211"/>
        <v>-7790081567180.6924</v>
      </c>
      <c r="L5678" s="455">
        <f t="shared" ca="1" si="212"/>
        <v>-1877409657690546.8</v>
      </c>
      <c r="M5678" s="471">
        <f t="shared" si="214"/>
        <v>0.05</v>
      </c>
      <c r="N5678" s="475">
        <f t="shared" si="215"/>
        <v>223865</v>
      </c>
    </row>
    <row r="5679" spans="7:14" ht="11.25" customHeight="1" x14ac:dyDescent="0.3">
      <c r="G5679" s="470"/>
      <c r="H5679" s="470">
        <v>5672</v>
      </c>
      <c r="I5679" s="455">
        <f t="shared" ca="1" si="213"/>
        <v>-1877409657690546.8</v>
      </c>
      <c r="J5679" s="455">
        <f t="array" ref="J5679">IFERROR(INDEX('Retirement Calculator'!J:J,MATCH('Isaac 401k'!N5679,'Retirement Calculator'!A:A,0),0),0)</f>
        <v>0</v>
      </c>
      <c r="K5679" s="455">
        <f t="shared" ca="1" si="211"/>
        <v>-7822540240377.2793</v>
      </c>
      <c r="L5679" s="455">
        <f t="shared" ca="1" si="212"/>
        <v>-1885232197930924</v>
      </c>
      <c r="M5679" s="471">
        <f t="shared" si="214"/>
        <v>0.05</v>
      </c>
      <c r="N5679" s="475">
        <f t="shared" si="215"/>
        <v>223896</v>
      </c>
    </row>
    <row r="5680" spans="7:14" ht="11.25" customHeight="1" x14ac:dyDescent="0.3">
      <c r="G5680" s="470"/>
      <c r="H5680" s="470">
        <v>5673</v>
      </c>
      <c r="I5680" s="455">
        <f t="shared" ca="1" si="213"/>
        <v>-1885232197930924</v>
      </c>
      <c r="J5680" s="455">
        <f t="array" ref="J5680">IFERROR(INDEX('Retirement Calculator'!J:J,MATCH('Isaac 401k'!N5680,'Retirement Calculator'!A:A,0),0),0)</f>
        <v>0</v>
      </c>
      <c r="K5680" s="455">
        <f t="shared" ca="1" si="211"/>
        <v>-7855134158045.5166</v>
      </c>
      <c r="L5680" s="455">
        <f t="shared" ca="1" si="212"/>
        <v>-1893087332088969.5</v>
      </c>
      <c r="M5680" s="471">
        <f t="shared" si="214"/>
        <v>0.05</v>
      </c>
      <c r="N5680" s="475">
        <f t="shared" si="215"/>
        <v>223927</v>
      </c>
    </row>
    <row r="5681" spans="7:14" ht="11.25" customHeight="1" x14ac:dyDescent="0.3">
      <c r="G5681" s="470"/>
      <c r="H5681" s="470">
        <v>5674</v>
      </c>
      <c r="I5681" s="455">
        <f t="shared" ca="1" si="213"/>
        <v>-1893087332088969.5</v>
      </c>
      <c r="J5681" s="455">
        <f t="array" ref="J5681">IFERROR(INDEX('Retirement Calculator'!J:J,MATCH('Isaac 401k'!N5681,'Retirement Calculator'!A:A,0),0),0)</f>
        <v>0</v>
      </c>
      <c r="K5681" s="455">
        <f t="shared" ca="1" si="211"/>
        <v>-7887863883704.0381</v>
      </c>
      <c r="L5681" s="455">
        <f t="shared" ca="1" si="212"/>
        <v>-1900975195972673.5</v>
      </c>
      <c r="M5681" s="471">
        <f t="shared" si="214"/>
        <v>0.05</v>
      </c>
      <c r="N5681" s="475">
        <f t="shared" si="215"/>
        <v>223955</v>
      </c>
    </row>
    <row r="5682" spans="7:14" ht="11.25" customHeight="1" x14ac:dyDescent="0.3">
      <c r="G5682" s="470"/>
      <c r="H5682" s="470">
        <v>5675</v>
      </c>
      <c r="I5682" s="455">
        <f t="shared" ca="1" si="213"/>
        <v>-1900975195972673.5</v>
      </c>
      <c r="J5682" s="455">
        <f t="array" ref="J5682">IFERROR(INDEX('Retirement Calculator'!J:J,MATCH('Isaac 401k'!N5682,'Retirement Calculator'!A:A,0),0),0)</f>
        <v>0</v>
      </c>
      <c r="K5682" s="455">
        <f t="shared" ca="1" si="211"/>
        <v>-7920729983219.4717</v>
      </c>
      <c r="L5682" s="455">
        <f t="shared" ca="1" si="212"/>
        <v>-1908895925955893</v>
      </c>
      <c r="M5682" s="471">
        <f t="shared" si="214"/>
        <v>0.05</v>
      </c>
      <c r="N5682" s="475">
        <f t="shared" si="215"/>
        <v>223986</v>
      </c>
    </row>
    <row r="5683" spans="7:14" ht="11.25" customHeight="1" x14ac:dyDescent="0.3">
      <c r="G5683" s="470"/>
      <c r="H5683" s="470">
        <v>5676</v>
      </c>
      <c r="I5683" s="455">
        <f t="shared" ca="1" si="213"/>
        <v>-1908895925955893</v>
      </c>
      <c r="J5683" s="455">
        <f t="array" ref="J5683">IFERROR(INDEX('Retirement Calculator'!J:J,MATCH('Isaac 401k'!N5683,'Retirement Calculator'!A:A,0),0),0)</f>
        <v>0</v>
      </c>
      <c r="K5683" s="455">
        <f t="shared" ca="1" si="211"/>
        <v>-7953733024816.2207</v>
      </c>
      <c r="L5683" s="455">
        <f t="shared" ca="1" si="212"/>
        <v>-1916849658980709.3</v>
      </c>
      <c r="M5683" s="471">
        <f t="shared" si="214"/>
        <v>0.05</v>
      </c>
      <c r="N5683" s="475">
        <f t="shared" si="215"/>
        <v>224016</v>
      </c>
    </row>
    <row r="5684" spans="7:14" ht="11.25" customHeight="1" x14ac:dyDescent="0.3">
      <c r="G5684" s="470"/>
      <c r="H5684" s="470">
        <v>5677</v>
      </c>
      <c r="I5684" s="455">
        <f t="shared" ca="1" si="213"/>
        <v>-1916849658980709.3</v>
      </c>
      <c r="J5684" s="455">
        <f t="array" ref="J5684">IFERROR(INDEX('Retirement Calculator'!J:J,MATCH('Isaac 401k'!N5684,'Retirement Calculator'!A:A,0),0),0)</f>
        <v>0</v>
      </c>
      <c r="K5684" s="455">
        <f t="shared" ca="1" si="211"/>
        <v>-7986873579086.2881</v>
      </c>
      <c r="L5684" s="455">
        <f t="shared" ca="1" si="212"/>
        <v>-1924836532559795.5</v>
      </c>
      <c r="M5684" s="471">
        <f t="shared" si="214"/>
        <v>0.05</v>
      </c>
      <c r="N5684" s="475">
        <f t="shared" si="215"/>
        <v>224047</v>
      </c>
    </row>
    <row r="5685" spans="7:14" ht="11.25" customHeight="1" x14ac:dyDescent="0.3">
      <c r="G5685" s="470"/>
      <c r="H5685" s="470">
        <v>5678</v>
      </c>
      <c r="I5685" s="455">
        <f t="shared" ca="1" si="213"/>
        <v>-1924836532559795.5</v>
      </c>
      <c r="J5685" s="455">
        <f t="array" ref="J5685">IFERROR(INDEX('Retirement Calculator'!J:J,MATCH('Isaac 401k'!N5685,'Retirement Calculator'!A:A,0),0),0)</f>
        <v>0</v>
      </c>
      <c r="K5685" s="455">
        <f t="shared" ca="1" si="211"/>
        <v>-8020152218999.1475</v>
      </c>
      <c r="L5685" s="455">
        <f t="shared" ca="1" si="212"/>
        <v>-1932856684778794.8</v>
      </c>
      <c r="M5685" s="471">
        <f t="shared" si="214"/>
        <v>0.05</v>
      </c>
      <c r="N5685" s="475">
        <f t="shared" si="215"/>
        <v>224077</v>
      </c>
    </row>
    <row r="5686" spans="7:14" ht="11.25" customHeight="1" x14ac:dyDescent="0.3">
      <c r="G5686" s="470"/>
      <c r="H5686" s="470">
        <v>5679</v>
      </c>
      <c r="I5686" s="455">
        <f t="shared" ca="1" si="213"/>
        <v>-1932856684778794.8</v>
      </c>
      <c r="J5686" s="455">
        <f t="array" ref="J5686">IFERROR(INDEX('Retirement Calculator'!J:J,MATCH('Isaac 401k'!N5686,'Retirement Calculator'!A:A,0),0),0)</f>
        <v>0</v>
      </c>
      <c r="K5686" s="455">
        <f t="shared" ca="1" si="211"/>
        <v>-8053569519911.6455</v>
      </c>
      <c r="L5686" s="455">
        <f t="shared" ca="1" si="212"/>
        <v>-1940910254298706.5</v>
      </c>
      <c r="M5686" s="471">
        <f t="shared" si="214"/>
        <v>0.05</v>
      </c>
      <c r="N5686" s="475">
        <f t="shared" si="215"/>
        <v>224108</v>
      </c>
    </row>
    <row r="5687" spans="7:14" ht="11.25" customHeight="1" x14ac:dyDescent="0.3">
      <c r="G5687" s="470"/>
      <c r="H5687" s="470">
        <v>5680</v>
      </c>
      <c r="I5687" s="455">
        <f t="shared" ca="1" si="213"/>
        <v>-1940910254298706.5</v>
      </c>
      <c r="J5687" s="455">
        <f t="array" ref="J5687">IFERROR(INDEX('Retirement Calculator'!J:J,MATCH('Isaac 401k'!N5687,'Retirement Calculator'!A:A,0),0),0)</f>
        <v>0</v>
      </c>
      <c r="K5687" s="455">
        <f t="shared" ca="1" si="211"/>
        <v>-8087126059577.9443</v>
      </c>
      <c r="L5687" s="455">
        <f t="shared" ca="1" si="212"/>
        <v>-1948997380358284.5</v>
      </c>
      <c r="M5687" s="471">
        <f t="shared" si="214"/>
        <v>0.05</v>
      </c>
      <c r="N5687" s="475">
        <f t="shared" si="215"/>
        <v>224139</v>
      </c>
    </row>
    <row r="5688" spans="7:14" ht="11.25" customHeight="1" x14ac:dyDescent="0.3">
      <c r="G5688" s="470"/>
      <c r="H5688" s="470">
        <v>5681</v>
      </c>
      <c r="I5688" s="455">
        <f t="shared" ca="1" si="213"/>
        <v>-1948997380358284.5</v>
      </c>
      <c r="J5688" s="455">
        <f t="array" ref="J5688">IFERROR(INDEX('Retirement Calculator'!J:J,MATCH('Isaac 401k'!N5688,'Retirement Calculator'!A:A,0),0),0)</f>
        <v>0</v>
      </c>
      <c r="K5688" s="455">
        <f t="shared" ca="1" si="211"/>
        <v>-8120822418159.5176</v>
      </c>
      <c r="L5688" s="455">
        <f t="shared" ca="1" si="212"/>
        <v>-1957118202776444</v>
      </c>
      <c r="M5688" s="471">
        <f t="shared" si="214"/>
        <v>0.05</v>
      </c>
      <c r="N5688" s="475">
        <f t="shared" si="215"/>
        <v>224169</v>
      </c>
    </row>
    <row r="5689" spans="7:14" ht="11.25" customHeight="1" x14ac:dyDescent="0.3">
      <c r="G5689" s="470"/>
      <c r="H5689" s="470">
        <v>5682</v>
      </c>
      <c r="I5689" s="455">
        <f t="shared" ca="1" si="213"/>
        <v>-1957118202776444</v>
      </c>
      <c r="J5689" s="455">
        <f t="array" ref="J5689">IFERROR(INDEX('Retirement Calculator'!J:J,MATCH('Isaac 401k'!N5689,'Retirement Calculator'!A:A,0),0),0)</f>
        <v>0</v>
      </c>
      <c r="K5689" s="455">
        <f t="shared" ca="1" si="211"/>
        <v>-8154659178235.1826</v>
      </c>
      <c r="L5689" s="455">
        <f t="shared" ca="1" si="212"/>
        <v>-1965272861954679.3</v>
      </c>
      <c r="M5689" s="471">
        <f t="shared" si="214"/>
        <v>0.05</v>
      </c>
      <c r="N5689" s="475">
        <f t="shared" si="215"/>
        <v>224200</v>
      </c>
    </row>
    <row r="5690" spans="7:14" ht="11.25" customHeight="1" x14ac:dyDescent="0.3">
      <c r="G5690" s="470"/>
      <c r="H5690" s="470">
        <v>5683</v>
      </c>
      <c r="I5690" s="455">
        <f t="shared" ca="1" si="213"/>
        <v>-1965272861954679.3</v>
      </c>
      <c r="J5690" s="455">
        <f t="array" ref="J5690">IFERROR(INDEX('Retirement Calculator'!J:J,MATCH('Isaac 401k'!N5690,'Retirement Calculator'!A:A,0),0),0)</f>
        <v>0</v>
      </c>
      <c r="K5690" s="455">
        <f t="shared" ca="1" si="211"/>
        <v>-8188636924811.1621</v>
      </c>
      <c r="L5690" s="455">
        <f t="shared" ca="1" si="212"/>
        <v>-1973461498879490.5</v>
      </c>
      <c r="M5690" s="471">
        <f t="shared" si="214"/>
        <v>0.05</v>
      </c>
      <c r="N5690" s="475">
        <f t="shared" si="215"/>
        <v>224230</v>
      </c>
    </row>
    <row r="5691" spans="7:14" ht="11.25" customHeight="1" x14ac:dyDescent="0.3">
      <c r="G5691" s="470"/>
      <c r="H5691" s="470">
        <v>5684</v>
      </c>
      <c r="I5691" s="455">
        <f t="shared" ca="1" si="213"/>
        <v>-1973461498879490.5</v>
      </c>
      <c r="J5691" s="455">
        <f t="array" ref="J5691">IFERROR(INDEX('Retirement Calculator'!J:J,MATCH('Isaac 401k'!N5691,'Retirement Calculator'!A:A,0),0),0)</f>
        <v>0</v>
      </c>
      <c r="K5691" s="455">
        <f t="shared" ca="1" si="211"/>
        <v>-8222756245331.21</v>
      </c>
      <c r="L5691" s="455">
        <f t="shared" ca="1" si="212"/>
        <v>-1981684255124821.8</v>
      </c>
      <c r="M5691" s="471">
        <f t="shared" si="214"/>
        <v>0.05</v>
      </c>
      <c r="N5691" s="475">
        <f t="shared" si="215"/>
        <v>224261</v>
      </c>
    </row>
    <row r="5692" spans="7:14" ht="11.25" customHeight="1" x14ac:dyDescent="0.3">
      <c r="G5692" s="470"/>
      <c r="H5692" s="470">
        <v>5685</v>
      </c>
      <c r="I5692" s="455">
        <f t="shared" ca="1" si="213"/>
        <v>-1981684255124821.8</v>
      </c>
      <c r="J5692" s="455">
        <f t="array" ref="J5692">IFERROR(INDEX('Retirement Calculator'!J:J,MATCH('Isaac 401k'!N5692,'Retirement Calculator'!A:A,0),0),0)</f>
        <v>0</v>
      </c>
      <c r="K5692" s="455">
        <f t="shared" ca="1" si="211"/>
        <v>-8257017729686.7568</v>
      </c>
      <c r="L5692" s="455">
        <f t="shared" ca="1" si="212"/>
        <v>-1989941272854508.5</v>
      </c>
      <c r="M5692" s="471">
        <f t="shared" si="214"/>
        <v>0.05</v>
      </c>
      <c r="N5692" s="475">
        <f t="shared" si="215"/>
        <v>224292</v>
      </c>
    </row>
    <row r="5693" spans="7:14" ht="11.25" customHeight="1" x14ac:dyDescent="0.3">
      <c r="G5693" s="470"/>
      <c r="H5693" s="470">
        <v>5686</v>
      </c>
      <c r="I5693" s="455">
        <f t="shared" ca="1" si="213"/>
        <v>-1989941272854508.5</v>
      </c>
      <c r="J5693" s="455">
        <f t="array" ref="J5693">IFERROR(INDEX('Retirement Calculator'!J:J,MATCH('Isaac 401k'!N5693,'Retirement Calculator'!A:A,0),0),0)</f>
        <v>0</v>
      </c>
      <c r="K5693" s="455">
        <f t="shared" ca="1" si="211"/>
        <v>-8291421970227.1182</v>
      </c>
      <c r="L5693" s="455">
        <f t="shared" ca="1" si="212"/>
        <v>-1998232694824735.5</v>
      </c>
      <c r="M5693" s="471">
        <f t="shared" si="214"/>
        <v>0.05</v>
      </c>
      <c r="N5693" s="475">
        <f t="shared" si="215"/>
        <v>224320</v>
      </c>
    </row>
    <row r="5694" spans="7:14" ht="11.25" customHeight="1" x14ac:dyDescent="0.3">
      <c r="G5694" s="470"/>
      <c r="H5694" s="470">
        <v>5687</v>
      </c>
      <c r="I5694" s="455">
        <f t="shared" ca="1" si="213"/>
        <v>-1998232694824735.5</v>
      </c>
      <c r="J5694" s="455">
        <f t="array" ref="J5694">IFERROR(INDEX('Retirement Calculator'!J:J,MATCH('Isaac 401k'!N5694,'Retirement Calculator'!A:A,0),0),0)</f>
        <v>0</v>
      </c>
      <c r="K5694" s="455">
        <f t="shared" ca="1" si="211"/>
        <v>-8325969561769.7314</v>
      </c>
      <c r="L5694" s="455">
        <f t="shared" ca="1" si="212"/>
        <v>-2006558664386505.3</v>
      </c>
      <c r="M5694" s="471">
        <f t="shared" si="214"/>
        <v>0.05</v>
      </c>
      <c r="N5694" s="475">
        <f t="shared" si="215"/>
        <v>224351</v>
      </c>
    </row>
    <row r="5695" spans="7:14" ht="11.25" customHeight="1" x14ac:dyDescent="0.3">
      <c r="G5695" s="470"/>
      <c r="H5695" s="470">
        <v>5688</v>
      </c>
      <c r="I5695" s="455">
        <f t="shared" ca="1" si="213"/>
        <v>-2006558664386505.3</v>
      </c>
      <c r="J5695" s="455">
        <f t="array" ref="J5695">IFERROR(INDEX('Retirement Calculator'!J:J,MATCH('Isaac 401k'!N5695,'Retirement Calculator'!A:A,0),0),0)</f>
        <v>0</v>
      </c>
      <c r="K5695" s="455">
        <f t="shared" ca="1" si="211"/>
        <v>-8360661101610.4385</v>
      </c>
      <c r="L5695" s="455">
        <f t="shared" ca="1" si="212"/>
        <v>-2014919325488115.8</v>
      </c>
      <c r="M5695" s="471">
        <f t="shared" si="214"/>
        <v>0.05</v>
      </c>
      <c r="N5695" s="475">
        <f t="shared" si="215"/>
        <v>224381</v>
      </c>
    </row>
    <row r="5696" spans="7:14" ht="11.25" customHeight="1" x14ac:dyDescent="0.3">
      <c r="G5696" s="470"/>
      <c r="H5696" s="470">
        <v>5689</v>
      </c>
      <c r="I5696" s="455">
        <f t="shared" ca="1" si="213"/>
        <v>-2014919325488115.8</v>
      </c>
      <c r="J5696" s="455">
        <f t="array" ref="J5696">IFERROR(INDEX('Retirement Calculator'!J:J,MATCH('Isaac 401k'!N5696,'Retirement Calculator'!A:A,0),0),0)</f>
        <v>0</v>
      </c>
      <c r="K5696" s="455">
        <f t="shared" ca="1" si="211"/>
        <v>-8395497189533.8154</v>
      </c>
      <c r="L5696" s="455">
        <f t="shared" ca="1" si="212"/>
        <v>-2023314822677649.5</v>
      </c>
      <c r="M5696" s="471">
        <f t="shared" si="214"/>
        <v>0.05</v>
      </c>
      <c r="N5696" s="475">
        <f t="shared" si="215"/>
        <v>224412</v>
      </c>
    </row>
    <row r="5697" spans="7:14" ht="11.25" customHeight="1" x14ac:dyDescent="0.3">
      <c r="G5697" s="470"/>
      <c r="H5697" s="470">
        <v>5690</v>
      </c>
      <c r="I5697" s="455">
        <f t="shared" ca="1" si="213"/>
        <v>-2023314822677649.5</v>
      </c>
      <c r="J5697" s="455">
        <f t="array" ref="J5697">IFERROR(INDEX('Retirement Calculator'!J:J,MATCH('Isaac 401k'!N5697,'Retirement Calculator'!A:A,0),0),0)</f>
        <v>0</v>
      </c>
      <c r="K5697" s="455">
        <f t="shared" ca="1" si="211"/>
        <v>-8430478427823.5381</v>
      </c>
      <c r="L5697" s="455">
        <f t="shared" ca="1" si="212"/>
        <v>-2031745301105473</v>
      </c>
      <c r="M5697" s="471">
        <f t="shared" si="214"/>
        <v>0.05</v>
      </c>
      <c r="N5697" s="475">
        <f t="shared" si="215"/>
        <v>224442</v>
      </c>
    </row>
    <row r="5698" spans="7:14" ht="11.25" customHeight="1" x14ac:dyDescent="0.3">
      <c r="G5698" s="470"/>
      <c r="H5698" s="470">
        <v>5691</v>
      </c>
      <c r="I5698" s="455">
        <f t="shared" ca="1" si="213"/>
        <v>-2031745301105473</v>
      </c>
      <c r="J5698" s="455">
        <f t="array" ref="J5698">IFERROR(INDEX('Retirement Calculator'!J:J,MATCH('Isaac 401k'!N5698,'Retirement Calculator'!A:A,0),0),0)</f>
        <v>0</v>
      </c>
      <c r="K5698" s="455">
        <f t="shared" ca="1" si="211"/>
        <v>-8465605421272.8027</v>
      </c>
      <c r="L5698" s="455">
        <f t="shared" ca="1" si="212"/>
        <v>-2040210906526745.8</v>
      </c>
      <c r="M5698" s="471">
        <f t="shared" si="214"/>
        <v>0.05</v>
      </c>
      <c r="N5698" s="475">
        <f t="shared" si="215"/>
        <v>224473</v>
      </c>
    </row>
    <row r="5699" spans="7:14" ht="11.25" customHeight="1" x14ac:dyDescent="0.3">
      <c r="G5699" s="470"/>
      <c r="H5699" s="470">
        <v>5692</v>
      </c>
      <c r="I5699" s="455">
        <f t="shared" ca="1" si="213"/>
        <v>-2040210906526745.8</v>
      </c>
      <c r="J5699" s="455">
        <f t="array" ref="J5699">IFERROR(INDEX('Retirement Calculator'!J:J,MATCH('Isaac 401k'!N5699,'Retirement Calculator'!A:A,0),0),0)</f>
        <v>0</v>
      </c>
      <c r="K5699" s="455">
        <f t="shared" ca="1" si="211"/>
        <v>-8500878777194.7734</v>
      </c>
      <c r="L5699" s="455">
        <f t="shared" ca="1" si="212"/>
        <v>-2048711785303940.5</v>
      </c>
      <c r="M5699" s="471">
        <f t="shared" si="214"/>
        <v>0.05</v>
      </c>
      <c r="N5699" s="475">
        <f t="shared" si="215"/>
        <v>224504</v>
      </c>
    </row>
    <row r="5700" spans="7:14" ht="11.25" customHeight="1" x14ac:dyDescent="0.3">
      <c r="G5700" s="470"/>
      <c r="H5700" s="470">
        <v>5693</v>
      </c>
      <c r="I5700" s="455">
        <f t="shared" ca="1" si="213"/>
        <v>-2048711785303940.5</v>
      </c>
      <c r="J5700" s="455">
        <f t="array" ref="J5700">IFERROR(INDEX('Retirement Calculator'!J:J,MATCH('Isaac 401k'!N5700,'Retirement Calculator'!A:A,0),0),0)</f>
        <v>0</v>
      </c>
      <c r="K5700" s="455">
        <f t="shared" ca="1" si="211"/>
        <v>-8536299105433.085</v>
      </c>
      <c r="L5700" s="455">
        <f t="shared" ca="1" si="212"/>
        <v>-2057248084409373.5</v>
      </c>
      <c r="M5700" s="471">
        <f t="shared" si="214"/>
        <v>0.05</v>
      </c>
      <c r="N5700" s="475">
        <f t="shared" si="215"/>
        <v>224534</v>
      </c>
    </row>
    <row r="5701" spans="7:14" ht="11.25" customHeight="1" x14ac:dyDescent="0.3">
      <c r="G5701" s="470"/>
      <c r="H5701" s="470">
        <v>5694</v>
      </c>
      <c r="I5701" s="455">
        <f t="shared" ca="1" si="213"/>
        <v>-2057248084409373.5</v>
      </c>
      <c r="J5701" s="455">
        <f t="array" ref="J5701">IFERROR(INDEX('Retirement Calculator'!J:J,MATCH('Isaac 401k'!N5701,'Retirement Calculator'!A:A,0),0),0)</f>
        <v>0</v>
      </c>
      <c r="K5701" s="455">
        <f t="shared" ca="1" si="211"/>
        <v>-8571867018372.3896</v>
      </c>
      <c r="L5701" s="455">
        <f t="shared" ca="1" si="212"/>
        <v>-2065819951427746</v>
      </c>
      <c r="M5701" s="471">
        <f t="shared" si="214"/>
        <v>0.05</v>
      </c>
      <c r="N5701" s="475">
        <f t="shared" si="215"/>
        <v>224565</v>
      </c>
    </row>
    <row r="5702" spans="7:14" ht="11.25" customHeight="1" x14ac:dyDescent="0.3">
      <c r="G5702" s="470"/>
      <c r="H5702" s="470">
        <v>5695</v>
      </c>
      <c r="I5702" s="455">
        <f t="shared" ca="1" si="213"/>
        <v>-2065819951427746</v>
      </c>
      <c r="J5702" s="455">
        <f t="array" ref="J5702">IFERROR(INDEX('Retirement Calculator'!J:J,MATCH('Isaac 401k'!N5702,'Retirement Calculator'!A:A,0),0),0)</f>
        <v>0</v>
      </c>
      <c r="K5702" s="455">
        <f t="shared" ca="1" si="211"/>
        <v>-8607583130948.9404</v>
      </c>
      <c r="L5702" s="455">
        <f t="shared" ca="1" si="212"/>
        <v>-2074427534558695</v>
      </c>
      <c r="M5702" s="471">
        <f t="shared" si="214"/>
        <v>0.05</v>
      </c>
      <c r="N5702" s="475">
        <f t="shared" si="215"/>
        <v>224595</v>
      </c>
    </row>
    <row r="5703" spans="7:14" ht="11.25" customHeight="1" x14ac:dyDescent="0.3">
      <c r="G5703" s="470"/>
      <c r="H5703" s="470">
        <v>5696</v>
      </c>
      <c r="I5703" s="455">
        <f t="shared" ca="1" si="213"/>
        <v>-2074427534558695</v>
      </c>
      <c r="J5703" s="455">
        <f t="array" ref="J5703">IFERROR(INDEX('Retirement Calculator'!J:J,MATCH('Isaac 401k'!N5703,'Retirement Calculator'!A:A,0),0),0)</f>
        <v>0</v>
      </c>
      <c r="K5703" s="455">
        <f t="shared" ca="1" si="211"/>
        <v>-8643448060661.2275</v>
      </c>
      <c r="L5703" s="455">
        <f t="shared" ca="1" si="212"/>
        <v>-2083070982619356.3</v>
      </c>
      <c r="M5703" s="471">
        <f t="shared" si="214"/>
        <v>0.05</v>
      </c>
      <c r="N5703" s="475">
        <f t="shared" si="215"/>
        <v>224626</v>
      </c>
    </row>
    <row r="5704" spans="7:14" ht="11.25" customHeight="1" x14ac:dyDescent="0.3">
      <c r="G5704" s="470"/>
      <c r="H5704" s="470">
        <v>5697</v>
      </c>
      <c r="I5704" s="455">
        <f t="shared" ca="1" si="213"/>
        <v>-2083070982619356.3</v>
      </c>
      <c r="J5704" s="455">
        <f t="array" ref="J5704">IFERROR(INDEX('Retirement Calculator'!J:J,MATCH('Isaac 401k'!N5704,'Retirement Calculator'!A:A,0),0),0)</f>
        <v>0</v>
      </c>
      <c r="K5704" s="455">
        <f t="shared" ca="1" si="211"/>
        <v>-8679462427580.6514</v>
      </c>
      <c r="L5704" s="455">
        <f t="shared" ca="1" si="212"/>
        <v>-2091750445046937</v>
      </c>
      <c r="M5704" s="471">
        <f t="shared" si="214"/>
        <v>0.05</v>
      </c>
      <c r="N5704" s="475">
        <f t="shared" si="215"/>
        <v>224657</v>
      </c>
    </row>
    <row r="5705" spans="7:14" ht="11.25" customHeight="1" x14ac:dyDescent="0.3">
      <c r="G5705" s="470"/>
      <c r="H5705" s="470">
        <v>5698</v>
      </c>
      <c r="I5705" s="455">
        <f t="shared" ca="1" si="213"/>
        <v>-2091750445046937</v>
      </c>
      <c r="J5705" s="455">
        <f t="array" ref="J5705">IFERROR(INDEX('Retirement Calculator'!J:J,MATCH('Isaac 401k'!N5705,'Retirement Calculator'!A:A,0),0),0)</f>
        <v>0</v>
      </c>
      <c r="K5705" s="455">
        <f t="shared" ca="1" si="211"/>
        <v>-8715626854362.2373</v>
      </c>
      <c r="L5705" s="455">
        <f t="shared" ca="1" si="212"/>
        <v>-2100466071901299.3</v>
      </c>
      <c r="M5705" s="471">
        <f t="shared" si="214"/>
        <v>0.05</v>
      </c>
      <c r="N5705" s="475">
        <f t="shared" si="215"/>
        <v>224685</v>
      </c>
    </row>
    <row r="5706" spans="7:14" ht="11.25" customHeight="1" x14ac:dyDescent="0.3">
      <c r="G5706" s="470"/>
      <c r="H5706" s="470">
        <v>5699</v>
      </c>
      <c r="I5706" s="455">
        <f t="shared" ca="1" si="213"/>
        <v>-2100466071901299.3</v>
      </c>
      <c r="J5706" s="455">
        <f t="array" ref="J5706">IFERROR(INDEX('Retirement Calculator'!J:J,MATCH('Isaac 401k'!N5706,'Retirement Calculator'!A:A,0),0),0)</f>
        <v>0</v>
      </c>
      <c r="K5706" s="455">
        <f t="shared" ca="1" si="211"/>
        <v>-8751941966255.4131</v>
      </c>
      <c r="L5706" s="455">
        <f t="shared" ca="1" si="212"/>
        <v>-2109218013867554.8</v>
      </c>
      <c r="M5706" s="471">
        <f t="shared" si="214"/>
        <v>0.05</v>
      </c>
      <c r="N5706" s="475">
        <f t="shared" si="215"/>
        <v>224716</v>
      </c>
    </row>
    <row r="5707" spans="7:14" ht="11.25" customHeight="1" x14ac:dyDescent="0.3">
      <c r="G5707" s="470"/>
      <c r="H5707" s="470">
        <v>5700</v>
      </c>
      <c r="I5707" s="455">
        <f t="shared" ca="1" si="213"/>
        <v>-2109218013867554.8</v>
      </c>
      <c r="J5707" s="455">
        <f t="array" ref="J5707">IFERROR(INDEX('Retirement Calculator'!J:J,MATCH('Isaac 401k'!N5707,'Retirement Calculator'!A:A,0),0),0)</f>
        <v>0</v>
      </c>
      <c r="K5707" s="455">
        <f t="shared" ca="1" si="211"/>
        <v>-8788408391114.8115</v>
      </c>
      <c r="L5707" s="455">
        <f t="shared" ca="1" si="212"/>
        <v>-2118006422258669.5</v>
      </c>
      <c r="M5707" s="471">
        <f t="shared" si="214"/>
        <v>0.05</v>
      </c>
      <c r="N5707" s="475">
        <f t="shared" si="215"/>
        <v>224746</v>
      </c>
    </row>
    <row r="5708" spans="7:14" ht="11.25" customHeight="1" x14ac:dyDescent="0.3">
      <c r="G5708" s="470"/>
      <c r="H5708" s="470">
        <v>5701</v>
      </c>
      <c r="I5708" s="455">
        <f t="shared" ca="1" si="213"/>
        <v>-2118006422258669.5</v>
      </c>
      <c r="J5708" s="455">
        <f t="array" ref="J5708">IFERROR(INDEX('Retirement Calculator'!J:J,MATCH('Isaac 401k'!N5708,'Retirement Calculator'!A:A,0),0),0)</f>
        <v>0</v>
      </c>
      <c r="K5708" s="455">
        <f t="shared" ca="1" si="211"/>
        <v>-8825026759411.123</v>
      </c>
      <c r="L5708" s="455">
        <f t="shared" ca="1" si="212"/>
        <v>-2126831449018080.5</v>
      </c>
      <c r="M5708" s="471">
        <f t="shared" si="214"/>
        <v>0.05</v>
      </c>
      <c r="N5708" s="475">
        <f t="shared" si="215"/>
        <v>224777</v>
      </c>
    </row>
    <row r="5709" spans="7:14" ht="11.25" customHeight="1" x14ac:dyDescent="0.3">
      <c r="G5709" s="470"/>
      <c r="H5709" s="470">
        <v>5702</v>
      </c>
      <c r="I5709" s="455">
        <f t="shared" ca="1" si="213"/>
        <v>-2126831449018080.5</v>
      </c>
      <c r="J5709" s="455">
        <f t="array" ref="J5709">IFERROR(INDEX('Retirement Calculator'!J:J,MATCH('Isaac 401k'!N5709,'Retirement Calculator'!A:A,0),0),0)</f>
        <v>0</v>
      </c>
      <c r="K5709" s="455">
        <f t="shared" ca="1" si="211"/>
        <v>-8861797704242</v>
      </c>
      <c r="L5709" s="455">
        <f t="shared" ca="1" si="212"/>
        <v>-2135693246722322.5</v>
      </c>
      <c r="M5709" s="471">
        <f t="shared" si="214"/>
        <v>0.05</v>
      </c>
      <c r="N5709" s="475">
        <f t="shared" si="215"/>
        <v>224807</v>
      </c>
    </row>
    <row r="5710" spans="7:14" ht="11.25" customHeight="1" x14ac:dyDescent="0.3">
      <c r="G5710" s="470"/>
      <c r="H5710" s="470">
        <v>5703</v>
      </c>
      <c r="I5710" s="455">
        <f t="shared" ca="1" si="213"/>
        <v>-2135693246722322.5</v>
      </c>
      <c r="J5710" s="455">
        <f t="array" ref="J5710">IFERROR(INDEX('Retirement Calculator'!J:J,MATCH('Isaac 401k'!N5710,'Retirement Calculator'!A:A,0),0),0)</f>
        <v>0</v>
      </c>
      <c r="K5710" s="455">
        <f t="shared" ca="1" si="211"/>
        <v>-8898721861343.0098</v>
      </c>
      <c r="L5710" s="455">
        <f t="shared" ca="1" si="212"/>
        <v>-2144591968583665.5</v>
      </c>
      <c r="M5710" s="471">
        <f t="shared" si="214"/>
        <v>0.05</v>
      </c>
      <c r="N5710" s="475">
        <f t="shared" si="215"/>
        <v>224838</v>
      </c>
    </row>
    <row r="5711" spans="7:14" ht="11.25" customHeight="1" x14ac:dyDescent="0.3">
      <c r="G5711" s="470"/>
      <c r="H5711" s="470">
        <v>5704</v>
      </c>
      <c r="I5711" s="455">
        <f t="shared" ca="1" si="213"/>
        <v>-2144591968583665.5</v>
      </c>
      <c r="J5711" s="455">
        <f t="array" ref="J5711">IFERROR(INDEX('Retirement Calculator'!J:J,MATCH('Isaac 401k'!N5711,'Retirement Calculator'!A:A,0),0),0)</f>
        <v>0</v>
      </c>
      <c r="K5711" s="455">
        <f t="shared" ca="1" si="211"/>
        <v>-8935799869098.6055</v>
      </c>
      <c r="L5711" s="455">
        <f t="shared" ca="1" si="212"/>
        <v>-2153527768452764</v>
      </c>
      <c r="M5711" s="471">
        <f t="shared" si="214"/>
        <v>0.05</v>
      </c>
      <c r="N5711" s="475">
        <f t="shared" si="215"/>
        <v>224869</v>
      </c>
    </row>
    <row r="5712" spans="7:14" ht="11.25" customHeight="1" x14ac:dyDescent="0.3">
      <c r="G5712" s="470"/>
      <c r="H5712" s="470">
        <v>5705</v>
      </c>
      <c r="I5712" s="455">
        <f t="shared" ca="1" si="213"/>
        <v>-2153527768452764</v>
      </c>
      <c r="J5712" s="455">
        <f t="array" ref="J5712">IFERROR(INDEX('Retirement Calculator'!J:J,MATCH('Isaac 401k'!N5712,'Retirement Calculator'!A:A,0),0),0)</f>
        <v>0</v>
      </c>
      <c r="K5712" s="455">
        <f t="shared" ca="1" si="211"/>
        <v>-8973032368553.1836</v>
      </c>
      <c r="L5712" s="455">
        <f t="shared" ca="1" si="212"/>
        <v>-2162500800821317.3</v>
      </c>
      <c r="M5712" s="471">
        <f t="shared" si="214"/>
        <v>0.05</v>
      </c>
      <c r="N5712" s="475">
        <f t="shared" si="215"/>
        <v>224899</v>
      </c>
    </row>
    <row r="5713" spans="7:14" ht="11.25" customHeight="1" x14ac:dyDescent="0.3">
      <c r="G5713" s="470"/>
      <c r="H5713" s="470">
        <v>5706</v>
      </c>
      <c r="I5713" s="455">
        <f t="shared" ca="1" si="213"/>
        <v>-2162500800821317.3</v>
      </c>
      <c r="J5713" s="455">
        <f t="array" ref="J5713">IFERROR(INDEX('Retirement Calculator'!J:J,MATCH('Isaac 401k'!N5713,'Retirement Calculator'!A:A,0),0),0)</f>
        <v>0</v>
      </c>
      <c r="K5713" s="455">
        <f t="shared" ca="1" si="211"/>
        <v>-9010420003422.1543</v>
      </c>
      <c r="L5713" s="455">
        <f t="shared" ca="1" si="212"/>
        <v>-2171511220824739.5</v>
      </c>
      <c r="M5713" s="471">
        <f t="shared" si="214"/>
        <v>0.05</v>
      </c>
      <c r="N5713" s="475">
        <f t="shared" si="215"/>
        <v>224930</v>
      </c>
    </row>
    <row r="5714" spans="7:14" ht="11.25" customHeight="1" x14ac:dyDescent="0.3">
      <c r="G5714" s="470"/>
      <c r="H5714" s="470">
        <v>5707</v>
      </c>
      <c r="I5714" s="455">
        <f t="shared" ca="1" si="213"/>
        <v>-2171511220824739.5</v>
      </c>
      <c r="J5714" s="455">
        <f t="array" ref="J5714">IFERROR(INDEX('Retirement Calculator'!J:J,MATCH('Isaac 401k'!N5714,'Retirement Calculator'!A:A,0),0),0)</f>
        <v>0</v>
      </c>
      <c r="K5714" s="455">
        <f t="shared" ca="1" si="211"/>
        <v>-9047963420103.082</v>
      </c>
      <c r="L5714" s="455">
        <f t="shared" ca="1" si="212"/>
        <v>-2180559184244842.5</v>
      </c>
      <c r="M5714" s="471">
        <f t="shared" si="214"/>
        <v>0.05</v>
      </c>
      <c r="N5714" s="475">
        <f t="shared" si="215"/>
        <v>224960</v>
      </c>
    </row>
    <row r="5715" spans="7:14" ht="11.25" customHeight="1" x14ac:dyDescent="0.3">
      <c r="G5715" s="470"/>
      <c r="H5715" s="470">
        <v>5708</v>
      </c>
      <c r="I5715" s="455">
        <f t="shared" ca="1" si="213"/>
        <v>-2180559184244842.5</v>
      </c>
      <c r="J5715" s="455">
        <f t="array" ref="J5715">IFERROR(INDEX('Retirement Calculator'!J:J,MATCH('Isaac 401k'!N5715,'Retirement Calculator'!A:A,0),0),0)</f>
        <v>0</v>
      </c>
      <c r="K5715" s="455">
        <f t="shared" ca="1" si="211"/>
        <v>-9085663267686.8438</v>
      </c>
      <c r="L5715" s="455">
        <f t="shared" ca="1" si="212"/>
        <v>-2189644847512529.3</v>
      </c>
      <c r="M5715" s="471">
        <f t="shared" si="214"/>
        <v>0.05</v>
      </c>
      <c r="N5715" s="475">
        <f t="shared" si="215"/>
        <v>224991</v>
      </c>
    </row>
    <row r="5716" spans="7:14" ht="11.25" customHeight="1" x14ac:dyDescent="0.3">
      <c r="G5716" s="470"/>
      <c r="H5716" s="470">
        <v>5709</v>
      </c>
      <c r="I5716" s="455">
        <f t="shared" ca="1" si="213"/>
        <v>-2189644847512529.3</v>
      </c>
      <c r="J5716" s="455">
        <f t="array" ref="J5716">IFERROR(INDEX('Retirement Calculator'!J:J,MATCH('Isaac 401k'!N5716,'Retirement Calculator'!A:A,0),0),0)</f>
        <v>0</v>
      </c>
      <c r="K5716" s="455">
        <f t="shared" ca="1" si="211"/>
        <v>-9123520197968.8711</v>
      </c>
      <c r="L5716" s="455">
        <f t="shared" ca="1" si="212"/>
        <v>-2198768367710498</v>
      </c>
      <c r="M5716" s="471">
        <f t="shared" si="214"/>
        <v>0.05</v>
      </c>
      <c r="N5716" s="475">
        <f t="shared" si="215"/>
        <v>225022</v>
      </c>
    </row>
    <row r="5717" spans="7:14" ht="11.25" customHeight="1" x14ac:dyDescent="0.3">
      <c r="G5717" s="470"/>
      <c r="H5717" s="470">
        <v>5710</v>
      </c>
      <c r="I5717" s="455">
        <f t="shared" ca="1" si="213"/>
        <v>-2198768367710498</v>
      </c>
      <c r="J5717" s="455">
        <f t="array" ref="J5717">IFERROR(INDEX('Retirement Calculator'!J:J,MATCH('Isaac 401k'!N5717,'Retirement Calculator'!A:A,0),0),0)</f>
        <v>0</v>
      </c>
      <c r="K5717" s="455">
        <f t="shared" ca="1" si="211"/>
        <v>-9161534865460.4102</v>
      </c>
      <c r="L5717" s="455">
        <f t="shared" ca="1" si="212"/>
        <v>-2207929902575958.5</v>
      </c>
      <c r="M5717" s="471">
        <f t="shared" si="214"/>
        <v>0.05</v>
      </c>
      <c r="N5717" s="475">
        <f t="shared" si="215"/>
        <v>225051</v>
      </c>
    </row>
    <row r="5718" spans="7:14" ht="11.25" customHeight="1" x14ac:dyDescent="0.3">
      <c r="G5718" s="470"/>
      <c r="H5718" s="470">
        <v>5711</v>
      </c>
      <c r="I5718" s="455">
        <f t="shared" ca="1" si="213"/>
        <v>-2207929902575958.5</v>
      </c>
      <c r="J5718" s="455">
        <f t="array" ref="J5718">IFERROR(INDEX('Retirement Calculator'!J:J,MATCH('Isaac 401k'!N5718,'Retirement Calculator'!A:A,0),0),0)</f>
        <v>0</v>
      </c>
      <c r="K5718" s="455">
        <f t="shared" ca="1" si="211"/>
        <v>-9199707927399.8262</v>
      </c>
      <c r="L5718" s="455">
        <f t="shared" ca="1" si="212"/>
        <v>-2217129610503358.3</v>
      </c>
      <c r="M5718" s="471">
        <f t="shared" si="214"/>
        <v>0.05</v>
      </c>
      <c r="N5718" s="475">
        <f t="shared" si="215"/>
        <v>225082</v>
      </c>
    </row>
    <row r="5719" spans="7:14" ht="11.25" customHeight="1" x14ac:dyDescent="0.3">
      <c r="G5719" s="470"/>
      <c r="H5719" s="470">
        <v>5712</v>
      </c>
      <c r="I5719" s="455">
        <f t="shared" ca="1" si="213"/>
        <v>-2217129610503358.3</v>
      </c>
      <c r="J5719" s="455">
        <f t="array" ref="J5719">IFERROR(INDEX('Retirement Calculator'!J:J,MATCH('Isaac 401k'!N5719,'Retirement Calculator'!A:A,0),0),0)</f>
        <v>0</v>
      </c>
      <c r="K5719" s="455">
        <f t="shared" ca="1" si="211"/>
        <v>-9238040043763.9922</v>
      </c>
      <c r="L5719" s="455">
        <f t="shared" ca="1" si="212"/>
        <v>-2226367650547122.3</v>
      </c>
      <c r="M5719" s="471">
        <f t="shared" si="214"/>
        <v>0.05</v>
      </c>
      <c r="N5719" s="475">
        <f t="shared" si="215"/>
        <v>225112</v>
      </c>
    </row>
    <row r="5720" spans="7:14" ht="11.25" customHeight="1" x14ac:dyDescent="0.3">
      <c r="G5720" s="470"/>
      <c r="H5720" s="470">
        <v>5713</v>
      </c>
      <c r="I5720" s="455">
        <f t="shared" ca="1" si="213"/>
        <v>-2226367650547122.3</v>
      </c>
      <c r="J5720" s="455">
        <f t="array" ref="J5720">IFERROR(INDEX('Retirement Calculator'!J:J,MATCH('Isaac 401k'!N5720,'Retirement Calculator'!A:A,0),0),0)</f>
        <v>0</v>
      </c>
      <c r="K5720" s="455">
        <f t="shared" ca="1" si="211"/>
        <v>-9276531877279.6777</v>
      </c>
      <c r="L5720" s="455">
        <f t="shared" ca="1" si="212"/>
        <v>-2235644182424402</v>
      </c>
      <c r="M5720" s="471">
        <f t="shared" si="214"/>
        <v>0.05</v>
      </c>
      <c r="N5720" s="475">
        <f t="shared" si="215"/>
        <v>225143</v>
      </c>
    </row>
    <row r="5721" spans="7:14" ht="11.25" customHeight="1" x14ac:dyDescent="0.3">
      <c r="G5721" s="470"/>
      <c r="H5721" s="470">
        <v>5714</v>
      </c>
      <c r="I5721" s="455">
        <f t="shared" ca="1" si="213"/>
        <v>-2235644182424402</v>
      </c>
      <c r="J5721" s="455">
        <f t="array" ref="J5721">IFERROR(INDEX('Retirement Calculator'!J:J,MATCH('Isaac 401k'!N5721,'Retirement Calculator'!A:A,0),0),0)</f>
        <v>0</v>
      </c>
      <c r="K5721" s="455">
        <f t="shared" ca="1" si="211"/>
        <v>-9315184093435.0078</v>
      </c>
      <c r="L5721" s="455">
        <f t="shared" ca="1" si="212"/>
        <v>-2244959366517837</v>
      </c>
      <c r="M5721" s="471">
        <f t="shared" si="214"/>
        <v>0.05</v>
      </c>
      <c r="N5721" s="475">
        <f t="shared" si="215"/>
        <v>225173</v>
      </c>
    </row>
    <row r="5722" spans="7:14" ht="11.25" customHeight="1" x14ac:dyDescent="0.3">
      <c r="G5722" s="470"/>
      <c r="H5722" s="470">
        <v>5715</v>
      </c>
      <c r="I5722" s="455">
        <f t="shared" ca="1" si="213"/>
        <v>-2244959366517837</v>
      </c>
      <c r="J5722" s="455">
        <f t="array" ref="J5722">IFERROR(INDEX('Retirement Calculator'!J:J,MATCH('Isaac 401k'!N5722,'Retirement Calculator'!A:A,0),0),0)</f>
        <v>0</v>
      </c>
      <c r="K5722" s="455">
        <f t="shared" ca="1" si="211"/>
        <v>-9353997360490.9883</v>
      </c>
      <c r="L5722" s="455">
        <f t="shared" ca="1" si="212"/>
        <v>-2254313363878328</v>
      </c>
      <c r="M5722" s="471">
        <f t="shared" si="214"/>
        <v>0.05</v>
      </c>
      <c r="N5722" s="475">
        <f t="shared" si="215"/>
        <v>225204</v>
      </c>
    </row>
    <row r="5723" spans="7:14" ht="11.25" customHeight="1" x14ac:dyDescent="0.3">
      <c r="G5723" s="470"/>
      <c r="H5723" s="470">
        <v>5716</v>
      </c>
      <c r="I5723" s="455">
        <f t="shared" ca="1" si="213"/>
        <v>-2254313363878328</v>
      </c>
      <c r="J5723" s="455">
        <f t="array" ref="J5723">IFERROR(INDEX('Retirement Calculator'!J:J,MATCH('Isaac 401k'!N5723,'Retirement Calculator'!A:A,0),0),0)</f>
        <v>0</v>
      </c>
      <c r="K5723" s="455">
        <f t="shared" ca="1" si="211"/>
        <v>-9392972349493.0332</v>
      </c>
      <c r="L5723" s="455">
        <f t="shared" ca="1" si="212"/>
        <v>-2263706336227821</v>
      </c>
      <c r="M5723" s="471">
        <f t="shared" si="214"/>
        <v>0.05</v>
      </c>
      <c r="N5723" s="475">
        <f t="shared" si="215"/>
        <v>225235</v>
      </c>
    </row>
    <row r="5724" spans="7:14" ht="11.25" customHeight="1" x14ac:dyDescent="0.3">
      <c r="G5724" s="470"/>
      <c r="H5724" s="470">
        <v>5717</v>
      </c>
      <c r="I5724" s="455">
        <f t="shared" ca="1" si="213"/>
        <v>-2263706336227821</v>
      </c>
      <c r="J5724" s="455">
        <f t="array" ref="J5724">IFERROR(INDEX('Retirement Calculator'!J:J,MATCH('Isaac 401k'!N5724,'Retirement Calculator'!A:A,0),0),0)</f>
        <v>0</v>
      </c>
      <c r="K5724" s="455">
        <f t="shared" ca="1" si="211"/>
        <v>-9432109734282.5879</v>
      </c>
      <c r="L5724" s="455">
        <f t="shared" ca="1" si="212"/>
        <v>-2273138445962103.5</v>
      </c>
      <c r="M5724" s="471">
        <f t="shared" si="214"/>
        <v>0.05</v>
      </c>
      <c r="N5724" s="475">
        <f t="shared" si="215"/>
        <v>225265</v>
      </c>
    </row>
    <row r="5725" spans="7:14" ht="11.25" customHeight="1" x14ac:dyDescent="0.3">
      <c r="G5725" s="470"/>
      <c r="H5725" s="470">
        <v>5718</v>
      </c>
      <c r="I5725" s="455">
        <f t="shared" ca="1" si="213"/>
        <v>-2273138445962103.5</v>
      </c>
      <c r="J5725" s="455">
        <f t="array" ref="J5725">IFERROR(INDEX('Retirement Calculator'!J:J,MATCH('Isaac 401k'!N5725,'Retirement Calculator'!A:A,0),0),0)</f>
        <v>0</v>
      </c>
      <c r="K5725" s="455">
        <f t="shared" ca="1" si="211"/>
        <v>-9471410191508.7637</v>
      </c>
      <c r="L5725" s="455">
        <f t="shared" ca="1" si="212"/>
        <v>-2282609856153612.5</v>
      </c>
      <c r="M5725" s="471">
        <f t="shared" si="214"/>
        <v>0.05</v>
      </c>
      <c r="N5725" s="475">
        <f t="shared" si="215"/>
        <v>225296</v>
      </c>
    </row>
    <row r="5726" spans="7:14" ht="11.25" customHeight="1" x14ac:dyDescent="0.3">
      <c r="G5726" s="470"/>
      <c r="H5726" s="470">
        <v>5719</v>
      </c>
      <c r="I5726" s="455">
        <f t="shared" ca="1" si="213"/>
        <v>-2282609856153612.5</v>
      </c>
      <c r="J5726" s="455">
        <f t="array" ref="J5726">IFERROR(INDEX('Retirement Calculator'!J:J,MATCH('Isaac 401k'!N5726,'Retirement Calculator'!A:A,0),0),0)</f>
        <v>0</v>
      </c>
      <c r="K5726" s="455">
        <f t="shared" ca="1" si="211"/>
        <v>-9510874400640.0527</v>
      </c>
      <c r="L5726" s="455">
        <f t="shared" ca="1" si="212"/>
        <v>-2292120730554252.5</v>
      </c>
      <c r="M5726" s="471">
        <f t="shared" si="214"/>
        <v>0.05</v>
      </c>
      <c r="N5726" s="475">
        <f t="shared" si="215"/>
        <v>225326</v>
      </c>
    </row>
    <row r="5727" spans="7:14" ht="11.25" customHeight="1" x14ac:dyDescent="0.3">
      <c r="G5727" s="470"/>
      <c r="H5727" s="470">
        <v>5720</v>
      </c>
      <c r="I5727" s="455">
        <f t="shared" ca="1" si="213"/>
        <v>-2292120730554252.5</v>
      </c>
      <c r="J5727" s="455">
        <f t="array" ref="J5727">IFERROR(INDEX('Retirement Calculator'!J:J,MATCH('Isaac 401k'!N5727,'Retirement Calculator'!A:A,0),0),0)</f>
        <v>0</v>
      </c>
      <c r="K5727" s="455">
        <f t="shared" ca="1" si="211"/>
        <v>-9550503043976.0527</v>
      </c>
      <c r="L5727" s="455">
        <f t="shared" ca="1" si="212"/>
        <v>-2301671233598228.5</v>
      </c>
      <c r="M5727" s="471">
        <f t="shared" si="214"/>
        <v>0.05</v>
      </c>
      <c r="N5727" s="475">
        <f t="shared" si="215"/>
        <v>225357</v>
      </c>
    </row>
    <row r="5728" spans="7:14" ht="11.25" customHeight="1" x14ac:dyDescent="0.3">
      <c r="G5728" s="470"/>
      <c r="H5728" s="470">
        <v>5721</v>
      </c>
      <c r="I5728" s="455">
        <f t="shared" ca="1" si="213"/>
        <v>-2301671233598228.5</v>
      </c>
      <c r="J5728" s="455">
        <f t="array" ref="J5728">IFERROR(INDEX('Retirement Calculator'!J:J,MATCH('Isaac 401k'!N5728,'Retirement Calculator'!A:A,0),0),0)</f>
        <v>0</v>
      </c>
      <c r="K5728" s="455">
        <f t="shared" ca="1" si="211"/>
        <v>-9590296806659.2852</v>
      </c>
      <c r="L5728" s="455">
        <f t="shared" ca="1" si="212"/>
        <v>-2311261530404888</v>
      </c>
      <c r="M5728" s="471">
        <f t="shared" si="214"/>
        <v>0.05</v>
      </c>
      <c r="N5728" s="475">
        <f t="shared" si="215"/>
        <v>225388</v>
      </c>
    </row>
    <row r="5729" spans="7:14" ht="11.25" customHeight="1" x14ac:dyDescent="0.3">
      <c r="G5729" s="470"/>
      <c r="H5729" s="470">
        <v>5722</v>
      </c>
      <c r="I5729" s="455">
        <f t="shared" ca="1" si="213"/>
        <v>-2311261530404888</v>
      </c>
      <c r="J5729" s="455">
        <f t="array" ref="J5729">IFERROR(INDEX('Retirement Calculator'!J:J,MATCH('Isaac 401k'!N5729,'Retirement Calculator'!A:A,0),0),0)</f>
        <v>0</v>
      </c>
      <c r="K5729" s="455">
        <f t="shared" ca="1" si="211"/>
        <v>-9630256376687.0332</v>
      </c>
      <c r="L5729" s="455">
        <f t="shared" ca="1" si="212"/>
        <v>-2320891786781575</v>
      </c>
      <c r="M5729" s="471">
        <f t="shared" si="214"/>
        <v>0.05</v>
      </c>
      <c r="N5729" s="475">
        <f t="shared" si="215"/>
        <v>225416</v>
      </c>
    </row>
    <row r="5730" spans="7:14" ht="11.25" customHeight="1" x14ac:dyDescent="0.3">
      <c r="G5730" s="470"/>
      <c r="H5730" s="470">
        <v>5723</v>
      </c>
      <c r="I5730" s="455">
        <f t="shared" ca="1" si="213"/>
        <v>-2320891786781575</v>
      </c>
      <c r="J5730" s="455">
        <f t="array" ref="J5730">IFERROR(INDEX('Retirement Calculator'!J:J,MATCH('Isaac 401k'!N5730,'Retirement Calculator'!A:A,0),0),0)</f>
        <v>0</v>
      </c>
      <c r="K5730" s="455">
        <f t="shared" ca="1" si="211"/>
        <v>-9670382444923.2285</v>
      </c>
      <c r="L5730" s="455">
        <f t="shared" ca="1" si="212"/>
        <v>-2330562169226498</v>
      </c>
      <c r="M5730" s="471">
        <f t="shared" si="214"/>
        <v>0.05</v>
      </c>
      <c r="N5730" s="475">
        <f t="shared" si="215"/>
        <v>225447</v>
      </c>
    </row>
    <row r="5731" spans="7:14" ht="11.25" customHeight="1" x14ac:dyDescent="0.3">
      <c r="G5731" s="470"/>
      <c r="H5731" s="470">
        <v>5724</v>
      </c>
      <c r="I5731" s="455">
        <f t="shared" ca="1" si="213"/>
        <v>-2330562169226498</v>
      </c>
      <c r="J5731" s="455">
        <f t="array" ref="J5731">IFERROR(INDEX('Retirement Calculator'!J:J,MATCH('Isaac 401k'!N5731,'Retirement Calculator'!A:A,0),0),0)</f>
        <v>0</v>
      </c>
      <c r="K5731" s="455">
        <f t="shared" ca="1" si="211"/>
        <v>-9710675705110.4082</v>
      </c>
      <c r="L5731" s="455">
        <f t="shared" ca="1" si="212"/>
        <v>-2340272844931608.5</v>
      </c>
      <c r="M5731" s="471">
        <f t="shared" si="214"/>
        <v>0.05</v>
      </c>
      <c r="N5731" s="475">
        <f t="shared" si="215"/>
        <v>225477</v>
      </c>
    </row>
    <row r="5732" spans="7:14" ht="11.25" customHeight="1" x14ac:dyDescent="0.3">
      <c r="G5732" s="470"/>
      <c r="H5732" s="470">
        <v>5725</v>
      </c>
      <c r="I5732" s="455">
        <f t="shared" ca="1" si="213"/>
        <v>-2340272844931608.5</v>
      </c>
      <c r="J5732" s="455">
        <f t="array" ref="J5732">IFERROR(INDEX('Retirement Calculator'!J:J,MATCH('Isaac 401k'!N5732,'Retirement Calculator'!A:A,0),0),0)</f>
        <v>0</v>
      </c>
      <c r="K5732" s="455">
        <f t="shared" ca="1" si="211"/>
        <v>-9751136853881.7012</v>
      </c>
      <c r="L5732" s="455">
        <f t="shared" ca="1" si="212"/>
        <v>-2350023981785490</v>
      </c>
      <c r="M5732" s="471">
        <f t="shared" si="214"/>
        <v>0.05</v>
      </c>
      <c r="N5732" s="475">
        <f t="shared" si="215"/>
        <v>225508</v>
      </c>
    </row>
    <row r="5733" spans="7:14" ht="11.25" customHeight="1" x14ac:dyDescent="0.3">
      <c r="G5733" s="470"/>
      <c r="H5733" s="470">
        <v>5726</v>
      </c>
      <c r="I5733" s="455">
        <f t="shared" ca="1" si="213"/>
        <v>-2350023981785490</v>
      </c>
      <c r="J5733" s="455">
        <f t="array" ref="J5733">IFERROR(INDEX('Retirement Calculator'!J:J,MATCH('Isaac 401k'!N5733,'Retirement Calculator'!A:A,0),0),0)</f>
        <v>0</v>
      </c>
      <c r="K5733" s="455">
        <f t="shared" ca="1" si="211"/>
        <v>-9791766590772.875</v>
      </c>
      <c r="L5733" s="455">
        <f t="shared" ca="1" si="212"/>
        <v>-2359815748376263</v>
      </c>
      <c r="M5733" s="471">
        <f t="shared" si="214"/>
        <v>0.05</v>
      </c>
      <c r="N5733" s="475">
        <f t="shared" si="215"/>
        <v>225538</v>
      </c>
    </row>
    <row r="5734" spans="7:14" ht="11.25" customHeight="1" x14ac:dyDescent="0.3">
      <c r="G5734" s="470"/>
      <c r="H5734" s="470">
        <v>5727</v>
      </c>
      <c r="I5734" s="455">
        <f t="shared" ca="1" si="213"/>
        <v>-2359815748376263</v>
      </c>
      <c r="J5734" s="455">
        <f t="array" ref="J5734">IFERROR(INDEX('Retirement Calculator'!J:J,MATCH('Isaac 401k'!N5734,'Retirement Calculator'!A:A,0),0),0)</f>
        <v>0</v>
      </c>
      <c r="K5734" s="455">
        <f t="shared" ca="1" si="211"/>
        <v>-9832565618234.4297</v>
      </c>
      <c r="L5734" s="455">
        <f t="shared" ca="1" si="212"/>
        <v>-2369648313994497.5</v>
      </c>
      <c r="M5734" s="471">
        <f t="shared" si="214"/>
        <v>0.05</v>
      </c>
      <c r="N5734" s="475">
        <f t="shared" si="215"/>
        <v>225569</v>
      </c>
    </row>
    <row r="5735" spans="7:14" ht="11.25" customHeight="1" x14ac:dyDescent="0.3">
      <c r="G5735" s="470"/>
      <c r="H5735" s="470">
        <v>5728</v>
      </c>
      <c r="I5735" s="455">
        <f t="shared" ca="1" si="213"/>
        <v>-2369648313994497.5</v>
      </c>
      <c r="J5735" s="455">
        <f t="array" ref="J5735">IFERROR(INDEX('Retirement Calculator'!J:J,MATCH('Isaac 401k'!N5735,'Retirement Calculator'!A:A,0),0),0)</f>
        <v>0</v>
      </c>
      <c r="K5735" s="455">
        <f t="shared" ca="1" si="211"/>
        <v>-9873534641643.7402</v>
      </c>
      <c r="L5735" s="455">
        <f t="shared" ca="1" si="212"/>
        <v>-2379521848636141</v>
      </c>
      <c r="M5735" s="471">
        <f t="shared" si="214"/>
        <v>0.05</v>
      </c>
      <c r="N5735" s="475">
        <f t="shared" si="215"/>
        <v>225600</v>
      </c>
    </row>
    <row r="5736" spans="7:14" ht="11.25" customHeight="1" x14ac:dyDescent="0.3">
      <c r="G5736" s="470"/>
      <c r="H5736" s="470">
        <v>5729</v>
      </c>
      <c r="I5736" s="455">
        <f t="shared" ca="1" si="213"/>
        <v>-2379521848636141</v>
      </c>
      <c r="J5736" s="455">
        <f t="array" ref="J5736">IFERROR(INDEX('Retirement Calculator'!J:J,MATCH('Isaac 401k'!N5736,'Retirement Calculator'!A:A,0),0),0)</f>
        <v>0</v>
      </c>
      <c r="K5736" s="455">
        <f t="shared" ca="1" si="211"/>
        <v>-9914674369317.2539</v>
      </c>
      <c r="L5736" s="455">
        <f t="shared" ca="1" si="212"/>
        <v>-2389436523005458.5</v>
      </c>
      <c r="M5736" s="471">
        <f t="shared" si="214"/>
        <v>0.05</v>
      </c>
      <c r="N5736" s="475">
        <f t="shared" si="215"/>
        <v>225630</v>
      </c>
    </row>
    <row r="5737" spans="7:14" ht="11.25" customHeight="1" x14ac:dyDescent="0.3">
      <c r="G5737" s="470"/>
      <c r="H5737" s="470">
        <v>5730</v>
      </c>
      <c r="I5737" s="455">
        <f t="shared" ca="1" si="213"/>
        <v>-2389436523005458.5</v>
      </c>
      <c r="J5737" s="455">
        <f t="array" ref="J5737">IFERROR(INDEX('Retirement Calculator'!J:J,MATCH('Isaac 401k'!N5737,'Retirement Calculator'!A:A,0),0),0)</f>
        <v>0</v>
      </c>
      <c r="K5737" s="455">
        <f t="shared" ca="1" si="211"/>
        <v>-9955985512522.7441</v>
      </c>
      <c r="L5737" s="455">
        <f t="shared" ca="1" si="212"/>
        <v>-2399392508517981</v>
      </c>
      <c r="M5737" s="471">
        <f t="shared" si="214"/>
        <v>0.05</v>
      </c>
      <c r="N5737" s="475">
        <f t="shared" si="215"/>
        <v>225661</v>
      </c>
    </row>
    <row r="5738" spans="7:14" ht="11.25" customHeight="1" x14ac:dyDescent="0.3">
      <c r="G5738" s="470"/>
      <c r="H5738" s="470">
        <v>5731</v>
      </c>
      <c r="I5738" s="455">
        <f t="shared" ca="1" si="213"/>
        <v>-2399392508517981</v>
      </c>
      <c r="J5738" s="455">
        <f t="array" ref="J5738">IFERROR(INDEX('Retirement Calculator'!J:J,MATCH('Isaac 401k'!N5738,'Retirement Calculator'!A:A,0),0),0)</f>
        <v>0</v>
      </c>
      <c r="K5738" s="455">
        <f t="shared" ca="1" si="211"/>
        <v>-9997468785491.5879</v>
      </c>
      <c r="L5738" s="455">
        <f t="shared" ca="1" si="212"/>
        <v>-2409389977303472.5</v>
      </c>
      <c r="M5738" s="471">
        <f t="shared" si="214"/>
        <v>0.05</v>
      </c>
      <c r="N5738" s="475">
        <f t="shared" si="215"/>
        <v>225691</v>
      </c>
    </row>
    <row r="5739" spans="7:14" ht="11.25" customHeight="1" x14ac:dyDescent="0.3">
      <c r="G5739" s="470"/>
      <c r="H5739" s="470">
        <v>5732</v>
      </c>
      <c r="I5739" s="455">
        <f t="shared" ca="1" si="213"/>
        <v>-2409389977303472.5</v>
      </c>
      <c r="J5739" s="455">
        <f t="array" ref="J5739">IFERROR(INDEX('Retirement Calculator'!J:J,MATCH('Isaac 401k'!N5739,'Retirement Calculator'!A:A,0),0),0)</f>
        <v>0</v>
      </c>
      <c r="K5739" s="455">
        <f t="shared" ca="1" si="211"/>
        <v>-10039124905431.135</v>
      </c>
      <c r="L5739" s="455">
        <f t="shared" ca="1" si="212"/>
        <v>-2419429102208903.5</v>
      </c>
      <c r="M5739" s="471">
        <f t="shared" si="214"/>
        <v>0.05</v>
      </c>
      <c r="N5739" s="475">
        <f t="shared" si="215"/>
        <v>225722</v>
      </c>
    </row>
    <row r="5740" spans="7:14" ht="11.25" customHeight="1" x14ac:dyDescent="0.3">
      <c r="G5740" s="470"/>
      <c r="H5740" s="470">
        <v>5733</v>
      </c>
      <c r="I5740" s="455">
        <f t="shared" ca="1" si="213"/>
        <v>-2419429102208903.5</v>
      </c>
      <c r="J5740" s="455">
        <f t="array" ref="J5740">IFERROR(INDEX('Retirement Calculator'!J:J,MATCH('Isaac 401k'!N5740,'Retirement Calculator'!A:A,0),0),0)</f>
        <v>0</v>
      </c>
      <c r="K5740" s="455">
        <f t="shared" ca="1" si="211"/>
        <v>-10080954592537.098</v>
      </c>
      <c r="L5740" s="455">
        <f t="shared" ca="1" si="212"/>
        <v>-2429510056801440.5</v>
      </c>
      <c r="M5740" s="471">
        <f t="shared" si="214"/>
        <v>0.05</v>
      </c>
      <c r="N5740" s="475">
        <f t="shared" si="215"/>
        <v>225753</v>
      </c>
    </row>
    <row r="5741" spans="7:14" ht="11.25" customHeight="1" x14ac:dyDescent="0.3">
      <c r="G5741" s="470"/>
      <c r="H5741" s="470">
        <v>5734</v>
      </c>
      <c r="I5741" s="455">
        <f t="shared" ca="1" si="213"/>
        <v>-2429510056801440.5</v>
      </c>
      <c r="J5741" s="455">
        <f t="array" ref="J5741">IFERROR(INDEX('Retirement Calculator'!J:J,MATCH('Isaac 401k'!N5741,'Retirement Calculator'!A:A,0),0),0)</f>
        <v>0</v>
      </c>
      <c r="K5741" s="455">
        <f t="shared" ca="1" si="211"/>
        <v>-10122958570006.002</v>
      </c>
      <c r="L5741" s="455">
        <f t="shared" ca="1" si="212"/>
        <v>-2439633015371446.5</v>
      </c>
      <c r="M5741" s="471">
        <f t="shared" si="214"/>
        <v>0.05</v>
      </c>
      <c r="N5741" s="475">
        <f t="shared" si="215"/>
        <v>225781</v>
      </c>
    </row>
    <row r="5742" spans="7:14" ht="11.25" customHeight="1" x14ac:dyDescent="0.3">
      <c r="G5742" s="470"/>
      <c r="H5742" s="470">
        <v>5735</v>
      </c>
      <c r="I5742" s="455">
        <f t="shared" ca="1" si="213"/>
        <v>-2439633015371446.5</v>
      </c>
      <c r="J5742" s="455">
        <f t="array" ref="J5742">IFERROR(INDEX('Retirement Calculator'!J:J,MATCH('Isaac 401k'!N5742,'Retirement Calculator'!A:A,0),0),0)</f>
        <v>0</v>
      </c>
      <c r="K5742" s="455">
        <f t="shared" ca="1" si="211"/>
        <v>-10165137564047.693</v>
      </c>
      <c r="L5742" s="455">
        <f t="shared" ca="1" si="212"/>
        <v>-2449798152935494</v>
      </c>
      <c r="M5742" s="471">
        <f t="shared" si="214"/>
        <v>0.05</v>
      </c>
      <c r="N5742" s="475">
        <f t="shared" si="215"/>
        <v>225812</v>
      </c>
    </row>
    <row r="5743" spans="7:14" ht="11.25" customHeight="1" x14ac:dyDescent="0.3">
      <c r="G5743" s="470"/>
      <c r="H5743" s="470">
        <v>5736</v>
      </c>
      <c r="I5743" s="455">
        <f t="shared" ca="1" si="213"/>
        <v>-2449798152935494</v>
      </c>
      <c r="J5743" s="455">
        <f t="array" ref="J5743">IFERROR(INDEX('Retirement Calculator'!J:J,MATCH('Isaac 401k'!N5743,'Retirement Calculator'!A:A,0),0),0)</f>
        <v>0</v>
      </c>
      <c r="K5743" s="455">
        <f t="shared" ca="1" si="211"/>
        <v>-10207492303897.891</v>
      </c>
      <c r="L5743" s="455">
        <f t="shared" ca="1" si="212"/>
        <v>-2460005645239392</v>
      </c>
      <c r="M5743" s="471">
        <f t="shared" si="214"/>
        <v>0.05</v>
      </c>
      <c r="N5743" s="475">
        <f t="shared" si="215"/>
        <v>225842</v>
      </c>
    </row>
    <row r="5744" spans="7:14" ht="11.25" customHeight="1" x14ac:dyDescent="0.3">
      <c r="G5744" s="470"/>
      <c r="H5744" s="470">
        <v>5737</v>
      </c>
      <c r="I5744" s="455">
        <f t="shared" ca="1" si="213"/>
        <v>-2460005645239392</v>
      </c>
      <c r="J5744" s="455">
        <f t="array" ref="J5744">IFERROR(INDEX('Retirement Calculator'!J:J,MATCH('Isaac 401k'!N5744,'Retirement Calculator'!A:A,0),0),0)</f>
        <v>0</v>
      </c>
      <c r="K5744" s="455">
        <f t="shared" ca="1" si="211"/>
        <v>-10250023521830.801</v>
      </c>
      <c r="L5744" s="455">
        <f t="shared" ca="1" si="212"/>
        <v>-2470255668761223</v>
      </c>
      <c r="M5744" s="471">
        <f t="shared" si="214"/>
        <v>0.05</v>
      </c>
      <c r="N5744" s="475">
        <f t="shared" si="215"/>
        <v>225873</v>
      </c>
    </row>
    <row r="5745" spans="7:14" ht="11.25" customHeight="1" x14ac:dyDescent="0.3">
      <c r="G5745" s="470"/>
      <c r="H5745" s="470">
        <v>5738</v>
      </c>
      <c r="I5745" s="455">
        <f t="shared" ca="1" si="213"/>
        <v>-2470255668761223</v>
      </c>
      <c r="J5745" s="455">
        <f t="array" ref="J5745">IFERROR(INDEX('Retirement Calculator'!J:J,MATCH('Isaac 401k'!N5745,'Retirement Calculator'!A:A,0),0),0)</f>
        <v>0</v>
      </c>
      <c r="K5745" s="455">
        <f t="shared" ca="1" si="211"/>
        <v>-10292731953171.762</v>
      </c>
      <c r="L5745" s="455">
        <f t="shared" ca="1" si="212"/>
        <v>-2480548400714395</v>
      </c>
      <c r="M5745" s="471">
        <f t="shared" si="214"/>
        <v>0.05</v>
      </c>
      <c r="N5745" s="475">
        <f t="shared" si="215"/>
        <v>225903</v>
      </c>
    </row>
    <row r="5746" spans="7:14" ht="11.25" customHeight="1" x14ac:dyDescent="0.3">
      <c r="G5746" s="470"/>
      <c r="H5746" s="470">
        <v>5739</v>
      </c>
      <c r="I5746" s="455">
        <f t="shared" ca="1" si="213"/>
        <v>-2480548400714395</v>
      </c>
      <c r="J5746" s="455">
        <f t="array" ref="J5746">IFERROR(INDEX('Retirement Calculator'!J:J,MATCH('Isaac 401k'!N5746,'Retirement Calculator'!A:A,0),0),0)</f>
        <v>0</v>
      </c>
      <c r="K5746" s="455">
        <f t="shared" ca="1" si="211"/>
        <v>-10335618336309.979</v>
      </c>
      <c r="L5746" s="455">
        <f t="shared" ca="1" si="212"/>
        <v>-2490884019050705</v>
      </c>
      <c r="M5746" s="471">
        <f t="shared" si="214"/>
        <v>0.05</v>
      </c>
      <c r="N5746" s="475">
        <f t="shared" si="215"/>
        <v>225934</v>
      </c>
    </row>
    <row r="5747" spans="7:14" ht="11.25" customHeight="1" x14ac:dyDescent="0.3">
      <c r="G5747" s="470"/>
      <c r="H5747" s="470">
        <v>5740</v>
      </c>
      <c r="I5747" s="455">
        <f t="shared" ca="1" si="213"/>
        <v>-2490884019050705</v>
      </c>
      <c r="J5747" s="455">
        <f t="array" ref="J5747">IFERROR(INDEX('Retirement Calculator'!J:J,MATCH('Isaac 401k'!N5747,'Retirement Calculator'!A:A,0),0),0)</f>
        <v>0</v>
      </c>
      <c r="K5747" s="455">
        <f t="shared" ca="1" si="211"/>
        <v>-10378683412711.271</v>
      </c>
      <c r="L5747" s="455">
        <f t="shared" ca="1" si="212"/>
        <v>-2501262702463416.5</v>
      </c>
      <c r="M5747" s="471">
        <f t="shared" si="214"/>
        <v>0.05</v>
      </c>
      <c r="N5747" s="475">
        <f t="shared" si="215"/>
        <v>225965</v>
      </c>
    </row>
    <row r="5748" spans="7:14" ht="11.25" customHeight="1" x14ac:dyDescent="0.3">
      <c r="G5748" s="470"/>
      <c r="H5748" s="470">
        <v>5741</v>
      </c>
      <c r="I5748" s="455">
        <f t="shared" ca="1" si="213"/>
        <v>-2501262702463416.5</v>
      </c>
      <c r="J5748" s="455">
        <f t="array" ref="J5748">IFERROR(INDEX('Retirement Calculator'!J:J,MATCH('Isaac 401k'!N5748,'Retirement Calculator'!A:A,0),0),0)</f>
        <v>0</v>
      </c>
      <c r="K5748" s="455">
        <f t="shared" ca="1" si="211"/>
        <v>-10421927926930.902</v>
      </c>
      <c r="L5748" s="455">
        <f t="shared" ca="1" si="212"/>
        <v>-2511684630390347.5</v>
      </c>
      <c r="M5748" s="471">
        <f t="shared" si="214"/>
        <v>0.05</v>
      </c>
      <c r="N5748" s="475">
        <f t="shared" si="215"/>
        <v>225995</v>
      </c>
    </row>
    <row r="5749" spans="7:14" ht="11.25" customHeight="1" x14ac:dyDescent="0.3">
      <c r="G5749" s="470"/>
      <c r="H5749" s="470">
        <v>5742</v>
      </c>
      <c r="I5749" s="455">
        <f t="shared" ca="1" si="213"/>
        <v>-2511684630390347.5</v>
      </c>
      <c r="J5749" s="455">
        <f t="array" ref="J5749">IFERROR(INDEX('Retirement Calculator'!J:J,MATCH('Isaac 401k'!N5749,'Retirement Calculator'!A:A,0),0),0)</f>
        <v>0</v>
      </c>
      <c r="K5749" s="455">
        <f t="shared" ca="1" si="211"/>
        <v>-10465352626626.447</v>
      </c>
      <c r="L5749" s="455">
        <f t="shared" ca="1" si="212"/>
        <v>-2522149983016974</v>
      </c>
      <c r="M5749" s="471">
        <f t="shared" si="214"/>
        <v>0.05</v>
      </c>
      <c r="N5749" s="475">
        <f t="shared" si="215"/>
        <v>226026</v>
      </c>
    </row>
    <row r="5750" spans="7:14" ht="11.25" customHeight="1" x14ac:dyDescent="0.3">
      <c r="G5750" s="470"/>
      <c r="H5750" s="470">
        <v>5743</v>
      </c>
      <c r="I5750" s="455">
        <f t="shared" ca="1" si="213"/>
        <v>-2522149983016974</v>
      </c>
      <c r="J5750" s="455">
        <f t="array" ref="J5750">IFERROR(INDEX('Retirement Calculator'!J:J,MATCH('Isaac 401k'!N5750,'Retirement Calculator'!A:A,0),0),0)</f>
        <v>0</v>
      </c>
      <c r="K5750" s="455">
        <f t="shared" ca="1" si="211"/>
        <v>-10508958262570.725</v>
      </c>
      <c r="L5750" s="455">
        <f t="shared" ca="1" si="212"/>
        <v>-2532658941279544.5</v>
      </c>
      <c r="M5750" s="471">
        <f t="shared" si="214"/>
        <v>0.05</v>
      </c>
      <c r="N5750" s="475">
        <f t="shared" si="215"/>
        <v>226056</v>
      </c>
    </row>
    <row r="5751" spans="7:14" ht="11.25" customHeight="1" x14ac:dyDescent="0.3">
      <c r="G5751" s="470"/>
      <c r="H5751" s="470">
        <v>5744</v>
      </c>
      <c r="I5751" s="455">
        <f t="shared" ca="1" si="213"/>
        <v>-2532658941279544.5</v>
      </c>
      <c r="J5751" s="455">
        <f t="array" ref="J5751">IFERROR(INDEX('Retirement Calculator'!J:J,MATCH('Isaac 401k'!N5751,'Retirement Calculator'!A:A,0),0),0)</f>
        <v>0</v>
      </c>
      <c r="K5751" s="455">
        <f t="shared" ca="1" si="211"/>
        <v>-10552745588664.77</v>
      </c>
      <c r="L5751" s="455">
        <f t="shared" ca="1" si="212"/>
        <v>-2543211686868209.5</v>
      </c>
      <c r="M5751" s="471">
        <f t="shared" si="214"/>
        <v>0.05</v>
      </c>
      <c r="N5751" s="475">
        <f t="shared" si="215"/>
        <v>226087</v>
      </c>
    </row>
    <row r="5752" spans="7:14" ht="11.25" customHeight="1" x14ac:dyDescent="0.3">
      <c r="G5752" s="470"/>
      <c r="H5752" s="470">
        <v>5745</v>
      </c>
      <c r="I5752" s="455">
        <f t="shared" ca="1" si="213"/>
        <v>-2543211686868209.5</v>
      </c>
      <c r="J5752" s="455">
        <f t="array" ref="J5752">IFERROR(INDEX('Retirement Calculator'!J:J,MATCH('Isaac 401k'!N5752,'Retirement Calculator'!A:A,0),0),0)</f>
        <v>0</v>
      </c>
      <c r="K5752" s="455">
        <f t="shared" ca="1" si="211"/>
        <v>-10596715361950.873</v>
      </c>
      <c r="L5752" s="455">
        <f t="shared" ca="1" si="212"/>
        <v>-2553808402230160.5</v>
      </c>
      <c r="M5752" s="471">
        <f t="shared" si="214"/>
        <v>0.05</v>
      </c>
      <c r="N5752" s="475">
        <f t="shared" si="215"/>
        <v>226118</v>
      </c>
    </row>
    <row r="5753" spans="7:14" ht="11.25" customHeight="1" x14ac:dyDescent="0.3">
      <c r="G5753" s="470"/>
      <c r="H5753" s="470">
        <v>5746</v>
      </c>
      <c r="I5753" s="455">
        <f t="shared" ca="1" si="213"/>
        <v>-2553808402230160.5</v>
      </c>
      <c r="J5753" s="455">
        <f t="array" ref="J5753">IFERROR(INDEX('Retirement Calculator'!J:J,MATCH('Isaac 401k'!N5753,'Retirement Calculator'!A:A,0),0),0)</f>
        <v>0</v>
      </c>
      <c r="K5753" s="455">
        <f t="shared" ca="1" si="211"/>
        <v>-10640868342625.668</v>
      </c>
      <c r="L5753" s="455">
        <f t="shared" ca="1" si="212"/>
        <v>-2564449270572786</v>
      </c>
      <c r="M5753" s="471">
        <f t="shared" si="214"/>
        <v>0.05</v>
      </c>
      <c r="N5753" s="475">
        <f t="shared" si="215"/>
        <v>226146</v>
      </c>
    </row>
    <row r="5754" spans="7:14" ht="11.25" customHeight="1" x14ac:dyDescent="0.3">
      <c r="G5754" s="470"/>
      <c r="H5754" s="470">
        <v>5747</v>
      </c>
      <c r="I5754" s="455">
        <f t="shared" ca="1" si="213"/>
        <v>-2564449270572786</v>
      </c>
      <c r="J5754" s="455">
        <f t="array" ref="J5754">IFERROR(INDEX('Retirement Calculator'!J:J,MATCH('Isaac 401k'!N5754,'Retirement Calculator'!A:A,0),0),0)</f>
        <v>0</v>
      </c>
      <c r="K5754" s="455">
        <f t="shared" ca="1" si="211"/>
        <v>-10685205294053.275</v>
      </c>
      <c r="L5754" s="455">
        <f t="shared" ca="1" si="212"/>
        <v>-2575134475866839.5</v>
      </c>
      <c r="M5754" s="471">
        <f t="shared" si="214"/>
        <v>0.05</v>
      </c>
      <c r="N5754" s="475">
        <f t="shared" si="215"/>
        <v>226177</v>
      </c>
    </row>
    <row r="5755" spans="7:14" ht="11.25" customHeight="1" x14ac:dyDescent="0.3">
      <c r="G5755" s="470"/>
      <c r="H5755" s="470">
        <v>5748</v>
      </c>
      <c r="I5755" s="455">
        <f t="shared" ca="1" si="213"/>
        <v>-2575134475866839.5</v>
      </c>
      <c r="J5755" s="455">
        <f t="array" ref="J5755">IFERROR(INDEX('Retirement Calculator'!J:J,MATCH('Isaac 401k'!N5755,'Retirement Calculator'!A:A,0),0),0)</f>
        <v>0</v>
      </c>
      <c r="K5755" s="455">
        <f t="shared" ca="1" si="211"/>
        <v>-10729726982778.498</v>
      </c>
      <c r="L5755" s="455">
        <f t="shared" ca="1" si="212"/>
        <v>-2585864202849618</v>
      </c>
      <c r="M5755" s="471">
        <f t="shared" si="214"/>
        <v>0.05</v>
      </c>
      <c r="N5755" s="475">
        <f t="shared" si="215"/>
        <v>226207</v>
      </c>
    </row>
    <row r="5756" spans="7:14" ht="11.25" customHeight="1" x14ac:dyDescent="0.3">
      <c r="G5756" s="470"/>
      <c r="H5756" s="470">
        <v>5749</v>
      </c>
      <c r="I5756" s="455">
        <f t="shared" ca="1" si="213"/>
        <v>-2585864202849618</v>
      </c>
      <c r="J5756" s="455">
        <f t="array" ref="J5756">IFERROR(INDEX('Retirement Calculator'!J:J,MATCH('Isaac 401k'!N5756,'Retirement Calculator'!A:A,0),0),0)</f>
        <v>0</v>
      </c>
      <c r="K5756" s="455">
        <f t="shared" ca="1" si="211"/>
        <v>-10774434178540.074</v>
      </c>
      <c r="L5756" s="455">
        <f t="shared" ca="1" si="212"/>
        <v>-2596638637028158</v>
      </c>
      <c r="M5756" s="471">
        <f t="shared" si="214"/>
        <v>0.05</v>
      </c>
      <c r="N5756" s="475">
        <f t="shared" si="215"/>
        <v>226238</v>
      </c>
    </row>
    <row r="5757" spans="7:14" ht="11.25" customHeight="1" x14ac:dyDescent="0.3">
      <c r="G5757" s="470"/>
      <c r="H5757" s="470">
        <v>5750</v>
      </c>
      <c r="I5757" s="455">
        <f t="shared" ca="1" si="213"/>
        <v>-2596638637028158</v>
      </c>
      <c r="J5757" s="455">
        <f t="array" ref="J5757">IFERROR(INDEX('Retirement Calculator'!J:J,MATCH('Isaac 401k'!N5757,'Retirement Calculator'!A:A,0),0),0)</f>
        <v>0</v>
      </c>
      <c r="K5757" s="455">
        <f t="shared" ca="1" si="211"/>
        <v>-10819327654283.992</v>
      </c>
      <c r="L5757" s="455">
        <f t="shared" ca="1" si="212"/>
        <v>-2607457964682442</v>
      </c>
      <c r="M5757" s="471">
        <f t="shared" si="214"/>
        <v>0.05</v>
      </c>
      <c r="N5757" s="475">
        <f t="shared" si="215"/>
        <v>226268</v>
      </c>
    </row>
    <row r="5758" spans="7:14" ht="11.25" customHeight="1" x14ac:dyDescent="0.3">
      <c r="G5758" s="470"/>
      <c r="H5758" s="470">
        <v>5751</v>
      </c>
      <c r="I5758" s="455">
        <f t="shared" ca="1" si="213"/>
        <v>-2607457964682442</v>
      </c>
      <c r="J5758" s="455">
        <f t="array" ref="J5758">IFERROR(INDEX('Retirement Calculator'!J:J,MATCH('Isaac 401k'!N5758,'Retirement Calculator'!A:A,0),0),0)</f>
        <v>0</v>
      </c>
      <c r="K5758" s="455">
        <f t="shared" ca="1" si="211"/>
        <v>-10864408186176.842</v>
      </c>
      <c r="L5758" s="455">
        <f t="shared" ca="1" si="212"/>
        <v>-2618322372868619</v>
      </c>
      <c r="M5758" s="471">
        <f t="shared" si="214"/>
        <v>0.05</v>
      </c>
      <c r="N5758" s="475">
        <f t="shared" si="215"/>
        <v>226299</v>
      </c>
    </row>
    <row r="5759" spans="7:14" ht="11.25" customHeight="1" x14ac:dyDescent="0.3">
      <c r="G5759" s="470"/>
      <c r="H5759" s="470">
        <v>5752</v>
      </c>
      <c r="I5759" s="455">
        <f t="shared" ca="1" si="213"/>
        <v>-2618322372868619</v>
      </c>
      <c r="J5759" s="455">
        <f t="array" ref="J5759">IFERROR(INDEX('Retirement Calculator'!J:J,MATCH('Isaac 401k'!N5759,'Retirement Calculator'!A:A,0),0),0)</f>
        <v>0</v>
      </c>
      <c r="K5759" s="455">
        <f t="shared" ca="1" si="211"/>
        <v>-10909676553619.246</v>
      </c>
      <c r="L5759" s="455">
        <f t="shared" ca="1" si="212"/>
        <v>-2629232049422238</v>
      </c>
      <c r="M5759" s="471">
        <f t="shared" si="214"/>
        <v>0.05</v>
      </c>
      <c r="N5759" s="475">
        <f t="shared" si="215"/>
        <v>226330</v>
      </c>
    </row>
    <row r="5760" spans="7:14" ht="11.25" customHeight="1" x14ac:dyDescent="0.3">
      <c r="G5760" s="470"/>
      <c r="H5760" s="470">
        <v>5753</v>
      </c>
      <c r="I5760" s="455">
        <f t="shared" ca="1" si="213"/>
        <v>-2629232049422238</v>
      </c>
      <c r="J5760" s="455">
        <f t="array" ref="J5760">IFERROR(INDEX('Retirement Calculator'!J:J,MATCH('Isaac 401k'!N5760,'Retirement Calculator'!A:A,0),0),0)</f>
        <v>0</v>
      </c>
      <c r="K5760" s="455">
        <f t="shared" ca="1" si="211"/>
        <v>-10955133539259.324</v>
      </c>
      <c r="L5760" s="455">
        <f t="shared" ca="1" si="212"/>
        <v>-2640187182961497.5</v>
      </c>
      <c r="M5760" s="471">
        <f t="shared" si="214"/>
        <v>0.05</v>
      </c>
      <c r="N5760" s="475">
        <f t="shared" si="215"/>
        <v>226360</v>
      </c>
    </row>
    <row r="5761" spans="7:14" ht="11.25" customHeight="1" x14ac:dyDescent="0.3">
      <c r="G5761" s="470"/>
      <c r="H5761" s="470">
        <v>5754</v>
      </c>
      <c r="I5761" s="455">
        <f t="shared" ca="1" si="213"/>
        <v>-2640187182961497.5</v>
      </c>
      <c r="J5761" s="455">
        <f t="array" ref="J5761">IFERROR(INDEX('Retirement Calculator'!J:J,MATCH('Isaac 401k'!N5761,'Retirement Calculator'!A:A,0),0),0)</f>
        <v>0</v>
      </c>
      <c r="K5761" s="455">
        <f t="shared" ca="1" si="211"/>
        <v>-11000779929006.24</v>
      </c>
      <c r="L5761" s="455">
        <f t="shared" ca="1" si="212"/>
        <v>-2651187962890503.5</v>
      </c>
      <c r="M5761" s="471">
        <f t="shared" si="214"/>
        <v>0.05</v>
      </c>
      <c r="N5761" s="475">
        <f t="shared" si="215"/>
        <v>226391</v>
      </c>
    </row>
    <row r="5762" spans="7:14" ht="11.25" customHeight="1" x14ac:dyDescent="0.3">
      <c r="G5762" s="470"/>
      <c r="H5762" s="470">
        <v>5755</v>
      </c>
      <c r="I5762" s="455">
        <f t="shared" ca="1" si="213"/>
        <v>-2651187962890503.5</v>
      </c>
      <c r="J5762" s="455">
        <f t="array" ref="J5762">IFERROR(INDEX('Retirement Calculator'!J:J,MATCH('Isaac 401k'!N5762,'Retirement Calculator'!A:A,0),0),0)</f>
        <v>0</v>
      </c>
      <c r="K5762" s="455">
        <f t="shared" ca="1" si="211"/>
        <v>-11046616512043.764</v>
      </c>
      <c r="L5762" s="455">
        <f t="shared" ca="1" si="212"/>
        <v>-2662234579402547.5</v>
      </c>
      <c r="M5762" s="471">
        <f t="shared" si="214"/>
        <v>0.05</v>
      </c>
      <c r="N5762" s="475">
        <f t="shared" si="215"/>
        <v>226421</v>
      </c>
    </row>
    <row r="5763" spans="7:14" ht="11.25" customHeight="1" x14ac:dyDescent="0.3">
      <c r="G5763" s="470"/>
      <c r="H5763" s="470">
        <v>5756</v>
      </c>
      <c r="I5763" s="455">
        <f t="shared" ca="1" si="213"/>
        <v>-2662234579402547.5</v>
      </c>
      <c r="J5763" s="455">
        <f t="array" ref="J5763">IFERROR(INDEX('Retirement Calculator'!J:J,MATCH('Isaac 401k'!N5763,'Retirement Calculator'!A:A,0),0),0)</f>
        <v>0</v>
      </c>
      <c r="K5763" s="455">
        <f t="shared" ca="1" si="211"/>
        <v>-11092644080843.947</v>
      </c>
      <c r="L5763" s="455">
        <f t="shared" ca="1" si="212"/>
        <v>-2673327223483391.5</v>
      </c>
      <c r="M5763" s="471">
        <f t="shared" si="214"/>
        <v>0.05</v>
      </c>
      <c r="N5763" s="475">
        <f t="shared" si="215"/>
        <v>226452</v>
      </c>
    </row>
    <row r="5764" spans="7:14" ht="11.25" customHeight="1" x14ac:dyDescent="0.3">
      <c r="G5764" s="470"/>
      <c r="H5764" s="470">
        <v>5757</v>
      </c>
      <c r="I5764" s="455">
        <f t="shared" ca="1" si="213"/>
        <v>-2673327223483391.5</v>
      </c>
      <c r="J5764" s="455">
        <f t="array" ref="J5764">IFERROR(INDEX('Retirement Calculator'!J:J,MATCH('Isaac 401k'!N5764,'Retirement Calculator'!A:A,0),0),0)</f>
        <v>0</v>
      </c>
      <c r="K5764" s="455">
        <f t="shared" ca="1" si="211"/>
        <v>-11138863431180.797</v>
      </c>
      <c r="L5764" s="455">
        <f t="shared" ca="1" si="212"/>
        <v>-2684466086914572.5</v>
      </c>
      <c r="M5764" s="471">
        <f t="shared" si="214"/>
        <v>0.05</v>
      </c>
      <c r="N5764" s="475">
        <f t="shared" si="215"/>
        <v>226483</v>
      </c>
    </row>
    <row r="5765" spans="7:14" ht="11.25" customHeight="1" x14ac:dyDescent="0.3">
      <c r="G5765" s="470"/>
      <c r="H5765" s="470">
        <v>5758</v>
      </c>
      <c r="I5765" s="455">
        <f t="shared" ca="1" si="213"/>
        <v>-2684466086914572.5</v>
      </c>
      <c r="J5765" s="455">
        <f t="array" ref="J5765">IFERROR(INDEX('Retirement Calculator'!J:J,MATCH('Isaac 401k'!N5765,'Retirement Calculator'!A:A,0),0),0)</f>
        <v>0</v>
      </c>
      <c r="K5765" s="455">
        <f t="shared" ca="1" si="211"/>
        <v>-11185275362144.053</v>
      </c>
      <c r="L5765" s="455">
        <f t="shared" ca="1" si="212"/>
        <v>-2695651362276716.5</v>
      </c>
      <c r="M5765" s="471">
        <f t="shared" si="214"/>
        <v>0.05</v>
      </c>
      <c r="N5765" s="475">
        <f t="shared" si="215"/>
        <v>226512</v>
      </c>
    </row>
    <row r="5766" spans="7:14" ht="11.25" customHeight="1" x14ac:dyDescent="0.3">
      <c r="G5766" s="470"/>
      <c r="H5766" s="470">
        <v>5759</v>
      </c>
      <c r="I5766" s="455">
        <f t="shared" ca="1" si="213"/>
        <v>-2695651362276716.5</v>
      </c>
      <c r="J5766" s="455">
        <f t="array" ref="J5766">IFERROR(INDEX('Retirement Calculator'!J:J,MATCH('Isaac 401k'!N5766,'Retirement Calculator'!A:A,0),0),0)</f>
        <v>0</v>
      </c>
      <c r="K5766" s="455">
        <f t="shared" ca="1" si="211"/>
        <v>-11231880676152.984</v>
      </c>
      <c r="L5766" s="455">
        <f t="shared" ca="1" si="212"/>
        <v>-2706883242952869.5</v>
      </c>
      <c r="M5766" s="471">
        <f t="shared" si="214"/>
        <v>0.05</v>
      </c>
      <c r="N5766" s="475">
        <f t="shared" si="215"/>
        <v>226543</v>
      </c>
    </row>
    <row r="5767" spans="7:14" ht="11.25" customHeight="1" x14ac:dyDescent="0.3">
      <c r="G5767" s="470"/>
      <c r="H5767" s="470">
        <v>5760</v>
      </c>
      <c r="I5767" s="455">
        <f t="shared" ca="1" si="213"/>
        <v>-2706883242952869.5</v>
      </c>
      <c r="J5767" s="455">
        <f t="array" ref="J5767">IFERROR(INDEX('Retirement Calculator'!J:J,MATCH('Isaac 401k'!N5767,'Retirement Calculator'!A:A,0),0),0)</f>
        <v>0</v>
      </c>
      <c r="K5767" s="455">
        <f t="shared" ca="1" si="211"/>
        <v>-11278680178970.289</v>
      </c>
      <c r="L5767" s="455">
        <f t="shared" ca="1" si="212"/>
        <v>-2718161923131840</v>
      </c>
      <c r="M5767" s="471">
        <f t="shared" si="214"/>
        <v>0.05</v>
      </c>
      <c r="N5767" s="475">
        <f t="shared" si="215"/>
        <v>226573</v>
      </c>
    </row>
    <row r="5768" spans="7:14" ht="11.25" customHeight="1" x14ac:dyDescent="0.3">
      <c r="G5768" s="470"/>
      <c r="H5768" s="470">
        <v>5761</v>
      </c>
      <c r="I5768" s="455">
        <f t="shared" ca="1" si="213"/>
        <v>-2718161923131840</v>
      </c>
      <c r="J5768" s="455">
        <f t="array" ref="J5768">IFERROR(INDEX('Retirement Calculator'!J:J,MATCH('Isaac 401k'!N5768,'Retirement Calculator'!A:A,0),0),0)</f>
        <v>0</v>
      </c>
      <c r="K5768" s="455">
        <f t="shared" ca="1" si="211"/>
        <v>-11325674679716</v>
      </c>
      <c r="L5768" s="455">
        <f t="shared" ca="1" si="212"/>
        <v>-2729487597811556</v>
      </c>
      <c r="M5768" s="471">
        <f t="shared" si="214"/>
        <v>0.05</v>
      </c>
      <c r="N5768" s="475">
        <f t="shared" si="215"/>
        <v>226604</v>
      </c>
    </row>
    <row r="5769" spans="7:14" ht="11.25" customHeight="1" x14ac:dyDescent="0.3">
      <c r="G5769" s="470"/>
      <c r="H5769" s="470">
        <v>5762</v>
      </c>
      <c r="I5769" s="455">
        <f t="shared" ca="1" si="213"/>
        <v>-2729487597811556</v>
      </c>
      <c r="J5769" s="455">
        <f t="array" ref="J5769">IFERROR(INDEX('Retirement Calculator'!J:J,MATCH('Isaac 401k'!N5769,'Retirement Calculator'!A:A,0),0),0)</f>
        <v>0</v>
      </c>
      <c r="K5769" s="455">
        <f t="shared" ca="1" si="211"/>
        <v>-11372864990881.482</v>
      </c>
      <c r="L5769" s="455">
        <f t="shared" ca="1" si="212"/>
        <v>-2740860462802437.5</v>
      </c>
      <c r="M5769" s="471">
        <f t="shared" si="214"/>
        <v>0.05</v>
      </c>
      <c r="N5769" s="475">
        <f t="shared" si="215"/>
        <v>226634</v>
      </c>
    </row>
    <row r="5770" spans="7:14" ht="11.25" customHeight="1" x14ac:dyDescent="0.3">
      <c r="G5770" s="470"/>
      <c r="H5770" s="470">
        <v>5763</v>
      </c>
      <c r="I5770" s="455">
        <f t="shared" ca="1" si="213"/>
        <v>-2740860462802437.5</v>
      </c>
      <c r="J5770" s="455">
        <f t="array" ref="J5770">IFERROR(INDEX('Retirement Calculator'!J:J,MATCH('Isaac 401k'!N5770,'Retirement Calculator'!A:A,0),0),0)</f>
        <v>0</v>
      </c>
      <c r="K5770" s="455">
        <f t="shared" ca="1" si="211"/>
        <v>-11420251928343.49</v>
      </c>
      <c r="L5770" s="455">
        <f t="shared" ca="1" si="212"/>
        <v>-2752280714730781</v>
      </c>
      <c r="M5770" s="471">
        <f t="shared" si="214"/>
        <v>0.05</v>
      </c>
      <c r="N5770" s="475">
        <f t="shared" si="215"/>
        <v>226665</v>
      </c>
    </row>
    <row r="5771" spans="7:14" ht="11.25" customHeight="1" x14ac:dyDescent="0.3">
      <c r="G5771" s="470"/>
      <c r="H5771" s="470">
        <v>5764</v>
      </c>
      <c r="I5771" s="455">
        <f t="shared" ca="1" si="213"/>
        <v>-2752280714730781</v>
      </c>
      <c r="J5771" s="455">
        <f t="array" ref="J5771">IFERROR(INDEX('Retirement Calculator'!J:J,MATCH('Isaac 401k'!N5771,'Retirement Calculator'!A:A,0),0),0)</f>
        <v>0</v>
      </c>
      <c r="K5771" s="455">
        <f t="shared" ca="1" si="211"/>
        <v>-11467836311378.254</v>
      </c>
      <c r="L5771" s="455">
        <f t="shared" ca="1" si="212"/>
        <v>-2763748551042159.5</v>
      </c>
      <c r="M5771" s="471">
        <f t="shared" si="214"/>
        <v>0.05</v>
      </c>
      <c r="N5771" s="475">
        <f t="shared" si="215"/>
        <v>226696</v>
      </c>
    </row>
    <row r="5772" spans="7:14" ht="11.25" customHeight="1" x14ac:dyDescent="0.3">
      <c r="G5772" s="470"/>
      <c r="H5772" s="470">
        <v>5765</v>
      </c>
      <c r="I5772" s="455">
        <f t="shared" ca="1" si="213"/>
        <v>-2763748551042159.5</v>
      </c>
      <c r="J5772" s="455">
        <f t="array" ref="J5772">IFERROR(INDEX('Retirement Calculator'!J:J,MATCH('Isaac 401k'!N5772,'Retirement Calculator'!A:A,0),0),0)</f>
        <v>0</v>
      </c>
      <c r="K5772" s="455">
        <f t="shared" ca="1" si="211"/>
        <v>-11515618962675.664</v>
      </c>
      <c r="L5772" s="455">
        <f t="shared" ca="1" si="212"/>
        <v>-2775264170004835</v>
      </c>
      <c r="M5772" s="471">
        <f t="shared" si="214"/>
        <v>0.05</v>
      </c>
      <c r="N5772" s="475">
        <f t="shared" si="215"/>
        <v>226726</v>
      </c>
    </row>
    <row r="5773" spans="7:14" ht="11.25" customHeight="1" x14ac:dyDescent="0.3">
      <c r="G5773" s="470"/>
      <c r="H5773" s="470">
        <v>5766</v>
      </c>
      <c r="I5773" s="455">
        <f t="shared" ca="1" si="213"/>
        <v>-2775264170004835</v>
      </c>
      <c r="J5773" s="455">
        <f t="array" ref="J5773">IFERROR(INDEX('Retirement Calculator'!J:J,MATCH('Isaac 401k'!N5773,'Retirement Calculator'!A:A,0),0),0)</f>
        <v>0</v>
      </c>
      <c r="K5773" s="455">
        <f t="shared" ca="1" si="211"/>
        <v>-11563600708353.479</v>
      </c>
      <c r="L5773" s="455">
        <f t="shared" ca="1" si="212"/>
        <v>-2786827770713188.5</v>
      </c>
      <c r="M5773" s="471">
        <f t="shared" si="214"/>
        <v>0.05</v>
      </c>
      <c r="N5773" s="475">
        <f t="shared" si="215"/>
        <v>226757</v>
      </c>
    </row>
    <row r="5774" spans="7:14" ht="11.25" customHeight="1" x14ac:dyDescent="0.3">
      <c r="G5774" s="470"/>
      <c r="H5774" s="470">
        <v>5767</v>
      </c>
      <c r="I5774" s="455">
        <f t="shared" ca="1" si="213"/>
        <v>-2786827770713188.5</v>
      </c>
      <c r="J5774" s="455">
        <f t="array" ref="J5774">IFERROR(INDEX('Retirement Calculator'!J:J,MATCH('Isaac 401k'!N5774,'Retirement Calculator'!A:A,0),0),0)</f>
        <v>0</v>
      </c>
      <c r="K5774" s="455">
        <f t="shared" ca="1" si="211"/>
        <v>-11611782377971.619</v>
      </c>
      <c r="L5774" s="455">
        <f t="shared" ca="1" si="212"/>
        <v>-2798439553091160</v>
      </c>
      <c r="M5774" s="471">
        <f t="shared" si="214"/>
        <v>0.05</v>
      </c>
      <c r="N5774" s="475">
        <f t="shared" si="215"/>
        <v>226787</v>
      </c>
    </row>
    <row r="5775" spans="7:14" ht="11.25" customHeight="1" x14ac:dyDescent="0.3">
      <c r="G5775" s="470"/>
      <c r="H5775" s="470">
        <v>5768</v>
      </c>
      <c r="I5775" s="455">
        <f t="shared" ca="1" si="213"/>
        <v>-2798439553091160</v>
      </c>
      <c r="J5775" s="455">
        <f t="array" ref="J5775">IFERROR(INDEX('Retirement Calculator'!J:J,MATCH('Isaac 401k'!N5775,'Retirement Calculator'!A:A,0),0),0)</f>
        <v>0</v>
      </c>
      <c r="K5775" s="455">
        <f t="shared" ca="1" si="211"/>
        <v>-11660164804546.5</v>
      </c>
      <c r="L5775" s="455">
        <f t="shared" ca="1" si="212"/>
        <v>-2810099717895706.5</v>
      </c>
      <c r="M5775" s="471">
        <f t="shared" si="214"/>
        <v>0.05</v>
      </c>
      <c r="N5775" s="475">
        <f t="shared" si="215"/>
        <v>226818</v>
      </c>
    </row>
    <row r="5776" spans="7:14" ht="11.25" customHeight="1" x14ac:dyDescent="0.3">
      <c r="G5776" s="470"/>
      <c r="H5776" s="470">
        <v>5769</v>
      </c>
      <c r="I5776" s="455">
        <f t="shared" ca="1" si="213"/>
        <v>-2810099717895706.5</v>
      </c>
      <c r="J5776" s="455">
        <f t="array" ref="J5776">IFERROR(INDEX('Retirement Calculator'!J:J,MATCH('Isaac 401k'!N5776,'Retirement Calculator'!A:A,0),0),0)</f>
        <v>0</v>
      </c>
      <c r="K5776" s="455">
        <f t="shared" ca="1" si="211"/>
        <v>-11708748824565.443</v>
      </c>
      <c r="L5776" s="455">
        <f t="shared" ca="1" si="212"/>
        <v>-2821808466720272</v>
      </c>
      <c r="M5776" s="471">
        <f t="shared" si="214"/>
        <v>0.05</v>
      </c>
      <c r="N5776" s="475">
        <f t="shared" si="215"/>
        <v>226849</v>
      </c>
    </row>
    <row r="5777" spans="7:14" ht="11.25" customHeight="1" x14ac:dyDescent="0.3">
      <c r="G5777" s="470"/>
      <c r="H5777" s="470">
        <v>5770</v>
      </c>
      <c r="I5777" s="455">
        <f t="shared" ca="1" si="213"/>
        <v>-2821808466720272</v>
      </c>
      <c r="J5777" s="455">
        <f t="array" ref="J5777">IFERROR(INDEX('Retirement Calculator'!J:J,MATCH('Isaac 401k'!N5777,'Retirement Calculator'!A:A,0),0),0)</f>
        <v>0</v>
      </c>
      <c r="K5777" s="455">
        <f t="shared" ca="1" si="211"/>
        <v>-11757535278001.133</v>
      </c>
      <c r="L5777" s="455">
        <f t="shared" ca="1" si="212"/>
        <v>-2833566001998273</v>
      </c>
      <c r="M5777" s="471">
        <f t="shared" si="214"/>
        <v>0.05</v>
      </c>
      <c r="N5777" s="475">
        <f t="shared" si="215"/>
        <v>226877</v>
      </c>
    </row>
    <row r="5778" spans="7:14" ht="11.25" customHeight="1" x14ac:dyDescent="0.3">
      <c r="G5778" s="470"/>
      <c r="H5778" s="470">
        <v>5771</v>
      </c>
      <c r="I5778" s="455">
        <f t="shared" ca="1" si="213"/>
        <v>-2833566001998273</v>
      </c>
      <c r="J5778" s="455">
        <f t="array" ref="J5778">IFERROR(INDEX('Retirement Calculator'!J:J,MATCH('Isaac 401k'!N5778,'Retirement Calculator'!A:A,0),0),0)</f>
        <v>0</v>
      </c>
      <c r="K5778" s="455">
        <f t="shared" ca="1" si="211"/>
        <v>-11806525008326.137</v>
      </c>
      <c r="L5778" s="455">
        <f t="shared" ca="1" si="212"/>
        <v>-2845372527006599</v>
      </c>
      <c r="M5778" s="471">
        <f t="shared" si="214"/>
        <v>0.05</v>
      </c>
      <c r="N5778" s="475">
        <f t="shared" si="215"/>
        <v>226908</v>
      </c>
    </row>
    <row r="5779" spans="7:14" ht="11.25" customHeight="1" x14ac:dyDescent="0.3">
      <c r="G5779" s="470"/>
      <c r="H5779" s="470">
        <v>5772</v>
      </c>
      <c r="I5779" s="455">
        <f t="shared" ca="1" si="213"/>
        <v>-2845372527006599</v>
      </c>
      <c r="J5779" s="455">
        <f t="array" ref="J5779">IFERROR(INDEX('Retirement Calculator'!J:J,MATCH('Isaac 401k'!N5779,'Retirement Calculator'!A:A,0),0),0)</f>
        <v>0</v>
      </c>
      <c r="K5779" s="455">
        <f t="shared" ca="1" si="211"/>
        <v>-11855718862527.496</v>
      </c>
      <c r="L5779" s="455">
        <f t="shared" ca="1" si="212"/>
        <v>-2857228245869126.5</v>
      </c>
      <c r="M5779" s="471">
        <f t="shared" si="214"/>
        <v>0.05</v>
      </c>
      <c r="N5779" s="475">
        <f t="shared" si="215"/>
        <v>226938</v>
      </c>
    </row>
    <row r="5780" spans="7:14" ht="11.25" customHeight="1" x14ac:dyDescent="0.3">
      <c r="G5780" s="470"/>
      <c r="H5780" s="470">
        <v>5773</v>
      </c>
      <c r="I5780" s="455">
        <f t="shared" ca="1" si="213"/>
        <v>-2857228245869126.5</v>
      </c>
      <c r="J5780" s="455">
        <f t="array" ref="J5780">IFERROR(INDEX('Retirement Calculator'!J:J,MATCH('Isaac 401k'!N5780,'Retirement Calculator'!A:A,0),0),0)</f>
        <v>0</v>
      </c>
      <c r="K5780" s="455">
        <f t="shared" ca="1" si="211"/>
        <v>-11905117691121.359</v>
      </c>
      <c r="L5780" s="455">
        <f t="shared" ca="1" si="212"/>
        <v>-2869133363560248</v>
      </c>
      <c r="M5780" s="471">
        <f t="shared" si="214"/>
        <v>0.05</v>
      </c>
      <c r="N5780" s="475">
        <f t="shared" si="215"/>
        <v>226969</v>
      </c>
    </row>
    <row r="5781" spans="7:14" ht="11.25" customHeight="1" x14ac:dyDescent="0.3">
      <c r="G5781" s="470"/>
      <c r="H5781" s="470">
        <v>5774</v>
      </c>
      <c r="I5781" s="455">
        <f t="shared" ca="1" si="213"/>
        <v>-2869133363560248</v>
      </c>
      <c r="J5781" s="455">
        <f t="array" ref="J5781">IFERROR(INDEX('Retirement Calculator'!J:J,MATCH('Isaac 401k'!N5781,'Retirement Calculator'!A:A,0),0),0)</f>
        <v>0</v>
      </c>
      <c r="K5781" s="455">
        <f t="shared" ca="1" si="211"/>
        <v>-11954722348167.699</v>
      </c>
      <c r="L5781" s="455">
        <f t="shared" ca="1" si="212"/>
        <v>-2881088085908415.5</v>
      </c>
      <c r="M5781" s="471">
        <f t="shared" si="214"/>
        <v>0.05</v>
      </c>
      <c r="N5781" s="475">
        <f t="shared" si="215"/>
        <v>226999</v>
      </c>
    </row>
    <row r="5782" spans="7:14" ht="11.25" customHeight="1" x14ac:dyDescent="0.3">
      <c r="G5782" s="470"/>
      <c r="H5782" s="470">
        <v>5775</v>
      </c>
      <c r="I5782" s="455">
        <f t="shared" ca="1" si="213"/>
        <v>-2881088085908415.5</v>
      </c>
      <c r="J5782" s="455">
        <f t="array" ref="J5782">IFERROR(INDEX('Retirement Calculator'!J:J,MATCH('Isaac 401k'!N5782,'Retirement Calculator'!A:A,0),0),0)</f>
        <v>0</v>
      </c>
      <c r="K5782" s="455">
        <f t="shared" ca="1" si="211"/>
        <v>-12004533691285.064</v>
      </c>
      <c r="L5782" s="455">
        <f t="shared" ca="1" si="212"/>
        <v>-2893092619599700.5</v>
      </c>
      <c r="M5782" s="471">
        <f t="shared" si="214"/>
        <v>0.05</v>
      </c>
      <c r="N5782" s="475">
        <f t="shared" si="215"/>
        <v>227030</v>
      </c>
    </row>
    <row r="5783" spans="7:14" ht="11.25" customHeight="1" x14ac:dyDescent="0.3">
      <c r="G5783" s="470"/>
      <c r="H5783" s="470">
        <v>5776</v>
      </c>
      <c r="I5783" s="455">
        <f t="shared" ca="1" si="213"/>
        <v>-2893092619599700.5</v>
      </c>
      <c r="J5783" s="455">
        <f t="array" ref="J5783">IFERROR(INDEX('Retirement Calculator'!J:J,MATCH('Isaac 401k'!N5783,'Retirement Calculator'!A:A,0),0),0)</f>
        <v>0</v>
      </c>
      <c r="K5783" s="455">
        <f t="shared" ca="1" si="211"/>
        <v>-12054552581665.418</v>
      </c>
      <c r="L5783" s="455">
        <f t="shared" ca="1" si="212"/>
        <v>-2905147172181366</v>
      </c>
      <c r="M5783" s="471">
        <f t="shared" si="214"/>
        <v>0.05</v>
      </c>
      <c r="N5783" s="475">
        <f t="shared" si="215"/>
        <v>227061</v>
      </c>
    </row>
    <row r="5784" spans="7:14" ht="11.25" customHeight="1" x14ac:dyDescent="0.3">
      <c r="G5784" s="470"/>
      <c r="H5784" s="470">
        <v>5777</v>
      </c>
      <c r="I5784" s="455">
        <f t="shared" ca="1" si="213"/>
        <v>-2905147172181366</v>
      </c>
      <c r="J5784" s="455">
        <f t="array" ref="J5784">IFERROR(INDEX('Retirement Calculator'!J:J,MATCH('Isaac 401k'!N5784,'Retirement Calculator'!A:A,0),0),0)</f>
        <v>0</v>
      </c>
      <c r="K5784" s="455">
        <f t="shared" ca="1" si="211"/>
        <v>-12104779884089.025</v>
      </c>
      <c r="L5784" s="455">
        <f t="shared" ca="1" si="212"/>
        <v>-2917251952065455</v>
      </c>
      <c r="M5784" s="471">
        <f t="shared" si="214"/>
        <v>0.05</v>
      </c>
      <c r="N5784" s="475">
        <f t="shared" si="215"/>
        <v>227091</v>
      </c>
    </row>
    <row r="5785" spans="7:14" ht="11.25" customHeight="1" x14ac:dyDescent="0.3">
      <c r="G5785" s="470"/>
      <c r="H5785" s="470">
        <v>5778</v>
      </c>
      <c r="I5785" s="455">
        <f t="shared" ca="1" si="213"/>
        <v>-2917251952065455</v>
      </c>
      <c r="J5785" s="455">
        <f t="array" ref="J5785">IFERROR(INDEX('Retirement Calculator'!J:J,MATCH('Isaac 401k'!N5785,'Retirement Calculator'!A:A,0),0),0)</f>
        <v>0</v>
      </c>
      <c r="K5785" s="455">
        <f t="shared" ca="1" si="211"/>
        <v>-12155216466939.396</v>
      </c>
      <c r="L5785" s="455">
        <f t="shared" ca="1" si="212"/>
        <v>-2929407168532394.5</v>
      </c>
      <c r="M5785" s="471">
        <f t="shared" si="214"/>
        <v>0.05</v>
      </c>
      <c r="N5785" s="475">
        <f t="shared" si="215"/>
        <v>227122</v>
      </c>
    </row>
    <row r="5786" spans="7:14" ht="11.25" customHeight="1" x14ac:dyDescent="0.3">
      <c r="G5786" s="470"/>
      <c r="H5786" s="470">
        <v>5779</v>
      </c>
      <c r="I5786" s="455">
        <f t="shared" ca="1" si="213"/>
        <v>-2929407168532394.5</v>
      </c>
      <c r="J5786" s="455">
        <f t="array" ref="J5786">IFERROR(INDEX('Retirement Calculator'!J:J,MATCH('Isaac 401k'!N5786,'Retirement Calculator'!A:A,0),0),0)</f>
        <v>0</v>
      </c>
      <c r="K5786" s="455">
        <f t="shared" ca="1" si="211"/>
        <v>-12205863202218.311</v>
      </c>
      <c r="L5786" s="455">
        <f t="shared" ca="1" si="212"/>
        <v>-2941613031734613</v>
      </c>
      <c r="M5786" s="471">
        <f t="shared" si="214"/>
        <v>0.05</v>
      </c>
      <c r="N5786" s="475">
        <f t="shared" si="215"/>
        <v>227152</v>
      </c>
    </row>
    <row r="5787" spans="7:14" ht="11.25" customHeight="1" x14ac:dyDescent="0.3">
      <c r="G5787" s="470"/>
      <c r="H5787" s="470">
        <v>5780</v>
      </c>
      <c r="I5787" s="455">
        <f t="shared" ca="1" si="213"/>
        <v>-2941613031734613</v>
      </c>
      <c r="J5787" s="455">
        <f t="array" ref="J5787">IFERROR(INDEX('Retirement Calculator'!J:J,MATCH('Isaac 401k'!N5787,'Retirement Calculator'!A:A,0),0),0)</f>
        <v>0</v>
      </c>
      <c r="K5787" s="455">
        <f t="shared" ca="1" si="211"/>
        <v>-12256720965560.887</v>
      </c>
      <c r="L5787" s="455">
        <f t="shared" ca="1" si="212"/>
        <v>-2953869752700174</v>
      </c>
      <c r="M5787" s="471">
        <f t="shared" si="214"/>
        <v>0.05</v>
      </c>
      <c r="N5787" s="475">
        <f t="shared" si="215"/>
        <v>227183</v>
      </c>
    </row>
    <row r="5788" spans="7:14" ht="11.25" customHeight="1" x14ac:dyDescent="0.3">
      <c r="G5788" s="470"/>
      <c r="H5788" s="470">
        <v>5781</v>
      </c>
      <c r="I5788" s="455">
        <f t="shared" ca="1" si="213"/>
        <v>-2953869752700174</v>
      </c>
      <c r="J5788" s="455">
        <f t="array" ref="J5788">IFERROR(INDEX('Retirement Calculator'!J:J,MATCH('Isaac 401k'!N5788,'Retirement Calculator'!A:A,0),0),0)</f>
        <v>0</v>
      </c>
      <c r="K5788" s="455">
        <f t="shared" ca="1" si="211"/>
        <v>-12307790636250.725</v>
      </c>
      <c r="L5788" s="455">
        <f t="shared" ca="1" si="212"/>
        <v>-2966177543336424.5</v>
      </c>
      <c r="M5788" s="471">
        <f t="shared" si="214"/>
        <v>0.05</v>
      </c>
      <c r="N5788" s="475">
        <f t="shared" si="215"/>
        <v>227214</v>
      </c>
    </row>
    <row r="5789" spans="7:14" ht="11.25" customHeight="1" x14ac:dyDescent="0.3">
      <c r="G5789" s="470"/>
      <c r="H5789" s="470">
        <v>5782</v>
      </c>
      <c r="I5789" s="455">
        <f t="shared" ca="1" si="213"/>
        <v>-2966177543336424.5</v>
      </c>
      <c r="J5789" s="455">
        <f t="array" ref="J5789">IFERROR(INDEX('Retirement Calculator'!J:J,MATCH('Isaac 401k'!N5789,'Retirement Calculator'!A:A,0),0),0)</f>
        <v>0</v>
      </c>
      <c r="K5789" s="455">
        <f t="shared" ca="1" si="211"/>
        <v>-12359073097235.102</v>
      </c>
      <c r="L5789" s="455">
        <f t="shared" ca="1" si="212"/>
        <v>-2978536616433659.5</v>
      </c>
      <c r="M5789" s="471">
        <f t="shared" si="214"/>
        <v>0.05</v>
      </c>
      <c r="N5789" s="475">
        <f t="shared" si="215"/>
        <v>227242</v>
      </c>
    </row>
    <row r="5790" spans="7:14" ht="11.25" customHeight="1" x14ac:dyDescent="0.3">
      <c r="G5790" s="470"/>
      <c r="H5790" s="470">
        <v>5783</v>
      </c>
      <c r="I5790" s="455">
        <f t="shared" ca="1" si="213"/>
        <v>-2978536616433659.5</v>
      </c>
      <c r="J5790" s="455">
        <f t="array" ref="J5790">IFERROR(INDEX('Retirement Calculator'!J:J,MATCH('Isaac 401k'!N5790,'Retirement Calculator'!A:A,0),0),0)</f>
        <v>0</v>
      </c>
      <c r="K5790" s="455">
        <f t="shared" ca="1" si="211"/>
        <v>-12410569235140.248</v>
      </c>
      <c r="L5790" s="455">
        <f t="shared" ca="1" si="212"/>
        <v>-2990947185668799.5</v>
      </c>
      <c r="M5790" s="471">
        <f t="shared" si="214"/>
        <v>0.05</v>
      </c>
      <c r="N5790" s="475">
        <f t="shared" si="215"/>
        <v>227273</v>
      </c>
    </row>
    <row r="5791" spans="7:14" ht="11.25" customHeight="1" x14ac:dyDescent="0.3">
      <c r="G5791" s="470"/>
      <c r="H5791" s="470">
        <v>5784</v>
      </c>
      <c r="I5791" s="455">
        <f t="shared" ca="1" si="213"/>
        <v>-2990947185668799.5</v>
      </c>
      <c r="J5791" s="455">
        <f t="array" ref="J5791">IFERROR(INDEX('Retirement Calculator'!J:J,MATCH('Isaac 401k'!N5791,'Retirement Calculator'!A:A,0),0),0)</f>
        <v>0</v>
      </c>
      <c r="K5791" s="455">
        <f t="shared" ca="1" si="211"/>
        <v>-12462279940286.664</v>
      </c>
      <c r="L5791" s="455">
        <f t="shared" ca="1" si="212"/>
        <v>-3003409465609086</v>
      </c>
      <c r="M5791" s="471">
        <f t="shared" si="214"/>
        <v>0.05</v>
      </c>
      <c r="N5791" s="475">
        <f t="shared" si="215"/>
        <v>227303</v>
      </c>
    </row>
    <row r="5792" spans="7:14" ht="11.25" customHeight="1" x14ac:dyDescent="0.3">
      <c r="G5792" s="470"/>
      <c r="H5792" s="470">
        <v>5785</v>
      </c>
      <c r="I5792" s="455">
        <f t="shared" ca="1" si="213"/>
        <v>-3003409465609086</v>
      </c>
      <c r="J5792" s="455">
        <f t="array" ref="J5792">IFERROR(INDEX('Retirement Calculator'!J:J,MATCH('Isaac 401k'!N5792,'Retirement Calculator'!A:A,0),0),0)</f>
        <v>0</v>
      </c>
      <c r="K5792" s="455">
        <f t="shared" ca="1" si="211"/>
        <v>-12514206106704.525</v>
      </c>
      <c r="L5792" s="455">
        <f t="shared" ca="1" si="212"/>
        <v>-3015923671715790.5</v>
      </c>
      <c r="M5792" s="471">
        <f t="shared" si="214"/>
        <v>0.05</v>
      </c>
      <c r="N5792" s="475">
        <f t="shared" si="215"/>
        <v>227334</v>
      </c>
    </row>
    <row r="5793" spans="7:14" ht="11.25" customHeight="1" x14ac:dyDescent="0.3">
      <c r="G5793" s="470"/>
      <c r="H5793" s="470">
        <v>5786</v>
      </c>
      <c r="I5793" s="455">
        <f t="shared" ca="1" si="213"/>
        <v>-3015923671715790.5</v>
      </c>
      <c r="J5793" s="455">
        <f t="array" ref="J5793">IFERROR(INDEX('Retirement Calculator'!J:J,MATCH('Isaac 401k'!N5793,'Retirement Calculator'!A:A,0),0),0)</f>
        <v>0</v>
      </c>
      <c r="K5793" s="455">
        <f t="shared" ca="1" si="211"/>
        <v>-12566348632149.127</v>
      </c>
      <c r="L5793" s="455">
        <f t="shared" ca="1" si="212"/>
        <v>-3028490020347939.5</v>
      </c>
      <c r="M5793" s="471">
        <f t="shared" si="214"/>
        <v>0.05</v>
      </c>
      <c r="N5793" s="475">
        <f t="shared" si="215"/>
        <v>227364</v>
      </c>
    </row>
    <row r="5794" spans="7:14" ht="11.25" customHeight="1" x14ac:dyDescent="0.3">
      <c r="G5794" s="470"/>
      <c r="H5794" s="470">
        <v>5787</v>
      </c>
      <c r="I5794" s="455">
        <f t="shared" ca="1" si="213"/>
        <v>-3028490020347939.5</v>
      </c>
      <c r="J5794" s="455">
        <f t="array" ref="J5794">IFERROR(INDEX('Retirement Calculator'!J:J,MATCH('Isaac 401k'!N5794,'Retirement Calculator'!A:A,0),0),0)</f>
        <v>0</v>
      </c>
      <c r="K5794" s="455">
        <f t="shared" ca="1" si="211"/>
        <v>-12618708418116.414</v>
      </c>
      <c r="L5794" s="455">
        <f t="shared" ca="1" si="212"/>
        <v>-3041108728766056</v>
      </c>
      <c r="M5794" s="471">
        <f t="shared" si="214"/>
        <v>0.05</v>
      </c>
      <c r="N5794" s="475">
        <f t="shared" si="215"/>
        <v>227395</v>
      </c>
    </row>
    <row r="5795" spans="7:14" ht="11.25" customHeight="1" x14ac:dyDescent="0.3">
      <c r="G5795" s="470"/>
      <c r="H5795" s="470">
        <v>5788</v>
      </c>
      <c r="I5795" s="455">
        <f t="shared" ca="1" si="213"/>
        <v>-3041108728766056</v>
      </c>
      <c r="J5795" s="455">
        <f t="array" ref="J5795">IFERROR(INDEX('Retirement Calculator'!J:J,MATCH('Isaac 401k'!N5795,'Retirement Calculator'!A:A,0),0),0)</f>
        <v>0</v>
      </c>
      <c r="K5795" s="455">
        <f t="shared" ca="1" si="211"/>
        <v>-12671286369858.566</v>
      </c>
      <c r="L5795" s="455">
        <f t="shared" ca="1" si="212"/>
        <v>-3053780015135914.5</v>
      </c>
      <c r="M5795" s="471">
        <f t="shared" si="214"/>
        <v>0.05</v>
      </c>
      <c r="N5795" s="475">
        <f t="shared" si="215"/>
        <v>227426</v>
      </c>
    </row>
    <row r="5796" spans="7:14" ht="11.25" customHeight="1" x14ac:dyDescent="0.3">
      <c r="G5796" s="470"/>
      <c r="H5796" s="470">
        <v>5789</v>
      </c>
      <c r="I5796" s="455">
        <f t="shared" ca="1" si="213"/>
        <v>-3053780015135914.5</v>
      </c>
      <c r="J5796" s="455">
        <f t="array" ref="J5796">IFERROR(INDEX('Retirement Calculator'!J:J,MATCH('Isaac 401k'!N5796,'Retirement Calculator'!A:A,0),0),0)</f>
        <v>0</v>
      </c>
      <c r="K5796" s="455">
        <f t="shared" ca="1" si="211"/>
        <v>-12724083396399.645</v>
      </c>
      <c r="L5796" s="455">
        <f t="shared" ca="1" si="212"/>
        <v>-3066504098532314</v>
      </c>
      <c r="M5796" s="471">
        <f t="shared" si="214"/>
        <v>0.05</v>
      </c>
      <c r="N5796" s="475">
        <f t="shared" si="215"/>
        <v>227456</v>
      </c>
    </row>
    <row r="5797" spans="7:14" ht="11.25" customHeight="1" x14ac:dyDescent="0.3">
      <c r="G5797" s="470"/>
      <c r="H5797" s="470">
        <v>5790</v>
      </c>
      <c r="I5797" s="455">
        <f t="shared" ca="1" si="213"/>
        <v>-3066504098532314</v>
      </c>
      <c r="J5797" s="455">
        <f t="array" ref="J5797">IFERROR(INDEX('Retirement Calculator'!J:J,MATCH('Isaac 401k'!N5797,'Retirement Calculator'!A:A,0),0),0)</f>
        <v>0</v>
      </c>
      <c r="K5797" s="455">
        <f t="shared" ca="1" si="211"/>
        <v>-12777100410551.309</v>
      </c>
      <c r="L5797" s="455">
        <f t="shared" ca="1" si="212"/>
        <v>-3079281198942865.5</v>
      </c>
      <c r="M5797" s="471">
        <f t="shared" si="214"/>
        <v>0.05</v>
      </c>
      <c r="N5797" s="475">
        <f t="shared" si="215"/>
        <v>227487</v>
      </c>
    </row>
    <row r="5798" spans="7:14" ht="11.25" customHeight="1" x14ac:dyDescent="0.3">
      <c r="G5798" s="470"/>
      <c r="H5798" s="470">
        <v>5791</v>
      </c>
      <c r="I5798" s="455">
        <f t="shared" ca="1" si="213"/>
        <v>-3079281198942865.5</v>
      </c>
      <c r="J5798" s="455">
        <f t="array" ref="J5798">IFERROR(INDEX('Retirement Calculator'!J:J,MATCH('Isaac 401k'!N5798,'Retirement Calculator'!A:A,0),0),0)</f>
        <v>0</v>
      </c>
      <c r="K5798" s="455">
        <f t="shared" ca="1" si="211"/>
        <v>-12830338328928.605</v>
      </c>
      <c r="L5798" s="455">
        <f t="shared" ca="1" si="212"/>
        <v>-3092111537271794</v>
      </c>
      <c r="M5798" s="471">
        <f t="shared" si="214"/>
        <v>0.05</v>
      </c>
      <c r="N5798" s="475">
        <f t="shared" si="215"/>
        <v>227517</v>
      </c>
    </row>
    <row r="5799" spans="7:14" ht="11.25" customHeight="1" x14ac:dyDescent="0.3">
      <c r="G5799" s="470"/>
      <c r="H5799" s="470">
        <v>5792</v>
      </c>
      <c r="I5799" s="455">
        <f t="shared" ca="1" si="213"/>
        <v>-3092111537271794</v>
      </c>
      <c r="J5799" s="455">
        <f t="array" ref="J5799">IFERROR(INDEX('Retirement Calculator'!J:J,MATCH('Isaac 401k'!N5799,'Retirement Calculator'!A:A,0),0),0)</f>
        <v>0</v>
      </c>
      <c r="K5799" s="455">
        <f t="shared" ca="1" si="211"/>
        <v>-12883798071965.809</v>
      </c>
      <c r="L5799" s="455">
        <f t="shared" ca="1" si="212"/>
        <v>-3104995335343760</v>
      </c>
      <c r="M5799" s="471">
        <f t="shared" si="214"/>
        <v>0.05</v>
      </c>
      <c r="N5799" s="475">
        <f t="shared" si="215"/>
        <v>227548</v>
      </c>
    </row>
    <row r="5800" spans="7:14" ht="11.25" customHeight="1" x14ac:dyDescent="0.3">
      <c r="G5800" s="470"/>
      <c r="H5800" s="470">
        <v>5793</v>
      </c>
      <c r="I5800" s="455">
        <f t="shared" ca="1" si="213"/>
        <v>-3104995335343760</v>
      </c>
      <c r="J5800" s="455">
        <f t="array" ref="J5800">IFERROR(INDEX('Retirement Calculator'!J:J,MATCH('Isaac 401k'!N5800,'Retirement Calculator'!A:A,0),0),0)</f>
        <v>0</v>
      </c>
      <c r="K5800" s="455">
        <f t="shared" ca="1" si="211"/>
        <v>-12937480563932.334</v>
      </c>
      <c r="L5800" s="455">
        <f t="shared" ca="1" si="212"/>
        <v>-3117932815907692.5</v>
      </c>
      <c r="M5800" s="471">
        <f t="shared" si="214"/>
        <v>0.05</v>
      </c>
      <c r="N5800" s="475">
        <f t="shared" si="215"/>
        <v>227579</v>
      </c>
    </row>
    <row r="5801" spans="7:14" ht="11.25" customHeight="1" x14ac:dyDescent="0.3">
      <c r="G5801" s="470"/>
      <c r="H5801" s="470">
        <v>5794</v>
      </c>
      <c r="I5801" s="455">
        <f t="shared" ca="1" si="213"/>
        <v>-3117932815907692.5</v>
      </c>
      <c r="J5801" s="455">
        <f t="array" ref="J5801">IFERROR(INDEX('Retirement Calculator'!J:J,MATCH('Isaac 401k'!N5801,'Retirement Calculator'!A:A,0),0),0)</f>
        <v>0</v>
      </c>
      <c r="K5801" s="455">
        <f t="shared" ca="1" si="211"/>
        <v>-12991386732948.719</v>
      </c>
      <c r="L5801" s="455">
        <f t="shared" ca="1" si="212"/>
        <v>-3130924202640641</v>
      </c>
      <c r="M5801" s="471">
        <f t="shared" si="214"/>
        <v>0.05</v>
      </c>
      <c r="N5801" s="475">
        <f t="shared" si="215"/>
        <v>227607</v>
      </c>
    </row>
    <row r="5802" spans="7:14" ht="11.25" customHeight="1" x14ac:dyDescent="0.3">
      <c r="G5802" s="470"/>
      <c r="H5802" s="470">
        <v>5795</v>
      </c>
      <c r="I5802" s="455">
        <f t="shared" ca="1" si="213"/>
        <v>-3130924202640641</v>
      </c>
      <c r="J5802" s="455">
        <f t="array" ref="J5802">IFERROR(INDEX('Retirement Calculator'!J:J,MATCH('Isaac 401k'!N5802,'Retirement Calculator'!A:A,0),0),0)</f>
        <v>0</v>
      </c>
      <c r="K5802" s="455">
        <f t="shared" ca="1" si="211"/>
        <v>-13045517511002.67</v>
      </c>
      <c r="L5802" s="455">
        <f t="shared" ca="1" si="212"/>
        <v>-3143969720151643.5</v>
      </c>
      <c r="M5802" s="471">
        <f t="shared" si="214"/>
        <v>0.05</v>
      </c>
      <c r="N5802" s="475">
        <f t="shared" si="215"/>
        <v>227638</v>
      </c>
    </row>
    <row r="5803" spans="7:14" ht="11.25" customHeight="1" x14ac:dyDescent="0.3">
      <c r="G5803" s="470"/>
      <c r="H5803" s="470">
        <v>5796</v>
      </c>
      <c r="I5803" s="455">
        <f t="shared" ca="1" si="213"/>
        <v>-3143969720151643.5</v>
      </c>
      <c r="J5803" s="455">
        <f t="array" ref="J5803">IFERROR(INDEX('Retirement Calculator'!J:J,MATCH('Isaac 401k'!N5803,'Retirement Calculator'!A:A,0),0),0)</f>
        <v>0</v>
      </c>
      <c r="K5803" s="455">
        <f t="shared" ca="1" si="211"/>
        <v>-13099873833965.182</v>
      </c>
      <c r="L5803" s="455">
        <f t="shared" ca="1" si="212"/>
        <v>-3157069593985608.5</v>
      </c>
      <c r="M5803" s="471">
        <f t="shared" si="214"/>
        <v>0.05</v>
      </c>
      <c r="N5803" s="475">
        <f t="shared" si="215"/>
        <v>227668</v>
      </c>
    </row>
    <row r="5804" spans="7:14" ht="11.25" customHeight="1" x14ac:dyDescent="0.3">
      <c r="G5804" s="470"/>
      <c r="H5804" s="470">
        <v>5797</v>
      </c>
      <c r="I5804" s="455">
        <f t="shared" ca="1" si="213"/>
        <v>-3157069593985608.5</v>
      </c>
      <c r="J5804" s="455">
        <f t="array" ref="J5804">IFERROR(INDEX('Retirement Calculator'!J:J,MATCH('Isaac 401k'!N5804,'Retirement Calculator'!A:A,0),0),0)</f>
        <v>0</v>
      </c>
      <c r="K5804" s="455">
        <f t="shared" ca="1" si="211"/>
        <v>-13154456641606.701</v>
      </c>
      <c r="L5804" s="455">
        <f t="shared" ca="1" si="212"/>
        <v>-3170224050627215</v>
      </c>
      <c r="M5804" s="471">
        <f t="shared" si="214"/>
        <v>0.05</v>
      </c>
      <c r="N5804" s="475">
        <f t="shared" si="215"/>
        <v>227699</v>
      </c>
    </row>
    <row r="5805" spans="7:14" ht="11.25" customHeight="1" x14ac:dyDescent="0.3">
      <c r="G5805" s="470"/>
      <c r="H5805" s="470">
        <v>5798</v>
      </c>
      <c r="I5805" s="455">
        <f t="shared" ca="1" si="213"/>
        <v>-3170224050627215</v>
      </c>
      <c r="J5805" s="455">
        <f t="array" ref="J5805">IFERROR(INDEX('Retirement Calculator'!J:J,MATCH('Isaac 401k'!N5805,'Retirement Calculator'!A:A,0),0),0)</f>
        <v>0</v>
      </c>
      <c r="K5805" s="455">
        <f t="shared" ca="1" si="211"/>
        <v>-13209266877613.396</v>
      </c>
      <c r="L5805" s="455">
        <f t="shared" ca="1" si="212"/>
        <v>-3183433317504828.5</v>
      </c>
      <c r="M5805" s="471">
        <f t="shared" si="214"/>
        <v>0.05</v>
      </c>
      <c r="N5805" s="475">
        <f t="shared" si="215"/>
        <v>227729</v>
      </c>
    </row>
    <row r="5806" spans="7:14" ht="11.25" customHeight="1" x14ac:dyDescent="0.3">
      <c r="G5806" s="470"/>
      <c r="H5806" s="470">
        <v>5799</v>
      </c>
      <c r="I5806" s="455">
        <f t="shared" ca="1" si="213"/>
        <v>-3183433317504828.5</v>
      </c>
      <c r="J5806" s="455">
        <f t="array" ref="J5806">IFERROR(INDEX('Retirement Calculator'!J:J,MATCH('Isaac 401k'!N5806,'Retirement Calculator'!A:A,0),0),0)</f>
        <v>0</v>
      </c>
      <c r="K5806" s="455">
        <f t="shared" ca="1" si="211"/>
        <v>-13264305489603.451</v>
      </c>
      <c r="L5806" s="455">
        <f t="shared" ca="1" si="212"/>
        <v>-3196697622994432</v>
      </c>
      <c r="M5806" s="471">
        <f t="shared" si="214"/>
        <v>0.05</v>
      </c>
      <c r="N5806" s="475">
        <f t="shared" si="215"/>
        <v>227760</v>
      </c>
    </row>
    <row r="5807" spans="7:14" ht="11.25" customHeight="1" x14ac:dyDescent="0.3">
      <c r="G5807" s="470"/>
      <c r="H5807" s="470">
        <v>5800</v>
      </c>
      <c r="I5807" s="455">
        <f t="shared" ca="1" si="213"/>
        <v>-3196697622994432</v>
      </c>
      <c r="J5807" s="455">
        <f t="array" ref="J5807">IFERROR(INDEX('Retirement Calculator'!J:J,MATCH('Isaac 401k'!N5807,'Retirement Calculator'!A:A,0),0),0)</f>
        <v>0</v>
      </c>
      <c r="K5807" s="455">
        <f t="shared" ca="1" si="211"/>
        <v>-13319573429143.467</v>
      </c>
      <c r="L5807" s="455">
        <f t="shared" ca="1" si="212"/>
        <v>-3210017196423575.5</v>
      </c>
      <c r="M5807" s="471">
        <f t="shared" si="214"/>
        <v>0.05</v>
      </c>
      <c r="N5807" s="475">
        <f t="shared" si="215"/>
        <v>227791</v>
      </c>
    </row>
    <row r="5808" spans="7:14" ht="11.25" customHeight="1" x14ac:dyDescent="0.3">
      <c r="G5808" s="470"/>
      <c r="H5808" s="470">
        <v>5801</v>
      </c>
      <c r="I5808" s="455">
        <f t="shared" ca="1" si="213"/>
        <v>-3210017196423575.5</v>
      </c>
      <c r="J5808" s="455">
        <f t="array" ref="J5808">IFERROR(INDEX('Retirement Calculator'!J:J,MATCH('Isaac 401k'!N5808,'Retirement Calculator'!A:A,0),0),0)</f>
        <v>0</v>
      </c>
      <c r="K5808" s="455">
        <f t="shared" ca="1" si="211"/>
        <v>-13375071651764.898</v>
      </c>
      <c r="L5808" s="455">
        <f t="shared" ca="1" si="212"/>
        <v>-3223392268075340.5</v>
      </c>
      <c r="M5808" s="471">
        <f t="shared" si="214"/>
        <v>0.05</v>
      </c>
      <c r="N5808" s="475">
        <f t="shared" si="215"/>
        <v>227821</v>
      </c>
    </row>
    <row r="5809" spans="7:14" ht="11.25" customHeight="1" x14ac:dyDescent="0.3">
      <c r="G5809" s="470"/>
      <c r="H5809" s="470">
        <v>5802</v>
      </c>
      <c r="I5809" s="455">
        <f t="shared" ca="1" si="213"/>
        <v>-3223392268075340.5</v>
      </c>
      <c r="J5809" s="455">
        <f t="array" ref="J5809">IFERROR(INDEX('Retirement Calculator'!J:J,MATCH('Isaac 401k'!N5809,'Retirement Calculator'!A:A,0),0),0)</f>
        <v>0</v>
      </c>
      <c r="K5809" s="455">
        <f t="shared" ca="1" si="211"/>
        <v>-13430801116980.586</v>
      </c>
      <c r="L5809" s="455">
        <f t="shared" ca="1" si="212"/>
        <v>-3236823069192321</v>
      </c>
      <c r="M5809" s="471">
        <f t="shared" si="214"/>
        <v>0.05</v>
      </c>
      <c r="N5809" s="475">
        <f t="shared" si="215"/>
        <v>227852</v>
      </c>
    </row>
    <row r="5810" spans="7:14" ht="11.25" customHeight="1" x14ac:dyDescent="0.3">
      <c r="G5810" s="470"/>
      <c r="H5810" s="470">
        <v>5803</v>
      </c>
      <c r="I5810" s="455">
        <f t="shared" ca="1" si="213"/>
        <v>-3236823069192321</v>
      </c>
      <c r="J5810" s="455">
        <f t="array" ref="J5810">IFERROR(INDEX('Retirement Calculator'!J:J,MATCH('Isaac 401k'!N5810,'Retirement Calculator'!A:A,0),0),0)</f>
        <v>0</v>
      </c>
      <c r="K5810" s="455">
        <f t="shared" ca="1" si="211"/>
        <v>-13486762788301.338</v>
      </c>
      <c r="L5810" s="455">
        <f t="shared" ca="1" si="212"/>
        <v>-3250309831980622.5</v>
      </c>
      <c r="M5810" s="471">
        <f t="shared" si="214"/>
        <v>0.05</v>
      </c>
      <c r="N5810" s="475">
        <f t="shared" si="215"/>
        <v>227882</v>
      </c>
    </row>
    <row r="5811" spans="7:14" ht="11.25" customHeight="1" x14ac:dyDescent="0.3">
      <c r="G5811" s="470"/>
      <c r="H5811" s="470">
        <v>5804</v>
      </c>
      <c r="I5811" s="455">
        <f t="shared" ca="1" si="213"/>
        <v>-3250309831980622.5</v>
      </c>
      <c r="J5811" s="455">
        <f t="array" ref="J5811">IFERROR(INDEX('Retirement Calculator'!J:J,MATCH('Isaac 401k'!N5811,'Retirement Calculator'!A:A,0),0),0)</f>
        <v>0</v>
      </c>
      <c r="K5811" s="455">
        <f t="shared" ca="1" si="211"/>
        <v>-13542957633252.594</v>
      </c>
      <c r="L5811" s="455">
        <f t="shared" ca="1" si="212"/>
        <v>-3263852789613875</v>
      </c>
      <c r="M5811" s="471">
        <f t="shared" si="214"/>
        <v>0.05</v>
      </c>
      <c r="N5811" s="475">
        <f t="shared" si="215"/>
        <v>227913</v>
      </c>
    </row>
    <row r="5812" spans="7:14" ht="11.25" customHeight="1" x14ac:dyDescent="0.3">
      <c r="G5812" s="470"/>
      <c r="H5812" s="470">
        <v>5805</v>
      </c>
      <c r="I5812" s="455">
        <f t="shared" ca="1" si="213"/>
        <v>-3263852789613875</v>
      </c>
      <c r="J5812" s="455">
        <f t="array" ref="J5812">IFERROR(INDEX('Retirement Calculator'!J:J,MATCH('Isaac 401k'!N5812,'Retirement Calculator'!A:A,0),0),0)</f>
        <v>0</v>
      </c>
      <c r="K5812" s="455">
        <f t="shared" ca="1" si="211"/>
        <v>-13599386623391.146</v>
      </c>
      <c r="L5812" s="455">
        <f t="shared" ca="1" si="212"/>
        <v>-3277452176237266</v>
      </c>
      <c r="M5812" s="471">
        <f t="shared" si="214"/>
        <v>0.05</v>
      </c>
      <c r="N5812" s="475">
        <f t="shared" si="215"/>
        <v>227944</v>
      </c>
    </row>
    <row r="5813" spans="7:14" ht="11.25" customHeight="1" x14ac:dyDescent="0.3">
      <c r="G5813" s="470"/>
      <c r="H5813" s="470">
        <v>5806</v>
      </c>
      <c r="I5813" s="455">
        <f t="shared" ca="1" si="213"/>
        <v>-3277452176237266</v>
      </c>
      <c r="J5813" s="455">
        <f t="array" ref="J5813">IFERROR(INDEX('Retirement Calculator'!J:J,MATCH('Isaac 401k'!N5813,'Retirement Calculator'!A:A,0),0),0)</f>
        <v>0</v>
      </c>
      <c r="K5813" s="455">
        <f t="shared" ca="1" si="211"/>
        <v>-13656050734321.941</v>
      </c>
      <c r="L5813" s="455">
        <f t="shared" ca="1" si="212"/>
        <v>-3291108226971588</v>
      </c>
      <c r="M5813" s="471">
        <f t="shared" si="214"/>
        <v>0.05</v>
      </c>
      <c r="N5813" s="475">
        <f t="shared" si="215"/>
        <v>227973</v>
      </c>
    </row>
    <row r="5814" spans="7:14" ht="11.25" customHeight="1" x14ac:dyDescent="0.3">
      <c r="G5814" s="470"/>
      <c r="H5814" s="470">
        <v>5807</v>
      </c>
      <c r="I5814" s="455">
        <f t="shared" ca="1" si="213"/>
        <v>-3291108226971588</v>
      </c>
      <c r="J5814" s="455">
        <f t="array" ref="J5814">IFERROR(INDEX('Retirement Calculator'!J:J,MATCH('Isaac 401k'!N5814,'Retirement Calculator'!A:A,0),0),0)</f>
        <v>0</v>
      </c>
      <c r="K5814" s="455">
        <f t="shared" ca="1" si="211"/>
        <v>-13712950945714.949</v>
      </c>
      <c r="L5814" s="455">
        <f t="shared" ca="1" si="212"/>
        <v>-3304821177917303</v>
      </c>
      <c r="M5814" s="471">
        <f t="shared" si="214"/>
        <v>0.05</v>
      </c>
      <c r="N5814" s="475">
        <f t="shared" si="215"/>
        <v>228004</v>
      </c>
    </row>
    <row r="5815" spans="7:14" ht="11.25" customHeight="1" x14ac:dyDescent="0.3">
      <c r="G5815" s="470"/>
      <c r="H5815" s="470">
        <v>5808</v>
      </c>
      <c r="I5815" s="455">
        <f t="shared" ca="1" si="213"/>
        <v>-3304821177917303</v>
      </c>
      <c r="J5815" s="455">
        <f t="array" ref="J5815">IFERROR(INDEX('Retirement Calculator'!J:J,MATCH('Isaac 401k'!N5815,'Retirement Calculator'!A:A,0),0),0)</f>
        <v>0</v>
      </c>
      <c r="K5815" s="455">
        <f t="shared" ca="1" si="211"/>
        <v>-13770088241322.096</v>
      </c>
      <c r="L5815" s="455">
        <f t="shared" ca="1" si="212"/>
        <v>-3318591266158625</v>
      </c>
      <c r="M5815" s="471">
        <f t="shared" si="214"/>
        <v>0.05</v>
      </c>
      <c r="N5815" s="475">
        <f t="shared" si="215"/>
        <v>228034</v>
      </c>
    </row>
    <row r="5816" spans="7:14" ht="11.25" customHeight="1" x14ac:dyDescent="0.3">
      <c r="G5816" s="470"/>
      <c r="H5816" s="470">
        <v>5809</v>
      </c>
      <c r="I5816" s="455">
        <f t="shared" ca="1" si="213"/>
        <v>-3318591266158625</v>
      </c>
      <c r="J5816" s="455">
        <f t="array" ref="J5816">IFERROR(INDEX('Retirement Calculator'!J:J,MATCH('Isaac 401k'!N5816,'Retirement Calculator'!A:A,0),0),0)</f>
        <v>0</v>
      </c>
      <c r="K5816" s="455">
        <f t="shared" ca="1" si="211"/>
        <v>-13827463608994.271</v>
      </c>
      <c r="L5816" s="455">
        <f t="shared" ca="1" si="212"/>
        <v>-3332418729767619.5</v>
      </c>
      <c r="M5816" s="471">
        <f t="shared" si="214"/>
        <v>0.05</v>
      </c>
      <c r="N5816" s="475">
        <f t="shared" si="215"/>
        <v>228065</v>
      </c>
    </row>
    <row r="5817" spans="7:14" ht="11.25" customHeight="1" x14ac:dyDescent="0.3">
      <c r="G5817" s="470"/>
      <c r="H5817" s="470">
        <v>5810</v>
      </c>
      <c r="I5817" s="455">
        <f t="shared" ca="1" si="213"/>
        <v>-3332418729767619.5</v>
      </c>
      <c r="J5817" s="455">
        <f t="array" ref="J5817">IFERROR(INDEX('Retirement Calculator'!J:J,MATCH('Isaac 401k'!N5817,'Retirement Calculator'!A:A,0),0),0)</f>
        <v>0</v>
      </c>
      <c r="K5817" s="455">
        <f t="shared" ca="1" si="211"/>
        <v>-13885078040698.414</v>
      </c>
      <c r="L5817" s="455">
        <f t="shared" ca="1" si="212"/>
        <v>-3346303807808318</v>
      </c>
      <c r="M5817" s="471">
        <f t="shared" si="214"/>
        <v>0.05</v>
      </c>
      <c r="N5817" s="475">
        <f t="shared" si="215"/>
        <v>228095</v>
      </c>
    </row>
    <row r="5818" spans="7:14" ht="11.25" customHeight="1" x14ac:dyDescent="0.3">
      <c r="G5818" s="470"/>
      <c r="H5818" s="470">
        <v>5811</v>
      </c>
      <c r="I5818" s="455">
        <f t="shared" ca="1" si="213"/>
        <v>-3346303807808318</v>
      </c>
      <c r="J5818" s="455">
        <f t="array" ref="J5818">IFERROR(INDEX('Retirement Calculator'!J:J,MATCH('Isaac 401k'!N5818,'Retirement Calculator'!A:A,0),0),0)</f>
        <v>0</v>
      </c>
      <c r="K5818" s="455">
        <f t="shared" ca="1" si="211"/>
        <v>-13942932532534.658</v>
      </c>
      <c r="L5818" s="455">
        <f t="shared" ca="1" si="212"/>
        <v>-3360246740340852.5</v>
      </c>
      <c r="M5818" s="471">
        <f t="shared" si="214"/>
        <v>0.05</v>
      </c>
      <c r="N5818" s="475">
        <f t="shared" si="215"/>
        <v>228126</v>
      </c>
    </row>
    <row r="5819" spans="7:14" ht="11.25" customHeight="1" x14ac:dyDescent="0.3">
      <c r="G5819" s="470"/>
      <c r="H5819" s="470">
        <v>5812</v>
      </c>
      <c r="I5819" s="455">
        <f t="shared" ca="1" si="213"/>
        <v>-3360246740340852.5</v>
      </c>
      <c r="J5819" s="455">
        <f t="array" ref="J5819">IFERROR(INDEX('Retirement Calculator'!J:J,MATCH('Isaac 401k'!N5819,'Retirement Calculator'!A:A,0),0),0)</f>
        <v>0</v>
      </c>
      <c r="K5819" s="455">
        <f t="shared" ca="1" si="211"/>
        <v>-14001028084753.553</v>
      </c>
      <c r="L5819" s="455">
        <f t="shared" ca="1" si="212"/>
        <v>-3374247768425606</v>
      </c>
      <c r="M5819" s="471">
        <f t="shared" si="214"/>
        <v>0.05</v>
      </c>
      <c r="N5819" s="475">
        <f t="shared" si="215"/>
        <v>228157</v>
      </c>
    </row>
    <row r="5820" spans="7:14" ht="11.25" customHeight="1" x14ac:dyDescent="0.3">
      <c r="G5820" s="470"/>
      <c r="H5820" s="470">
        <v>5813</v>
      </c>
      <c r="I5820" s="455">
        <f t="shared" ca="1" si="213"/>
        <v>-3374247768425606</v>
      </c>
      <c r="J5820" s="455">
        <f t="array" ref="J5820">IFERROR(INDEX('Retirement Calculator'!J:J,MATCH('Isaac 401k'!N5820,'Retirement Calculator'!A:A,0),0),0)</f>
        <v>0</v>
      </c>
      <c r="K5820" s="455">
        <f t="shared" ca="1" si="211"/>
        <v>-14059365701773.357</v>
      </c>
      <c r="L5820" s="455">
        <f t="shared" ca="1" si="212"/>
        <v>-3388307134127379.5</v>
      </c>
      <c r="M5820" s="471">
        <f t="shared" si="214"/>
        <v>0.05</v>
      </c>
      <c r="N5820" s="475">
        <f t="shared" si="215"/>
        <v>228187</v>
      </c>
    </row>
    <row r="5821" spans="7:14" ht="11.25" customHeight="1" x14ac:dyDescent="0.3">
      <c r="G5821" s="470"/>
      <c r="H5821" s="470">
        <v>5814</v>
      </c>
      <c r="I5821" s="455">
        <f t="shared" ca="1" si="213"/>
        <v>-3388307134127379.5</v>
      </c>
      <c r="J5821" s="455">
        <f t="array" ref="J5821">IFERROR(INDEX('Retirement Calculator'!J:J,MATCH('Isaac 401k'!N5821,'Retirement Calculator'!A:A,0),0),0)</f>
        <v>0</v>
      </c>
      <c r="K5821" s="455">
        <f t="shared" ca="1" si="211"/>
        <v>-14117946392197.414</v>
      </c>
      <c r="L5821" s="455">
        <f t="shared" ca="1" si="212"/>
        <v>-3402425080519577</v>
      </c>
      <c r="M5821" s="471">
        <f t="shared" si="214"/>
        <v>0.05</v>
      </c>
      <c r="N5821" s="475">
        <f t="shared" si="215"/>
        <v>228218</v>
      </c>
    </row>
    <row r="5822" spans="7:14" ht="11.25" customHeight="1" x14ac:dyDescent="0.3">
      <c r="G5822" s="470"/>
      <c r="H5822" s="470">
        <v>5815</v>
      </c>
      <c r="I5822" s="455">
        <f t="shared" ca="1" si="213"/>
        <v>-3402425080519577</v>
      </c>
      <c r="J5822" s="455">
        <f t="array" ref="J5822">IFERROR(INDEX('Retirement Calculator'!J:J,MATCH('Isaac 401k'!N5822,'Retirement Calculator'!A:A,0),0),0)</f>
        <v>0</v>
      </c>
      <c r="K5822" s="455">
        <f t="shared" ca="1" si="211"/>
        <v>-14176771168831.57</v>
      </c>
      <c r="L5822" s="455">
        <f t="shared" ca="1" si="212"/>
        <v>-3416601851688408.5</v>
      </c>
      <c r="M5822" s="471">
        <f t="shared" si="214"/>
        <v>0.05</v>
      </c>
      <c r="N5822" s="475">
        <f t="shared" si="215"/>
        <v>228248</v>
      </c>
    </row>
    <row r="5823" spans="7:14" ht="11.25" customHeight="1" x14ac:dyDescent="0.3">
      <c r="G5823" s="470"/>
      <c r="H5823" s="470">
        <v>5816</v>
      </c>
      <c r="I5823" s="455">
        <f t="shared" ca="1" si="213"/>
        <v>-3416601851688408.5</v>
      </c>
      <c r="J5823" s="455">
        <f t="array" ref="J5823">IFERROR(INDEX('Retirement Calculator'!J:J,MATCH('Isaac 401k'!N5823,'Retirement Calculator'!A:A,0),0),0)</f>
        <v>0</v>
      </c>
      <c r="K5823" s="455">
        <f t="shared" ca="1" si="211"/>
        <v>-14235841048701.701</v>
      </c>
      <c r="L5823" s="455">
        <f t="shared" ca="1" si="212"/>
        <v>-3430837692737110</v>
      </c>
      <c r="M5823" s="471">
        <f t="shared" si="214"/>
        <v>0.05</v>
      </c>
      <c r="N5823" s="475">
        <f t="shared" si="215"/>
        <v>228279</v>
      </c>
    </row>
    <row r="5824" spans="7:14" ht="11.25" customHeight="1" x14ac:dyDescent="0.3">
      <c r="G5824" s="470"/>
      <c r="H5824" s="470">
        <v>5817</v>
      </c>
      <c r="I5824" s="455">
        <f t="shared" ca="1" si="213"/>
        <v>-3430837692737110</v>
      </c>
      <c r="J5824" s="455">
        <f t="array" ref="J5824">IFERROR(INDEX('Retirement Calculator'!J:J,MATCH('Isaac 401k'!N5824,'Retirement Calculator'!A:A,0),0),0)</f>
        <v>0</v>
      </c>
      <c r="K5824" s="455">
        <f t="shared" ca="1" si="211"/>
        <v>-14295157053071.291</v>
      </c>
      <c r="L5824" s="455">
        <f t="shared" ca="1" si="212"/>
        <v>-3445132849790181.5</v>
      </c>
      <c r="M5824" s="471">
        <f t="shared" si="214"/>
        <v>0.05</v>
      </c>
      <c r="N5824" s="475">
        <f t="shared" si="215"/>
        <v>228310</v>
      </c>
    </row>
    <row r="5825" spans="7:14" ht="11.25" customHeight="1" x14ac:dyDescent="0.3">
      <c r="G5825" s="470"/>
      <c r="H5825" s="470">
        <v>5818</v>
      </c>
      <c r="I5825" s="455">
        <f t="shared" ca="1" si="213"/>
        <v>-3445132849790181.5</v>
      </c>
      <c r="J5825" s="455">
        <f t="array" ref="J5825">IFERROR(INDEX('Retirement Calculator'!J:J,MATCH('Isaac 401k'!N5825,'Retirement Calculator'!A:A,0),0),0)</f>
        <v>0</v>
      </c>
      <c r="K5825" s="455">
        <f t="shared" ca="1" si="211"/>
        <v>-14354720207459.09</v>
      </c>
      <c r="L5825" s="455">
        <f t="shared" ca="1" si="212"/>
        <v>-3459487569997640.5</v>
      </c>
      <c r="M5825" s="471">
        <f t="shared" si="214"/>
        <v>0.05</v>
      </c>
      <c r="N5825" s="475">
        <f t="shared" si="215"/>
        <v>228338</v>
      </c>
    </row>
    <row r="5826" spans="7:14" ht="11.25" customHeight="1" x14ac:dyDescent="0.3">
      <c r="G5826" s="470"/>
      <c r="H5826" s="470">
        <v>5819</v>
      </c>
      <c r="I5826" s="455">
        <f t="shared" ca="1" si="213"/>
        <v>-3459487569997640.5</v>
      </c>
      <c r="J5826" s="455">
        <f t="array" ref="J5826">IFERROR(INDEX('Retirement Calculator'!J:J,MATCH('Isaac 401k'!N5826,'Retirement Calculator'!A:A,0),0),0)</f>
        <v>0</v>
      </c>
      <c r="K5826" s="455">
        <f t="shared" ca="1" si="211"/>
        <v>-14414531541656.836</v>
      </c>
      <c r="L5826" s="455">
        <f t="shared" ca="1" si="212"/>
        <v>-3473902101539297.5</v>
      </c>
      <c r="M5826" s="471">
        <f t="shared" si="214"/>
        <v>0.05</v>
      </c>
      <c r="N5826" s="475">
        <f t="shared" si="215"/>
        <v>228369</v>
      </c>
    </row>
    <row r="5827" spans="7:14" ht="11.25" customHeight="1" x14ac:dyDescent="0.3">
      <c r="G5827" s="470"/>
      <c r="H5827" s="470">
        <v>5820</v>
      </c>
      <c r="I5827" s="455">
        <f t="shared" ca="1" si="213"/>
        <v>-3473902101539297.5</v>
      </c>
      <c r="J5827" s="455">
        <f t="array" ref="J5827">IFERROR(INDEX('Retirement Calculator'!J:J,MATCH('Isaac 401k'!N5827,'Retirement Calculator'!A:A,0),0),0)</f>
        <v>0</v>
      </c>
      <c r="K5827" s="455">
        <f t="shared" ca="1" si="211"/>
        <v>-14474592089747.072</v>
      </c>
      <c r="L5827" s="455">
        <f t="shared" ca="1" si="212"/>
        <v>-3488376693629044.5</v>
      </c>
      <c r="M5827" s="471">
        <f t="shared" si="214"/>
        <v>0.05</v>
      </c>
      <c r="N5827" s="475">
        <f t="shared" si="215"/>
        <v>228399</v>
      </c>
    </row>
    <row r="5828" spans="7:14" ht="11.25" customHeight="1" x14ac:dyDescent="0.3">
      <c r="G5828" s="470"/>
      <c r="H5828" s="470">
        <v>5821</v>
      </c>
      <c r="I5828" s="455">
        <f t="shared" ca="1" si="213"/>
        <v>-3488376693629044.5</v>
      </c>
      <c r="J5828" s="455">
        <f t="array" ref="J5828">IFERROR(INDEX('Retirement Calculator'!J:J,MATCH('Isaac 401k'!N5828,'Retirement Calculator'!A:A,0),0),0)</f>
        <v>0</v>
      </c>
      <c r="K5828" s="455">
        <f t="shared" ca="1" si="211"/>
        <v>-14534902890121.018</v>
      </c>
      <c r="L5828" s="455">
        <f t="shared" ca="1" si="212"/>
        <v>-3502911596519165.5</v>
      </c>
      <c r="M5828" s="471">
        <f t="shared" si="214"/>
        <v>0.05</v>
      </c>
      <c r="N5828" s="475">
        <f t="shared" si="215"/>
        <v>228430</v>
      </c>
    </row>
    <row r="5829" spans="7:14" ht="11.25" customHeight="1" x14ac:dyDescent="0.3">
      <c r="G5829" s="470"/>
      <c r="H5829" s="470">
        <v>5822</v>
      </c>
      <c r="I5829" s="455">
        <f t="shared" ca="1" si="213"/>
        <v>-3502911596519165.5</v>
      </c>
      <c r="J5829" s="455">
        <f t="array" ref="J5829">IFERROR(INDEX('Retirement Calculator'!J:J,MATCH('Isaac 401k'!N5829,'Retirement Calculator'!A:A,0),0),0)</f>
        <v>0</v>
      </c>
      <c r="K5829" s="455">
        <f t="shared" ca="1" si="211"/>
        <v>-14595464985496.523</v>
      </c>
      <c r="L5829" s="455">
        <f t="shared" ca="1" si="212"/>
        <v>-3517507061504662</v>
      </c>
      <c r="M5829" s="471">
        <f t="shared" si="214"/>
        <v>0.05</v>
      </c>
      <c r="N5829" s="475">
        <f t="shared" si="215"/>
        <v>228460</v>
      </c>
    </row>
    <row r="5830" spans="7:14" ht="11.25" customHeight="1" x14ac:dyDescent="0.3">
      <c r="G5830" s="470"/>
      <c r="H5830" s="470">
        <v>5823</v>
      </c>
      <c r="I5830" s="455">
        <f t="shared" ca="1" si="213"/>
        <v>-3517507061504662</v>
      </c>
      <c r="J5830" s="455">
        <f t="array" ref="J5830">IFERROR(INDEX('Retirement Calculator'!J:J,MATCH('Isaac 401k'!N5830,'Retirement Calculator'!A:A,0),0),0)</f>
        <v>0</v>
      </c>
      <c r="K5830" s="455">
        <f t="shared" ca="1" si="211"/>
        <v>-14656279422936.092</v>
      </c>
      <c r="L5830" s="455">
        <f t="shared" ca="1" si="212"/>
        <v>-3532163340927598</v>
      </c>
      <c r="M5830" s="471">
        <f t="shared" si="214"/>
        <v>0.05</v>
      </c>
      <c r="N5830" s="475">
        <f t="shared" si="215"/>
        <v>228491</v>
      </c>
    </row>
    <row r="5831" spans="7:14" ht="11.25" customHeight="1" x14ac:dyDescent="0.3">
      <c r="G5831" s="470"/>
      <c r="H5831" s="470">
        <v>5824</v>
      </c>
      <c r="I5831" s="455">
        <f t="shared" ca="1" si="213"/>
        <v>-3532163340927598</v>
      </c>
      <c r="J5831" s="455">
        <f t="array" ref="J5831">IFERROR(INDEX('Retirement Calculator'!J:J,MATCH('Isaac 401k'!N5831,'Retirement Calculator'!A:A,0),0),0)</f>
        <v>0</v>
      </c>
      <c r="K5831" s="455">
        <f t="shared" ca="1" si="211"/>
        <v>-14717347253864.99</v>
      </c>
      <c r="L5831" s="455">
        <f t="shared" ca="1" si="212"/>
        <v>-3546880688181463</v>
      </c>
      <c r="M5831" s="471">
        <f t="shared" si="214"/>
        <v>0.05</v>
      </c>
      <c r="N5831" s="475">
        <f t="shared" si="215"/>
        <v>228522</v>
      </c>
    </row>
    <row r="5832" spans="7:14" ht="11.25" customHeight="1" x14ac:dyDescent="0.3">
      <c r="G5832" s="470"/>
      <c r="H5832" s="470">
        <v>5825</v>
      </c>
      <c r="I5832" s="455">
        <f t="shared" ca="1" si="213"/>
        <v>-3546880688181463</v>
      </c>
      <c r="J5832" s="455">
        <f t="array" ref="J5832">IFERROR(INDEX('Retirement Calculator'!J:J,MATCH('Isaac 401k'!N5832,'Retirement Calculator'!A:A,0),0),0)</f>
        <v>0</v>
      </c>
      <c r="K5832" s="455">
        <f t="shared" ca="1" si="211"/>
        <v>-14778669534089.43</v>
      </c>
      <c r="L5832" s="455">
        <f t="shared" ca="1" si="212"/>
        <v>-3561659357715552.5</v>
      </c>
      <c r="M5832" s="471">
        <f t="shared" si="214"/>
        <v>0.05</v>
      </c>
      <c r="N5832" s="475">
        <f t="shared" si="215"/>
        <v>228552</v>
      </c>
    </row>
    <row r="5833" spans="7:14" ht="11.25" customHeight="1" x14ac:dyDescent="0.3">
      <c r="G5833" s="470"/>
      <c r="H5833" s="470">
        <v>5826</v>
      </c>
      <c r="I5833" s="455">
        <f t="shared" ca="1" si="213"/>
        <v>-3561659357715552.5</v>
      </c>
      <c r="J5833" s="455">
        <f t="array" ref="J5833">IFERROR(INDEX('Retirement Calculator'!J:J,MATCH('Isaac 401k'!N5833,'Retirement Calculator'!A:A,0),0),0)</f>
        <v>0</v>
      </c>
      <c r="K5833" s="455">
        <f t="shared" ca="1" si="211"/>
        <v>-14840247323814.799</v>
      </c>
      <c r="L5833" s="455">
        <f t="shared" ca="1" si="212"/>
        <v>-3576499605039367.5</v>
      </c>
      <c r="M5833" s="471">
        <f t="shared" si="214"/>
        <v>0.05</v>
      </c>
      <c r="N5833" s="475">
        <f t="shared" si="215"/>
        <v>228583</v>
      </c>
    </row>
    <row r="5834" spans="7:14" ht="11.25" customHeight="1" x14ac:dyDescent="0.3">
      <c r="G5834" s="470"/>
      <c r="H5834" s="470">
        <v>5827</v>
      </c>
      <c r="I5834" s="455">
        <f t="shared" ca="1" si="213"/>
        <v>-3576499605039367.5</v>
      </c>
      <c r="J5834" s="455">
        <f t="array" ref="J5834">IFERROR(INDEX('Retirement Calculator'!J:J,MATCH('Isaac 401k'!N5834,'Retirement Calculator'!A:A,0),0),0)</f>
        <v>0</v>
      </c>
      <c r="K5834" s="455">
        <f t="shared" ca="1" si="211"/>
        <v>-14902081687664.031</v>
      </c>
      <c r="L5834" s="455">
        <f t="shared" ca="1" si="212"/>
        <v>-3591401686727031.5</v>
      </c>
      <c r="M5834" s="471">
        <f t="shared" si="214"/>
        <v>0.05</v>
      </c>
      <c r="N5834" s="475">
        <f t="shared" si="215"/>
        <v>228613</v>
      </c>
    </row>
    <row r="5835" spans="7:14" ht="11.25" customHeight="1" x14ac:dyDescent="0.3">
      <c r="G5835" s="470"/>
      <c r="H5835" s="470">
        <v>5828</v>
      </c>
      <c r="I5835" s="455">
        <f t="shared" ca="1" si="213"/>
        <v>-3591401686727031.5</v>
      </c>
      <c r="J5835" s="455">
        <f t="array" ref="J5835">IFERROR(INDEX('Retirement Calculator'!J:J,MATCH('Isaac 401k'!N5835,'Retirement Calculator'!A:A,0),0),0)</f>
        <v>0</v>
      </c>
      <c r="K5835" s="455">
        <f t="shared" ca="1" si="211"/>
        <v>-14964173694695.965</v>
      </c>
      <c r="L5835" s="455">
        <f t="shared" ca="1" si="212"/>
        <v>-3606365860421727.5</v>
      </c>
      <c r="M5835" s="471">
        <f t="shared" si="214"/>
        <v>0.05</v>
      </c>
      <c r="N5835" s="475">
        <f t="shared" si="215"/>
        <v>228644</v>
      </c>
    </row>
    <row r="5836" spans="7:14" ht="11.25" customHeight="1" x14ac:dyDescent="0.3">
      <c r="G5836" s="470"/>
      <c r="H5836" s="470">
        <v>5829</v>
      </c>
      <c r="I5836" s="455">
        <f t="shared" ca="1" si="213"/>
        <v>-3606365860421727.5</v>
      </c>
      <c r="J5836" s="455">
        <f t="array" ref="J5836">IFERROR(INDEX('Retirement Calculator'!J:J,MATCH('Isaac 401k'!N5836,'Retirement Calculator'!A:A,0),0),0)</f>
        <v>0</v>
      </c>
      <c r="K5836" s="455">
        <f t="shared" ca="1" si="211"/>
        <v>-15026524418423.861</v>
      </c>
      <c r="L5836" s="455">
        <f t="shared" ca="1" si="212"/>
        <v>-3621392384840151.5</v>
      </c>
      <c r="M5836" s="471">
        <f t="shared" si="214"/>
        <v>0.05</v>
      </c>
      <c r="N5836" s="475">
        <f t="shared" si="215"/>
        <v>228675</v>
      </c>
    </row>
    <row r="5837" spans="7:14" ht="11.25" customHeight="1" x14ac:dyDescent="0.3">
      <c r="G5837" s="470"/>
      <c r="H5837" s="470">
        <v>5830</v>
      </c>
      <c r="I5837" s="455">
        <f t="shared" ca="1" si="213"/>
        <v>-3621392384840151.5</v>
      </c>
      <c r="J5837" s="455">
        <f t="array" ref="J5837">IFERROR(INDEX('Retirement Calculator'!J:J,MATCH('Isaac 401k'!N5837,'Retirement Calculator'!A:A,0),0),0)</f>
        <v>0</v>
      </c>
      <c r="K5837" s="455">
        <f t="shared" ca="1" si="211"/>
        <v>-15089134936833.965</v>
      </c>
      <c r="L5837" s="455">
        <f t="shared" ca="1" si="212"/>
        <v>-3636481519776985.5</v>
      </c>
      <c r="M5837" s="471">
        <f t="shared" si="214"/>
        <v>0.05</v>
      </c>
      <c r="N5837" s="475">
        <f t="shared" si="215"/>
        <v>228703</v>
      </c>
    </row>
    <row r="5838" spans="7:14" ht="11.25" customHeight="1" x14ac:dyDescent="0.3">
      <c r="G5838" s="470"/>
      <c r="H5838" s="470">
        <v>5831</v>
      </c>
      <c r="I5838" s="455">
        <f t="shared" ca="1" si="213"/>
        <v>-3636481519776985.5</v>
      </c>
      <c r="J5838" s="455">
        <f t="array" ref="J5838">IFERROR(INDEX('Retirement Calculator'!J:J,MATCH('Isaac 401k'!N5838,'Retirement Calculator'!A:A,0),0),0)</f>
        <v>0</v>
      </c>
      <c r="K5838" s="455">
        <f t="shared" ca="1" si="211"/>
        <v>-15152006332404.104</v>
      </c>
      <c r="L5838" s="455">
        <f t="shared" ca="1" si="212"/>
        <v>-3651633526109389.5</v>
      </c>
      <c r="M5838" s="471">
        <f t="shared" si="214"/>
        <v>0.05</v>
      </c>
      <c r="N5838" s="475">
        <f t="shared" si="215"/>
        <v>228734</v>
      </c>
    </row>
    <row r="5839" spans="7:14" ht="11.25" customHeight="1" x14ac:dyDescent="0.3">
      <c r="G5839" s="470"/>
      <c r="H5839" s="470">
        <v>5832</v>
      </c>
      <c r="I5839" s="455">
        <f t="shared" ca="1" si="213"/>
        <v>-3651633526109389.5</v>
      </c>
      <c r="J5839" s="455">
        <f t="array" ref="J5839">IFERROR(INDEX('Retirement Calculator'!J:J,MATCH('Isaac 401k'!N5839,'Retirement Calculator'!A:A,0),0),0)</f>
        <v>0</v>
      </c>
      <c r="K5839" s="455">
        <f t="shared" ca="1" si="211"/>
        <v>-15215139692122.459</v>
      </c>
      <c r="L5839" s="455">
        <f t="shared" ca="1" si="212"/>
        <v>-3666848665801512</v>
      </c>
      <c r="M5839" s="471">
        <f t="shared" si="214"/>
        <v>0.05</v>
      </c>
      <c r="N5839" s="475">
        <f t="shared" si="215"/>
        <v>228764</v>
      </c>
    </row>
    <row r="5840" spans="7:14" ht="11.25" customHeight="1" x14ac:dyDescent="0.3">
      <c r="G5840" s="470"/>
      <c r="H5840" s="470">
        <v>5833</v>
      </c>
      <c r="I5840" s="455">
        <f t="shared" ca="1" si="213"/>
        <v>-3666848665801512</v>
      </c>
      <c r="J5840" s="455">
        <f t="array" ref="J5840">IFERROR(INDEX('Retirement Calculator'!J:J,MATCH('Isaac 401k'!N5840,'Retirement Calculator'!A:A,0),0),0)</f>
        <v>0</v>
      </c>
      <c r="K5840" s="455">
        <f t="shared" ca="1" si="211"/>
        <v>-15278536107506.299</v>
      </c>
      <c r="L5840" s="455">
        <f t="shared" ca="1" si="212"/>
        <v>-3682127201909018.5</v>
      </c>
      <c r="M5840" s="471">
        <f t="shared" si="214"/>
        <v>0.05</v>
      </c>
      <c r="N5840" s="475">
        <f t="shared" si="215"/>
        <v>228795</v>
      </c>
    </row>
    <row r="5841" spans="7:14" ht="11.25" customHeight="1" x14ac:dyDescent="0.3">
      <c r="G5841" s="470"/>
      <c r="H5841" s="470">
        <v>5834</v>
      </c>
      <c r="I5841" s="455">
        <f t="shared" ca="1" si="213"/>
        <v>-3682127201909018.5</v>
      </c>
      <c r="J5841" s="455">
        <f t="array" ref="J5841">IFERROR(INDEX('Retirement Calculator'!J:J,MATCH('Isaac 401k'!N5841,'Retirement Calculator'!A:A,0),0),0)</f>
        <v>0</v>
      </c>
      <c r="K5841" s="455">
        <f t="shared" ca="1" si="211"/>
        <v>-15342196674620.91</v>
      </c>
      <c r="L5841" s="455">
        <f t="shared" ca="1" si="212"/>
        <v>-3697469398583639.5</v>
      </c>
      <c r="M5841" s="471">
        <f t="shared" si="214"/>
        <v>0.05</v>
      </c>
      <c r="N5841" s="475">
        <f t="shared" si="215"/>
        <v>228825</v>
      </c>
    </row>
    <row r="5842" spans="7:14" ht="11.25" customHeight="1" x14ac:dyDescent="0.3">
      <c r="G5842" s="470"/>
      <c r="H5842" s="470">
        <v>5835</v>
      </c>
      <c r="I5842" s="455">
        <f t="shared" ca="1" si="213"/>
        <v>-3697469398583639.5</v>
      </c>
      <c r="J5842" s="455">
        <f t="array" ref="J5842">IFERROR(INDEX('Retirement Calculator'!J:J,MATCH('Isaac 401k'!N5842,'Retirement Calculator'!A:A,0),0),0)</f>
        <v>0</v>
      </c>
      <c r="K5842" s="455">
        <f t="shared" ca="1" si="211"/>
        <v>-15406122494098.496</v>
      </c>
      <c r="L5842" s="455">
        <f t="shared" ca="1" si="212"/>
        <v>-3712875521077738</v>
      </c>
      <c r="M5842" s="471">
        <f t="shared" si="214"/>
        <v>0.05</v>
      </c>
      <c r="N5842" s="475">
        <f t="shared" si="215"/>
        <v>228856</v>
      </c>
    </row>
    <row r="5843" spans="7:14" ht="11.25" customHeight="1" x14ac:dyDescent="0.3">
      <c r="G5843" s="470"/>
      <c r="H5843" s="470">
        <v>5836</v>
      </c>
      <c r="I5843" s="455">
        <f t="shared" ca="1" si="213"/>
        <v>-3712875521077738</v>
      </c>
      <c r="J5843" s="455">
        <f t="array" ref="J5843">IFERROR(INDEX('Retirement Calculator'!J:J,MATCH('Isaac 401k'!N5843,'Retirement Calculator'!A:A,0),0),0)</f>
        <v>0</v>
      </c>
      <c r="K5843" s="455">
        <f t="shared" ca="1" si="211"/>
        <v>-15470314671157.242</v>
      </c>
      <c r="L5843" s="455">
        <f t="shared" ca="1" si="212"/>
        <v>-3728345835748895</v>
      </c>
      <c r="M5843" s="471">
        <f t="shared" si="214"/>
        <v>0.05</v>
      </c>
      <c r="N5843" s="475">
        <f t="shared" si="215"/>
        <v>228887</v>
      </c>
    </row>
    <row r="5844" spans="7:14" ht="11.25" customHeight="1" x14ac:dyDescent="0.3">
      <c r="G5844" s="470"/>
      <c r="H5844" s="470">
        <v>5837</v>
      </c>
      <c r="I5844" s="455">
        <f t="shared" ca="1" si="213"/>
        <v>-3728345835748895</v>
      </c>
      <c r="J5844" s="455">
        <f t="array" ref="J5844">IFERROR(INDEX('Retirement Calculator'!J:J,MATCH('Isaac 401k'!N5844,'Retirement Calculator'!A:A,0),0),0)</f>
        <v>0</v>
      </c>
      <c r="K5844" s="455">
        <f t="shared" ca="1" si="211"/>
        <v>-15534774315620.396</v>
      </c>
      <c r="L5844" s="455">
        <f t="shared" ca="1" si="212"/>
        <v>-3743880610064515.5</v>
      </c>
      <c r="M5844" s="471">
        <f t="shared" si="214"/>
        <v>0.05</v>
      </c>
      <c r="N5844" s="475">
        <f t="shared" si="215"/>
        <v>228917</v>
      </c>
    </row>
    <row r="5845" spans="7:14" ht="11.25" customHeight="1" x14ac:dyDescent="0.3">
      <c r="G5845" s="470"/>
      <c r="H5845" s="470">
        <v>5838</v>
      </c>
      <c r="I5845" s="455">
        <f t="shared" ca="1" si="213"/>
        <v>-3743880610064515.5</v>
      </c>
      <c r="J5845" s="455">
        <f t="array" ref="J5845">IFERROR(INDEX('Retirement Calculator'!J:J,MATCH('Isaac 401k'!N5845,'Retirement Calculator'!A:A,0),0),0)</f>
        <v>0</v>
      </c>
      <c r="K5845" s="455">
        <f t="shared" ca="1" si="211"/>
        <v>-15599502541935.48</v>
      </c>
      <c r="L5845" s="455">
        <f t="shared" ca="1" si="212"/>
        <v>-3759480112606451</v>
      </c>
      <c r="M5845" s="471">
        <f t="shared" si="214"/>
        <v>0.05</v>
      </c>
      <c r="N5845" s="475">
        <f t="shared" si="215"/>
        <v>228948</v>
      </c>
    </row>
    <row r="5846" spans="7:14" ht="11.25" customHeight="1" x14ac:dyDescent="0.3">
      <c r="G5846" s="470"/>
      <c r="H5846" s="470">
        <v>5839</v>
      </c>
      <c r="I5846" s="455">
        <f t="shared" ca="1" si="213"/>
        <v>-3759480112606451</v>
      </c>
      <c r="J5846" s="455">
        <f t="array" ref="J5846">IFERROR(INDEX('Retirement Calculator'!J:J,MATCH('Isaac 401k'!N5846,'Retirement Calculator'!A:A,0),0),0)</f>
        <v>0</v>
      </c>
      <c r="K5846" s="455">
        <f t="shared" ca="1" si="211"/>
        <v>-15664500469193.547</v>
      </c>
      <c r="L5846" s="455">
        <f t="shared" ca="1" si="212"/>
        <v>-3775144613075644.5</v>
      </c>
      <c r="M5846" s="471">
        <f t="shared" si="214"/>
        <v>0.05</v>
      </c>
      <c r="N5846" s="475">
        <f t="shared" si="215"/>
        <v>228978</v>
      </c>
    </row>
    <row r="5847" spans="7:14" ht="11.25" customHeight="1" x14ac:dyDescent="0.3">
      <c r="G5847" s="470"/>
      <c r="H5847" s="470">
        <v>5840</v>
      </c>
      <c r="I5847" s="455">
        <f t="shared" ca="1" si="213"/>
        <v>-3775144613075644.5</v>
      </c>
      <c r="J5847" s="455">
        <f t="array" ref="J5847">IFERROR(INDEX('Retirement Calculator'!J:J,MATCH('Isaac 401k'!N5847,'Retirement Calculator'!A:A,0),0),0)</f>
        <v>0</v>
      </c>
      <c r="K5847" s="455">
        <f t="shared" ca="1" si="211"/>
        <v>-15729769221148.516</v>
      </c>
      <c r="L5847" s="455">
        <f t="shared" ca="1" si="212"/>
        <v>-3790874382296793</v>
      </c>
      <c r="M5847" s="471">
        <f t="shared" si="214"/>
        <v>0.05</v>
      </c>
      <c r="N5847" s="475">
        <f t="shared" si="215"/>
        <v>229009</v>
      </c>
    </row>
    <row r="5848" spans="7:14" ht="11.25" customHeight="1" x14ac:dyDescent="0.3">
      <c r="G5848" s="470"/>
      <c r="H5848" s="470">
        <v>5841</v>
      </c>
      <c r="I5848" s="455">
        <f t="shared" ca="1" si="213"/>
        <v>-3790874382296793</v>
      </c>
      <c r="J5848" s="455">
        <f t="array" ref="J5848">IFERROR(INDEX('Retirement Calculator'!J:J,MATCH('Isaac 401k'!N5848,'Retirement Calculator'!A:A,0),0),0)</f>
        <v>0</v>
      </c>
      <c r="K5848" s="455">
        <f t="shared" ca="1" si="211"/>
        <v>-15795309926236.637</v>
      </c>
      <c r="L5848" s="455">
        <f t="shared" ca="1" si="212"/>
        <v>-3806669692223029.5</v>
      </c>
      <c r="M5848" s="471">
        <f t="shared" si="214"/>
        <v>0.05</v>
      </c>
      <c r="N5848" s="475">
        <f t="shared" si="215"/>
        <v>229040</v>
      </c>
    </row>
    <row r="5849" spans="7:14" ht="11.25" customHeight="1" x14ac:dyDescent="0.3">
      <c r="G5849" s="470"/>
      <c r="H5849" s="470">
        <v>5842</v>
      </c>
      <c r="I5849" s="455">
        <f t="shared" ca="1" si="213"/>
        <v>-3806669692223029.5</v>
      </c>
      <c r="J5849" s="455">
        <f t="array" ref="J5849">IFERROR(INDEX('Retirement Calculator'!J:J,MATCH('Isaac 401k'!N5849,'Retirement Calculator'!A:A,0),0),0)</f>
        <v>0</v>
      </c>
      <c r="K5849" s="455">
        <f t="shared" ca="1" si="211"/>
        <v>-15861123717595.959</v>
      </c>
      <c r="L5849" s="455">
        <f t="shared" ca="1" si="212"/>
        <v>-3822530815940625.5</v>
      </c>
      <c r="M5849" s="471">
        <f t="shared" si="214"/>
        <v>0.05</v>
      </c>
      <c r="N5849" s="475">
        <f t="shared" si="215"/>
        <v>229068</v>
      </c>
    </row>
    <row r="5850" spans="7:14" ht="11.25" customHeight="1" x14ac:dyDescent="0.3">
      <c r="G5850" s="470"/>
      <c r="H5850" s="470">
        <v>5843</v>
      </c>
      <c r="I5850" s="455">
        <f t="shared" ca="1" si="213"/>
        <v>-3822530815940625.5</v>
      </c>
      <c r="J5850" s="455">
        <f t="array" ref="J5850">IFERROR(INDEX('Retirement Calculator'!J:J,MATCH('Isaac 401k'!N5850,'Retirement Calculator'!A:A,0),0),0)</f>
        <v>0</v>
      </c>
      <c r="K5850" s="455">
        <f t="shared" ca="1" si="211"/>
        <v>-15927211733085.938</v>
      </c>
      <c r="L5850" s="455">
        <f t="shared" ca="1" si="212"/>
        <v>-3838458027673711.5</v>
      </c>
      <c r="M5850" s="471">
        <f t="shared" si="214"/>
        <v>0.05</v>
      </c>
      <c r="N5850" s="475">
        <f t="shared" si="215"/>
        <v>229099</v>
      </c>
    </row>
    <row r="5851" spans="7:14" ht="11.25" customHeight="1" x14ac:dyDescent="0.3">
      <c r="G5851" s="470"/>
      <c r="H5851" s="470">
        <v>5844</v>
      </c>
      <c r="I5851" s="455">
        <f t="shared" ca="1" si="213"/>
        <v>-3838458027673711.5</v>
      </c>
      <c r="J5851" s="455">
        <f t="array" ref="J5851">IFERROR(INDEX('Retirement Calculator'!J:J,MATCH('Isaac 401k'!N5851,'Retirement Calculator'!A:A,0),0),0)</f>
        <v>0</v>
      </c>
      <c r="K5851" s="455">
        <f t="shared" ca="1" si="211"/>
        <v>-15993575115307.131</v>
      </c>
      <c r="L5851" s="455">
        <f t="shared" ca="1" si="212"/>
        <v>-3854451602789018.5</v>
      </c>
      <c r="M5851" s="471">
        <f t="shared" si="214"/>
        <v>0.05</v>
      </c>
      <c r="N5851" s="475">
        <f t="shared" si="215"/>
        <v>229129</v>
      </c>
    </row>
    <row r="5852" spans="7:14" ht="11.25" customHeight="1" x14ac:dyDescent="0.3">
      <c r="G5852" s="470"/>
      <c r="H5852" s="470">
        <v>5845</v>
      </c>
      <c r="I5852" s="455">
        <f t="shared" ca="1" si="213"/>
        <v>-3854451602789018.5</v>
      </c>
      <c r="J5852" s="455">
        <f t="array" ref="J5852">IFERROR(INDEX('Retirement Calculator'!J:J,MATCH('Isaac 401k'!N5852,'Retirement Calculator'!A:A,0),0),0)</f>
        <v>0</v>
      </c>
      <c r="K5852" s="455">
        <f t="shared" ca="1" si="211"/>
        <v>-16060215011620.912</v>
      </c>
      <c r="L5852" s="455">
        <f t="shared" ca="1" si="212"/>
        <v>-3870511817800639.5</v>
      </c>
      <c r="M5852" s="471">
        <f t="shared" si="214"/>
        <v>0.05</v>
      </c>
      <c r="N5852" s="475">
        <f t="shared" si="215"/>
        <v>229160</v>
      </c>
    </row>
    <row r="5853" spans="7:14" ht="11.25" customHeight="1" x14ac:dyDescent="0.3">
      <c r="G5853" s="470"/>
      <c r="H5853" s="470">
        <v>5846</v>
      </c>
      <c r="I5853" s="455">
        <f t="shared" ca="1" si="213"/>
        <v>-3870511817800639.5</v>
      </c>
      <c r="J5853" s="455">
        <f t="array" ref="J5853">IFERROR(INDEX('Retirement Calculator'!J:J,MATCH('Isaac 401k'!N5853,'Retirement Calculator'!A:A,0),0),0)</f>
        <v>0</v>
      </c>
      <c r="K5853" s="455">
        <f t="shared" ca="1" si="211"/>
        <v>-16127132574169.33</v>
      </c>
      <c r="L5853" s="455">
        <f t="shared" ca="1" si="212"/>
        <v>-3886638950374809</v>
      </c>
      <c r="M5853" s="471">
        <f t="shared" si="214"/>
        <v>0.05</v>
      </c>
      <c r="N5853" s="475">
        <f t="shared" si="215"/>
        <v>229190</v>
      </c>
    </row>
    <row r="5854" spans="7:14" ht="11.25" customHeight="1" x14ac:dyDescent="0.3">
      <c r="G5854" s="470"/>
      <c r="H5854" s="470">
        <v>5847</v>
      </c>
      <c r="I5854" s="455">
        <f t="shared" ca="1" si="213"/>
        <v>-3886638950374809</v>
      </c>
      <c r="J5854" s="455">
        <f t="array" ref="J5854">IFERROR(INDEX('Retirement Calculator'!J:J,MATCH('Isaac 401k'!N5854,'Retirement Calculator'!A:A,0),0),0)</f>
        <v>0</v>
      </c>
      <c r="K5854" s="455">
        <f t="shared" ca="1" si="211"/>
        <v>-16194328959895.037</v>
      </c>
      <c r="L5854" s="455">
        <f t="shared" ca="1" si="212"/>
        <v>-3902833279334704</v>
      </c>
      <c r="M5854" s="471">
        <f t="shared" si="214"/>
        <v>0.05</v>
      </c>
      <c r="N5854" s="475">
        <f t="shared" si="215"/>
        <v>229221</v>
      </c>
    </row>
    <row r="5855" spans="7:14" ht="11.25" customHeight="1" x14ac:dyDescent="0.3">
      <c r="G5855" s="470"/>
      <c r="H5855" s="470">
        <v>5848</v>
      </c>
      <c r="I5855" s="455">
        <f t="shared" ca="1" si="213"/>
        <v>-3902833279334704</v>
      </c>
      <c r="J5855" s="455">
        <f t="array" ref="J5855">IFERROR(INDEX('Retirement Calculator'!J:J,MATCH('Isaac 401k'!N5855,'Retirement Calculator'!A:A,0),0),0)</f>
        <v>0</v>
      </c>
      <c r="K5855" s="455">
        <f t="shared" ca="1" si="211"/>
        <v>-16261805330561.266</v>
      </c>
      <c r="L5855" s="455">
        <f t="shared" ca="1" si="212"/>
        <v>-3919095084665265.5</v>
      </c>
      <c r="M5855" s="471">
        <f t="shared" si="214"/>
        <v>0.05</v>
      </c>
      <c r="N5855" s="475">
        <f t="shared" si="215"/>
        <v>229252</v>
      </c>
    </row>
    <row r="5856" spans="7:14" ht="11.25" customHeight="1" x14ac:dyDescent="0.3">
      <c r="G5856" s="470"/>
      <c r="H5856" s="470">
        <v>5849</v>
      </c>
      <c r="I5856" s="455">
        <f t="shared" ca="1" si="213"/>
        <v>-3919095084665265.5</v>
      </c>
      <c r="J5856" s="455">
        <f t="array" ref="J5856">IFERROR(INDEX('Retirement Calculator'!J:J,MATCH('Isaac 401k'!N5856,'Retirement Calculator'!A:A,0),0),0)</f>
        <v>0</v>
      </c>
      <c r="K5856" s="455">
        <f t="shared" ca="1" si="211"/>
        <v>-16329562852771.938</v>
      </c>
      <c r="L5856" s="455">
        <f t="shared" ca="1" si="212"/>
        <v>-3935424647518037.5</v>
      </c>
      <c r="M5856" s="471">
        <f t="shared" si="214"/>
        <v>0.05</v>
      </c>
      <c r="N5856" s="475">
        <f t="shared" si="215"/>
        <v>229282</v>
      </c>
    </row>
    <row r="5857" spans="7:14" ht="11.25" customHeight="1" x14ac:dyDescent="0.3">
      <c r="G5857" s="470"/>
      <c r="H5857" s="470">
        <v>5850</v>
      </c>
      <c r="I5857" s="455">
        <f t="shared" ca="1" si="213"/>
        <v>-3935424647518037.5</v>
      </c>
      <c r="J5857" s="455">
        <f t="array" ref="J5857">IFERROR(INDEX('Retirement Calculator'!J:J,MATCH('Isaac 401k'!N5857,'Retirement Calculator'!A:A,0),0),0)</f>
        <v>0</v>
      </c>
      <c r="K5857" s="455">
        <f t="shared" ca="1" si="211"/>
        <v>-16397602697991.822</v>
      </c>
      <c r="L5857" s="455">
        <f t="shared" ca="1" si="212"/>
        <v>-3951822250216029.5</v>
      </c>
      <c r="M5857" s="471">
        <f t="shared" si="214"/>
        <v>0.05</v>
      </c>
      <c r="N5857" s="475">
        <f t="shared" si="215"/>
        <v>229313</v>
      </c>
    </row>
    <row r="5858" spans="7:14" ht="11.25" customHeight="1" x14ac:dyDescent="0.3">
      <c r="G5858" s="470"/>
      <c r="H5858" s="470">
        <v>5851</v>
      </c>
      <c r="I5858" s="455">
        <f t="shared" ca="1" si="213"/>
        <v>-3951822250216029.5</v>
      </c>
      <c r="J5858" s="455">
        <f t="array" ref="J5858">IFERROR(INDEX('Retirement Calculator'!J:J,MATCH('Isaac 401k'!N5858,'Retirement Calculator'!A:A,0),0),0)</f>
        <v>0</v>
      </c>
      <c r="K5858" s="455">
        <f t="shared" ca="1" si="211"/>
        <v>-16465926042566.789</v>
      </c>
      <c r="L5858" s="455">
        <f t="shared" ca="1" si="212"/>
        <v>-3968288176258596.5</v>
      </c>
      <c r="M5858" s="471">
        <f t="shared" si="214"/>
        <v>0.05</v>
      </c>
      <c r="N5858" s="475">
        <f t="shared" si="215"/>
        <v>229343</v>
      </c>
    </row>
    <row r="5859" spans="7:14" ht="11.25" customHeight="1" x14ac:dyDescent="0.3">
      <c r="G5859" s="470"/>
      <c r="H5859" s="470">
        <v>5852</v>
      </c>
      <c r="I5859" s="455">
        <f t="shared" ca="1" si="213"/>
        <v>-3968288176258596.5</v>
      </c>
      <c r="J5859" s="455">
        <f t="array" ref="J5859">IFERROR(INDEX('Retirement Calculator'!J:J,MATCH('Isaac 401k'!N5859,'Retirement Calculator'!A:A,0),0),0)</f>
        <v>0</v>
      </c>
      <c r="K5859" s="455">
        <f t="shared" ca="1" si="211"/>
        <v>-16534534067744.154</v>
      </c>
      <c r="L5859" s="455">
        <f t="shared" ca="1" si="212"/>
        <v>-3984822710326340.5</v>
      </c>
      <c r="M5859" s="471">
        <f t="shared" si="214"/>
        <v>0.05</v>
      </c>
      <c r="N5859" s="475">
        <f t="shared" si="215"/>
        <v>229374</v>
      </c>
    </row>
    <row r="5860" spans="7:14" ht="11.25" customHeight="1" x14ac:dyDescent="0.3">
      <c r="G5860" s="470"/>
      <c r="H5860" s="470">
        <v>5853</v>
      </c>
      <c r="I5860" s="455">
        <f t="shared" ca="1" si="213"/>
        <v>-3984822710326340.5</v>
      </c>
      <c r="J5860" s="455">
        <f t="array" ref="J5860">IFERROR(INDEX('Retirement Calculator'!J:J,MATCH('Isaac 401k'!N5860,'Retirement Calculator'!A:A,0),0),0)</f>
        <v>0</v>
      </c>
      <c r="K5860" s="455">
        <f t="shared" ca="1" si="211"/>
        <v>-16603427959693.084</v>
      </c>
      <c r="L5860" s="455">
        <f t="shared" ca="1" si="212"/>
        <v>-4001426138286033.5</v>
      </c>
      <c r="M5860" s="471">
        <f t="shared" si="214"/>
        <v>0.05</v>
      </c>
      <c r="N5860" s="475">
        <f t="shared" si="215"/>
        <v>229405</v>
      </c>
    </row>
    <row r="5861" spans="7:14" ht="11.25" customHeight="1" x14ac:dyDescent="0.3">
      <c r="G5861" s="470"/>
      <c r="H5861" s="470">
        <v>5854</v>
      </c>
      <c r="I5861" s="455">
        <f t="shared" ca="1" si="213"/>
        <v>-4001426138286033.5</v>
      </c>
      <c r="J5861" s="455">
        <f t="array" ref="J5861">IFERROR(INDEX('Retirement Calculator'!J:J,MATCH('Isaac 401k'!N5861,'Retirement Calculator'!A:A,0),0),0)</f>
        <v>0</v>
      </c>
      <c r="K5861" s="455">
        <f t="shared" ca="1" si="211"/>
        <v>-16672608909525.137</v>
      </c>
      <c r="L5861" s="455">
        <f t="shared" ca="1" si="212"/>
        <v>-4018098747195558.5</v>
      </c>
      <c r="M5861" s="471">
        <f t="shared" si="214"/>
        <v>0.05</v>
      </c>
      <c r="N5861" s="475">
        <f t="shared" si="215"/>
        <v>229434</v>
      </c>
    </row>
    <row r="5862" spans="7:14" ht="11.25" customHeight="1" x14ac:dyDescent="0.3">
      <c r="G5862" s="470"/>
      <c r="H5862" s="470">
        <v>5855</v>
      </c>
      <c r="I5862" s="455">
        <f t="shared" ca="1" si="213"/>
        <v>-4018098747195558.5</v>
      </c>
      <c r="J5862" s="455">
        <f t="array" ref="J5862">IFERROR(INDEX('Retirement Calculator'!J:J,MATCH('Isaac 401k'!N5862,'Retirement Calculator'!A:A,0),0),0)</f>
        <v>0</v>
      </c>
      <c r="K5862" s="455">
        <f t="shared" ca="1" si="211"/>
        <v>-16742078113314.824</v>
      </c>
      <c r="L5862" s="455">
        <f t="shared" ca="1" si="212"/>
        <v>-4034840825308873.5</v>
      </c>
      <c r="M5862" s="471">
        <f t="shared" si="214"/>
        <v>0.05</v>
      </c>
      <c r="N5862" s="475">
        <f t="shared" si="215"/>
        <v>229465</v>
      </c>
    </row>
    <row r="5863" spans="7:14" ht="11.25" customHeight="1" x14ac:dyDescent="0.3">
      <c r="G5863" s="470"/>
      <c r="H5863" s="470">
        <v>5856</v>
      </c>
      <c r="I5863" s="455">
        <f t="shared" ca="1" si="213"/>
        <v>-4034840825308873.5</v>
      </c>
      <c r="J5863" s="455">
        <f t="array" ref="J5863">IFERROR(INDEX('Retirement Calculator'!J:J,MATCH('Isaac 401k'!N5863,'Retirement Calculator'!A:A,0),0),0)</f>
        <v>0</v>
      </c>
      <c r="K5863" s="455">
        <f t="shared" ca="1" si="211"/>
        <v>-16811836772120.307</v>
      </c>
      <c r="L5863" s="455">
        <f t="shared" ca="1" si="212"/>
        <v>-4051652662080994</v>
      </c>
      <c r="M5863" s="471">
        <f t="shared" si="214"/>
        <v>0.05</v>
      </c>
      <c r="N5863" s="475">
        <f t="shared" si="215"/>
        <v>229495</v>
      </c>
    </row>
    <row r="5864" spans="7:14" ht="11.25" customHeight="1" x14ac:dyDescent="0.3">
      <c r="G5864" s="470"/>
      <c r="H5864" s="470">
        <v>5857</v>
      </c>
      <c r="I5864" s="455">
        <f t="shared" ca="1" si="213"/>
        <v>-4051652662080994</v>
      </c>
      <c r="J5864" s="455">
        <f t="array" ref="J5864">IFERROR(INDEX('Retirement Calculator'!J:J,MATCH('Isaac 401k'!N5864,'Retirement Calculator'!A:A,0),0),0)</f>
        <v>0</v>
      </c>
      <c r="K5864" s="455">
        <f t="shared" ca="1" si="211"/>
        <v>-16881886092004.141</v>
      </c>
      <c r="L5864" s="455">
        <f t="shared" ca="1" si="212"/>
        <v>-4068534548172998</v>
      </c>
      <c r="M5864" s="471">
        <f t="shared" si="214"/>
        <v>0.05</v>
      </c>
      <c r="N5864" s="475">
        <f t="shared" si="215"/>
        <v>229526</v>
      </c>
    </row>
    <row r="5865" spans="7:14" ht="11.25" customHeight="1" x14ac:dyDescent="0.3">
      <c r="G5865" s="470"/>
      <c r="H5865" s="470">
        <v>5858</v>
      </c>
      <c r="I5865" s="455">
        <f t="shared" ca="1" si="213"/>
        <v>-4068534548172998</v>
      </c>
      <c r="J5865" s="455">
        <f t="array" ref="J5865">IFERROR(INDEX('Retirement Calculator'!J:J,MATCH('Isaac 401k'!N5865,'Retirement Calculator'!A:A,0),0),0)</f>
        <v>0</v>
      </c>
      <c r="K5865" s="455">
        <f t="shared" ca="1" si="211"/>
        <v>-16952227284054.158</v>
      </c>
      <c r="L5865" s="455">
        <f t="shared" ca="1" si="212"/>
        <v>-4085486775457052</v>
      </c>
      <c r="M5865" s="471">
        <f t="shared" si="214"/>
        <v>0.05</v>
      </c>
      <c r="N5865" s="475">
        <f t="shared" si="215"/>
        <v>229556</v>
      </c>
    </row>
    <row r="5866" spans="7:14" ht="11.25" customHeight="1" x14ac:dyDescent="0.3">
      <c r="G5866" s="470"/>
      <c r="H5866" s="470">
        <v>5859</v>
      </c>
      <c r="I5866" s="455">
        <f t="shared" ca="1" si="213"/>
        <v>-4085486775457052</v>
      </c>
      <c r="J5866" s="455">
        <f t="array" ref="J5866">IFERROR(INDEX('Retirement Calculator'!J:J,MATCH('Isaac 401k'!N5866,'Retirement Calculator'!A:A,0),0),0)</f>
        <v>0</v>
      </c>
      <c r="K5866" s="455">
        <f t="shared" ca="1" si="211"/>
        <v>-17022861564404.383</v>
      </c>
      <c r="L5866" s="455">
        <f t="shared" ca="1" si="212"/>
        <v>-4102509637021456.5</v>
      </c>
      <c r="M5866" s="471">
        <f t="shared" si="214"/>
        <v>0.05</v>
      </c>
      <c r="N5866" s="475">
        <f t="shared" si="215"/>
        <v>229587</v>
      </c>
    </row>
    <row r="5867" spans="7:14" ht="11.25" customHeight="1" x14ac:dyDescent="0.3">
      <c r="G5867" s="470"/>
      <c r="H5867" s="470">
        <v>5860</v>
      </c>
      <c r="I5867" s="455">
        <f t="shared" ca="1" si="213"/>
        <v>-4102509637021456.5</v>
      </c>
      <c r="J5867" s="455">
        <f t="array" ref="J5867">IFERROR(INDEX('Retirement Calculator'!J:J,MATCH('Isaac 401k'!N5867,'Retirement Calculator'!A:A,0),0),0)</f>
        <v>0</v>
      </c>
      <c r="K5867" s="455">
        <f t="shared" ca="1" si="211"/>
        <v>-17093790154256.066</v>
      </c>
      <c r="L5867" s="455">
        <f t="shared" ca="1" si="212"/>
        <v>-4119603427175712.5</v>
      </c>
      <c r="M5867" s="471">
        <f t="shared" si="214"/>
        <v>0.05</v>
      </c>
      <c r="N5867" s="475">
        <f t="shared" si="215"/>
        <v>229618</v>
      </c>
    </row>
    <row r="5868" spans="7:14" ht="11.25" customHeight="1" x14ac:dyDescent="0.3">
      <c r="G5868" s="470"/>
      <c r="H5868" s="470">
        <v>5861</v>
      </c>
      <c r="I5868" s="455">
        <f t="shared" ca="1" si="213"/>
        <v>-4119603427175712.5</v>
      </c>
      <c r="J5868" s="455">
        <f t="array" ref="J5868">IFERROR(INDEX('Retirement Calculator'!J:J,MATCH('Isaac 401k'!N5868,'Retirement Calculator'!A:A,0),0),0)</f>
        <v>0</v>
      </c>
      <c r="K5868" s="455">
        <f t="shared" ca="1" si="211"/>
        <v>-17165014279898.803</v>
      </c>
      <c r="L5868" s="455">
        <f t="shared" ca="1" si="212"/>
        <v>-4136768441455611.5</v>
      </c>
      <c r="M5868" s="471">
        <f t="shared" si="214"/>
        <v>0.05</v>
      </c>
      <c r="N5868" s="475">
        <f t="shared" si="215"/>
        <v>229648</v>
      </c>
    </row>
    <row r="5869" spans="7:14" ht="11.25" customHeight="1" x14ac:dyDescent="0.3">
      <c r="G5869" s="470"/>
      <c r="H5869" s="470">
        <v>5862</v>
      </c>
      <c r="I5869" s="455">
        <f t="shared" ca="1" si="213"/>
        <v>-4136768441455611.5</v>
      </c>
      <c r="J5869" s="455">
        <f t="array" ref="J5869">IFERROR(INDEX('Retirement Calculator'!J:J,MATCH('Isaac 401k'!N5869,'Retirement Calculator'!A:A,0),0),0)</f>
        <v>0</v>
      </c>
      <c r="K5869" s="455">
        <f t="shared" ca="1" si="211"/>
        <v>-17236535172731.715</v>
      </c>
      <c r="L5869" s="455">
        <f t="shared" ca="1" si="212"/>
        <v>-4154004976628343</v>
      </c>
      <c r="M5869" s="471">
        <f t="shared" si="214"/>
        <v>0.05</v>
      </c>
      <c r="N5869" s="475">
        <f t="shared" si="215"/>
        <v>229679</v>
      </c>
    </row>
    <row r="5870" spans="7:14" ht="11.25" customHeight="1" x14ac:dyDescent="0.3">
      <c r="G5870" s="470"/>
      <c r="H5870" s="470">
        <v>5863</v>
      </c>
      <c r="I5870" s="455">
        <f t="shared" ca="1" si="213"/>
        <v>-4154004976628343</v>
      </c>
      <c r="J5870" s="455">
        <f t="array" ref="J5870">IFERROR(INDEX('Retirement Calculator'!J:J,MATCH('Isaac 401k'!N5870,'Retirement Calculator'!A:A,0),0),0)</f>
        <v>0</v>
      </c>
      <c r="K5870" s="455">
        <f t="shared" ca="1" si="211"/>
        <v>-17308354069284.76</v>
      </c>
      <c r="L5870" s="455">
        <f t="shared" ca="1" si="212"/>
        <v>-4171313330697628</v>
      </c>
      <c r="M5870" s="471">
        <f t="shared" si="214"/>
        <v>0.05</v>
      </c>
      <c r="N5870" s="475">
        <f t="shared" si="215"/>
        <v>229709</v>
      </c>
    </row>
    <row r="5871" spans="7:14" ht="11.25" customHeight="1" x14ac:dyDescent="0.3">
      <c r="G5871" s="470"/>
      <c r="H5871" s="470">
        <v>5864</v>
      </c>
      <c r="I5871" s="455">
        <f t="shared" ca="1" si="213"/>
        <v>-4171313330697628</v>
      </c>
      <c r="J5871" s="455">
        <f t="array" ref="J5871">IFERROR(INDEX('Retirement Calculator'!J:J,MATCH('Isaac 401k'!N5871,'Retirement Calculator'!A:A,0),0),0)</f>
        <v>0</v>
      </c>
      <c r="K5871" s="455">
        <f t="shared" ca="1" si="211"/>
        <v>-17380472211240.117</v>
      </c>
      <c r="L5871" s="455">
        <f t="shared" ca="1" si="212"/>
        <v>-4188693802908868</v>
      </c>
      <c r="M5871" s="471">
        <f t="shared" si="214"/>
        <v>0.05</v>
      </c>
      <c r="N5871" s="475">
        <f t="shared" si="215"/>
        <v>229740</v>
      </c>
    </row>
    <row r="5872" spans="7:14" ht="11.25" customHeight="1" x14ac:dyDescent="0.3">
      <c r="G5872" s="470"/>
      <c r="H5872" s="470">
        <v>5865</v>
      </c>
      <c r="I5872" s="455">
        <f t="shared" ca="1" si="213"/>
        <v>-4188693802908868</v>
      </c>
      <c r="J5872" s="455">
        <f t="array" ref="J5872">IFERROR(INDEX('Retirement Calculator'!J:J,MATCH('Isaac 401k'!N5872,'Retirement Calculator'!A:A,0),0),0)</f>
        <v>0</v>
      </c>
      <c r="K5872" s="455">
        <f t="shared" ca="1" si="211"/>
        <v>-17452890845453.619</v>
      </c>
      <c r="L5872" s="455">
        <f t="shared" ca="1" si="212"/>
        <v>-4206146693754321.5</v>
      </c>
      <c r="M5872" s="471">
        <f t="shared" si="214"/>
        <v>0.05</v>
      </c>
      <c r="N5872" s="475">
        <f t="shared" si="215"/>
        <v>229771</v>
      </c>
    </row>
    <row r="5873" spans="7:14" ht="11.25" customHeight="1" x14ac:dyDescent="0.3">
      <c r="G5873" s="470"/>
      <c r="H5873" s="470">
        <v>5866</v>
      </c>
      <c r="I5873" s="455">
        <f t="shared" ca="1" si="213"/>
        <v>-4206146693754321.5</v>
      </c>
      <c r="J5873" s="455">
        <f t="array" ref="J5873">IFERROR(INDEX('Retirement Calculator'!J:J,MATCH('Isaac 401k'!N5873,'Retirement Calculator'!A:A,0),0),0)</f>
        <v>0</v>
      </c>
      <c r="K5873" s="455">
        <f t="shared" ref="K5873:K6127" ca="1" si="216">IPMT(M5873/12,1,12,-I5873+J5873,,0)</f>
        <v>-17525611223976.342</v>
      </c>
      <c r="L5873" s="455">
        <f t="shared" ref="L5873:L6127" ca="1" si="217">I5873-J5873+K5873</f>
        <v>-4223672304978298</v>
      </c>
      <c r="M5873" s="471">
        <f t="shared" si="214"/>
        <v>0.05</v>
      </c>
      <c r="N5873" s="475">
        <f t="shared" si="215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18">L5873</f>
        <v>-4223672304978298</v>
      </c>
      <c r="J5874" s="455">
        <f t="array" ref="J5874">IFERROR(INDEX('Retirement Calculator'!J:J,MATCH('Isaac 401k'!N5874,'Retirement Calculator'!A:A,0),0),0)</f>
        <v>0</v>
      </c>
      <c r="K5874" s="455">
        <f t="shared" ca="1" si="216"/>
        <v>-17598634604076.238</v>
      </c>
      <c r="L5874" s="455">
        <f t="shared" ca="1" si="217"/>
        <v>-4241270939582374</v>
      </c>
      <c r="M5874" s="471">
        <f t="shared" ref="M5874:M6128" si="219">M5873</f>
        <v>0.05</v>
      </c>
      <c r="N5874" s="475">
        <f t="shared" ref="N5874:N6128" si="220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18"/>
        <v>-4241270939582374</v>
      </c>
      <c r="J5875" s="455">
        <f t="array" ref="J5875">IFERROR(INDEX('Retirement Calculator'!J:J,MATCH('Isaac 401k'!N5875,'Retirement Calculator'!A:A,0),0),0)</f>
        <v>0</v>
      </c>
      <c r="K5875" s="455">
        <f t="shared" ca="1" si="216"/>
        <v>-17671962248259.891</v>
      </c>
      <c r="L5875" s="455">
        <f t="shared" ca="1" si="217"/>
        <v>-4258942901830634</v>
      </c>
      <c r="M5875" s="471">
        <f t="shared" si="219"/>
        <v>0.05</v>
      </c>
      <c r="N5875" s="475">
        <f t="shared" si="220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18"/>
        <v>-4258942901830634</v>
      </c>
      <c r="J5876" s="455">
        <f t="array" ref="J5876">IFERROR(INDEX('Retirement Calculator'!J:J,MATCH('Isaac 401k'!N5876,'Retirement Calculator'!A:A,0),0),0)</f>
        <v>0</v>
      </c>
      <c r="K5876" s="455">
        <f t="shared" ca="1" si="216"/>
        <v>-17745595424294.309</v>
      </c>
      <c r="L5876" s="455">
        <f t="shared" ca="1" si="217"/>
        <v>-4276688497254928.5</v>
      </c>
      <c r="M5876" s="471">
        <f t="shared" si="219"/>
        <v>0.05</v>
      </c>
      <c r="N5876" s="475">
        <f t="shared" si="220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18"/>
        <v>-4276688497254928.5</v>
      </c>
      <c r="J5877" s="455">
        <f t="array" ref="J5877">IFERROR(INDEX('Retirement Calculator'!J:J,MATCH('Isaac 401k'!N5877,'Retirement Calculator'!A:A,0),0),0)</f>
        <v>0</v>
      </c>
      <c r="K5877" s="455">
        <f t="shared" ca="1" si="216"/>
        <v>-17819535405228.867</v>
      </c>
      <c r="L5877" s="455">
        <f t="shared" ca="1" si="217"/>
        <v>-4294508032660157.5</v>
      </c>
      <c r="M5877" s="471">
        <f t="shared" si="219"/>
        <v>0.05</v>
      </c>
      <c r="N5877" s="475">
        <f t="shared" si="220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18"/>
        <v>-4294508032660157.5</v>
      </c>
      <c r="J5878" s="455">
        <f t="array" ref="J5878">IFERROR(INDEX('Retirement Calculator'!J:J,MATCH('Isaac 401k'!N5878,'Retirement Calculator'!A:A,0),0),0)</f>
        <v>0</v>
      </c>
      <c r="K5878" s="455">
        <f t="shared" ca="1" si="216"/>
        <v>-17893783469417.324</v>
      </c>
      <c r="L5878" s="455">
        <f t="shared" ca="1" si="217"/>
        <v>-4312401816129575</v>
      </c>
      <c r="M5878" s="471">
        <f t="shared" si="219"/>
        <v>0.05</v>
      </c>
      <c r="N5878" s="475">
        <f t="shared" si="220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18"/>
        <v>-4312401816129575</v>
      </c>
      <c r="J5879" s="455">
        <f t="array" ref="J5879">IFERROR(INDEX('Retirement Calculator'!J:J,MATCH('Isaac 401k'!N5879,'Retirement Calculator'!A:A,0),0),0)</f>
        <v>0</v>
      </c>
      <c r="K5879" s="455">
        <f t="shared" ca="1" si="216"/>
        <v>-17968340900539.895</v>
      </c>
      <c r="L5879" s="455">
        <f t="shared" ca="1" si="217"/>
        <v>-4330370157030115</v>
      </c>
      <c r="M5879" s="471">
        <f t="shared" si="219"/>
        <v>0.05</v>
      </c>
      <c r="N5879" s="475">
        <f t="shared" si="220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18"/>
        <v>-4330370157030115</v>
      </c>
      <c r="J5880" s="455">
        <f t="array" ref="J5880">IFERROR(INDEX('Retirement Calculator'!J:J,MATCH('Isaac 401k'!N5880,'Retirement Calculator'!A:A,0),0),0)</f>
        <v>0</v>
      </c>
      <c r="K5880" s="455">
        <f t="shared" ca="1" si="216"/>
        <v>-18043208987625.48</v>
      </c>
      <c r="L5880" s="455">
        <f t="shared" ca="1" si="217"/>
        <v>-4348413366017740.5</v>
      </c>
      <c r="M5880" s="471">
        <f t="shared" si="219"/>
        <v>0.05</v>
      </c>
      <c r="N5880" s="475">
        <f t="shared" si="220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18"/>
        <v>-4348413366017740.5</v>
      </c>
      <c r="J5881" s="455">
        <f t="array" ref="J5881">IFERROR(INDEX('Retirement Calculator'!J:J,MATCH('Isaac 401k'!N5881,'Retirement Calculator'!A:A,0),0),0)</f>
        <v>0</v>
      </c>
      <c r="K5881" s="455">
        <f t="shared" ca="1" si="216"/>
        <v>-18118389025073.922</v>
      </c>
      <c r="L5881" s="455">
        <f t="shared" ca="1" si="217"/>
        <v>-4366531755042814.5</v>
      </c>
      <c r="M5881" s="471">
        <f t="shared" si="219"/>
        <v>0.05</v>
      </c>
      <c r="N5881" s="475">
        <f t="shared" si="220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18"/>
        <v>-4366531755042814.5</v>
      </c>
      <c r="J5882" s="455">
        <f t="array" ref="J5882">IFERROR(INDEX('Retirement Calculator'!J:J,MATCH('Isaac 401k'!N5882,'Retirement Calculator'!A:A,0),0),0)</f>
        <v>0</v>
      </c>
      <c r="K5882" s="455">
        <f t="shared" ca="1" si="216"/>
        <v>-18193882312678.391</v>
      </c>
      <c r="L5882" s="455">
        <f t="shared" ca="1" si="217"/>
        <v>-4384725637355493</v>
      </c>
      <c r="M5882" s="471">
        <f t="shared" si="219"/>
        <v>0.05</v>
      </c>
      <c r="N5882" s="475">
        <f t="shared" si="220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18"/>
        <v>-4384725637355493</v>
      </c>
      <c r="J5883" s="455">
        <f t="array" ref="J5883">IFERROR(INDEX('Retirement Calculator'!J:J,MATCH('Isaac 401k'!N5883,'Retirement Calculator'!A:A,0),0),0)</f>
        <v>0</v>
      </c>
      <c r="K5883" s="455">
        <f t="shared" ca="1" si="216"/>
        <v>-18269690155647.887</v>
      </c>
      <c r="L5883" s="455">
        <f t="shared" ca="1" si="217"/>
        <v>-4402995327511141</v>
      </c>
      <c r="M5883" s="471">
        <f t="shared" si="219"/>
        <v>0.05</v>
      </c>
      <c r="N5883" s="475">
        <f t="shared" si="220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18"/>
        <v>-4402995327511141</v>
      </c>
      <c r="J5884" s="455">
        <f t="array" ref="J5884">IFERROR(INDEX('Retirement Calculator'!J:J,MATCH('Isaac 401k'!N5884,'Retirement Calculator'!A:A,0),0),0)</f>
        <v>0</v>
      </c>
      <c r="K5884" s="455">
        <f t="shared" ca="1" si="216"/>
        <v>-18345813864629.754</v>
      </c>
      <c r="L5884" s="455">
        <f t="shared" ca="1" si="217"/>
        <v>-4421341141375771</v>
      </c>
      <c r="M5884" s="471">
        <f t="shared" si="219"/>
        <v>0.05</v>
      </c>
      <c r="N5884" s="475">
        <f t="shared" si="220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18"/>
        <v>-4421341141375771</v>
      </c>
      <c r="J5885" s="455">
        <f t="array" ref="J5885">IFERROR(INDEX('Retirement Calculator'!J:J,MATCH('Isaac 401k'!N5885,'Retirement Calculator'!A:A,0),0),0)</f>
        <v>0</v>
      </c>
      <c r="K5885" s="455">
        <f t="shared" ca="1" si="216"/>
        <v>-18422254755732.379</v>
      </c>
      <c r="L5885" s="455">
        <f t="shared" ca="1" si="217"/>
        <v>-4439763396131503.5</v>
      </c>
      <c r="M5885" s="471">
        <f t="shared" si="219"/>
        <v>0.05</v>
      </c>
      <c r="N5885" s="475">
        <f t="shared" si="220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18"/>
        <v>-4439763396131503.5</v>
      </c>
      <c r="J5886" s="455">
        <f t="array" ref="J5886">IFERROR(INDEX('Retirement Calculator'!J:J,MATCH('Isaac 401k'!N5886,'Retirement Calculator'!A:A,0),0),0)</f>
        <v>0</v>
      </c>
      <c r="K5886" s="455">
        <f t="shared" ca="1" si="216"/>
        <v>-18499014150547.93</v>
      </c>
      <c r="L5886" s="455">
        <f t="shared" ca="1" si="217"/>
        <v>-4458262410282051.5</v>
      </c>
      <c r="M5886" s="471">
        <f t="shared" si="219"/>
        <v>0.05</v>
      </c>
      <c r="N5886" s="475">
        <f t="shared" si="220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18"/>
        <v>-4458262410282051.5</v>
      </c>
      <c r="J5887" s="455">
        <f t="array" ref="J5887">IFERROR(INDEX('Retirement Calculator'!J:J,MATCH('Isaac 401k'!N5887,'Retirement Calculator'!A:A,0),0),0)</f>
        <v>0</v>
      </c>
      <c r="K5887" s="455">
        <f t="shared" ca="1" si="216"/>
        <v>-18576093376175.211</v>
      </c>
      <c r="L5887" s="455">
        <f t="shared" ca="1" si="217"/>
        <v>-4476838503658226.5</v>
      </c>
      <c r="M5887" s="471">
        <f t="shared" si="219"/>
        <v>0.05</v>
      </c>
      <c r="N5887" s="475">
        <f t="shared" si="220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18"/>
        <v>-4476838503658226.5</v>
      </c>
      <c r="J5888" s="455">
        <f t="array" ref="J5888">IFERROR(INDEX('Retirement Calculator'!J:J,MATCH('Isaac 401k'!N5888,'Retirement Calculator'!A:A,0),0),0)</f>
        <v>0</v>
      </c>
      <c r="K5888" s="455">
        <f t="shared" ca="1" si="216"/>
        <v>-18653493765242.609</v>
      </c>
      <c r="L5888" s="455">
        <f t="shared" ca="1" si="217"/>
        <v>-4495491997423469</v>
      </c>
      <c r="M5888" s="471">
        <f t="shared" si="219"/>
        <v>0.05</v>
      </c>
      <c r="N5888" s="475">
        <f t="shared" si="220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18"/>
        <v>-4495491997423469</v>
      </c>
      <c r="J5889" s="455">
        <f t="array" ref="J5889">IFERROR(INDEX('Retirement Calculator'!J:J,MATCH('Isaac 401k'!N5889,'Retirement Calculator'!A:A,0),0),0)</f>
        <v>0</v>
      </c>
      <c r="K5889" s="455">
        <f t="shared" ca="1" si="216"/>
        <v>-18731216655931.121</v>
      </c>
      <c r="L5889" s="455">
        <f t="shared" ca="1" si="217"/>
        <v>-4514223214079400</v>
      </c>
      <c r="M5889" s="471">
        <f t="shared" si="219"/>
        <v>0.05</v>
      </c>
      <c r="N5889" s="475">
        <f t="shared" si="220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18"/>
        <v>-4514223214079400</v>
      </c>
      <c r="J5890" s="455">
        <f t="array" ref="J5890">IFERROR(INDEX('Retirement Calculator'!J:J,MATCH('Isaac 401k'!N5890,'Retirement Calculator'!A:A,0),0),0)</f>
        <v>0</v>
      </c>
      <c r="K5890" s="455">
        <f t="shared" ca="1" si="216"/>
        <v>-18809263391997.5</v>
      </c>
      <c r="L5890" s="455">
        <f t="shared" ca="1" si="217"/>
        <v>-4533032477471398</v>
      </c>
      <c r="M5890" s="471">
        <f t="shared" si="219"/>
        <v>0.05</v>
      </c>
      <c r="N5890" s="475">
        <f t="shared" si="220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18"/>
        <v>-4533032477471398</v>
      </c>
      <c r="J5891" s="455">
        <f t="array" ref="J5891">IFERROR(INDEX('Retirement Calculator'!J:J,MATCH('Isaac 401k'!N5891,'Retirement Calculator'!A:A,0),0),0)</f>
        <v>0</v>
      </c>
      <c r="K5891" s="455">
        <f t="shared" ca="1" si="216"/>
        <v>-18887635322797.492</v>
      </c>
      <c r="L5891" s="455">
        <f t="shared" ca="1" si="217"/>
        <v>-4551920112794195</v>
      </c>
      <c r="M5891" s="471">
        <f t="shared" si="219"/>
        <v>0.05</v>
      </c>
      <c r="N5891" s="475">
        <f t="shared" si="220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18"/>
        <v>-4551920112794195</v>
      </c>
      <c r="J5892" s="455">
        <f t="array" ref="J5892">IFERROR(INDEX('Retirement Calculator'!J:J,MATCH('Isaac 401k'!N5892,'Retirement Calculator'!A:A,0),0),0)</f>
        <v>0</v>
      </c>
      <c r="K5892" s="455">
        <f t="shared" ca="1" si="216"/>
        <v>-18966333803309.145</v>
      </c>
      <c r="L5892" s="455">
        <f t="shared" ca="1" si="217"/>
        <v>-4570886446597504</v>
      </c>
      <c r="M5892" s="471">
        <f t="shared" si="219"/>
        <v>0.05</v>
      </c>
      <c r="N5892" s="475">
        <f t="shared" si="220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18"/>
        <v>-4570886446597504</v>
      </c>
      <c r="J5893" s="455">
        <f t="array" ref="J5893">IFERROR(INDEX('Retirement Calculator'!J:J,MATCH('Isaac 401k'!N5893,'Retirement Calculator'!A:A,0),0),0)</f>
        <v>0</v>
      </c>
      <c r="K5893" s="455">
        <f t="shared" ca="1" si="216"/>
        <v>-19045360194156.266</v>
      </c>
      <c r="L5893" s="455">
        <f t="shared" ca="1" si="217"/>
        <v>-4589931806791660</v>
      </c>
      <c r="M5893" s="471">
        <f t="shared" si="219"/>
        <v>0.05</v>
      </c>
      <c r="N5893" s="475">
        <f t="shared" si="220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18"/>
        <v>-4589931806791660</v>
      </c>
      <c r="J5894" s="455">
        <f t="array" ref="J5894">IFERROR(INDEX('Retirement Calculator'!J:J,MATCH('Isaac 401k'!N5894,'Retirement Calculator'!A:A,0),0),0)</f>
        <v>0</v>
      </c>
      <c r="K5894" s="455">
        <f t="shared" ca="1" si="216"/>
        <v>-19124715861631.918</v>
      </c>
      <c r="L5894" s="455">
        <f t="shared" ca="1" si="217"/>
        <v>-4609056522653292</v>
      </c>
      <c r="M5894" s="471">
        <f t="shared" si="219"/>
        <v>0.05</v>
      </c>
      <c r="N5894" s="475">
        <f t="shared" si="220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18"/>
        <v>-4609056522653292</v>
      </c>
      <c r="J5895" s="455">
        <f t="array" ref="J5895">IFERROR(INDEX('Retirement Calculator'!J:J,MATCH('Isaac 401k'!N5895,'Retirement Calculator'!A:A,0),0),0)</f>
        <v>0</v>
      </c>
      <c r="K5895" s="455">
        <f t="shared" ca="1" si="216"/>
        <v>-19204402177722.051</v>
      </c>
      <c r="L5895" s="455">
        <f t="shared" ca="1" si="217"/>
        <v>-4628260924831014</v>
      </c>
      <c r="M5895" s="471">
        <f t="shared" si="219"/>
        <v>0.05</v>
      </c>
      <c r="N5895" s="475">
        <f t="shared" si="220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18"/>
        <v>-4628260924831014</v>
      </c>
      <c r="J5896" s="455">
        <f t="array" ref="J5896">IFERROR(INDEX('Retirement Calculator'!J:J,MATCH('Isaac 401k'!N5896,'Retirement Calculator'!A:A,0),0),0)</f>
        <v>0</v>
      </c>
      <c r="K5896" s="455">
        <f t="shared" ca="1" si="216"/>
        <v>-19284420520129.227</v>
      </c>
      <c r="L5896" s="455">
        <f t="shared" ca="1" si="217"/>
        <v>-4647545345351143</v>
      </c>
      <c r="M5896" s="471">
        <f t="shared" si="219"/>
        <v>0.05</v>
      </c>
      <c r="N5896" s="475">
        <f t="shared" si="220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18"/>
        <v>-4647545345351143</v>
      </c>
      <c r="J5897" s="455">
        <f t="array" ref="J5897">IFERROR(INDEX('Retirement Calculator'!J:J,MATCH('Isaac 401k'!N5897,'Retirement Calculator'!A:A,0),0),0)</f>
        <v>0</v>
      </c>
      <c r="K5897" s="455">
        <f t="shared" ca="1" si="216"/>
        <v>-19364772272296.43</v>
      </c>
      <c r="L5897" s="455">
        <f t="shared" ca="1" si="217"/>
        <v>-4666910117623439</v>
      </c>
      <c r="M5897" s="471">
        <f t="shared" si="219"/>
        <v>0.05</v>
      </c>
      <c r="N5897" s="475">
        <f t="shared" si="220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18"/>
        <v>-4666910117623439</v>
      </c>
      <c r="J5898" s="455">
        <f t="array" ref="J5898">IFERROR(INDEX('Retirement Calculator'!J:J,MATCH('Isaac 401k'!N5898,'Retirement Calculator'!A:A,0),0),0)</f>
        <v>0</v>
      </c>
      <c r="K5898" s="455">
        <f t="shared" ca="1" si="216"/>
        <v>-19445458823430.996</v>
      </c>
      <c r="L5898" s="455">
        <f t="shared" ca="1" si="217"/>
        <v>-4686355576446870</v>
      </c>
      <c r="M5898" s="471">
        <f t="shared" si="219"/>
        <v>0.05</v>
      </c>
      <c r="N5898" s="475">
        <f t="shared" si="220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18"/>
        <v>-4686355576446870</v>
      </c>
      <c r="J5899" s="455">
        <f t="array" ref="J5899">IFERROR(INDEX('Retirement Calculator'!J:J,MATCH('Isaac 401k'!N5899,'Retirement Calculator'!A:A,0),0),0)</f>
        <v>0</v>
      </c>
      <c r="K5899" s="455">
        <f t="shared" ca="1" si="216"/>
        <v>-19526481568528.625</v>
      </c>
      <c r="L5899" s="455">
        <f t="shared" ca="1" si="217"/>
        <v>-4705882058015399</v>
      </c>
      <c r="M5899" s="471">
        <f t="shared" si="219"/>
        <v>0.05</v>
      </c>
      <c r="N5899" s="475">
        <f t="shared" si="220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18"/>
        <v>-4705882058015399</v>
      </c>
      <c r="J5900" s="455">
        <f t="array" ref="J5900">IFERROR(INDEX('Retirement Calculator'!J:J,MATCH('Isaac 401k'!N5900,'Retirement Calculator'!A:A,0),0),0)</f>
        <v>0</v>
      </c>
      <c r="K5900" s="455">
        <f t="shared" ca="1" si="216"/>
        <v>-19607841908397.496</v>
      </c>
      <c r="L5900" s="455">
        <f t="shared" ca="1" si="217"/>
        <v>-4725489899923796</v>
      </c>
      <c r="M5900" s="471">
        <f t="shared" si="219"/>
        <v>0.05</v>
      </c>
      <c r="N5900" s="475">
        <f t="shared" si="220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18"/>
        <v>-4725489899923796</v>
      </c>
      <c r="J5901" s="455">
        <f t="array" ref="J5901">IFERROR(INDEX('Retirement Calculator'!J:J,MATCH('Isaac 401k'!N5901,'Retirement Calculator'!A:A,0),0),0)</f>
        <v>0</v>
      </c>
      <c r="K5901" s="455">
        <f t="shared" ca="1" si="216"/>
        <v>-19689541249682.484</v>
      </c>
      <c r="L5901" s="455">
        <f t="shared" ca="1" si="217"/>
        <v>-4745179441173478</v>
      </c>
      <c r="M5901" s="471">
        <f t="shared" si="219"/>
        <v>0.05</v>
      </c>
      <c r="N5901" s="475">
        <f t="shared" si="220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18"/>
        <v>-4745179441173478</v>
      </c>
      <c r="J5902" s="455">
        <f t="array" ref="J5902">IFERROR(INDEX('Retirement Calculator'!J:J,MATCH('Isaac 401k'!N5902,'Retirement Calculator'!A:A,0),0),0)</f>
        <v>0</v>
      </c>
      <c r="K5902" s="455">
        <f t="shared" ca="1" si="216"/>
        <v>-19771581004889.492</v>
      </c>
      <c r="L5902" s="455">
        <f t="shared" ca="1" si="217"/>
        <v>-4764951022178367</v>
      </c>
      <c r="M5902" s="471">
        <f t="shared" si="219"/>
        <v>0.05</v>
      </c>
      <c r="N5902" s="475">
        <f t="shared" si="220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18"/>
        <v>-4764951022178367</v>
      </c>
      <c r="J5903" s="455">
        <f t="array" ref="J5903">IFERROR(INDEX('Retirement Calculator'!J:J,MATCH('Isaac 401k'!N5903,'Retirement Calculator'!A:A,0),0),0)</f>
        <v>0</v>
      </c>
      <c r="K5903" s="455">
        <f t="shared" ca="1" si="216"/>
        <v>-19853962592409.863</v>
      </c>
      <c r="L5903" s="455">
        <f t="shared" ca="1" si="217"/>
        <v>-4784804984770777</v>
      </c>
      <c r="M5903" s="471">
        <f t="shared" si="219"/>
        <v>0.05</v>
      </c>
      <c r="N5903" s="475">
        <f t="shared" si="220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18"/>
        <v>-4784804984770777</v>
      </c>
      <c r="J5904" s="455">
        <f t="array" ref="J5904">IFERROR(INDEX('Retirement Calculator'!J:J,MATCH('Isaac 401k'!N5904,'Retirement Calculator'!A:A,0),0),0)</f>
        <v>0</v>
      </c>
      <c r="K5904" s="455">
        <f t="shared" ca="1" si="216"/>
        <v>-19936687436544.902</v>
      </c>
      <c r="L5904" s="455">
        <f t="shared" ca="1" si="217"/>
        <v>-4804741672207322</v>
      </c>
      <c r="M5904" s="471">
        <f t="shared" si="219"/>
        <v>0.05</v>
      </c>
      <c r="N5904" s="475">
        <f t="shared" si="220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18"/>
        <v>-4804741672207322</v>
      </c>
      <c r="J5905" s="455">
        <f t="array" ref="J5905">IFERROR(INDEX('Retirement Calculator'!J:J,MATCH('Isaac 401k'!N5905,'Retirement Calculator'!A:A,0),0),0)</f>
        <v>0</v>
      </c>
      <c r="K5905" s="455">
        <f t="shared" ca="1" si="216"/>
        <v>-20019756967530.508</v>
      </c>
      <c r="L5905" s="455">
        <f t="shared" ca="1" si="217"/>
        <v>-4824761429174853</v>
      </c>
      <c r="M5905" s="471">
        <f t="shared" si="219"/>
        <v>0.05</v>
      </c>
      <c r="N5905" s="475">
        <f t="shared" si="220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18"/>
        <v>-4824761429174853</v>
      </c>
      <c r="J5906" s="455">
        <f t="array" ref="J5906">IFERROR(INDEX('Retirement Calculator'!J:J,MATCH('Isaac 401k'!N5906,'Retirement Calculator'!A:A,0),0),0)</f>
        <v>0</v>
      </c>
      <c r="K5906" s="455">
        <f t="shared" ca="1" si="216"/>
        <v>-20103172621561.887</v>
      </c>
      <c r="L5906" s="455">
        <f t="shared" ca="1" si="217"/>
        <v>-4844864601796415</v>
      </c>
      <c r="M5906" s="471">
        <f t="shared" si="219"/>
        <v>0.05</v>
      </c>
      <c r="N5906" s="475">
        <f t="shared" si="220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18"/>
        <v>-4844864601796415</v>
      </c>
      <c r="J5907" s="455">
        <f t="array" ref="J5907">IFERROR(INDEX('Retirement Calculator'!J:J,MATCH('Isaac 401k'!N5907,'Retirement Calculator'!A:A,0),0),0)</f>
        <v>0</v>
      </c>
      <c r="K5907" s="455">
        <f t="shared" ca="1" si="216"/>
        <v>-20186935840818.395</v>
      </c>
      <c r="L5907" s="455">
        <f t="shared" ca="1" si="217"/>
        <v>-4865051537637233</v>
      </c>
      <c r="M5907" s="471">
        <f t="shared" si="219"/>
        <v>0.05</v>
      </c>
      <c r="N5907" s="475">
        <f t="shared" si="220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18"/>
        <v>-4865051537637233</v>
      </c>
      <c r="J5908" s="455">
        <f t="array" ref="J5908">IFERROR(INDEX('Retirement Calculator'!J:J,MATCH('Isaac 401k'!N5908,'Retirement Calculator'!A:A,0),0),0)</f>
        <v>0</v>
      </c>
      <c r="K5908" s="455">
        <f t="shared" ca="1" si="216"/>
        <v>-20271048073488.469</v>
      </c>
      <c r="L5908" s="455">
        <f t="shared" ca="1" si="217"/>
        <v>-4885322585710721</v>
      </c>
      <c r="M5908" s="471">
        <f t="shared" si="219"/>
        <v>0.05</v>
      </c>
      <c r="N5908" s="475">
        <f t="shared" si="220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18"/>
        <v>-4885322585710721</v>
      </c>
      <c r="J5909" s="455">
        <f t="array" ref="J5909">IFERROR(INDEX('Retirement Calculator'!J:J,MATCH('Isaac 401k'!N5909,'Retirement Calculator'!A:A,0),0),0)</f>
        <v>0</v>
      </c>
      <c r="K5909" s="455">
        <f t="shared" ca="1" si="216"/>
        <v>-20355510773794.672</v>
      </c>
      <c r="L5909" s="455">
        <f t="shared" ca="1" si="217"/>
        <v>-4905678096484516</v>
      </c>
      <c r="M5909" s="471">
        <f t="shared" si="219"/>
        <v>0.05</v>
      </c>
      <c r="N5909" s="475">
        <f t="shared" si="220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18"/>
        <v>-4905678096484516</v>
      </c>
      <c r="J5910" s="455">
        <f t="array" ref="J5910">IFERROR(INDEX('Retirement Calculator'!J:J,MATCH('Isaac 401k'!N5910,'Retirement Calculator'!A:A,0),0),0)</f>
        <v>0</v>
      </c>
      <c r="K5910" s="455">
        <f t="shared" ca="1" si="216"/>
        <v>-20440325402018.816</v>
      </c>
      <c r="L5910" s="455">
        <f t="shared" ca="1" si="217"/>
        <v>-4926118421886535</v>
      </c>
      <c r="M5910" s="471">
        <f t="shared" si="219"/>
        <v>0.05</v>
      </c>
      <c r="N5910" s="475">
        <f t="shared" si="220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18"/>
        <v>-4926118421886535</v>
      </c>
      <c r="J5911" s="455">
        <f t="array" ref="J5911">IFERROR(INDEX('Retirement Calculator'!J:J,MATCH('Isaac 401k'!N5911,'Retirement Calculator'!A:A,0),0),0)</f>
        <v>0</v>
      </c>
      <c r="K5911" s="455">
        <f t="shared" ca="1" si="216"/>
        <v>-20525493424527.23</v>
      </c>
      <c r="L5911" s="455">
        <f t="shared" ca="1" si="217"/>
        <v>-4946643915311062</v>
      </c>
      <c r="M5911" s="471">
        <f t="shared" si="219"/>
        <v>0.05</v>
      </c>
      <c r="N5911" s="475">
        <f t="shared" si="220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18"/>
        <v>-4946643915311062</v>
      </c>
      <c r="J5912" s="455">
        <f t="array" ref="J5912">IFERROR(INDEX('Retirement Calculator'!J:J,MATCH('Isaac 401k'!N5912,'Retirement Calculator'!A:A,0),0),0)</f>
        <v>0</v>
      </c>
      <c r="K5912" s="455">
        <f t="shared" ca="1" si="216"/>
        <v>-20611016313796.09</v>
      </c>
      <c r="L5912" s="455">
        <f t="shared" ca="1" si="217"/>
        <v>-4967254931624858</v>
      </c>
      <c r="M5912" s="471">
        <f t="shared" si="219"/>
        <v>0.05</v>
      </c>
      <c r="N5912" s="475">
        <f t="shared" si="220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18"/>
        <v>-4967254931624858</v>
      </c>
      <c r="J5913" s="455">
        <f t="array" ref="J5913">IFERROR(INDEX('Retirement Calculator'!J:J,MATCH('Isaac 401k'!N5913,'Retirement Calculator'!A:A,0),0),0)</f>
        <v>0</v>
      </c>
      <c r="K5913" s="455">
        <f t="shared" ca="1" si="216"/>
        <v>-20696895548436.906</v>
      </c>
      <c r="L5913" s="455">
        <f t="shared" ca="1" si="217"/>
        <v>-4987951827173295</v>
      </c>
      <c r="M5913" s="471">
        <f t="shared" si="219"/>
        <v>0.05</v>
      </c>
      <c r="N5913" s="475">
        <f t="shared" si="220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18"/>
        <v>-4987951827173295</v>
      </c>
      <c r="J5914" s="455">
        <f t="array" ref="J5914">IFERROR(INDEX('Retirement Calculator'!J:J,MATCH('Isaac 401k'!N5914,'Retirement Calculator'!A:A,0),0),0)</f>
        <v>0</v>
      </c>
      <c r="K5914" s="455">
        <f t="shared" ca="1" si="216"/>
        <v>-20783132613222.063</v>
      </c>
      <c r="L5914" s="455">
        <f t="shared" ca="1" si="217"/>
        <v>-5008734959786517</v>
      </c>
      <c r="M5914" s="471">
        <f t="shared" si="219"/>
        <v>0.05</v>
      </c>
      <c r="N5914" s="475">
        <f t="shared" si="220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18"/>
        <v>-5008734959786517</v>
      </c>
      <c r="J5915" s="455">
        <f t="array" ref="J5915">IFERROR(INDEX('Retirement Calculator'!J:J,MATCH('Isaac 401k'!N5915,'Retirement Calculator'!A:A,0),0),0)</f>
        <v>0</v>
      </c>
      <c r="K5915" s="455">
        <f t="shared" ca="1" si="216"/>
        <v>-20869728999110.488</v>
      </c>
      <c r="L5915" s="455">
        <f t="shared" ca="1" si="217"/>
        <v>-5029604688785627</v>
      </c>
      <c r="M5915" s="471">
        <f t="shared" si="219"/>
        <v>0.05</v>
      </c>
      <c r="N5915" s="475">
        <f t="shared" si="220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18"/>
        <v>-5029604688785627</v>
      </c>
      <c r="J5916" s="455">
        <f t="array" ref="J5916">IFERROR(INDEX('Retirement Calculator'!J:J,MATCH('Isaac 401k'!N5916,'Retirement Calculator'!A:A,0),0),0)</f>
        <v>0</v>
      </c>
      <c r="K5916" s="455">
        <f t="shared" ca="1" si="216"/>
        <v>-20956686203273.445</v>
      </c>
      <c r="L5916" s="455">
        <f t="shared" ca="1" si="217"/>
        <v>-5050561374988900</v>
      </c>
      <c r="M5916" s="471">
        <f t="shared" si="219"/>
        <v>0.05</v>
      </c>
      <c r="N5916" s="475">
        <f t="shared" si="220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18"/>
        <v>-5050561374988900</v>
      </c>
      <c r="J5917" s="455">
        <f t="array" ref="J5917">IFERROR(INDEX('Retirement Calculator'!J:J,MATCH('Isaac 401k'!N5917,'Retirement Calculator'!A:A,0),0),0)</f>
        <v>0</v>
      </c>
      <c r="K5917" s="455">
        <f t="shared" ca="1" si="216"/>
        <v>-21044005729120.418</v>
      </c>
      <c r="L5917" s="455">
        <f t="shared" ca="1" si="217"/>
        <v>-5071605380718020</v>
      </c>
      <c r="M5917" s="471">
        <f t="shared" si="219"/>
        <v>0.05</v>
      </c>
      <c r="N5917" s="475">
        <f t="shared" si="220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18"/>
        <v>-5071605380718020</v>
      </c>
      <c r="J5918" s="455">
        <f t="array" ref="J5918">IFERROR(INDEX('Retirement Calculator'!J:J,MATCH('Isaac 401k'!N5918,'Retirement Calculator'!A:A,0),0),0)</f>
        <v>0</v>
      </c>
      <c r="K5918" s="455">
        <f t="shared" ca="1" si="216"/>
        <v>-21131689086325.082</v>
      </c>
      <c r="L5918" s="455">
        <f t="shared" ca="1" si="217"/>
        <v>-5092737069804345</v>
      </c>
      <c r="M5918" s="471">
        <f t="shared" si="219"/>
        <v>0.05</v>
      </c>
      <c r="N5918" s="475">
        <f t="shared" si="220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18"/>
        <v>-5092737069804345</v>
      </c>
      <c r="J5919" s="455">
        <f t="array" ref="J5919">IFERROR(INDEX('Retirement Calculator'!J:J,MATCH('Isaac 401k'!N5919,'Retirement Calculator'!A:A,0),0),0)</f>
        <v>0</v>
      </c>
      <c r="K5919" s="455">
        <f t="shared" ca="1" si="216"/>
        <v>-21219737790851.438</v>
      </c>
      <c r="L5919" s="455">
        <f t="shared" ca="1" si="217"/>
        <v>-5113956807595196</v>
      </c>
      <c r="M5919" s="471">
        <f t="shared" si="219"/>
        <v>0.05</v>
      </c>
      <c r="N5919" s="475">
        <f t="shared" si="220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18"/>
        <v>-5113956807595196</v>
      </c>
      <c r="J5920" s="455">
        <f t="array" ref="J5920">IFERROR(INDEX('Retirement Calculator'!J:J,MATCH('Isaac 401k'!N5920,'Retirement Calculator'!A:A,0),0),0)</f>
        <v>0</v>
      </c>
      <c r="K5920" s="455">
        <f t="shared" ca="1" si="216"/>
        <v>-21308153364979.984</v>
      </c>
      <c r="L5920" s="455">
        <f t="shared" ca="1" si="217"/>
        <v>-5135264960960176</v>
      </c>
      <c r="M5920" s="471">
        <f t="shared" si="219"/>
        <v>0.05</v>
      </c>
      <c r="N5920" s="475">
        <f t="shared" si="220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18"/>
        <v>-5135264960960176</v>
      </c>
      <c r="J5921" s="455">
        <f t="array" ref="J5921">IFERROR(INDEX('Retirement Calculator'!J:J,MATCH('Isaac 401k'!N5921,'Retirement Calculator'!A:A,0),0),0)</f>
        <v>0</v>
      </c>
      <c r="K5921" s="455">
        <f t="shared" ca="1" si="216"/>
        <v>-21396937337334.066</v>
      </c>
      <c r="L5921" s="455">
        <f t="shared" ca="1" si="217"/>
        <v>-5156661898297510</v>
      </c>
      <c r="M5921" s="471">
        <f t="shared" si="219"/>
        <v>0.05</v>
      </c>
      <c r="N5921" s="475">
        <f t="shared" si="220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18"/>
        <v>-5156661898297510</v>
      </c>
      <c r="J5922" s="455">
        <f t="array" ref="J5922">IFERROR(INDEX('Retirement Calculator'!J:J,MATCH('Isaac 401k'!N5922,'Retirement Calculator'!A:A,0),0),0)</f>
        <v>0</v>
      </c>
      <c r="K5922" s="455">
        <f t="shared" ca="1" si="216"/>
        <v>-21486091242906.293</v>
      </c>
      <c r="L5922" s="455">
        <f t="shared" ca="1" si="217"/>
        <v>-5178147989540416</v>
      </c>
      <c r="M5922" s="471">
        <f t="shared" si="219"/>
        <v>0.05</v>
      </c>
      <c r="N5922" s="475">
        <f t="shared" si="220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18"/>
        <v>-5178147989540416</v>
      </c>
      <c r="J5923" s="455">
        <f t="array" ref="J5923">IFERROR(INDEX('Retirement Calculator'!J:J,MATCH('Isaac 401k'!N5923,'Retirement Calculator'!A:A,0),0),0)</f>
        <v>0</v>
      </c>
      <c r="K5923" s="455">
        <f t="shared" ca="1" si="216"/>
        <v>-21575616623085.066</v>
      </c>
      <c r="L5923" s="455">
        <f t="shared" ca="1" si="217"/>
        <v>-5199723606163501</v>
      </c>
      <c r="M5923" s="471">
        <f t="shared" si="219"/>
        <v>0.05</v>
      </c>
      <c r="N5923" s="475">
        <f t="shared" si="220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18"/>
        <v>-5199723606163501</v>
      </c>
      <c r="J5924" s="455">
        <f t="array" ref="J5924">IFERROR(INDEX('Retirement Calculator'!J:J,MATCH('Isaac 401k'!N5924,'Retirement Calculator'!A:A,0),0),0)</f>
        <v>0</v>
      </c>
      <c r="K5924" s="455">
        <f t="shared" ca="1" si="216"/>
        <v>-21665515025681.254</v>
      </c>
      <c r="L5924" s="455">
        <f t="shared" ca="1" si="217"/>
        <v>-5221389121189182</v>
      </c>
      <c r="M5924" s="471">
        <f t="shared" si="219"/>
        <v>0.05</v>
      </c>
      <c r="N5924" s="475">
        <f t="shared" si="220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18"/>
        <v>-5221389121189182</v>
      </c>
      <c r="J5925" s="455">
        <f t="array" ref="J5925">IFERROR(INDEX('Retirement Calculator'!J:J,MATCH('Isaac 401k'!N5925,'Retirement Calculator'!A:A,0),0),0)</f>
        <v>0</v>
      </c>
      <c r="K5925" s="455">
        <f t="shared" ca="1" si="216"/>
        <v>-21755788004954.926</v>
      </c>
      <c r="L5925" s="455">
        <f t="shared" ca="1" si="217"/>
        <v>-5243144909194137</v>
      </c>
      <c r="M5925" s="471">
        <f t="shared" si="219"/>
        <v>0.05</v>
      </c>
      <c r="N5925" s="475">
        <f t="shared" si="220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18"/>
        <v>-5243144909194137</v>
      </c>
      <c r="J5926" s="455">
        <f t="array" ref="J5926">IFERROR(INDEX('Retirement Calculator'!J:J,MATCH('Isaac 401k'!N5926,'Retirement Calculator'!A:A,0),0),0)</f>
        <v>0</v>
      </c>
      <c r="K5926" s="455">
        <f t="shared" ca="1" si="216"/>
        <v>-21846437121642.238</v>
      </c>
      <c r="L5926" s="455">
        <f t="shared" ca="1" si="217"/>
        <v>-5264991346315779</v>
      </c>
      <c r="M5926" s="471">
        <f t="shared" si="219"/>
        <v>0.05</v>
      </c>
      <c r="N5926" s="475">
        <f t="shared" si="220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18"/>
        <v>-5264991346315779</v>
      </c>
      <c r="J5927" s="455">
        <f t="array" ref="J5927">IFERROR(INDEX('Retirement Calculator'!J:J,MATCH('Isaac 401k'!N5927,'Retirement Calculator'!A:A,0),0),0)</f>
        <v>0</v>
      </c>
      <c r="K5927" s="455">
        <f t="shared" ca="1" si="216"/>
        <v>-21937463942982.414</v>
      </c>
      <c r="L5927" s="455">
        <f t="shared" ca="1" si="217"/>
        <v>-5286928810258761</v>
      </c>
      <c r="M5927" s="471">
        <f t="shared" si="219"/>
        <v>0.05</v>
      </c>
      <c r="N5927" s="475">
        <f t="shared" si="220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18"/>
        <v>-5286928810258761</v>
      </c>
      <c r="J5928" s="455">
        <f t="array" ref="J5928">IFERROR(INDEX('Retirement Calculator'!J:J,MATCH('Isaac 401k'!N5928,'Retirement Calculator'!A:A,0),0),0)</f>
        <v>0</v>
      </c>
      <c r="K5928" s="455">
        <f t="shared" ca="1" si="216"/>
        <v>-22028870042744.836</v>
      </c>
      <c r="L5928" s="455">
        <f t="shared" ca="1" si="217"/>
        <v>-5308957680301506</v>
      </c>
      <c r="M5928" s="471">
        <f t="shared" si="219"/>
        <v>0.05</v>
      </c>
      <c r="N5928" s="475">
        <f t="shared" si="220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18"/>
        <v>-5308957680301506</v>
      </c>
      <c r="J5929" s="455">
        <f t="array" ref="J5929">IFERROR(INDEX('Retirement Calculator'!J:J,MATCH('Isaac 401k'!N5929,'Retirement Calculator'!A:A,0),0),0)</f>
        <v>0</v>
      </c>
      <c r="K5929" s="455">
        <f t="shared" ca="1" si="216"/>
        <v>-22120657001256.273</v>
      </c>
      <c r="L5929" s="455">
        <f t="shared" ca="1" si="217"/>
        <v>-5331078337302762</v>
      </c>
      <c r="M5929" s="471">
        <f t="shared" si="219"/>
        <v>0.05</v>
      </c>
      <c r="N5929" s="475">
        <f t="shared" si="220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18"/>
        <v>-5331078337302762</v>
      </c>
      <c r="J5930" s="455">
        <f t="array" ref="J5930">IFERROR(INDEX('Retirement Calculator'!J:J,MATCH('Isaac 401k'!N5930,'Retirement Calculator'!A:A,0),0),0)</f>
        <v>0</v>
      </c>
      <c r="K5930" s="455">
        <f t="shared" ca="1" si="216"/>
        <v>-22212826405428.176</v>
      </c>
      <c r="L5930" s="455">
        <f t="shared" ca="1" si="217"/>
        <v>-5353291163708190</v>
      </c>
      <c r="M5930" s="471">
        <f t="shared" si="219"/>
        <v>0.05</v>
      </c>
      <c r="N5930" s="475">
        <f t="shared" si="220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18"/>
        <v>-5353291163708190</v>
      </c>
      <c r="J5931" s="455">
        <f t="array" ref="J5931">IFERROR(INDEX('Retirement Calculator'!J:J,MATCH('Isaac 401k'!N5931,'Retirement Calculator'!A:A,0),0),0)</f>
        <v>0</v>
      </c>
      <c r="K5931" s="455">
        <f t="shared" ca="1" si="216"/>
        <v>-22305379848784.125</v>
      </c>
      <c r="L5931" s="455">
        <f t="shared" ca="1" si="217"/>
        <v>-5375596543556974</v>
      </c>
      <c r="M5931" s="471">
        <f t="shared" si="219"/>
        <v>0.05</v>
      </c>
      <c r="N5931" s="475">
        <f t="shared" si="220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18"/>
        <v>-5375596543556974</v>
      </c>
      <c r="J5932" s="455">
        <f t="array" ref="J5932">IFERROR(INDEX('Retirement Calculator'!J:J,MATCH('Isaac 401k'!N5932,'Retirement Calculator'!A:A,0),0),0)</f>
        <v>0</v>
      </c>
      <c r="K5932" s="455">
        <f t="shared" ca="1" si="216"/>
        <v>-22398318931487.391</v>
      </c>
      <c r="L5932" s="455">
        <f t="shared" ca="1" si="217"/>
        <v>-5397994862488461</v>
      </c>
      <c r="M5932" s="471">
        <f t="shared" si="219"/>
        <v>0.05</v>
      </c>
      <c r="N5932" s="475">
        <f t="shared" si="220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18"/>
        <v>-5397994862488461</v>
      </c>
      <c r="J5933" s="455">
        <f t="array" ref="J5933">IFERROR(INDEX('Retirement Calculator'!J:J,MATCH('Isaac 401k'!N5933,'Retirement Calculator'!A:A,0),0),0)</f>
        <v>0</v>
      </c>
      <c r="K5933" s="455">
        <f t="shared" ca="1" si="216"/>
        <v>-22491645260368.586</v>
      </c>
      <c r="L5933" s="455">
        <f t="shared" ca="1" si="217"/>
        <v>-5420486507748830</v>
      </c>
      <c r="M5933" s="471">
        <f t="shared" si="219"/>
        <v>0.05</v>
      </c>
      <c r="N5933" s="475">
        <f t="shared" si="220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18"/>
        <v>-5420486507748830</v>
      </c>
      <c r="J5934" s="455">
        <f t="array" ref="J5934">IFERROR(INDEX('Retirement Calculator'!J:J,MATCH('Isaac 401k'!N5934,'Retirement Calculator'!A:A,0),0),0)</f>
        <v>0</v>
      </c>
      <c r="K5934" s="455">
        <f t="shared" ca="1" si="216"/>
        <v>-22585360448953.457</v>
      </c>
      <c r="L5934" s="455">
        <f t="shared" ca="1" si="217"/>
        <v>-5443071868197783</v>
      </c>
      <c r="M5934" s="471">
        <f t="shared" si="219"/>
        <v>0.05</v>
      </c>
      <c r="N5934" s="475">
        <f t="shared" si="220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18"/>
        <v>-5443071868197783</v>
      </c>
      <c r="J5935" s="455">
        <f t="array" ref="J5935">IFERROR(INDEX('Retirement Calculator'!J:J,MATCH('Isaac 401k'!N5935,'Retirement Calculator'!A:A,0),0),0)</f>
        <v>0</v>
      </c>
      <c r="K5935" s="455">
        <f t="shared" ca="1" si="216"/>
        <v>-22679466117490.762</v>
      </c>
      <c r="L5935" s="455">
        <f t="shared" ca="1" si="217"/>
        <v>-5465751334315274</v>
      </c>
      <c r="M5935" s="471">
        <f t="shared" si="219"/>
        <v>0.05</v>
      </c>
      <c r="N5935" s="475">
        <f t="shared" si="220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18"/>
        <v>-5465751334315274</v>
      </c>
      <c r="J5936" s="455">
        <f t="array" ref="J5936">IFERROR(INDEX('Retirement Calculator'!J:J,MATCH('Isaac 401k'!N5936,'Retirement Calculator'!A:A,0),0),0)</f>
        <v>0</v>
      </c>
      <c r="K5936" s="455">
        <f t="shared" ca="1" si="216"/>
        <v>-22773963892980.309</v>
      </c>
      <c r="L5936" s="455">
        <f t="shared" ca="1" si="217"/>
        <v>-5488525298208254</v>
      </c>
      <c r="M5936" s="471">
        <f t="shared" si="219"/>
        <v>0.05</v>
      </c>
      <c r="N5936" s="475">
        <f t="shared" si="220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18"/>
        <v>-5488525298208254</v>
      </c>
      <c r="J5937" s="455">
        <f t="array" ref="J5937">IFERROR(INDEX('Retirement Calculator'!J:J,MATCH('Isaac 401k'!N5937,'Retirement Calculator'!A:A,0),0),0)</f>
        <v>0</v>
      </c>
      <c r="K5937" s="455">
        <f t="shared" ca="1" si="216"/>
        <v>-22868855409201.059</v>
      </c>
      <c r="L5937" s="455">
        <f t="shared" ca="1" si="217"/>
        <v>-5511394153617455</v>
      </c>
      <c r="M5937" s="471">
        <f t="shared" si="219"/>
        <v>0.05</v>
      </c>
      <c r="N5937" s="475">
        <f t="shared" si="220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18"/>
        <v>-5511394153617455</v>
      </c>
      <c r="J5938" s="455">
        <f t="array" ref="J5938">IFERROR(INDEX('Retirement Calculator'!J:J,MATCH('Isaac 401k'!N5938,'Retirement Calculator'!A:A,0),0),0)</f>
        <v>0</v>
      </c>
      <c r="K5938" s="455">
        <f t="shared" ca="1" si="216"/>
        <v>-22964142306739.395</v>
      </c>
      <c r="L5938" s="455">
        <f t="shared" ca="1" si="217"/>
        <v>-5534358295924194</v>
      </c>
      <c r="M5938" s="471">
        <f t="shared" si="219"/>
        <v>0.05</v>
      </c>
      <c r="N5938" s="475">
        <f t="shared" si="220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18"/>
        <v>-5534358295924194</v>
      </c>
      <c r="J5939" s="455">
        <f t="array" ref="J5939">IFERROR(INDEX('Retirement Calculator'!J:J,MATCH('Isaac 401k'!N5939,'Retirement Calculator'!A:A,0),0),0)</f>
        <v>0</v>
      </c>
      <c r="K5939" s="455">
        <f t="shared" ca="1" si="216"/>
        <v>-23059826233017.477</v>
      </c>
      <c r="L5939" s="455">
        <f t="shared" ca="1" si="217"/>
        <v>-5557418122157211</v>
      </c>
      <c r="M5939" s="471">
        <f t="shared" si="219"/>
        <v>0.05</v>
      </c>
      <c r="N5939" s="475">
        <f t="shared" si="220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18"/>
        <v>-5557418122157211</v>
      </c>
      <c r="J5940" s="455">
        <f t="array" ref="J5940">IFERROR(INDEX('Retirement Calculator'!J:J,MATCH('Isaac 401k'!N5940,'Retirement Calculator'!A:A,0),0),0)</f>
        <v>0</v>
      </c>
      <c r="K5940" s="455">
        <f t="shared" ca="1" si="216"/>
        <v>-23155908842321.711</v>
      </c>
      <c r="L5940" s="455">
        <f t="shared" ca="1" si="217"/>
        <v>-5580574030999533</v>
      </c>
      <c r="M5940" s="471">
        <f t="shared" si="219"/>
        <v>0.05</v>
      </c>
      <c r="N5940" s="475">
        <f t="shared" si="220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18"/>
        <v>-5580574030999533</v>
      </c>
      <c r="J5941" s="455">
        <f t="array" ref="J5941">IFERROR(INDEX('Retirement Calculator'!J:J,MATCH('Isaac 401k'!N5941,'Retirement Calculator'!A:A,0),0),0)</f>
        <v>0</v>
      </c>
      <c r="K5941" s="455">
        <f t="shared" ca="1" si="216"/>
        <v>-23252391795831.387</v>
      </c>
      <c r="L5941" s="455">
        <f t="shared" ca="1" si="217"/>
        <v>-5603826422795364</v>
      </c>
      <c r="M5941" s="471">
        <f t="shared" si="219"/>
        <v>0.05</v>
      </c>
      <c r="N5941" s="475">
        <f t="shared" si="220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18"/>
        <v>-5603826422795364</v>
      </c>
      <c r="J5942" s="455">
        <f t="array" ref="J5942">IFERROR(INDEX('Retirement Calculator'!J:J,MATCH('Isaac 401k'!N5942,'Retirement Calculator'!A:A,0),0),0)</f>
        <v>0</v>
      </c>
      <c r="K5942" s="455">
        <f t="shared" ca="1" si="216"/>
        <v>-23349276761647.352</v>
      </c>
      <c r="L5942" s="455">
        <f t="shared" ca="1" si="217"/>
        <v>-5627175699557011</v>
      </c>
      <c r="M5942" s="471">
        <f t="shared" si="219"/>
        <v>0.05</v>
      </c>
      <c r="N5942" s="475">
        <f t="shared" si="220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18"/>
        <v>-5627175699557011</v>
      </c>
      <c r="J5943" s="455">
        <f t="array" ref="J5943">IFERROR(INDEX('Retirement Calculator'!J:J,MATCH('Isaac 401k'!N5943,'Retirement Calculator'!A:A,0),0),0)</f>
        <v>0</v>
      </c>
      <c r="K5943" s="455">
        <f t="shared" ca="1" si="216"/>
        <v>-23446565414820.879</v>
      </c>
      <c r="L5943" s="455">
        <f t="shared" ca="1" si="217"/>
        <v>-5650622264971832</v>
      </c>
      <c r="M5943" s="471">
        <f t="shared" si="219"/>
        <v>0.05</v>
      </c>
      <c r="N5943" s="475">
        <f t="shared" si="220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18"/>
        <v>-5650622264971832</v>
      </c>
      <c r="J5944" s="455">
        <f t="array" ref="J5944">IFERROR(INDEX('Retirement Calculator'!J:J,MATCH('Isaac 401k'!N5944,'Retirement Calculator'!A:A,0),0),0)</f>
        <v>0</v>
      </c>
      <c r="K5944" s="455">
        <f t="shared" ca="1" si="216"/>
        <v>-23544259437382.633</v>
      </c>
      <c r="L5944" s="455">
        <f t="shared" ca="1" si="217"/>
        <v>-5674166524409215</v>
      </c>
      <c r="M5944" s="471">
        <f t="shared" si="219"/>
        <v>0.05</v>
      </c>
      <c r="N5944" s="475">
        <f t="shared" si="220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18"/>
        <v>-5674166524409215</v>
      </c>
      <c r="J5945" s="455">
        <f t="array" ref="J5945">IFERROR(INDEX('Retirement Calculator'!J:J,MATCH('Isaac 401k'!N5945,'Retirement Calculator'!A:A,0),0),0)</f>
        <v>0</v>
      </c>
      <c r="K5945" s="455">
        <f t="shared" ca="1" si="216"/>
        <v>-23642360518371.73</v>
      </c>
      <c r="L5945" s="455">
        <f t="shared" ca="1" si="217"/>
        <v>-5697808884927587</v>
      </c>
      <c r="M5945" s="471">
        <f t="shared" si="219"/>
        <v>0.05</v>
      </c>
      <c r="N5945" s="475">
        <f t="shared" si="220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18"/>
        <v>-5697808884927587</v>
      </c>
      <c r="J5946" s="455">
        <f t="array" ref="J5946">IFERROR(INDEX('Retirement Calculator'!J:J,MATCH('Isaac 401k'!N5946,'Retirement Calculator'!A:A,0),0),0)</f>
        <v>0</v>
      </c>
      <c r="K5946" s="455">
        <f t="shared" ca="1" si="216"/>
        <v>-23740870353864.945</v>
      </c>
      <c r="L5946" s="455">
        <f t="shared" ca="1" si="217"/>
        <v>-5721549755281452</v>
      </c>
      <c r="M5946" s="471">
        <f t="shared" si="219"/>
        <v>0.05</v>
      </c>
      <c r="N5946" s="475">
        <f t="shared" si="220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18"/>
        <v>-5721549755281452</v>
      </c>
      <c r="J5947" s="455">
        <f t="array" ref="J5947">IFERROR(INDEX('Retirement Calculator'!J:J,MATCH('Isaac 401k'!N5947,'Retirement Calculator'!A:A,0),0),0)</f>
        <v>0</v>
      </c>
      <c r="K5947" s="455">
        <f t="shared" ca="1" si="216"/>
        <v>-23839790647006.051</v>
      </c>
      <c r="L5947" s="455">
        <f t="shared" ca="1" si="217"/>
        <v>-5745389545928458</v>
      </c>
      <c r="M5947" s="471">
        <f t="shared" si="219"/>
        <v>0.05</v>
      </c>
      <c r="N5947" s="475">
        <f t="shared" si="220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18"/>
        <v>-5745389545928458</v>
      </c>
      <c r="J5948" s="455">
        <f t="array" ref="J5948">IFERROR(INDEX('Retirement Calculator'!J:J,MATCH('Isaac 401k'!N5948,'Retirement Calculator'!A:A,0),0),0)</f>
        <v>0</v>
      </c>
      <c r="K5948" s="455">
        <f t="shared" ca="1" si="216"/>
        <v>-23939123108035.242</v>
      </c>
      <c r="L5948" s="455">
        <f t="shared" ca="1" si="217"/>
        <v>-5769328669036493</v>
      </c>
      <c r="M5948" s="471">
        <f t="shared" si="219"/>
        <v>0.05</v>
      </c>
      <c r="N5948" s="475">
        <f t="shared" si="220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18"/>
        <v>-5769328669036493</v>
      </c>
      <c r="J5949" s="455">
        <f t="array" ref="J5949">IFERROR(INDEX('Retirement Calculator'!J:J,MATCH('Isaac 401k'!N5949,'Retirement Calculator'!A:A,0),0),0)</f>
        <v>0</v>
      </c>
      <c r="K5949" s="455">
        <f t="shared" ca="1" si="216"/>
        <v>-24038869454318.719</v>
      </c>
      <c r="L5949" s="455">
        <f t="shared" ca="1" si="217"/>
        <v>-5793367538490812</v>
      </c>
      <c r="M5949" s="471">
        <f t="shared" si="219"/>
        <v>0.05</v>
      </c>
      <c r="N5949" s="475">
        <f t="shared" si="220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18"/>
        <v>-5793367538490812</v>
      </c>
      <c r="J5950" s="455">
        <f t="array" ref="J5950">IFERROR(INDEX('Retirement Calculator'!J:J,MATCH('Isaac 401k'!N5950,'Retirement Calculator'!A:A,0),0),0)</f>
        <v>0</v>
      </c>
      <c r="K5950" s="455">
        <f t="shared" ca="1" si="216"/>
        <v>-24139031410378.383</v>
      </c>
      <c r="L5950" s="455">
        <f t="shared" ca="1" si="217"/>
        <v>-5817506569901190</v>
      </c>
      <c r="M5950" s="471">
        <f t="shared" si="219"/>
        <v>0.05</v>
      </c>
      <c r="N5950" s="475">
        <f t="shared" si="220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18"/>
        <v>-5817506569901190</v>
      </c>
      <c r="J5951" s="455">
        <f t="array" ref="J5951">IFERROR(INDEX('Retirement Calculator'!J:J,MATCH('Isaac 401k'!N5951,'Retirement Calculator'!A:A,0),0),0)</f>
        <v>0</v>
      </c>
      <c r="K5951" s="455">
        <f t="shared" ca="1" si="216"/>
        <v>-24239610707921.625</v>
      </c>
      <c r="L5951" s="455">
        <f t="shared" ca="1" si="217"/>
        <v>-5841746180609112</v>
      </c>
      <c r="M5951" s="471">
        <f t="shared" si="219"/>
        <v>0.05</v>
      </c>
      <c r="N5951" s="475">
        <f t="shared" si="220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18"/>
        <v>-5841746180609112</v>
      </c>
      <c r="J5952" s="455">
        <f t="array" ref="J5952">IFERROR(INDEX('Retirement Calculator'!J:J,MATCH('Isaac 401k'!N5952,'Retirement Calculator'!A:A,0),0),0)</f>
        <v>0</v>
      </c>
      <c r="K5952" s="455">
        <f t="shared" ca="1" si="216"/>
        <v>-24340609085871.301</v>
      </c>
      <c r="L5952" s="455">
        <f t="shared" ca="1" si="217"/>
        <v>-5866086789694983</v>
      </c>
      <c r="M5952" s="471">
        <f t="shared" si="219"/>
        <v>0.05</v>
      </c>
      <c r="N5952" s="475">
        <f t="shared" si="220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18"/>
        <v>-5866086789694983</v>
      </c>
      <c r="J5953" s="455">
        <f t="array" ref="J5953">IFERROR(INDEX('Retirement Calculator'!J:J,MATCH('Isaac 401k'!N5953,'Retirement Calculator'!A:A,0),0),0)</f>
        <v>0</v>
      </c>
      <c r="K5953" s="455">
        <f t="shared" ca="1" si="216"/>
        <v>-24442028290395.762</v>
      </c>
      <c r="L5953" s="455">
        <f t="shared" ca="1" si="217"/>
        <v>-5890528817985379</v>
      </c>
      <c r="M5953" s="471">
        <f t="shared" si="219"/>
        <v>0.05</v>
      </c>
      <c r="N5953" s="475">
        <f t="shared" si="220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18"/>
        <v>-5890528817985379</v>
      </c>
      <c r="J5954" s="455">
        <f t="array" ref="J5954">IFERROR(INDEX('Retirement Calculator'!J:J,MATCH('Isaac 401k'!N5954,'Retirement Calculator'!A:A,0),0),0)</f>
        <v>0</v>
      </c>
      <c r="K5954" s="455">
        <f t="shared" ca="1" si="216"/>
        <v>-24543870074939.078</v>
      </c>
      <c r="L5954" s="455">
        <f t="shared" ca="1" si="217"/>
        <v>-5915072688060318</v>
      </c>
      <c r="M5954" s="471">
        <f t="shared" si="219"/>
        <v>0.05</v>
      </c>
      <c r="N5954" s="475">
        <f t="shared" si="220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18"/>
        <v>-5915072688060318</v>
      </c>
      <c r="J5955" s="455">
        <f t="array" ref="J5955">IFERROR(INDEX('Retirement Calculator'!J:J,MATCH('Isaac 401k'!N5955,'Retirement Calculator'!A:A,0),0),0)</f>
        <v>0</v>
      </c>
      <c r="K5955" s="455">
        <f t="shared" ca="1" si="216"/>
        <v>-24646136200251.324</v>
      </c>
      <c r="L5955" s="455">
        <f t="shared" ca="1" si="217"/>
        <v>-5939718824260569</v>
      </c>
      <c r="M5955" s="471">
        <f t="shared" si="219"/>
        <v>0.05</v>
      </c>
      <c r="N5955" s="475">
        <f t="shared" si="220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18"/>
        <v>-5939718824260569</v>
      </c>
      <c r="J5956" s="455">
        <f t="array" ref="J5956">IFERROR(INDEX('Retirement Calculator'!J:J,MATCH('Isaac 401k'!N5956,'Retirement Calculator'!A:A,0),0),0)</f>
        <v>0</v>
      </c>
      <c r="K5956" s="455">
        <f t="shared" ca="1" si="216"/>
        <v>-24748828434419.039</v>
      </c>
      <c r="L5956" s="455">
        <f t="shared" ca="1" si="217"/>
        <v>-5964467652694988</v>
      </c>
      <c r="M5956" s="471">
        <f t="shared" si="219"/>
        <v>0.05</v>
      </c>
      <c r="N5956" s="475">
        <f t="shared" si="220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18"/>
        <v>-5964467652694988</v>
      </c>
      <c r="J5957" s="455">
        <f t="array" ref="J5957">IFERROR(INDEX('Retirement Calculator'!J:J,MATCH('Isaac 401k'!N5957,'Retirement Calculator'!A:A,0),0),0)</f>
        <v>0</v>
      </c>
      <c r="K5957" s="455">
        <f t="shared" ca="1" si="216"/>
        <v>-24851948552895.781</v>
      </c>
      <c r="L5957" s="455">
        <f t="shared" ca="1" si="217"/>
        <v>-5989319601247884</v>
      </c>
      <c r="M5957" s="471">
        <f t="shared" si="219"/>
        <v>0.05</v>
      </c>
      <c r="N5957" s="475">
        <f t="shared" si="220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18"/>
        <v>-5989319601247884</v>
      </c>
      <c r="J5958" s="455">
        <f t="array" ref="J5958">IFERROR(INDEX('Retirement Calculator'!J:J,MATCH('Isaac 401k'!N5958,'Retirement Calculator'!A:A,0),0),0)</f>
        <v>0</v>
      </c>
      <c r="K5958" s="455">
        <f t="shared" ca="1" si="216"/>
        <v>-24955498338532.852</v>
      </c>
      <c r="L5958" s="455">
        <f t="shared" ca="1" si="217"/>
        <v>-6014275099586417</v>
      </c>
      <c r="M5958" s="471">
        <f t="shared" si="219"/>
        <v>0.05</v>
      </c>
      <c r="N5958" s="475">
        <f t="shared" si="220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18"/>
        <v>-6014275099586417</v>
      </c>
      <c r="J5959" s="455">
        <f t="array" ref="J5959">IFERROR(INDEX('Retirement Calculator'!J:J,MATCH('Isaac 401k'!N5959,'Retirement Calculator'!A:A,0),0),0)</f>
        <v>0</v>
      </c>
      <c r="K5959" s="455">
        <f t="shared" ca="1" si="216"/>
        <v>-25059479581610.07</v>
      </c>
      <c r="L5959" s="455">
        <f t="shared" ca="1" si="217"/>
        <v>-6039334579168027</v>
      </c>
      <c r="M5959" s="471">
        <f t="shared" si="219"/>
        <v>0.05</v>
      </c>
      <c r="N5959" s="475">
        <f t="shared" si="220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18"/>
        <v>-6039334579168027</v>
      </c>
      <c r="J5960" s="455">
        <f t="array" ref="J5960">IFERROR(INDEX('Retirement Calculator'!J:J,MATCH('Isaac 401k'!N5960,'Retirement Calculator'!A:A,0),0),0)</f>
        <v>0</v>
      </c>
      <c r="K5960" s="455">
        <f t="shared" ca="1" si="216"/>
        <v>-25163894079866.777</v>
      </c>
      <c r="L5960" s="455">
        <f t="shared" ca="1" si="217"/>
        <v>-6064498473247894</v>
      </c>
      <c r="M5960" s="471">
        <f t="shared" si="219"/>
        <v>0.05</v>
      </c>
      <c r="N5960" s="475">
        <f t="shared" si="220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18"/>
        <v>-6064498473247894</v>
      </c>
      <c r="J5961" s="455">
        <f t="array" ref="J5961">IFERROR(INDEX('Retirement Calculator'!J:J,MATCH('Isaac 401k'!N5961,'Retirement Calculator'!A:A,0),0),0)</f>
        <v>0</v>
      </c>
      <c r="K5961" s="455">
        <f t="shared" ca="1" si="216"/>
        <v>-25268743638532.891</v>
      </c>
      <c r="L5961" s="455">
        <f t="shared" ca="1" si="217"/>
        <v>-6089767216886427</v>
      </c>
      <c r="M5961" s="471">
        <f t="shared" si="219"/>
        <v>0.05</v>
      </c>
      <c r="N5961" s="475">
        <f t="shared" si="220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18"/>
        <v>-6089767216886427</v>
      </c>
      <c r="J5962" s="455">
        <f t="array" ref="J5962">IFERROR(INDEX('Retirement Calculator'!J:J,MATCH('Isaac 401k'!N5962,'Retirement Calculator'!A:A,0),0),0)</f>
        <v>0</v>
      </c>
      <c r="K5962" s="455">
        <f t="shared" ca="1" si="216"/>
        <v>-25374030070360.113</v>
      </c>
      <c r="L5962" s="455">
        <f t="shared" ca="1" si="217"/>
        <v>-6115141246956787</v>
      </c>
      <c r="M5962" s="471">
        <f t="shared" si="219"/>
        <v>0.05</v>
      </c>
      <c r="N5962" s="475">
        <f t="shared" si="220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18"/>
        <v>-6115141246956787</v>
      </c>
      <c r="J5963" s="455">
        <f t="array" ref="J5963">IFERROR(INDEX('Retirement Calculator'!J:J,MATCH('Isaac 401k'!N5963,'Retirement Calculator'!A:A,0),0),0)</f>
        <v>0</v>
      </c>
      <c r="K5963" s="455">
        <f t="shared" ca="1" si="216"/>
        <v>-25479755195653.277</v>
      </c>
      <c r="L5963" s="455">
        <f t="shared" ca="1" si="217"/>
        <v>-6140621002152440</v>
      </c>
      <c r="M5963" s="471">
        <f t="shared" si="219"/>
        <v>0.05</v>
      </c>
      <c r="N5963" s="475">
        <f t="shared" si="220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18"/>
        <v>-6140621002152440</v>
      </c>
      <c r="J5964" s="455">
        <f t="array" ref="J5964">IFERROR(INDEX('Retirement Calculator'!J:J,MATCH('Isaac 401k'!N5964,'Retirement Calculator'!A:A,0),0),0)</f>
        <v>0</v>
      </c>
      <c r="K5964" s="455">
        <f t="shared" ca="1" si="216"/>
        <v>-25585920842301.832</v>
      </c>
      <c r="L5964" s="455">
        <f t="shared" ca="1" si="217"/>
        <v>-6166206922994742</v>
      </c>
      <c r="M5964" s="471">
        <f t="shared" si="219"/>
        <v>0.05</v>
      </c>
      <c r="N5964" s="475">
        <f t="shared" si="220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18"/>
        <v>-6166206922994742</v>
      </c>
      <c r="J5965" s="455">
        <f t="array" ref="J5965">IFERROR(INDEX('Retirement Calculator'!J:J,MATCH('Isaac 401k'!N5965,'Retirement Calculator'!A:A,0),0),0)</f>
        <v>0</v>
      </c>
      <c r="K5965" s="455">
        <f t="shared" ca="1" si="216"/>
        <v>-25692528845811.426</v>
      </c>
      <c r="L5965" s="455">
        <f t="shared" ca="1" si="217"/>
        <v>-6191899451840553</v>
      </c>
      <c r="M5965" s="471">
        <f t="shared" si="219"/>
        <v>0.05</v>
      </c>
      <c r="N5965" s="475">
        <f t="shared" si="220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18"/>
        <v>-6191899451840553</v>
      </c>
      <c r="J5966" s="455">
        <f t="array" ref="J5966">IFERROR(INDEX('Retirement Calculator'!J:J,MATCH('Isaac 401k'!N5966,'Retirement Calculator'!A:A,0),0),0)</f>
        <v>0</v>
      </c>
      <c r="K5966" s="455">
        <f t="shared" ca="1" si="216"/>
        <v>-25799581049335.637</v>
      </c>
      <c r="L5966" s="455">
        <f t="shared" ca="1" si="217"/>
        <v>-6217699032889889</v>
      </c>
      <c r="M5966" s="471">
        <f t="shared" si="219"/>
        <v>0.05</v>
      </c>
      <c r="N5966" s="475">
        <f t="shared" si="220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18"/>
        <v>-6217699032889889</v>
      </c>
      <c r="J5967" s="455">
        <f t="array" ref="J5967">IFERROR(INDEX('Retirement Calculator'!J:J,MATCH('Isaac 401k'!N5967,'Retirement Calculator'!A:A,0),0),0)</f>
        <v>0</v>
      </c>
      <c r="K5967" s="455">
        <f t="shared" ca="1" si="216"/>
        <v>-25907079303707.871</v>
      </c>
      <c r="L5967" s="455">
        <f t="shared" ca="1" si="217"/>
        <v>-6243606112193597</v>
      </c>
      <c r="M5967" s="471">
        <f t="shared" si="219"/>
        <v>0.05</v>
      </c>
      <c r="N5967" s="475">
        <f t="shared" si="220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18"/>
        <v>-6243606112193597</v>
      </c>
      <c r="J5968" s="455">
        <f t="array" ref="J5968">IFERROR(INDEX('Retirement Calculator'!J:J,MATCH('Isaac 401k'!N5968,'Retirement Calculator'!A:A,0),0),0)</f>
        <v>0</v>
      </c>
      <c r="K5968" s="455">
        <f t="shared" ca="1" si="216"/>
        <v>-26015025467473.32</v>
      </c>
      <c r="L5968" s="455">
        <f t="shared" ca="1" si="217"/>
        <v>-6269621137661070</v>
      </c>
      <c r="M5968" s="471">
        <f t="shared" si="219"/>
        <v>0.05</v>
      </c>
      <c r="N5968" s="475">
        <f t="shared" si="220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18"/>
        <v>-6269621137661070</v>
      </c>
      <c r="J5969" s="455">
        <f t="array" ref="J5969">IFERROR(INDEX('Retirement Calculator'!J:J,MATCH('Isaac 401k'!N5969,'Retirement Calculator'!A:A,0),0),0)</f>
        <v>0</v>
      </c>
      <c r="K5969" s="455">
        <f t="shared" ca="1" si="216"/>
        <v>-26123421406921.125</v>
      </c>
      <c r="L5969" s="455">
        <f t="shared" ca="1" si="217"/>
        <v>-6295744559067991</v>
      </c>
      <c r="M5969" s="471">
        <f t="shared" si="219"/>
        <v>0.05</v>
      </c>
      <c r="N5969" s="475">
        <f t="shared" si="220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18"/>
        <v>-6295744559067991</v>
      </c>
      <c r="J5970" s="455">
        <f t="array" ref="J5970">IFERROR(INDEX('Retirement Calculator'!J:J,MATCH('Isaac 401k'!N5970,'Retirement Calculator'!A:A,0),0),0)</f>
        <v>0</v>
      </c>
      <c r="K5970" s="455">
        <f t="shared" ca="1" si="216"/>
        <v>-26232268996116.629</v>
      </c>
      <c r="L5970" s="455">
        <f t="shared" ca="1" si="217"/>
        <v>-6321976828064108</v>
      </c>
      <c r="M5970" s="471">
        <f t="shared" si="219"/>
        <v>0.05</v>
      </c>
      <c r="N5970" s="475">
        <f t="shared" si="220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18"/>
        <v>-6321976828064108</v>
      </c>
      <c r="J5971" s="455">
        <f t="array" ref="J5971">IFERROR(INDEX('Retirement Calculator'!J:J,MATCH('Isaac 401k'!N5971,'Retirement Calculator'!A:A,0),0),0)</f>
        <v>0</v>
      </c>
      <c r="K5971" s="455">
        <f t="shared" ca="1" si="216"/>
        <v>-26341570116933.781</v>
      </c>
      <c r="L5971" s="455">
        <f t="shared" ca="1" si="217"/>
        <v>-6348318398181042</v>
      </c>
      <c r="M5971" s="471">
        <f t="shared" si="219"/>
        <v>0.05</v>
      </c>
      <c r="N5971" s="475">
        <f t="shared" si="220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18"/>
        <v>-6348318398181042</v>
      </c>
      <c r="J5972" s="455">
        <f t="array" ref="J5972">IFERROR(INDEX('Retirement Calculator'!J:J,MATCH('Isaac 401k'!N5972,'Retirement Calculator'!A:A,0),0),0)</f>
        <v>0</v>
      </c>
      <c r="K5972" s="455">
        <f t="shared" ca="1" si="216"/>
        <v>-26451326659087.676</v>
      </c>
      <c r="L5972" s="455">
        <f t="shared" ca="1" si="217"/>
        <v>-6374769724840130</v>
      </c>
      <c r="M5972" s="471">
        <f t="shared" si="219"/>
        <v>0.05</v>
      </c>
      <c r="N5972" s="475">
        <f t="shared" si="220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18"/>
        <v>-6374769724840130</v>
      </c>
      <c r="J5973" s="455">
        <f t="array" ref="J5973">IFERROR(INDEX('Retirement Calculator'!J:J,MATCH('Isaac 401k'!N5973,'Retirement Calculator'!A:A,0),0),0)</f>
        <v>0</v>
      </c>
      <c r="K5973" s="455">
        <f t="shared" ca="1" si="216"/>
        <v>-26561540520167.207</v>
      </c>
      <c r="L5973" s="455">
        <f t="shared" ca="1" si="217"/>
        <v>-6401331265360297</v>
      </c>
      <c r="M5973" s="471">
        <f t="shared" si="219"/>
        <v>0.05</v>
      </c>
      <c r="N5973" s="475">
        <f t="shared" si="220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18"/>
        <v>-6401331265360297</v>
      </c>
      <c r="J5974" s="455">
        <f t="array" ref="J5974">IFERROR(INDEX('Retirement Calculator'!J:J,MATCH('Isaac 401k'!N5974,'Retirement Calculator'!A:A,0),0),0)</f>
        <v>0</v>
      </c>
      <c r="K5974" s="455">
        <f t="shared" ca="1" si="216"/>
        <v>-26672213605667.902</v>
      </c>
      <c r="L5974" s="455">
        <f t="shared" ca="1" si="217"/>
        <v>-6428003478965965</v>
      </c>
      <c r="M5974" s="471">
        <f t="shared" si="219"/>
        <v>0.05</v>
      </c>
      <c r="N5974" s="475">
        <f t="shared" si="220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18"/>
        <v>-6428003478965965</v>
      </c>
      <c r="J5975" s="455">
        <f t="array" ref="J5975">IFERROR(INDEX('Retirement Calculator'!J:J,MATCH('Isaac 401k'!N5975,'Retirement Calculator'!A:A,0),0),0)</f>
        <v>0</v>
      </c>
      <c r="K5975" s="455">
        <f t="shared" ca="1" si="216"/>
        <v>-26783347829024.855</v>
      </c>
      <c r="L5975" s="455">
        <f t="shared" ca="1" si="217"/>
        <v>-6454786826794990</v>
      </c>
      <c r="M5975" s="471">
        <f t="shared" si="219"/>
        <v>0.05</v>
      </c>
      <c r="N5975" s="475">
        <f t="shared" si="220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18"/>
        <v>-6454786826794990</v>
      </c>
      <c r="J5976" s="455">
        <f t="array" ref="J5976">IFERROR(INDEX('Retirement Calculator'!J:J,MATCH('Isaac 401k'!N5976,'Retirement Calculator'!A:A,0),0),0)</f>
        <v>0</v>
      </c>
      <c r="K5976" s="455">
        <f t="shared" ca="1" si="216"/>
        <v>-26894945111645.793</v>
      </c>
      <c r="L5976" s="455">
        <f t="shared" ca="1" si="217"/>
        <v>-6481681771906636</v>
      </c>
      <c r="M5976" s="471">
        <f t="shared" si="219"/>
        <v>0.05</v>
      </c>
      <c r="N5976" s="475">
        <f t="shared" si="220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18"/>
        <v>-6481681771906636</v>
      </c>
      <c r="J5977" s="455">
        <f t="array" ref="J5977">IFERROR(INDEX('Retirement Calculator'!J:J,MATCH('Isaac 401k'!N5977,'Retirement Calculator'!A:A,0),0),0)</f>
        <v>0</v>
      </c>
      <c r="K5977" s="455">
        <f t="shared" ca="1" si="216"/>
        <v>-27007007382944.316</v>
      </c>
      <c r="L5977" s="455">
        <f t="shared" ca="1" si="217"/>
        <v>-6508688779289580</v>
      </c>
      <c r="M5977" s="471">
        <f t="shared" si="219"/>
        <v>0.05</v>
      </c>
      <c r="N5977" s="475">
        <f t="shared" si="220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18"/>
        <v>-6508688779289580</v>
      </c>
      <c r="J5978" s="455">
        <f t="array" ref="J5978">IFERROR(INDEX('Retirement Calculator'!J:J,MATCH('Isaac 401k'!N5978,'Retirement Calculator'!A:A,0),0),0)</f>
        <v>0</v>
      </c>
      <c r="K5978" s="455">
        <f t="shared" ca="1" si="216"/>
        <v>-27119536580373.25</v>
      </c>
      <c r="L5978" s="455">
        <f t="shared" ca="1" si="217"/>
        <v>-6535808315869953</v>
      </c>
      <c r="M5978" s="471">
        <f t="shared" si="219"/>
        <v>0.05</v>
      </c>
      <c r="N5978" s="475">
        <f t="shared" si="220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18"/>
        <v>-6535808315869953</v>
      </c>
      <c r="J5979" s="455">
        <f t="array" ref="J5979">IFERROR(INDEX('Retirement Calculator'!J:J,MATCH('Isaac 401k'!N5979,'Retirement Calculator'!A:A,0),0),0)</f>
        <v>0</v>
      </c>
      <c r="K5979" s="455">
        <f t="shared" ca="1" si="216"/>
        <v>-27232534649458.137</v>
      </c>
      <c r="L5979" s="455">
        <f t="shared" ca="1" si="217"/>
        <v>-6563040850519411</v>
      </c>
      <c r="M5979" s="471">
        <f t="shared" si="219"/>
        <v>0.05</v>
      </c>
      <c r="N5979" s="475">
        <f t="shared" si="220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18"/>
        <v>-6563040850519411</v>
      </c>
      <c r="J5980" s="455">
        <f t="array" ref="J5980">IFERROR(INDEX('Retirement Calculator'!J:J,MATCH('Isaac 401k'!N5980,'Retirement Calculator'!A:A,0),0),0)</f>
        <v>0</v>
      </c>
      <c r="K5980" s="455">
        <f t="shared" ca="1" si="216"/>
        <v>-27346003543830.879</v>
      </c>
      <c r="L5980" s="455">
        <f t="shared" ca="1" si="217"/>
        <v>-6590386854063242</v>
      </c>
      <c r="M5980" s="471">
        <f t="shared" si="219"/>
        <v>0.05</v>
      </c>
      <c r="N5980" s="475">
        <f t="shared" si="220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18"/>
        <v>-6590386854063242</v>
      </c>
      <c r="J5981" s="455">
        <f t="array" ref="J5981">IFERROR(INDEX('Retirement Calculator'!J:J,MATCH('Isaac 401k'!N5981,'Retirement Calculator'!A:A,0),0),0)</f>
        <v>0</v>
      </c>
      <c r="K5981" s="455">
        <f t="shared" ca="1" si="216"/>
        <v>-27459945225263.508</v>
      </c>
      <c r="L5981" s="455">
        <f t="shared" ca="1" si="217"/>
        <v>-6617846799288506</v>
      </c>
      <c r="M5981" s="471">
        <f t="shared" si="219"/>
        <v>0.05</v>
      </c>
      <c r="N5981" s="475">
        <f t="shared" si="220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18"/>
        <v>-6617846799288506</v>
      </c>
      <c r="J5982" s="455">
        <f t="array" ref="J5982">IFERROR(INDEX('Retirement Calculator'!J:J,MATCH('Isaac 401k'!N5982,'Retirement Calculator'!A:A,0),0),0)</f>
        <v>0</v>
      </c>
      <c r="K5982" s="455">
        <f t="shared" ca="1" si="216"/>
        <v>-27574361663702.109</v>
      </c>
      <c r="L5982" s="455">
        <f t="shared" ca="1" si="217"/>
        <v>-6645421160952208</v>
      </c>
      <c r="M5982" s="471">
        <f t="shared" si="219"/>
        <v>0.05</v>
      </c>
      <c r="N5982" s="475">
        <f t="shared" si="220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18"/>
        <v>-6645421160952208</v>
      </c>
      <c r="J5983" s="455">
        <f t="array" ref="J5983">IFERROR(INDEX('Retirement Calculator'!J:J,MATCH('Isaac 401k'!N5983,'Retirement Calculator'!A:A,0),0),0)</f>
        <v>0</v>
      </c>
      <c r="K5983" s="455">
        <f t="shared" ca="1" si="216"/>
        <v>-27689254837300.867</v>
      </c>
      <c r="L5983" s="455">
        <f t="shared" ca="1" si="217"/>
        <v>-6673110415789509</v>
      </c>
      <c r="M5983" s="471">
        <f t="shared" si="219"/>
        <v>0.05</v>
      </c>
      <c r="N5983" s="475">
        <f t="shared" si="220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18"/>
        <v>-6673110415789509</v>
      </c>
      <c r="J5984" s="455">
        <f t="array" ref="J5984">IFERROR(INDEX('Retirement Calculator'!J:J,MATCH('Isaac 401k'!N5984,'Retirement Calculator'!A:A,0),0),0)</f>
        <v>0</v>
      </c>
      <c r="K5984" s="455">
        <f t="shared" ca="1" si="216"/>
        <v>-27804626732456.289</v>
      </c>
      <c r="L5984" s="455">
        <f t="shared" ca="1" si="217"/>
        <v>-6700915042521965</v>
      </c>
      <c r="M5984" s="471">
        <f t="shared" si="219"/>
        <v>0.05</v>
      </c>
      <c r="N5984" s="475">
        <f t="shared" si="220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18"/>
        <v>-6700915042521965</v>
      </c>
      <c r="J5985" s="455">
        <f t="array" ref="J5985">IFERROR(INDEX('Retirement Calculator'!J:J,MATCH('Isaac 401k'!N5985,'Retirement Calculator'!A:A,0),0),0)</f>
        <v>0</v>
      </c>
      <c r="K5985" s="455">
        <f t="shared" ca="1" si="216"/>
        <v>-27920479343841.52</v>
      </c>
      <c r="L5985" s="455">
        <f t="shared" ca="1" si="217"/>
        <v>-6728835521865807</v>
      </c>
      <c r="M5985" s="471">
        <f t="shared" si="219"/>
        <v>0.05</v>
      </c>
      <c r="N5985" s="475">
        <f t="shared" si="220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18"/>
        <v>-6728835521865807</v>
      </c>
      <c r="J5986" s="455">
        <f t="array" ref="J5986">IFERROR(INDEX('Retirement Calculator'!J:J,MATCH('Isaac 401k'!N5986,'Retirement Calculator'!A:A,0),0),0)</f>
        <v>0</v>
      </c>
      <c r="K5986" s="455">
        <f t="shared" ca="1" si="216"/>
        <v>-28036814674440.863</v>
      </c>
      <c r="L5986" s="455">
        <f t="shared" ca="1" si="217"/>
        <v>-6756872336540248</v>
      </c>
      <c r="M5986" s="471">
        <f t="shared" si="219"/>
        <v>0.05</v>
      </c>
      <c r="N5986" s="475">
        <f t="shared" si="220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18"/>
        <v>-6756872336540248</v>
      </c>
      <c r="J5987" s="455">
        <f t="array" ref="J5987">IFERROR(INDEX('Retirement Calculator'!J:J,MATCH('Isaac 401k'!N5987,'Retirement Calculator'!A:A,0),0),0)</f>
        <v>0</v>
      </c>
      <c r="K5987" s="455">
        <f t="shared" ca="1" si="216"/>
        <v>-28153634735584.367</v>
      </c>
      <c r="L5987" s="455">
        <f t="shared" ca="1" si="217"/>
        <v>-6785025971275832</v>
      </c>
      <c r="M5987" s="471">
        <f t="shared" si="219"/>
        <v>0.05</v>
      </c>
      <c r="N5987" s="475">
        <f t="shared" si="220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18"/>
        <v>-6785025971275832</v>
      </c>
      <c r="J5988" s="455">
        <f t="array" ref="J5988">IFERROR(INDEX('Retirement Calculator'!J:J,MATCH('Isaac 401k'!N5988,'Retirement Calculator'!A:A,0),0),0)</f>
        <v>0</v>
      </c>
      <c r="K5988" s="455">
        <f t="shared" ca="1" si="216"/>
        <v>-28270941546982.633</v>
      </c>
      <c r="L5988" s="455">
        <f t="shared" ca="1" si="217"/>
        <v>-6813296912822815</v>
      </c>
      <c r="M5988" s="471">
        <f t="shared" si="219"/>
        <v>0.05</v>
      </c>
      <c r="N5988" s="475">
        <f t="shared" si="220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18"/>
        <v>-6813296912822815</v>
      </c>
      <c r="J5989" s="455">
        <f t="array" ref="J5989">IFERROR(INDEX('Retirement Calculator'!J:J,MATCH('Isaac 401k'!N5989,'Retirement Calculator'!A:A,0),0),0)</f>
        <v>0</v>
      </c>
      <c r="K5989" s="455">
        <f t="shared" ca="1" si="216"/>
        <v>-28388737136761.73</v>
      </c>
      <c r="L5989" s="455">
        <f t="shared" ca="1" si="217"/>
        <v>-6841685649959577</v>
      </c>
      <c r="M5989" s="471">
        <f t="shared" si="219"/>
        <v>0.05</v>
      </c>
      <c r="N5989" s="475">
        <f t="shared" si="220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18"/>
        <v>-6841685649959577</v>
      </c>
      <c r="J5990" s="455">
        <f t="array" ref="J5990">IFERROR(INDEX('Retirement Calculator'!J:J,MATCH('Isaac 401k'!N5990,'Retirement Calculator'!A:A,0),0),0)</f>
        <v>0</v>
      </c>
      <c r="K5990" s="455">
        <f t="shared" ca="1" si="216"/>
        <v>-28507023541498.238</v>
      </c>
      <c r="L5990" s="455">
        <f t="shared" ca="1" si="217"/>
        <v>-6870192673501075</v>
      </c>
      <c r="M5990" s="471">
        <f t="shared" si="219"/>
        <v>0.05</v>
      </c>
      <c r="N5990" s="475">
        <f t="shared" si="220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18"/>
        <v>-6870192673501075</v>
      </c>
      <c r="J5991" s="455">
        <f t="array" ref="J5991">IFERROR(INDEX('Retirement Calculator'!J:J,MATCH('Isaac 401k'!N5991,'Retirement Calculator'!A:A,0),0),0)</f>
        <v>0</v>
      </c>
      <c r="K5991" s="455">
        <f t="shared" ca="1" si="216"/>
        <v>-28625802806254.48</v>
      </c>
      <c r="L5991" s="455">
        <f t="shared" ca="1" si="217"/>
        <v>-6898818476307329</v>
      </c>
      <c r="M5991" s="471">
        <f t="shared" si="219"/>
        <v>0.05</v>
      </c>
      <c r="N5991" s="475">
        <f t="shared" si="220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18"/>
        <v>-6898818476307329</v>
      </c>
      <c r="J5992" s="455">
        <f t="array" ref="J5992">IFERROR(INDEX('Retirement Calculator'!J:J,MATCH('Isaac 401k'!N5992,'Retirement Calculator'!A:A,0),0),0)</f>
        <v>0</v>
      </c>
      <c r="K5992" s="455">
        <f t="shared" ca="1" si="216"/>
        <v>-28745076984613.871</v>
      </c>
      <c r="L5992" s="455">
        <f t="shared" ca="1" si="217"/>
        <v>-6927563553291943</v>
      </c>
      <c r="M5992" s="471">
        <f t="shared" si="219"/>
        <v>0.05</v>
      </c>
      <c r="N5992" s="475">
        <f t="shared" si="220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18"/>
        <v>-6927563553291943</v>
      </c>
      <c r="J5993" s="455">
        <f t="array" ref="J5993">IFERROR(INDEX('Retirement Calculator'!J:J,MATCH('Isaac 401k'!N5993,'Retirement Calculator'!A:A,0),0),0)</f>
        <v>0</v>
      </c>
      <c r="K5993" s="455">
        <f t="shared" ca="1" si="216"/>
        <v>-28864848138716.43</v>
      </c>
      <c r="L5993" s="455">
        <f t="shared" ca="1" si="217"/>
        <v>-6956428401430659</v>
      </c>
      <c r="M5993" s="471">
        <f t="shared" si="219"/>
        <v>0.05</v>
      </c>
      <c r="N5993" s="475">
        <f t="shared" si="220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18"/>
        <v>-6956428401430659</v>
      </c>
      <c r="J5994" s="455">
        <f t="array" ref="J5994">IFERROR(INDEX('Retirement Calculator'!J:J,MATCH('Isaac 401k'!N5994,'Retirement Calculator'!A:A,0),0),0)</f>
        <v>0</v>
      </c>
      <c r="K5994" s="455">
        <f t="shared" ca="1" si="216"/>
        <v>-28985118339294.41</v>
      </c>
      <c r="L5994" s="455">
        <f t="shared" ca="1" si="217"/>
        <v>-6985413519769953</v>
      </c>
      <c r="M5994" s="471">
        <f t="shared" si="219"/>
        <v>0.05</v>
      </c>
      <c r="N5994" s="475">
        <f t="shared" si="220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18"/>
        <v>-6985413519769953</v>
      </c>
      <c r="J5995" s="455">
        <f t="array" ref="J5995">IFERROR(INDEX('Retirement Calculator'!J:J,MATCH('Isaac 401k'!N5995,'Retirement Calculator'!A:A,0),0),0)</f>
        <v>0</v>
      </c>
      <c r="K5995" s="455">
        <f t="shared" ca="1" si="216"/>
        <v>-29105889665708.137</v>
      </c>
      <c r="L5995" s="455">
        <f t="shared" ca="1" si="217"/>
        <v>-7014519409435661</v>
      </c>
      <c r="M5995" s="471">
        <f t="shared" si="219"/>
        <v>0.05</v>
      </c>
      <c r="N5995" s="475">
        <f t="shared" si="220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18"/>
        <v>-7014519409435661</v>
      </c>
      <c r="J5996" s="455">
        <f t="array" ref="J5996">IFERROR(INDEX('Retirement Calculator'!J:J,MATCH('Isaac 401k'!N5996,'Retirement Calculator'!A:A,0),0),0)</f>
        <v>0</v>
      </c>
      <c r="K5996" s="455">
        <f t="shared" ca="1" si="216"/>
        <v>-29227164205981.922</v>
      </c>
      <c r="L5996" s="455">
        <f t="shared" ca="1" si="217"/>
        <v>-7043746573641643</v>
      </c>
      <c r="M5996" s="471">
        <f t="shared" si="219"/>
        <v>0.05</v>
      </c>
      <c r="N5996" s="475">
        <f t="shared" si="220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18"/>
        <v>-7043746573641643</v>
      </c>
      <c r="J5997" s="455">
        <f t="array" ref="J5997">IFERROR(INDEX('Retirement Calculator'!J:J,MATCH('Isaac 401k'!N5997,'Retirement Calculator'!A:A,0),0),0)</f>
        <v>0</v>
      </c>
      <c r="K5997" s="455">
        <f t="shared" ca="1" si="216"/>
        <v>-29348944056840.18</v>
      </c>
      <c r="L5997" s="455">
        <f t="shared" ca="1" si="217"/>
        <v>-7073095517698483</v>
      </c>
      <c r="M5997" s="471">
        <f t="shared" si="219"/>
        <v>0.05</v>
      </c>
      <c r="N5997" s="475">
        <f t="shared" si="220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18"/>
        <v>-7073095517698483</v>
      </c>
      <c r="J5998" s="455">
        <f t="array" ref="J5998">IFERROR(INDEX('Retirement Calculator'!J:J,MATCH('Isaac 401k'!N5998,'Retirement Calculator'!A:A,0),0),0)</f>
        <v>0</v>
      </c>
      <c r="K5998" s="455">
        <f t="shared" ca="1" si="216"/>
        <v>-29471231323743.68</v>
      </c>
      <c r="L5998" s="455">
        <f t="shared" ca="1" si="217"/>
        <v>-7102566749022227</v>
      </c>
      <c r="M5998" s="471">
        <f t="shared" si="219"/>
        <v>0.05</v>
      </c>
      <c r="N5998" s="475">
        <f t="shared" si="220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18"/>
        <v>-7102566749022227</v>
      </c>
      <c r="J5999" s="455">
        <f t="array" ref="J5999">IFERROR(INDEX('Retirement Calculator'!J:J,MATCH('Isaac 401k'!N5999,'Retirement Calculator'!A:A,0),0),0)</f>
        <v>0</v>
      </c>
      <c r="K5999" s="455">
        <f t="shared" ca="1" si="216"/>
        <v>-29594028120925.949</v>
      </c>
      <c r="L5999" s="455">
        <f t="shared" ca="1" si="217"/>
        <v>-7132160777143153</v>
      </c>
      <c r="M5999" s="471">
        <f t="shared" si="219"/>
        <v>0.05</v>
      </c>
      <c r="N5999" s="475">
        <f t="shared" si="220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18"/>
        <v>-7132160777143153</v>
      </c>
      <c r="J6000" s="455">
        <f t="array" ref="J6000">IFERROR(INDEX('Retirement Calculator'!J:J,MATCH('Isaac 401k'!N6000,'Retirement Calculator'!A:A,0),0),0)</f>
        <v>0</v>
      </c>
      <c r="K6000" s="455">
        <f t="shared" ca="1" si="216"/>
        <v>-29717336571429.805</v>
      </c>
      <c r="L6000" s="455">
        <f t="shared" ca="1" si="217"/>
        <v>-7161878113714583</v>
      </c>
      <c r="M6000" s="471">
        <f t="shared" si="219"/>
        <v>0.05</v>
      </c>
      <c r="N6000" s="475">
        <f t="shared" si="220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18"/>
        <v>-7161878113714583</v>
      </c>
      <c r="J6001" s="455">
        <f t="array" ref="J6001">IFERROR(INDEX('Retirement Calculator'!J:J,MATCH('Isaac 401k'!N6001,'Retirement Calculator'!A:A,0),0),0)</f>
        <v>0</v>
      </c>
      <c r="K6001" s="455">
        <f t="shared" ca="1" si="216"/>
        <v>-29841158807144.098</v>
      </c>
      <c r="L6001" s="455">
        <f t="shared" ca="1" si="217"/>
        <v>-7191719272521727</v>
      </c>
      <c r="M6001" s="471">
        <f t="shared" si="219"/>
        <v>0.05</v>
      </c>
      <c r="N6001" s="475">
        <f t="shared" si="220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18"/>
        <v>-7191719272521727</v>
      </c>
      <c r="J6002" s="455">
        <f t="array" ref="J6002">IFERROR(INDEX('Retirement Calculator'!J:J,MATCH('Isaac 401k'!N6002,'Retirement Calculator'!A:A,0),0),0)</f>
        <v>0</v>
      </c>
      <c r="K6002" s="455">
        <f t="shared" ca="1" si="216"/>
        <v>-29965496968840.531</v>
      </c>
      <c r="L6002" s="455">
        <f t="shared" ca="1" si="217"/>
        <v>-7221684769490568</v>
      </c>
      <c r="M6002" s="471">
        <f t="shared" si="219"/>
        <v>0.05</v>
      </c>
      <c r="N6002" s="475">
        <f t="shared" si="220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18"/>
        <v>-7221684769490568</v>
      </c>
      <c r="J6003" s="455">
        <f t="array" ref="J6003">IFERROR(INDEX('Retirement Calculator'!J:J,MATCH('Isaac 401k'!N6003,'Retirement Calculator'!A:A,0),0),0)</f>
        <v>0</v>
      </c>
      <c r="K6003" s="455">
        <f t="shared" ca="1" si="216"/>
        <v>-30090353206210.699</v>
      </c>
      <c r="L6003" s="455">
        <f t="shared" ca="1" si="217"/>
        <v>-7251775122696779</v>
      </c>
      <c r="M6003" s="471">
        <f t="shared" si="219"/>
        <v>0.05</v>
      </c>
      <c r="N6003" s="475">
        <f t="shared" si="220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18"/>
        <v>-7251775122696779</v>
      </c>
      <c r="J6004" s="455">
        <f t="array" ref="J6004">IFERROR(INDEX('Retirement Calculator'!J:J,MATCH('Isaac 401k'!N6004,'Retirement Calculator'!A:A,0),0),0)</f>
        <v>0</v>
      </c>
      <c r="K6004" s="455">
        <f t="shared" ca="1" si="216"/>
        <v>-30215729677903.246</v>
      </c>
      <c r="L6004" s="455">
        <f t="shared" ca="1" si="217"/>
        <v>-7281990852374682</v>
      </c>
      <c r="M6004" s="471">
        <f t="shared" si="219"/>
        <v>0.05</v>
      </c>
      <c r="N6004" s="475">
        <f t="shared" si="220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18"/>
        <v>-7281990852374682</v>
      </c>
      <c r="J6005" s="455">
        <f t="array" ref="J6005">IFERROR(INDEX('Retirement Calculator'!J:J,MATCH('Isaac 401k'!N6005,'Retirement Calculator'!A:A,0),0),0)</f>
        <v>0</v>
      </c>
      <c r="K6005" s="455">
        <f t="shared" ca="1" si="216"/>
        <v>-30341628551561.18</v>
      </c>
      <c r="L6005" s="455">
        <f t="shared" ca="1" si="217"/>
        <v>-7312332480926243</v>
      </c>
      <c r="M6005" s="471">
        <f t="shared" si="219"/>
        <v>0.05</v>
      </c>
      <c r="N6005" s="475">
        <f t="shared" si="220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18"/>
        <v>-7312332480926243</v>
      </c>
      <c r="J6006" s="455">
        <f t="array" ref="J6006">IFERROR(INDEX('Retirement Calculator'!J:J,MATCH('Isaac 401k'!N6006,'Retirement Calculator'!A:A,0),0),0)</f>
        <v>0</v>
      </c>
      <c r="K6006" s="455">
        <f t="shared" ca="1" si="216"/>
        <v>-30468052003859.344</v>
      </c>
      <c r="L6006" s="455">
        <f t="shared" ca="1" si="217"/>
        <v>-7342800532930102</v>
      </c>
      <c r="M6006" s="471">
        <f t="shared" si="219"/>
        <v>0.05</v>
      </c>
      <c r="N6006" s="475">
        <f t="shared" si="220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18"/>
        <v>-7342800532930102</v>
      </c>
      <c r="J6007" s="455">
        <f t="array" ref="J6007">IFERROR(INDEX('Retirement Calculator'!J:J,MATCH('Isaac 401k'!N6007,'Retirement Calculator'!A:A,0),0),0)</f>
        <v>0</v>
      </c>
      <c r="K6007" s="455">
        <f t="shared" ca="1" si="216"/>
        <v>-30595002220542.09</v>
      </c>
      <c r="L6007" s="455">
        <f t="shared" ca="1" si="217"/>
        <v>-7373395535150644</v>
      </c>
      <c r="M6007" s="471">
        <f t="shared" si="219"/>
        <v>0.05</v>
      </c>
      <c r="N6007" s="475">
        <f t="shared" si="220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18"/>
        <v>-7373395535150644</v>
      </c>
      <c r="J6008" s="455">
        <f t="array" ref="J6008">IFERROR(INDEX('Retirement Calculator'!J:J,MATCH('Isaac 401k'!N6008,'Retirement Calculator'!A:A,0),0),0)</f>
        <v>0</v>
      </c>
      <c r="K6008" s="455">
        <f t="shared" ca="1" si="216"/>
        <v>-30722481396461.016</v>
      </c>
      <c r="L6008" s="455">
        <f t="shared" ca="1" si="217"/>
        <v>-7404118016547105</v>
      </c>
      <c r="M6008" s="471">
        <f t="shared" si="219"/>
        <v>0.05</v>
      </c>
      <c r="N6008" s="475">
        <f t="shared" si="220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18"/>
        <v>-7404118016547105</v>
      </c>
      <c r="J6009" s="455">
        <f t="array" ref="J6009">IFERROR(INDEX('Retirement Calculator'!J:J,MATCH('Isaac 401k'!N6009,'Retirement Calculator'!A:A,0),0),0)</f>
        <v>0</v>
      </c>
      <c r="K6009" s="455">
        <f t="shared" ca="1" si="216"/>
        <v>-30850491735612.934</v>
      </c>
      <c r="L6009" s="455">
        <f t="shared" ca="1" si="217"/>
        <v>-7434968508282718</v>
      </c>
      <c r="M6009" s="471">
        <f t="shared" si="219"/>
        <v>0.05</v>
      </c>
      <c r="N6009" s="475">
        <f t="shared" si="220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18"/>
        <v>-7434968508282718</v>
      </c>
      <c r="J6010" s="455">
        <f t="array" ref="J6010">IFERROR(INDEX('Retirement Calculator'!J:J,MATCH('Isaac 401k'!N6010,'Retirement Calculator'!A:A,0),0),0)</f>
        <v>0</v>
      </c>
      <c r="K6010" s="455">
        <f t="shared" ca="1" si="216"/>
        <v>-30979035451177.996</v>
      </c>
      <c r="L6010" s="455">
        <f t="shared" ca="1" si="217"/>
        <v>-7465947543733896</v>
      </c>
      <c r="M6010" s="471">
        <f t="shared" si="219"/>
        <v>0.05</v>
      </c>
      <c r="N6010" s="475">
        <f t="shared" si="220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18"/>
        <v>-7465947543733896</v>
      </c>
      <c r="J6011" s="455">
        <f t="array" ref="J6011">IFERROR(INDEX('Retirement Calculator'!J:J,MATCH('Isaac 401k'!N6011,'Retirement Calculator'!A:A,0),0),0)</f>
        <v>0</v>
      </c>
      <c r="K6011" s="455">
        <f t="shared" ca="1" si="216"/>
        <v>-31108114765557.898</v>
      </c>
      <c r="L6011" s="455">
        <f t="shared" ca="1" si="217"/>
        <v>-7497055658499454</v>
      </c>
      <c r="M6011" s="471">
        <f t="shared" si="219"/>
        <v>0.05</v>
      </c>
      <c r="N6011" s="475">
        <f t="shared" si="220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18"/>
        <v>-7497055658499454</v>
      </c>
      <c r="J6012" s="455">
        <f t="array" ref="J6012">IFERROR(INDEX('Retirement Calculator'!J:J,MATCH('Isaac 401k'!N6012,'Retirement Calculator'!A:A,0),0),0)</f>
        <v>0</v>
      </c>
      <c r="K6012" s="455">
        <f t="shared" ca="1" si="216"/>
        <v>-31237731910414.387</v>
      </c>
      <c r="L6012" s="455">
        <f t="shared" ca="1" si="217"/>
        <v>-7528293390409868</v>
      </c>
      <c r="M6012" s="471">
        <f t="shared" si="219"/>
        <v>0.05</v>
      </c>
      <c r="N6012" s="475">
        <f t="shared" si="220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18"/>
        <v>-7528293390409868</v>
      </c>
      <c r="J6013" s="455">
        <f t="array" ref="J6013">IFERROR(INDEX('Retirement Calculator'!J:J,MATCH('Isaac 401k'!N6013,'Retirement Calculator'!A:A,0),0),0)</f>
        <v>0</v>
      </c>
      <c r="K6013" s="455">
        <f t="shared" ca="1" si="216"/>
        <v>-31367889126707.781</v>
      </c>
      <c r="L6013" s="455">
        <f t="shared" ca="1" si="217"/>
        <v>-7559661279536576</v>
      </c>
      <c r="M6013" s="471">
        <f t="shared" si="219"/>
        <v>0.05</v>
      </c>
      <c r="N6013" s="475">
        <f t="shared" si="220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18"/>
        <v>-7559661279536576</v>
      </c>
      <c r="J6014" s="455">
        <f t="array" ref="J6014">IFERROR(INDEX('Retirement Calculator'!J:J,MATCH('Isaac 401k'!N6014,'Retirement Calculator'!A:A,0),0),0)</f>
        <v>0</v>
      </c>
      <c r="K6014" s="455">
        <f t="shared" ca="1" si="216"/>
        <v>-31498588664735.738</v>
      </c>
      <c r="L6014" s="455">
        <f t="shared" ca="1" si="217"/>
        <v>-7591159868201312</v>
      </c>
      <c r="M6014" s="471">
        <f t="shared" si="219"/>
        <v>0.05</v>
      </c>
      <c r="N6014" s="475">
        <f t="shared" si="220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18"/>
        <v>-7591159868201312</v>
      </c>
      <c r="J6015" s="455">
        <f t="array" ref="J6015">IFERROR(INDEX('Retirement Calculator'!J:J,MATCH('Isaac 401k'!N6015,'Retirement Calculator'!A:A,0),0),0)</f>
        <v>0</v>
      </c>
      <c r="K6015" s="455">
        <f t="shared" ca="1" si="216"/>
        <v>-31629832784172.137</v>
      </c>
      <c r="L6015" s="455">
        <f t="shared" ca="1" si="217"/>
        <v>-7622789700985484</v>
      </c>
      <c r="M6015" s="471">
        <f t="shared" si="219"/>
        <v>0.05</v>
      </c>
      <c r="N6015" s="475">
        <f t="shared" si="220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18"/>
        <v>-7622789700985484</v>
      </c>
      <c r="J6016" s="455">
        <f t="array" ref="J6016">IFERROR(INDEX('Retirement Calculator'!J:J,MATCH('Isaac 401k'!N6016,'Retirement Calculator'!A:A,0),0),0)</f>
        <v>0</v>
      </c>
      <c r="K6016" s="455">
        <f t="shared" ca="1" si="216"/>
        <v>-31761623754106.184</v>
      </c>
      <c r="L6016" s="455">
        <f t="shared" ca="1" si="217"/>
        <v>-7654551324739590</v>
      </c>
      <c r="M6016" s="471">
        <f t="shared" si="219"/>
        <v>0.05</v>
      </c>
      <c r="N6016" s="475">
        <f t="shared" si="220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18"/>
        <v>-7654551324739590</v>
      </c>
      <c r="J6017" s="455">
        <f t="array" ref="J6017">IFERROR(INDEX('Retirement Calculator'!J:J,MATCH('Isaac 401k'!N6017,'Retirement Calculator'!A:A,0),0),0)</f>
        <v>0</v>
      </c>
      <c r="K6017" s="455">
        <f t="shared" ca="1" si="216"/>
        <v>-31893963853081.621</v>
      </c>
      <c r="L6017" s="455">
        <f t="shared" ca="1" si="217"/>
        <v>-7686445288592672</v>
      </c>
      <c r="M6017" s="471">
        <f t="shared" si="219"/>
        <v>0.05</v>
      </c>
      <c r="N6017" s="475">
        <f t="shared" si="220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18"/>
        <v>-7686445288592672</v>
      </c>
      <c r="J6018" s="455">
        <f t="array" ref="J6018">IFERROR(INDEX('Retirement Calculator'!J:J,MATCH('Isaac 401k'!N6018,'Retirement Calculator'!A:A,0),0),0)</f>
        <v>0</v>
      </c>
      <c r="K6018" s="455">
        <f t="shared" ca="1" si="216"/>
        <v>-32026855369136.133</v>
      </c>
      <c r="L6018" s="455">
        <f t="shared" ca="1" si="217"/>
        <v>-7718472143961808</v>
      </c>
      <c r="M6018" s="471">
        <f t="shared" si="219"/>
        <v>0.05</v>
      </c>
      <c r="N6018" s="475">
        <f t="shared" si="220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18"/>
        <v>-7718472143961808</v>
      </c>
      <c r="J6019" s="455">
        <f t="array" ref="J6019">IFERROR(INDEX('Retirement Calculator'!J:J,MATCH('Isaac 401k'!N6019,'Retirement Calculator'!A:A,0),0),0)</f>
        <v>0</v>
      </c>
      <c r="K6019" s="455">
        <f t="shared" ca="1" si="216"/>
        <v>-32160300599840.867</v>
      </c>
      <c r="L6019" s="455">
        <f t="shared" ca="1" si="217"/>
        <v>-7750632444561649</v>
      </c>
      <c r="M6019" s="471">
        <f t="shared" si="219"/>
        <v>0.05</v>
      </c>
      <c r="N6019" s="475">
        <f t="shared" si="220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18"/>
        <v>-7750632444561649</v>
      </c>
      <c r="J6020" s="455">
        <f t="array" ref="J6020">IFERROR(INDEX('Retirement Calculator'!J:J,MATCH('Isaac 401k'!N6020,'Retirement Calculator'!A:A,0),0),0)</f>
        <v>0</v>
      </c>
      <c r="K6020" s="455">
        <f t="shared" ca="1" si="216"/>
        <v>-32294301852340.203</v>
      </c>
      <c r="L6020" s="455">
        <f t="shared" ca="1" si="217"/>
        <v>-7782926746413989</v>
      </c>
      <c r="M6020" s="471">
        <f t="shared" si="219"/>
        <v>0.05</v>
      </c>
      <c r="N6020" s="475">
        <f t="shared" si="220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18"/>
        <v>-7782926746413989</v>
      </c>
      <c r="J6021" s="455">
        <f t="array" ref="J6021">IFERROR(INDEX('Retirement Calculator'!J:J,MATCH('Isaac 401k'!N6021,'Retirement Calculator'!A:A,0),0),0)</f>
        <v>0</v>
      </c>
      <c r="K6021" s="455">
        <f t="shared" ca="1" si="216"/>
        <v>-32428861443391.621</v>
      </c>
      <c r="L6021" s="455">
        <f t="shared" ca="1" si="217"/>
        <v>-7815355607857381</v>
      </c>
      <c r="M6021" s="471">
        <f t="shared" si="219"/>
        <v>0.05</v>
      </c>
      <c r="N6021" s="475">
        <f t="shared" si="220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18"/>
        <v>-7815355607857381</v>
      </c>
      <c r="J6022" s="455">
        <f t="array" ref="J6022">IFERROR(INDEX('Retirement Calculator'!J:J,MATCH('Isaac 401k'!N6022,'Retirement Calculator'!A:A,0),0),0)</f>
        <v>0</v>
      </c>
      <c r="K6022" s="455">
        <f t="shared" ca="1" si="216"/>
        <v>-32563981699405.754</v>
      </c>
      <c r="L6022" s="455">
        <f t="shared" ca="1" si="217"/>
        <v>-7847919589556787</v>
      </c>
      <c r="M6022" s="471">
        <f t="shared" si="219"/>
        <v>0.05</v>
      </c>
      <c r="N6022" s="475">
        <f t="shared" si="220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18"/>
        <v>-7847919589556787</v>
      </c>
      <c r="J6023" s="455">
        <f t="array" ref="J6023">IFERROR(INDEX('Retirement Calculator'!J:J,MATCH('Isaac 401k'!N6023,'Retirement Calculator'!A:A,0),0),0)</f>
        <v>0</v>
      </c>
      <c r="K6023" s="455">
        <f t="shared" ca="1" si="216"/>
        <v>-32699664956486.613</v>
      </c>
      <c r="L6023" s="455">
        <f t="shared" ca="1" si="217"/>
        <v>-7880619254513274</v>
      </c>
      <c r="M6023" s="471">
        <f t="shared" si="219"/>
        <v>0.05</v>
      </c>
      <c r="N6023" s="475">
        <f t="shared" si="220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18"/>
        <v>-7880619254513274</v>
      </c>
      <c r="J6024" s="455">
        <f t="array" ref="J6024">IFERROR(INDEX('Retirement Calculator'!J:J,MATCH('Isaac 401k'!N6024,'Retirement Calculator'!A:A,0),0),0)</f>
        <v>0</v>
      </c>
      <c r="K6024" s="455">
        <f t="shared" ca="1" si="216"/>
        <v>-32835913560471.973</v>
      </c>
      <c r="L6024" s="455">
        <f t="shared" ca="1" si="217"/>
        <v>-7913455168073746</v>
      </c>
      <c r="M6024" s="471">
        <f t="shared" si="219"/>
        <v>0.05</v>
      </c>
      <c r="N6024" s="475">
        <f t="shared" si="220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18"/>
        <v>-7913455168073746</v>
      </c>
      <c r="J6025" s="455">
        <f t="array" ref="J6025">IFERROR(INDEX('Retirement Calculator'!J:J,MATCH('Isaac 401k'!N6025,'Retirement Calculator'!A:A,0),0),0)</f>
        <v>0</v>
      </c>
      <c r="K6025" s="455">
        <f t="shared" ca="1" si="216"/>
        <v>-32972729866973.941</v>
      </c>
      <c r="L6025" s="455">
        <f t="shared" ca="1" si="217"/>
        <v>-7946427897940720</v>
      </c>
      <c r="M6025" s="471">
        <f t="shared" si="219"/>
        <v>0.05</v>
      </c>
      <c r="N6025" s="475">
        <f t="shared" si="220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18"/>
        <v>-7946427897940720</v>
      </c>
      <c r="J6026" s="455">
        <f t="array" ref="J6026">IFERROR(INDEX('Retirement Calculator'!J:J,MATCH('Isaac 401k'!N6026,'Retirement Calculator'!A:A,0),0),0)</f>
        <v>0</v>
      </c>
      <c r="K6026" s="455">
        <f t="shared" ca="1" si="216"/>
        <v>-33110116241419.668</v>
      </c>
      <c r="L6026" s="455">
        <f t="shared" ca="1" si="217"/>
        <v>-7979538014182140</v>
      </c>
      <c r="M6026" s="471">
        <f t="shared" si="219"/>
        <v>0.05</v>
      </c>
      <c r="N6026" s="475">
        <f t="shared" si="220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18"/>
        <v>-7979538014182140</v>
      </c>
      <c r="J6027" s="455">
        <f t="array" ref="J6027">IFERROR(INDEX('Retirement Calculator'!J:J,MATCH('Isaac 401k'!N6027,'Retirement Calculator'!A:A,0),0),0)</f>
        <v>0</v>
      </c>
      <c r="K6027" s="455">
        <f t="shared" ca="1" si="216"/>
        <v>-33248075059092.246</v>
      </c>
      <c r="L6027" s="455">
        <f t="shared" ca="1" si="217"/>
        <v>-8012786089241232</v>
      </c>
      <c r="M6027" s="471">
        <f t="shared" si="219"/>
        <v>0.05</v>
      </c>
      <c r="N6027" s="475">
        <f t="shared" si="220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18"/>
        <v>-8012786089241232</v>
      </c>
      <c r="J6028" s="455">
        <f t="array" ref="J6028">IFERROR(INDEX('Retirement Calculator'!J:J,MATCH('Isaac 401k'!N6028,'Retirement Calculator'!A:A,0),0),0)</f>
        <v>0</v>
      </c>
      <c r="K6028" s="455">
        <f t="shared" ca="1" si="216"/>
        <v>-33386608705171.797</v>
      </c>
      <c r="L6028" s="455">
        <f t="shared" ca="1" si="217"/>
        <v>-8046172697946404</v>
      </c>
      <c r="M6028" s="471">
        <f t="shared" si="219"/>
        <v>0.05</v>
      </c>
      <c r="N6028" s="475">
        <f t="shared" si="220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18"/>
        <v>-8046172697946404</v>
      </c>
      <c r="J6029" s="455">
        <f t="array" ref="J6029">IFERROR(INDEX('Retirement Calculator'!J:J,MATCH('Isaac 401k'!N6029,'Retirement Calculator'!A:A,0),0),0)</f>
        <v>0</v>
      </c>
      <c r="K6029" s="455">
        <f t="shared" ca="1" si="216"/>
        <v>-33525719574776.688</v>
      </c>
      <c r="L6029" s="455">
        <f t="shared" ca="1" si="217"/>
        <v>-8079698417521181</v>
      </c>
      <c r="M6029" s="471">
        <f t="shared" si="219"/>
        <v>0.05</v>
      </c>
      <c r="N6029" s="475">
        <f t="shared" si="220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18"/>
        <v>-8079698417521181</v>
      </c>
      <c r="J6030" s="455">
        <f t="array" ref="J6030">IFERROR(INDEX('Retirement Calculator'!J:J,MATCH('Isaac 401k'!N6030,'Retirement Calculator'!A:A,0),0),0)</f>
        <v>0</v>
      </c>
      <c r="K6030" s="455">
        <f t="shared" ca="1" si="216"/>
        <v>-33665410073004.922</v>
      </c>
      <c r="L6030" s="455">
        <f t="shared" ca="1" si="217"/>
        <v>-8113363827594186</v>
      </c>
      <c r="M6030" s="471">
        <f t="shared" si="219"/>
        <v>0.05</v>
      </c>
      <c r="N6030" s="475">
        <f t="shared" si="220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18"/>
        <v>-8113363827594186</v>
      </c>
      <c r="J6031" s="455">
        <f t="array" ref="J6031">IFERROR(INDEX('Retirement Calculator'!J:J,MATCH('Isaac 401k'!N6031,'Retirement Calculator'!A:A,0),0),0)</f>
        <v>0</v>
      </c>
      <c r="K6031" s="455">
        <f t="shared" ca="1" si="216"/>
        <v>-33805682614975.773</v>
      </c>
      <c r="L6031" s="455">
        <f t="shared" ca="1" si="217"/>
        <v>-8147169510209162</v>
      </c>
      <c r="M6031" s="471">
        <f t="shared" si="219"/>
        <v>0.05</v>
      </c>
      <c r="N6031" s="475">
        <f t="shared" si="220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18"/>
        <v>-8147169510209162</v>
      </c>
      <c r="J6032" s="455">
        <f t="array" ref="J6032">IFERROR(INDEX('Retirement Calculator'!J:J,MATCH('Isaac 401k'!N6032,'Retirement Calculator'!A:A,0),0),0)</f>
        <v>0</v>
      </c>
      <c r="K6032" s="455">
        <f t="shared" ca="1" si="216"/>
        <v>-33946539625871.508</v>
      </c>
      <c r="L6032" s="455">
        <f t="shared" ca="1" si="217"/>
        <v>-8181116049835034</v>
      </c>
      <c r="M6032" s="471">
        <f t="shared" si="219"/>
        <v>0.05</v>
      </c>
      <c r="N6032" s="475">
        <f t="shared" si="220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18"/>
        <v>-8181116049835034</v>
      </c>
      <c r="J6033" s="455">
        <f t="array" ref="J6033">IFERROR(INDEX('Retirement Calculator'!J:J,MATCH('Isaac 401k'!N6033,'Retirement Calculator'!A:A,0),0),0)</f>
        <v>0</v>
      </c>
      <c r="K6033" s="455">
        <f t="shared" ca="1" si="216"/>
        <v>-34087983540979.309</v>
      </c>
      <c r="L6033" s="455">
        <f t="shared" ca="1" si="217"/>
        <v>-8215204033376013</v>
      </c>
      <c r="M6033" s="471">
        <f t="shared" si="219"/>
        <v>0.05</v>
      </c>
      <c r="N6033" s="475">
        <f t="shared" si="220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18"/>
        <v>-8215204033376013</v>
      </c>
      <c r="J6034" s="455">
        <f t="array" ref="J6034">IFERROR(INDEX('Retirement Calculator'!J:J,MATCH('Isaac 401k'!N6034,'Retirement Calculator'!A:A,0),0),0)</f>
        <v>0</v>
      </c>
      <c r="K6034" s="455">
        <f t="shared" ca="1" si="216"/>
        <v>-34230016805733.391</v>
      </c>
      <c r="L6034" s="455">
        <f t="shared" ca="1" si="217"/>
        <v>-8249434050181746</v>
      </c>
      <c r="M6034" s="471">
        <f t="shared" si="219"/>
        <v>0.05</v>
      </c>
      <c r="N6034" s="475">
        <f t="shared" si="220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18"/>
        <v>-8249434050181746</v>
      </c>
      <c r="J6035" s="455">
        <f t="array" ref="J6035">IFERROR(INDEX('Retirement Calculator'!J:J,MATCH('Isaac 401k'!N6035,'Retirement Calculator'!A:A,0),0),0)</f>
        <v>0</v>
      </c>
      <c r="K6035" s="455">
        <f t="shared" ca="1" si="216"/>
        <v>-34372641875757.27</v>
      </c>
      <c r="L6035" s="455">
        <f t="shared" ca="1" si="217"/>
        <v>-8283806692057503</v>
      </c>
      <c r="M6035" s="471">
        <f t="shared" si="219"/>
        <v>0.05</v>
      </c>
      <c r="N6035" s="475">
        <f t="shared" si="220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18"/>
        <v>-8283806692057503</v>
      </c>
      <c r="J6036" s="455">
        <f t="array" ref="J6036">IFERROR(INDEX('Retirement Calculator'!J:J,MATCH('Isaac 401k'!N6036,'Retirement Calculator'!A:A,0),0),0)</f>
        <v>0</v>
      </c>
      <c r="K6036" s="455">
        <f t="shared" ca="1" si="216"/>
        <v>-34515861216906.262</v>
      </c>
      <c r="L6036" s="455">
        <f t="shared" ca="1" si="217"/>
        <v>-8318322553274409</v>
      </c>
      <c r="M6036" s="471">
        <f t="shared" si="219"/>
        <v>0.05</v>
      </c>
      <c r="N6036" s="475">
        <f t="shared" si="220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18"/>
        <v>-8318322553274409</v>
      </c>
      <c r="J6037" s="455">
        <f t="array" ref="J6037">IFERROR(INDEX('Retirement Calculator'!J:J,MATCH('Isaac 401k'!N6037,'Retirement Calculator'!A:A,0),0),0)</f>
        <v>0</v>
      </c>
      <c r="K6037" s="455">
        <f t="shared" ca="1" si="216"/>
        <v>-34659677305310.035</v>
      </c>
      <c r="L6037" s="455">
        <f t="shared" ca="1" si="217"/>
        <v>-8352982230579719</v>
      </c>
      <c r="M6037" s="471">
        <f t="shared" si="219"/>
        <v>0.05</v>
      </c>
      <c r="N6037" s="475">
        <f t="shared" si="220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18"/>
        <v>-8352982230579719</v>
      </c>
      <c r="J6038" s="455">
        <f t="array" ref="J6038">IFERROR(INDEX('Retirement Calculator'!J:J,MATCH('Isaac 401k'!N6038,'Retirement Calculator'!A:A,0),0),0)</f>
        <v>0</v>
      </c>
      <c r="K6038" s="455">
        <f t="shared" ca="1" si="216"/>
        <v>-34804092627415.496</v>
      </c>
      <c r="L6038" s="455">
        <f t="shared" ca="1" si="217"/>
        <v>-8387786323207134</v>
      </c>
      <c r="M6038" s="471">
        <f t="shared" si="219"/>
        <v>0.05</v>
      </c>
      <c r="N6038" s="475">
        <f t="shared" si="220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18"/>
        <v>-8387786323207134</v>
      </c>
      <c r="J6039" s="455">
        <f t="array" ref="J6039">IFERROR(INDEX('Retirement Calculator'!J:J,MATCH('Isaac 401k'!N6039,'Retirement Calculator'!A:A,0),0),0)</f>
        <v>0</v>
      </c>
      <c r="K6039" s="455">
        <f t="shared" ca="1" si="216"/>
        <v>-34949109680029.723</v>
      </c>
      <c r="L6039" s="455">
        <f t="shared" ca="1" si="217"/>
        <v>-8422735432887164</v>
      </c>
      <c r="M6039" s="471">
        <f t="shared" si="219"/>
        <v>0.05</v>
      </c>
      <c r="N6039" s="475">
        <f t="shared" si="220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18"/>
        <v>-8422735432887164</v>
      </c>
      <c r="J6040" s="455">
        <f t="array" ref="J6040">IFERROR(INDEX('Retirement Calculator'!J:J,MATCH('Isaac 401k'!N6040,'Retirement Calculator'!A:A,0),0),0)</f>
        <v>0</v>
      </c>
      <c r="K6040" s="455">
        <f t="shared" ca="1" si="216"/>
        <v>-35094730970363.184</v>
      </c>
      <c r="L6040" s="455">
        <f t="shared" ca="1" si="217"/>
        <v>-8457830163857527</v>
      </c>
      <c r="M6040" s="471">
        <f t="shared" si="219"/>
        <v>0.05</v>
      </c>
      <c r="N6040" s="475">
        <f t="shared" si="220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18"/>
        <v>-8457830163857527</v>
      </c>
      <c r="J6041" s="455">
        <f t="array" ref="J6041">IFERROR(INDEX('Retirement Calculator'!J:J,MATCH('Isaac 401k'!N6041,'Retirement Calculator'!A:A,0),0),0)</f>
        <v>0</v>
      </c>
      <c r="K6041" s="455">
        <f t="shared" ca="1" si="216"/>
        <v>-35240959016073.031</v>
      </c>
      <c r="L6041" s="455">
        <f t="shared" ca="1" si="217"/>
        <v>-8493071122873600</v>
      </c>
      <c r="M6041" s="471">
        <f t="shared" si="219"/>
        <v>0.05</v>
      </c>
      <c r="N6041" s="475">
        <f t="shared" si="220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18"/>
        <v>-8493071122873600</v>
      </c>
      <c r="J6042" s="455">
        <f t="array" ref="J6042">IFERROR(INDEX('Retirement Calculator'!J:J,MATCH('Isaac 401k'!N6042,'Retirement Calculator'!A:A,0),0),0)</f>
        <v>0</v>
      </c>
      <c r="K6042" s="455">
        <f t="shared" ca="1" si="216"/>
        <v>-35387796345306.664</v>
      </c>
      <c r="L6042" s="455">
        <f t="shared" ca="1" si="217"/>
        <v>-8528458919218907</v>
      </c>
      <c r="M6042" s="471">
        <f t="shared" si="219"/>
        <v>0.05</v>
      </c>
      <c r="N6042" s="475">
        <f t="shared" si="220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18"/>
        <v>-8528458919218907</v>
      </c>
      <c r="J6043" s="455">
        <f t="array" ref="J6043">IFERROR(INDEX('Retirement Calculator'!J:J,MATCH('Isaac 401k'!N6043,'Retirement Calculator'!A:A,0),0),0)</f>
        <v>0</v>
      </c>
      <c r="K6043" s="455">
        <f t="shared" ca="1" si="216"/>
        <v>-35535245496745.445</v>
      </c>
      <c r="L6043" s="455">
        <f t="shared" ca="1" si="217"/>
        <v>-8563994164715652</v>
      </c>
      <c r="M6043" s="471">
        <f t="shared" si="219"/>
        <v>0.05</v>
      </c>
      <c r="N6043" s="475">
        <f t="shared" si="220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18"/>
        <v>-8563994164715652</v>
      </c>
      <c r="J6044" s="455">
        <f t="array" ref="J6044">IFERROR(INDEX('Retirement Calculator'!J:J,MATCH('Isaac 401k'!N6044,'Retirement Calculator'!A:A,0),0),0)</f>
        <v>0</v>
      </c>
      <c r="K6044" s="455">
        <f t="shared" ca="1" si="216"/>
        <v>-35683309019648.555</v>
      </c>
      <c r="L6044" s="455">
        <f t="shared" ca="1" si="217"/>
        <v>-8599677473735301</v>
      </c>
      <c r="M6044" s="471">
        <f t="shared" si="219"/>
        <v>0.05</v>
      </c>
      <c r="N6044" s="475">
        <f t="shared" si="220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18"/>
        <v>-8599677473735301</v>
      </c>
      <c r="J6045" s="455">
        <f t="array" ref="J6045">IFERROR(INDEX('Retirement Calculator'!J:J,MATCH('Isaac 401k'!N6045,'Retirement Calculator'!A:A,0),0),0)</f>
        <v>0</v>
      </c>
      <c r="K6045" s="455">
        <f t="shared" ca="1" si="216"/>
        <v>-35831989473897.086</v>
      </c>
      <c r="L6045" s="455">
        <f t="shared" ca="1" si="217"/>
        <v>-8635509463209198</v>
      </c>
      <c r="M6045" s="471">
        <f t="shared" si="219"/>
        <v>0.05</v>
      </c>
      <c r="N6045" s="475">
        <f t="shared" si="220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18"/>
        <v>-8635509463209198</v>
      </c>
      <c r="J6046" s="455">
        <f t="array" ref="J6046">IFERROR(INDEX('Retirement Calculator'!J:J,MATCH('Isaac 401k'!N6046,'Retirement Calculator'!A:A,0),0),0)</f>
        <v>0</v>
      </c>
      <c r="K6046" s="455">
        <f t="shared" ca="1" si="216"/>
        <v>-35981289430038.328</v>
      </c>
      <c r="L6046" s="455">
        <f t="shared" ca="1" si="217"/>
        <v>-8671490752639236</v>
      </c>
      <c r="M6046" s="471">
        <f t="shared" si="219"/>
        <v>0.05</v>
      </c>
      <c r="N6046" s="475">
        <f t="shared" si="220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18"/>
        <v>-8671490752639236</v>
      </c>
      <c r="J6047" s="455">
        <f t="array" ref="J6047">IFERROR(INDEX('Retirement Calculator'!J:J,MATCH('Isaac 401k'!N6047,'Retirement Calculator'!A:A,0),0),0)</f>
        <v>0</v>
      </c>
      <c r="K6047" s="455">
        <f t="shared" ca="1" si="216"/>
        <v>-36131211469330.148</v>
      </c>
      <c r="L6047" s="455">
        <f t="shared" ca="1" si="217"/>
        <v>-8707621964108566</v>
      </c>
      <c r="M6047" s="471">
        <f t="shared" si="219"/>
        <v>0.05</v>
      </c>
      <c r="N6047" s="475">
        <f t="shared" si="220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18"/>
        <v>-8707621964108566</v>
      </c>
      <c r="J6048" s="455">
        <f t="array" ref="J6048">IFERROR(INDEX('Retirement Calculator'!J:J,MATCH('Isaac 401k'!N6048,'Retirement Calculator'!A:A,0),0),0)</f>
        <v>0</v>
      </c>
      <c r="K6048" s="455">
        <f t="shared" ca="1" si="216"/>
        <v>-36281758183785.688</v>
      </c>
      <c r="L6048" s="455">
        <f t="shared" ca="1" si="217"/>
        <v>-8743903722292352</v>
      </c>
      <c r="M6048" s="471">
        <f t="shared" si="219"/>
        <v>0.05</v>
      </c>
      <c r="N6048" s="475">
        <f t="shared" si="220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18"/>
        <v>-8743903722292352</v>
      </c>
      <c r="J6049" s="455">
        <f t="array" ref="J6049">IFERROR(INDEX('Retirement Calculator'!J:J,MATCH('Isaac 401k'!N6049,'Retirement Calculator'!A:A,0),0),0)</f>
        <v>0</v>
      </c>
      <c r="K6049" s="455">
        <f t="shared" ca="1" si="216"/>
        <v>-36432932176218.141</v>
      </c>
      <c r="L6049" s="455">
        <f t="shared" ca="1" si="217"/>
        <v>-8780336654468570</v>
      </c>
      <c r="M6049" s="471">
        <f t="shared" si="219"/>
        <v>0.05</v>
      </c>
      <c r="N6049" s="475">
        <f t="shared" si="220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18"/>
        <v>-8780336654468570</v>
      </c>
      <c r="J6050" s="455">
        <f t="array" ref="J6050">IFERROR(INDEX('Retirement Calculator'!J:J,MATCH('Isaac 401k'!N6050,'Retirement Calculator'!A:A,0),0),0)</f>
        <v>0</v>
      </c>
      <c r="K6050" s="455">
        <f t="shared" ca="1" si="216"/>
        <v>-36584736060285.711</v>
      </c>
      <c r="L6050" s="455">
        <f t="shared" ca="1" si="217"/>
        <v>-8816921390528856</v>
      </c>
      <c r="M6050" s="471">
        <f t="shared" si="219"/>
        <v>0.05</v>
      </c>
      <c r="N6050" s="475">
        <f t="shared" si="220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18"/>
        <v>-8816921390528856</v>
      </c>
      <c r="J6051" s="455">
        <f t="array" ref="J6051">IFERROR(INDEX('Retirement Calculator'!J:J,MATCH('Isaac 401k'!N6051,'Retirement Calculator'!A:A,0),0),0)</f>
        <v>0</v>
      </c>
      <c r="K6051" s="455">
        <f t="shared" ca="1" si="216"/>
        <v>-36737172460536.898</v>
      </c>
      <c r="L6051" s="455">
        <f t="shared" ca="1" si="217"/>
        <v>-8853658562989393</v>
      </c>
      <c r="M6051" s="471">
        <f t="shared" si="219"/>
        <v>0.05</v>
      </c>
      <c r="N6051" s="475">
        <f t="shared" si="220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18"/>
        <v>-8853658562989393</v>
      </c>
      <c r="J6052" s="455">
        <f t="array" ref="J6052">IFERROR(INDEX('Retirement Calculator'!J:J,MATCH('Isaac 401k'!N6052,'Retirement Calculator'!A:A,0),0),0)</f>
        <v>0</v>
      </c>
      <c r="K6052" s="455">
        <f t="shared" ca="1" si="216"/>
        <v>-36890244012455.805</v>
      </c>
      <c r="L6052" s="455">
        <f t="shared" ca="1" si="217"/>
        <v>-8890548807001849</v>
      </c>
      <c r="M6052" s="471">
        <f t="shared" si="219"/>
        <v>0.05</v>
      </c>
      <c r="N6052" s="475">
        <f t="shared" si="220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18"/>
        <v>-8890548807001849</v>
      </c>
      <c r="J6053" s="455">
        <f t="array" ref="J6053">IFERROR(INDEX('Retirement Calculator'!J:J,MATCH('Isaac 401k'!N6053,'Retirement Calculator'!A:A,0),0),0)</f>
        <v>0</v>
      </c>
      <c r="K6053" s="455">
        <f t="shared" ca="1" si="216"/>
        <v>-37043953362507.703</v>
      </c>
      <c r="L6053" s="455">
        <f t="shared" ca="1" si="217"/>
        <v>-8927592760364357</v>
      </c>
      <c r="M6053" s="471">
        <f t="shared" si="219"/>
        <v>0.05</v>
      </c>
      <c r="N6053" s="475">
        <f t="shared" si="220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18"/>
        <v>-8927592760364357</v>
      </c>
      <c r="J6054" s="455">
        <f t="array" ref="J6054">IFERROR(INDEX('Retirement Calculator'!J:J,MATCH('Isaac 401k'!N6054,'Retirement Calculator'!A:A,0),0),0)</f>
        <v>0</v>
      </c>
      <c r="K6054" s="455">
        <f t="shared" ca="1" si="216"/>
        <v>-37198303168184.82</v>
      </c>
      <c r="L6054" s="455">
        <f t="shared" ca="1" si="217"/>
        <v>-8964791063532542</v>
      </c>
      <c r="M6054" s="471">
        <f t="shared" si="219"/>
        <v>0.05</v>
      </c>
      <c r="N6054" s="475">
        <f t="shared" si="220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18"/>
        <v>-8964791063532542</v>
      </c>
      <c r="J6055" s="455">
        <f t="array" ref="J6055">IFERROR(INDEX('Retirement Calculator'!J:J,MATCH('Isaac 401k'!N6055,'Retirement Calculator'!A:A,0),0),0)</f>
        <v>0</v>
      </c>
      <c r="K6055" s="455">
        <f t="shared" ca="1" si="216"/>
        <v>-37353296098052.258</v>
      </c>
      <c r="L6055" s="455">
        <f t="shared" ca="1" si="217"/>
        <v>-9002144359630594</v>
      </c>
      <c r="M6055" s="471">
        <f t="shared" si="219"/>
        <v>0.05</v>
      </c>
      <c r="N6055" s="475">
        <f t="shared" si="220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18"/>
        <v>-9002144359630594</v>
      </c>
      <c r="J6056" s="455">
        <f t="array" ref="J6056">IFERROR(INDEX('Retirement Calculator'!J:J,MATCH('Isaac 401k'!N6056,'Retirement Calculator'!A:A,0),0),0)</f>
        <v>0</v>
      </c>
      <c r="K6056" s="455">
        <f t="shared" ca="1" si="216"/>
        <v>-37508934831794.141</v>
      </c>
      <c r="L6056" s="455">
        <f t="shared" ca="1" si="217"/>
        <v>-9039653294462388</v>
      </c>
      <c r="M6056" s="471">
        <f t="shared" si="219"/>
        <v>0.05</v>
      </c>
      <c r="N6056" s="475">
        <f t="shared" si="220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18"/>
        <v>-9039653294462388</v>
      </c>
      <c r="J6057" s="455">
        <f t="array" ref="J6057">IFERROR(INDEX('Retirement Calculator'!J:J,MATCH('Isaac 401k'!N6057,'Retirement Calculator'!A:A,0),0),0)</f>
        <v>0</v>
      </c>
      <c r="K6057" s="455">
        <f t="shared" ca="1" si="216"/>
        <v>-37665222060259.953</v>
      </c>
      <c r="L6057" s="455">
        <f t="shared" ca="1" si="217"/>
        <v>-9077318516522648</v>
      </c>
      <c r="M6057" s="471">
        <f t="shared" si="219"/>
        <v>0.05</v>
      </c>
      <c r="N6057" s="475">
        <f t="shared" si="220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18"/>
        <v>-9077318516522648</v>
      </c>
      <c r="J6058" s="455">
        <f t="array" ref="J6058">IFERROR(INDEX('Retirement Calculator'!J:J,MATCH('Isaac 401k'!N6058,'Retirement Calculator'!A:A,0),0),0)</f>
        <v>0</v>
      </c>
      <c r="K6058" s="455">
        <f t="shared" ca="1" si="216"/>
        <v>-37822160485511.031</v>
      </c>
      <c r="L6058" s="455">
        <f t="shared" ca="1" si="217"/>
        <v>-9115140677008160</v>
      </c>
      <c r="M6058" s="471">
        <f t="shared" si="219"/>
        <v>0.05</v>
      </c>
      <c r="N6058" s="475">
        <f t="shared" si="220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18"/>
        <v>-9115140677008160</v>
      </c>
      <c r="J6059" s="455">
        <f t="array" ref="J6059">IFERROR(INDEX('Retirement Calculator'!J:J,MATCH('Isaac 401k'!N6059,'Retirement Calculator'!A:A,0),0),0)</f>
        <v>0</v>
      </c>
      <c r="K6059" s="455">
        <f t="shared" ca="1" si="216"/>
        <v>-37979752820867.336</v>
      </c>
      <c r="L6059" s="455">
        <f t="shared" ca="1" si="217"/>
        <v>-9153120429829028</v>
      </c>
      <c r="M6059" s="471">
        <f t="shared" si="219"/>
        <v>0.05</v>
      </c>
      <c r="N6059" s="475">
        <f t="shared" si="220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18"/>
        <v>-9153120429829028</v>
      </c>
      <c r="J6060" s="455">
        <f t="array" ref="J6060">IFERROR(INDEX('Retirement Calculator'!J:J,MATCH('Isaac 401k'!N6060,'Retirement Calculator'!A:A,0),0),0)</f>
        <v>0</v>
      </c>
      <c r="K6060" s="455">
        <f t="shared" ca="1" si="216"/>
        <v>-38138001790954.281</v>
      </c>
      <c r="L6060" s="455">
        <f t="shared" ca="1" si="217"/>
        <v>-9191258431619982</v>
      </c>
      <c r="M6060" s="471">
        <f t="shared" si="219"/>
        <v>0.05</v>
      </c>
      <c r="N6060" s="475">
        <f t="shared" si="220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18"/>
        <v>-9191258431619982</v>
      </c>
      <c r="J6061" s="455">
        <f t="array" ref="J6061">IFERROR(INDEX('Retirement Calculator'!J:J,MATCH('Isaac 401k'!N6061,'Retirement Calculator'!A:A,0),0),0)</f>
        <v>0</v>
      </c>
      <c r="K6061" s="455">
        <f t="shared" ca="1" si="216"/>
        <v>-38296910131749.922</v>
      </c>
      <c r="L6061" s="455">
        <f t="shared" ca="1" si="217"/>
        <v>-9229555341751732</v>
      </c>
      <c r="M6061" s="471">
        <f t="shared" si="219"/>
        <v>0.05</v>
      </c>
      <c r="N6061" s="475">
        <f t="shared" si="220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18"/>
        <v>-9229555341751732</v>
      </c>
      <c r="J6062" s="455">
        <f t="array" ref="J6062">IFERROR(INDEX('Retirement Calculator'!J:J,MATCH('Isaac 401k'!N6062,'Retirement Calculator'!A:A,0),0),0)</f>
        <v>0</v>
      </c>
      <c r="K6062" s="455">
        <f t="shared" ca="1" si="216"/>
        <v>-38456480590632.219</v>
      </c>
      <c r="L6062" s="455">
        <f t="shared" ca="1" si="217"/>
        <v>-9268011822342364</v>
      </c>
      <c r="M6062" s="471">
        <f t="shared" si="219"/>
        <v>0.05</v>
      </c>
      <c r="N6062" s="475">
        <f t="shared" si="220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18"/>
        <v>-9268011822342364</v>
      </c>
      <c r="J6063" s="455">
        <f t="array" ref="J6063">IFERROR(INDEX('Retirement Calculator'!J:J,MATCH('Isaac 401k'!N6063,'Retirement Calculator'!A:A,0),0),0)</f>
        <v>0</v>
      </c>
      <c r="K6063" s="455">
        <f t="shared" ca="1" si="216"/>
        <v>-38616715926426.516</v>
      </c>
      <c r="L6063" s="455">
        <f t="shared" ca="1" si="217"/>
        <v>-9306628538268790</v>
      </c>
      <c r="M6063" s="471">
        <f t="shared" si="219"/>
        <v>0.05</v>
      </c>
      <c r="N6063" s="475">
        <f t="shared" si="220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18"/>
        <v>-9306628538268790</v>
      </c>
      <c r="J6064" s="455">
        <f t="array" ref="J6064">IFERROR(INDEX('Retirement Calculator'!J:J,MATCH('Isaac 401k'!N6064,'Retirement Calculator'!A:A,0),0),0)</f>
        <v>0</v>
      </c>
      <c r="K6064" s="455">
        <f t="shared" ca="1" si="216"/>
        <v>-38777618909453.289</v>
      </c>
      <c r="L6064" s="455">
        <f t="shared" ca="1" si="217"/>
        <v>-9345406157178244</v>
      </c>
      <c r="M6064" s="471">
        <f t="shared" si="219"/>
        <v>0.05</v>
      </c>
      <c r="N6064" s="475">
        <f t="shared" si="220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18"/>
        <v>-9345406157178244</v>
      </c>
      <c r="J6065" s="455">
        <f t="array" ref="J6065">IFERROR(INDEX('Retirement Calculator'!J:J,MATCH('Isaac 401k'!N6065,'Retirement Calculator'!A:A,0),0),0)</f>
        <v>0</v>
      </c>
      <c r="K6065" s="455">
        <f t="shared" ca="1" si="216"/>
        <v>-38939192321576.016</v>
      </c>
      <c r="L6065" s="455">
        <f t="shared" ca="1" si="217"/>
        <v>-9384345349499820</v>
      </c>
      <c r="M6065" s="471">
        <f t="shared" si="219"/>
        <v>0.05</v>
      </c>
      <c r="N6065" s="475">
        <f t="shared" si="220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18"/>
        <v>-9384345349499820</v>
      </c>
      <c r="J6066" s="455">
        <f t="array" ref="J6066">IFERROR(INDEX('Retirement Calculator'!J:J,MATCH('Isaac 401k'!N6066,'Retirement Calculator'!A:A,0),0),0)</f>
        <v>0</v>
      </c>
      <c r="K6066" s="455">
        <f t="shared" ca="1" si="216"/>
        <v>-39101438956249.25</v>
      </c>
      <c r="L6066" s="455">
        <f t="shared" ca="1" si="217"/>
        <v>-9423446788456070</v>
      </c>
      <c r="M6066" s="471">
        <f t="shared" si="219"/>
        <v>0.05</v>
      </c>
      <c r="N6066" s="475">
        <f t="shared" si="220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18"/>
        <v>-9423446788456070</v>
      </c>
      <c r="J6067" s="455">
        <f t="array" ref="J6067">IFERROR(INDEX('Retirement Calculator'!J:J,MATCH('Isaac 401k'!N6067,'Retirement Calculator'!A:A,0),0),0)</f>
        <v>0</v>
      </c>
      <c r="K6067" s="455">
        <f t="shared" ca="1" si="216"/>
        <v>-39264361618566.961</v>
      </c>
      <c r="L6067" s="455">
        <f t="shared" ca="1" si="217"/>
        <v>-9462711150074636</v>
      </c>
      <c r="M6067" s="471">
        <f t="shared" si="219"/>
        <v>0.05</v>
      </c>
      <c r="N6067" s="475">
        <f t="shared" si="220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18"/>
        <v>-9462711150074636</v>
      </c>
      <c r="J6068" s="455">
        <f t="array" ref="J6068">IFERROR(INDEX('Retirement Calculator'!J:J,MATCH('Isaac 401k'!N6068,'Retirement Calculator'!A:A,0),0),0)</f>
        <v>0</v>
      </c>
      <c r="K6068" s="455">
        <f t="shared" ca="1" si="216"/>
        <v>-39427963125310.984</v>
      </c>
      <c r="L6068" s="455">
        <f t="shared" ca="1" si="217"/>
        <v>-9502139113199946</v>
      </c>
      <c r="M6068" s="471">
        <f t="shared" si="219"/>
        <v>0.05</v>
      </c>
      <c r="N6068" s="475">
        <f t="shared" si="220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18"/>
        <v>-9502139113199946</v>
      </c>
      <c r="J6069" s="455">
        <f t="array" ref="J6069">IFERROR(INDEX('Retirement Calculator'!J:J,MATCH('Isaac 401k'!N6069,'Retirement Calculator'!A:A,0),0),0)</f>
        <v>0</v>
      </c>
      <c r="K6069" s="455">
        <f t="shared" ca="1" si="216"/>
        <v>-39592246304999.773</v>
      </c>
      <c r="L6069" s="455">
        <f t="shared" ca="1" si="217"/>
        <v>-9541731359504946</v>
      </c>
      <c r="M6069" s="471">
        <f t="shared" si="219"/>
        <v>0.05</v>
      </c>
      <c r="N6069" s="475">
        <f t="shared" si="220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18"/>
        <v>-9541731359504946</v>
      </c>
      <c r="J6070" s="455">
        <f t="array" ref="J6070">IFERROR(INDEX('Retirement Calculator'!J:J,MATCH('Isaac 401k'!N6070,'Retirement Calculator'!A:A,0),0),0)</f>
        <v>0</v>
      </c>
      <c r="K6070" s="455">
        <f t="shared" ca="1" si="216"/>
        <v>-39757213997937.273</v>
      </c>
      <c r="L6070" s="455">
        <f t="shared" ca="1" si="217"/>
        <v>-9581488573502884</v>
      </c>
      <c r="M6070" s="471">
        <f t="shared" si="219"/>
        <v>0.05</v>
      </c>
      <c r="N6070" s="475">
        <f t="shared" si="220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18"/>
        <v>-9581488573502884</v>
      </c>
      <c r="J6071" s="455">
        <f t="array" ref="J6071">IFERROR(INDEX('Retirement Calculator'!J:J,MATCH('Isaac 401k'!N6071,'Retirement Calculator'!A:A,0),0),0)</f>
        <v>0</v>
      </c>
      <c r="K6071" s="455">
        <f t="shared" ca="1" si="216"/>
        <v>-39922869056262.016</v>
      </c>
      <c r="L6071" s="455">
        <f t="shared" ca="1" si="217"/>
        <v>-9621411442559146</v>
      </c>
      <c r="M6071" s="471">
        <f t="shared" si="219"/>
        <v>0.05</v>
      </c>
      <c r="N6071" s="475">
        <f t="shared" si="220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18"/>
        <v>-9621411442559146</v>
      </c>
      <c r="J6072" s="455">
        <f t="array" ref="J6072">IFERROR(INDEX('Retirement Calculator'!J:J,MATCH('Isaac 401k'!N6072,'Retirement Calculator'!A:A,0),0),0)</f>
        <v>0</v>
      </c>
      <c r="K6072" s="455">
        <f t="shared" ca="1" si="216"/>
        <v>-40089214343996.438</v>
      </c>
      <c r="L6072" s="455">
        <f t="shared" ca="1" si="217"/>
        <v>-9661500656903142</v>
      </c>
      <c r="M6072" s="471">
        <f t="shared" si="219"/>
        <v>0.05</v>
      </c>
      <c r="N6072" s="475">
        <f t="shared" si="220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18"/>
        <v>-9661500656903142</v>
      </c>
      <c r="J6073" s="455">
        <f t="array" ref="J6073">IFERROR(INDEX('Retirement Calculator'!J:J,MATCH('Isaac 401k'!N6073,'Retirement Calculator'!A:A,0),0),0)</f>
        <v>0</v>
      </c>
      <c r="K6073" s="455">
        <f t="shared" ca="1" si="216"/>
        <v>-40256252737096.422</v>
      </c>
      <c r="L6073" s="455">
        <f t="shared" ca="1" si="217"/>
        <v>-9701756909640238</v>
      </c>
      <c r="M6073" s="471">
        <f t="shared" si="219"/>
        <v>0.05</v>
      </c>
      <c r="N6073" s="475">
        <f t="shared" si="220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18"/>
        <v>-9701756909640238</v>
      </c>
      <c r="J6074" s="455">
        <f t="array" ref="J6074">IFERROR(INDEX('Retirement Calculator'!J:J,MATCH('Isaac 401k'!N6074,'Retirement Calculator'!A:A,0),0),0)</f>
        <v>0</v>
      </c>
      <c r="K6074" s="455">
        <f t="shared" ca="1" si="216"/>
        <v>-40423987123500.992</v>
      </c>
      <c r="L6074" s="455">
        <f t="shared" ca="1" si="217"/>
        <v>-9742180896763738</v>
      </c>
      <c r="M6074" s="471">
        <f t="shared" si="219"/>
        <v>0.05</v>
      </c>
      <c r="N6074" s="475">
        <f t="shared" si="220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18"/>
        <v>-9742180896763738</v>
      </c>
      <c r="J6075" s="455">
        <f t="array" ref="J6075">IFERROR(INDEX('Retirement Calculator'!J:J,MATCH('Isaac 401k'!N6075,'Retirement Calculator'!A:A,0),0),0)</f>
        <v>0</v>
      </c>
      <c r="K6075" s="455">
        <f t="shared" ca="1" si="216"/>
        <v>-40592420403182.242</v>
      </c>
      <c r="L6075" s="455">
        <f t="shared" ca="1" si="217"/>
        <v>-9782773317166920</v>
      </c>
      <c r="M6075" s="471">
        <f t="shared" si="219"/>
        <v>0.05</v>
      </c>
      <c r="N6075" s="475">
        <f t="shared" si="220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18"/>
        <v>-9782773317166920</v>
      </c>
      <c r="J6076" s="455">
        <f t="array" ref="J6076">IFERROR(INDEX('Retirement Calculator'!J:J,MATCH('Isaac 401k'!N6076,'Retirement Calculator'!A:A,0),0),0)</f>
        <v>0</v>
      </c>
      <c r="K6076" s="455">
        <f t="shared" ca="1" si="216"/>
        <v>-40761555488195.5</v>
      </c>
      <c r="L6076" s="455">
        <f t="shared" ca="1" si="217"/>
        <v>-9823534872655116</v>
      </c>
      <c r="M6076" s="471">
        <f t="shared" si="219"/>
        <v>0.05</v>
      </c>
      <c r="N6076" s="475">
        <f t="shared" si="220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18"/>
        <v>-9823534872655116</v>
      </c>
      <c r="J6077" s="455">
        <f t="array" ref="J6077">IFERROR(INDEX('Retirement Calculator'!J:J,MATCH('Isaac 401k'!N6077,'Retirement Calculator'!A:A,0),0),0)</f>
        <v>0</v>
      </c>
      <c r="K6077" s="455">
        <f t="shared" ca="1" si="216"/>
        <v>-40931395302729.648</v>
      </c>
      <c r="L6077" s="455">
        <f t="shared" ca="1" si="217"/>
        <v>-9864466267957846</v>
      </c>
      <c r="M6077" s="471">
        <f t="shared" si="219"/>
        <v>0.05</v>
      </c>
      <c r="N6077" s="475">
        <f t="shared" si="220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18"/>
        <v>-9864466267957846</v>
      </c>
      <c r="J6078" s="455">
        <f t="array" ref="J6078">IFERROR(INDEX('Retirement Calculator'!J:J,MATCH('Isaac 401k'!N6078,'Retirement Calculator'!A:A,0),0),0)</f>
        <v>0</v>
      </c>
      <c r="K6078" s="455">
        <f t="shared" ca="1" si="216"/>
        <v>-41101942783157.688</v>
      </c>
      <c r="L6078" s="455">
        <f t="shared" ca="1" si="217"/>
        <v>-9905568210741004</v>
      </c>
      <c r="M6078" s="471">
        <f t="shared" si="219"/>
        <v>0.05</v>
      </c>
      <c r="N6078" s="475">
        <f t="shared" si="220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18"/>
        <v>-9905568210741004</v>
      </c>
      <c r="J6079" s="455">
        <f t="array" ref="J6079">IFERROR(INDEX('Retirement Calculator'!J:J,MATCH('Isaac 401k'!N6079,'Retirement Calculator'!A:A,0),0),0)</f>
        <v>0</v>
      </c>
      <c r="K6079" s="455">
        <f t="shared" ca="1" si="216"/>
        <v>-41273200878087.516</v>
      </c>
      <c r="L6079" s="455">
        <f t="shared" ca="1" si="217"/>
        <v>-9946841411619092</v>
      </c>
      <c r="M6079" s="471">
        <f t="shared" si="219"/>
        <v>0.05</v>
      </c>
      <c r="N6079" s="475">
        <f t="shared" si="220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18"/>
        <v>-9946841411619092</v>
      </c>
      <c r="J6080" s="455">
        <f t="array" ref="J6080">IFERROR(INDEX('Retirement Calculator'!J:J,MATCH('Isaac 401k'!N6080,'Retirement Calculator'!A:A,0),0),0)</f>
        <v>0</v>
      </c>
      <c r="K6080" s="455">
        <f t="shared" ca="1" si="216"/>
        <v>-41445172548412.883</v>
      </c>
      <c r="L6080" s="455">
        <f t="shared" ca="1" si="217"/>
        <v>-9988286584167504</v>
      </c>
      <c r="M6080" s="471">
        <f t="shared" si="219"/>
        <v>0.05</v>
      </c>
      <c r="N6080" s="475">
        <f t="shared" si="220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18"/>
        <v>-9988286584167504</v>
      </c>
      <c r="J6081" s="455">
        <f t="array" ref="J6081">IFERROR(INDEX('Retirement Calculator'!J:J,MATCH('Isaac 401k'!N6081,'Retirement Calculator'!A:A,0),0),0)</f>
        <v>0</v>
      </c>
      <c r="K6081" s="455">
        <f t="shared" ca="1" si="216"/>
        <v>-41617860767364.602</v>
      </c>
      <c r="L6081" s="455">
        <f t="shared" ca="1" si="217"/>
        <v>-1.0029904444934868E+16</v>
      </c>
      <c r="M6081" s="471">
        <f t="shared" si="219"/>
        <v>0.05</v>
      </c>
      <c r="N6081" s="475">
        <f t="shared" si="220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18"/>
        <v>-1.0029904444934868E+16</v>
      </c>
      <c r="J6082" s="455">
        <f t="array" ref="J6082">IFERROR(INDEX('Retirement Calculator'!J:J,MATCH('Isaac 401k'!N6082,'Retirement Calculator'!A:A,0),0),0)</f>
        <v>0</v>
      </c>
      <c r="K6082" s="455">
        <f t="shared" ca="1" si="216"/>
        <v>-41791268520561.953</v>
      </c>
      <c r="L6082" s="455">
        <f t="shared" ca="1" si="217"/>
        <v>-1.007169571345543E+16</v>
      </c>
      <c r="M6082" s="471">
        <f t="shared" si="219"/>
        <v>0.05</v>
      </c>
      <c r="N6082" s="475">
        <f t="shared" si="220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18"/>
        <v>-1.007169571345543E+16</v>
      </c>
      <c r="J6083" s="455">
        <f t="array" ref="J6083">IFERROR(INDEX('Retirement Calculator'!J:J,MATCH('Isaac 401k'!N6083,'Retirement Calculator'!A:A,0),0),0)</f>
        <v>0</v>
      </c>
      <c r="K6083" s="455">
        <f t="shared" ca="1" si="216"/>
        <v>-41965398806064.289</v>
      </c>
      <c r="L6083" s="455">
        <f t="shared" ca="1" si="217"/>
        <v>-1.0113661112261494E+16</v>
      </c>
      <c r="M6083" s="471">
        <f t="shared" si="219"/>
        <v>0.05</v>
      </c>
      <c r="N6083" s="475">
        <f t="shared" si="220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18"/>
        <v>-1.0113661112261494E+16</v>
      </c>
      <c r="J6084" s="455">
        <f t="array" ref="J6084">IFERROR(INDEX('Retirement Calculator'!J:J,MATCH('Isaac 401k'!N6084,'Retirement Calculator'!A:A,0),0),0)</f>
        <v>0</v>
      </c>
      <c r="K6084" s="455">
        <f t="shared" ca="1" si="216"/>
        <v>-42140254634422.891</v>
      </c>
      <c r="L6084" s="455">
        <f t="shared" ca="1" si="217"/>
        <v>-1.0155801366895916E+16</v>
      </c>
      <c r="M6084" s="471">
        <f t="shared" si="219"/>
        <v>0.05</v>
      </c>
      <c r="N6084" s="475">
        <f t="shared" si="220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18"/>
        <v>-1.0155801366895916E+16</v>
      </c>
      <c r="J6085" s="455">
        <f t="array" ref="J6085">IFERROR(INDEX('Retirement Calculator'!J:J,MATCH('Isaac 401k'!N6085,'Retirement Calculator'!A:A,0),0),0)</f>
        <v>0</v>
      </c>
      <c r="K6085" s="455">
        <f t="shared" ca="1" si="216"/>
        <v>-42315839028732.984</v>
      </c>
      <c r="L6085" s="455">
        <f t="shared" ca="1" si="217"/>
        <v>-1.0198117205924648E+16</v>
      </c>
      <c r="M6085" s="471">
        <f t="shared" si="219"/>
        <v>0.05</v>
      </c>
      <c r="N6085" s="475">
        <f t="shared" si="220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18"/>
        <v>-1.0198117205924648E+16</v>
      </c>
      <c r="J6086" s="455">
        <f t="array" ref="J6086">IFERROR(INDEX('Retirement Calculator'!J:J,MATCH('Isaac 401k'!N6086,'Retirement Calculator'!A:A,0),0),0)</f>
        <v>0</v>
      </c>
      <c r="K6086" s="455">
        <f t="shared" ca="1" si="216"/>
        <v>-42492155024686.031</v>
      </c>
      <c r="L6086" s="455">
        <f t="shared" ca="1" si="217"/>
        <v>-1.0240609360949334E+16</v>
      </c>
      <c r="M6086" s="471">
        <f t="shared" si="219"/>
        <v>0.05</v>
      </c>
      <c r="N6086" s="475">
        <f t="shared" si="220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18"/>
        <v>-1.0240609360949334E+16</v>
      </c>
      <c r="J6087" s="455">
        <f t="array" ref="J6087">IFERROR(INDEX('Retirement Calculator'!J:J,MATCH('Isaac 401k'!N6087,'Retirement Calculator'!A:A,0),0),0)</f>
        <v>0</v>
      </c>
      <c r="K6087" s="455">
        <f t="shared" ca="1" si="216"/>
        <v>-42669205670622.227</v>
      </c>
      <c r="L6087" s="455">
        <f t="shared" ca="1" si="217"/>
        <v>-1.0283278566619956E+16</v>
      </c>
      <c r="M6087" s="471">
        <f t="shared" si="219"/>
        <v>0.05</v>
      </c>
      <c r="N6087" s="475">
        <f t="shared" si="220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18"/>
        <v>-1.0283278566619956E+16</v>
      </c>
      <c r="J6088" s="455">
        <f t="array" ref="J6088">IFERROR(INDEX('Retirement Calculator'!J:J,MATCH('Isaac 401k'!N6088,'Retirement Calculator'!A:A,0),0),0)</f>
        <v>0</v>
      </c>
      <c r="K6088" s="455">
        <f t="shared" ca="1" si="216"/>
        <v>-42846994027583.148</v>
      </c>
      <c r="L6088" s="455">
        <f t="shared" ca="1" si="217"/>
        <v>-1.032612556064754E+16</v>
      </c>
      <c r="M6088" s="471">
        <f t="shared" si="219"/>
        <v>0.05</v>
      </c>
      <c r="N6088" s="475">
        <f t="shared" si="220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18"/>
        <v>-1.032612556064754E+16</v>
      </c>
      <c r="J6089" s="455">
        <f t="array" ref="J6089">IFERROR(INDEX('Retirement Calculator'!J:J,MATCH('Isaac 401k'!N6089,'Retirement Calculator'!A:A,0),0),0)</f>
        <v>0</v>
      </c>
      <c r="K6089" s="455">
        <f t="shared" ca="1" si="216"/>
        <v>-43025523169364.75</v>
      </c>
      <c r="L6089" s="455">
        <f t="shared" ca="1" si="217"/>
        <v>-1.0369151083816904E+16</v>
      </c>
      <c r="M6089" s="471">
        <f t="shared" si="219"/>
        <v>0.05</v>
      </c>
      <c r="N6089" s="475">
        <f t="shared" si="220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18"/>
        <v>-1.0369151083816904E+16</v>
      </c>
      <c r="J6090" s="455">
        <f t="array" ref="J6090">IFERROR(INDEX('Retirement Calculator'!J:J,MATCH('Isaac 401k'!N6090,'Retirement Calculator'!A:A,0),0),0)</f>
        <v>0</v>
      </c>
      <c r="K6090" s="455">
        <f t="shared" ca="1" si="216"/>
        <v>-43204796182570.43</v>
      </c>
      <c r="L6090" s="455">
        <f t="shared" ca="1" si="217"/>
        <v>-1.0412355879999474E+16</v>
      </c>
      <c r="M6090" s="471">
        <f t="shared" si="219"/>
        <v>0.05</v>
      </c>
      <c r="N6090" s="475">
        <f t="shared" si="220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18"/>
        <v>-1.0412355879999474E+16</v>
      </c>
      <c r="J6091" s="455">
        <f t="array" ref="J6091">IFERROR(INDEX('Retirement Calculator'!J:J,MATCH('Isaac 401k'!N6091,'Retirement Calculator'!A:A,0),0),0)</f>
        <v>0</v>
      </c>
      <c r="K6091" s="455">
        <f t="shared" ca="1" si="216"/>
        <v>-43384816166664.477</v>
      </c>
      <c r="L6091" s="455">
        <f t="shared" ca="1" si="217"/>
        <v>-1.0455740696166138E+16</v>
      </c>
      <c r="M6091" s="471">
        <f t="shared" si="219"/>
        <v>0.05</v>
      </c>
      <c r="N6091" s="475">
        <f t="shared" si="220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18"/>
        <v>-1.0455740696166138E+16</v>
      </c>
      <c r="J6092" s="455">
        <f t="array" ref="J6092">IFERROR(INDEX('Retirement Calculator'!J:J,MATCH('Isaac 401k'!N6092,'Retirement Calculator'!A:A,0),0),0)</f>
        <v>0</v>
      </c>
      <c r="K6092" s="455">
        <f t="shared" ca="1" si="216"/>
        <v>-43565586234025.578</v>
      </c>
      <c r="L6092" s="455">
        <f t="shared" ca="1" si="217"/>
        <v>-1.0499306282400164E+16</v>
      </c>
      <c r="M6092" s="471">
        <f t="shared" si="219"/>
        <v>0.05</v>
      </c>
      <c r="N6092" s="475">
        <f t="shared" si="220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18"/>
        <v>-1.0499306282400164E+16</v>
      </c>
      <c r="J6093" s="455">
        <f t="array" ref="J6093">IFERROR(INDEX('Retirement Calculator'!J:J,MATCH('Isaac 401k'!N6093,'Retirement Calculator'!A:A,0),0),0)</f>
        <v>0</v>
      </c>
      <c r="K6093" s="455">
        <f t="shared" ca="1" si="216"/>
        <v>-43747109510000.68</v>
      </c>
      <c r="L6093" s="455">
        <f t="shared" ca="1" si="217"/>
        <v>-1.0543053391910164E+16</v>
      </c>
      <c r="M6093" s="471">
        <f t="shared" si="219"/>
        <v>0.05</v>
      </c>
      <c r="N6093" s="475">
        <f t="shared" si="220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18"/>
        <v>-1.0543053391910164E+16</v>
      </c>
      <c r="J6094" s="455">
        <f t="array" ref="J6094">IFERROR(INDEX('Retirement Calculator'!J:J,MATCH('Isaac 401k'!N6094,'Retirement Calculator'!A:A,0),0),0)</f>
        <v>0</v>
      </c>
      <c r="K6094" s="455">
        <f t="shared" ca="1" si="216"/>
        <v>-43929389132959.016</v>
      </c>
      <c r="L6094" s="455">
        <f t="shared" ca="1" si="217"/>
        <v>-1.0586982781043124E+16</v>
      </c>
      <c r="M6094" s="471">
        <f t="shared" si="219"/>
        <v>0.05</v>
      </c>
      <c r="N6094" s="475">
        <f t="shared" si="220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18"/>
        <v>-1.0586982781043124E+16</v>
      </c>
      <c r="J6095" s="455">
        <f t="array" ref="J6095">IFERROR(INDEX('Retirement Calculator'!J:J,MATCH('Isaac 401k'!N6095,'Retirement Calculator'!A:A,0),0),0)</f>
        <v>0</v>
      </c>
      <c r="K6095" s="455">
        <f t="shared" ca="1" si="216"/>
        <v>-44112428254346.352</v>
      </c>
      <c r="L6095" s="455">
        <f t="shared" ca="1" si="217"/>
        <v>-1.063109520929747E+16</v>
      </c>
      <c r="M6095" s="471">
        <f t="shared" si="219"/>
        <v>0.05</v>
      </c>
      <c r="N6095" s="475">
        <f t="shared" si="220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18"/>
        <v>-1.063109520929747E+16</v>
      </c>
      <c r="J6096" s="455">
        <f t="array" ref="J6096">IFERROR(INDEX('Retirement Calculator'!J:J,MATCH('Isaac 401k'!N6096,'Retirement Calculator'!A:A,0),0),0)</f>
        <v>0</v>
      </c>
      <c r="K6096" s="455">
        <f t="shared" ca="1" si="216"/>
        <v>-44296230038739.461</v>
      </c>
      <c r="L6096" s="455">
        <f t="shared" ca="1" si="217"/>
        <v>-1.067539143933621E+16</v>
      </c>
      <c r="M6096" s="471">
        <f t="shared" si="219"/>
        <v>0.05</v>
      </c>
      <c r="N6096" s="475">
        <f t="shared" si="220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18"/>
        <v>-1.067539143933621E+16</v>
      </c>
      <c r="J6097" s="455">
        <f t="array" ref="J6097">IFERROR(INDEX('Retirement Calculator'!J:J,MATCH('Isaac 401k'!N6097,'Retirement Calculator'!A:A,0),0),0)</f>
        <v>0</v>
      </c>
      <c r="K6097" s="455">
        <f t="shared" ca="1" si="216"/>
        <v>-44480797663900.875</v>
      </c>
      <c r="L6097" s="455">
        <f t="shared" ca="1" si="217"/>
        <v>-1.071987223700011E+16</v>
      </c>
      <c r="M6097" s="471">
        <f t="shared" si="219"/>
        <v>0.05</v>
      </c>
      <c r="N6097" s="475">
        <f t="shared" si="220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18"/>
        <v>-1.071987223700011E+16</v>
      </c>
      <c r="J6098" s="455">
        <f t="array" ref="J6098">IFERROR(INDEX('Retirement Calculator'!J:J,MATCH('Isaac 401k'!N6098,'Retirement Calculator'!A:A,0),0),0)</f>
        <v>0</v>
      </c>
      <c r="K6098" s="455">
        <f t="shared" ca="1" si="216"/>
        <v>-44666134320833.789</v>
      </c>
      <c r="L6098" s="455">
        <f t="shared" ca="1" si="217"/>
        <v>-1.0764538371320944E+16</v>
      </c>
      <c r="M6098" s="471">
        <f t="shared" si="219"/>
        <v>0.05</v>
      </c>
      <c r="N6098" s="475">
        <f t="shared" si="220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18"/>
        <v>-1.0764538371320944E+16</v>
      </c>
      <c r="J6099" s="455">
        <f t="array" ref="J6099">IFERROR(INDEX('Retirement Calculator'!J:J,MATCH('Isaac 401k'!N6099,'Retirement Calculator'!A:A,0),0),0)</f>
        <v>0</v>
      </c>
      <c r="K6099" s="455">
        <f t="shared" ca="1" si="216"/>
        <v>-44852243213837.266</v>
      </c>
      <c r="L6099" s="455">
        <f t="shared" ca="1" si="217"/>
        <v>-1.0809390614534782E+16</v>
      </c>
      <c r="M6099" s="471">
        <f t="shared" si="219"/>
        <v>0.05</v>
      </c>
      <c r="N6099" s="475">
        <f t="shared" si="220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18"/>
        <v>-1.0809390614534782E+16</v>
      </c>
      <c r="J6100" s="455">
        <f t="array" ref="J6100">IFERROR(INDEX('Retirement Calculator'!J:J,MATCH('Isaac 401k'!N6100,'Retirement Calculator'!A:A,0),0),0)</f>
        <v>0</v>
      </c>
      <c r="K6100" s="455">
        <f t="shared" ca="1" si="216"/>
        <v>-45039127560561.594</v>
      </c>
      <c r="L6100" s="455">
        <f t="shared" ca="1" si="217"/>
        <v>-1.0854429742095344E+16</v>
      </c>
      <c r="M6100" s="471">
        <f t="shared" si="219"/>
        <v>0.05</v>
      </c>
      <c r="N6100" s="475">
        <f t="shared" si="220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18"/>
        <v>-1.0854429742095344E+16</v>
      </c>
      <c r="J6101" s="455">
        <f t="array" ref="J6101">IFERROR(INDEX('Retirement Calculator'!J:J,MATCH('Isaac 401k'!N6101,'Retirement Calculator'!A:A,0),0),0)</f>
        <v>0</v>
      </c>
      <c r="K6101" s="455">
        <f t="shared" ca="1" si="216"/>
        <v>-45226790592063.93</v>
      </c>
      <c r="L6101" s="455">
        <f t="shared" ca="1" si="217"/>
        <v>-1.0899656532687408E+16</v>
      </c>
      <c r="M6101" s="471">
        <f t="shared" si="219"/>
        <v>0.05</v>
      </c>
      <c r="N6101" s="475">
        <f t="shared" si="220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18"/>
        <v>-1.0899656532687408E+16</v>
      </c>
      <c r="J6102" s="455">
        <f t="array" ref="J6102">IFERROR(INDEX('Retirement Calculator'!J:J,MATCH('Isaac 401k'!N6102,'Retirement Calculator'!A:A,0),0),0)</f>
        <v>0</v>
      </c>
      <c r="K6102" s="455">
        <f t="shared" ca="1" si="216"/>
        <v>-45415235552864.203</v>
      </c>
      <c r="L6102" s="455">
        <f t="shared" ca="1" si="217"/>
        <v>-1.0945071768240272E+16</v>
      </c>
      <c r="M6102" s="471">
        <f t="shared" si="219"/>
        <v>0.05</v>
      </c>
      <c r="N6102" s="475">
        <f t="shared" si="220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18"/>
        <v>-1.0945071768240272E+16</v>
      </c>
      <c r="J6103" s="455">
        <f t="array" ref="J6103">IFERROR(INDEX('Retirement Calculator'!J:J,MATCH('Isaac 401k'!N6103,'Retirement Calculator'!A:A,0),0),0)</f>
        <v>0</v>
      </c>
      <c r="K6103" s="455">
        <f t="shared" ca="1" si="216"/>
        <v>-45604465701001.133</v>
      </c>
      <c r="L6103" s="455">
        <f t="shared" ca="1" si="217"/>
        <v>-1.0990676233941274E+16</v>
      </c>
      <c r="M6103" s="471">
        <f t="shared" si="219"/>
        <v>0.05</v>
      </c>
      <c r="N6103" s="475">
        <f t="shared" si="220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18"/>
        <v>-1.0990676233941274E+16</v>
      </c>
      <c r="J6104" s="455">
        <f t="array" ref="J6104">IFERROR(INDEX('Retirement Calculator'!J:J,MATCH('Isaac 401k'!N6104,'Retirement Calculator'!A:A,0),0),0)</f>
        <v>0</v>
      </c>
      <c r="K6104" s="455">
        <f t="shared" ca="1" si="216"/>
        <v>-45794484308088.641</v>
      </c>
      <c r="L6104" s="455">
        <f t="shared" ca="1" si="217"/>
        <v>-1.1036470718249362E+16</v>
      </c>
      <c r="M6104" s="471">
        <f t="shared" si="219"/>
        <v>0.05</v>
      </c>
      <c r="N6104" s="475">
        <f t="shared" si="220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18"/>
        <v>-1.1036470718249362E+16</v>
      </c>
      <c r="J6105" s="455">
        <f t="array" ref="J6105">IFERROR(INDEX('Retirement Calculator'!J:J,MATCH('Isaac 401k'!N6105,'Retirement Calculator'!A:A,0),0),0)</f>
        <v>0</v>
      </c>
      <c r="K6105" s="455">
        <f t="shared" ca="1" si="216"/>
        <v>-45985294659372.344</v>
      </c>
      <c r="L6105" s="455">
        <f t="shared" ca="1" si="217"/>
        <v>-1.1082456012908734E+16</v>
      </c>
      <c r="M6105" s="471">
        <f t="shared" si="219"/>
        <v>0.05</v>
      </c>
      <c r="N6105" s="475">
        <f t="shared" si="220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18"/>
        <v>-1.1082456012908734E+16</v>
      </c>
      <c r="J6106" s="455">
        <f t="array" ref="J6106">IFERROR(INDEX('Retirement Calculator'!J:J,MATCH('Isaac 401k'!N6106,'Retirement Calculator'!A:A,0),0),0)</f>
        <v>0</v>
      </c>
      <c r="K6106" s="455">
        <f t="shared" ca="1" si="216"/>
        <v>-46176900053786.391</v>
      </c>
      <c r="L6106" s="455">
        <f t="shared" ca="1" si="217"/>
        <v>-1.112863291296252E+16</v>
      </c>
      <c r="M6106" s="471">
        <f t="shared" si="219"/>
        <v>0.05</v>
      </c>
      <c r="N6106" s="475">
        <f t="shared" si="220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18"/>
        <v>-1.112863291296252E+16</v>
      </c>
      <c r="J6107" s="455">
        <f t="array" ref="J6107">IFERROR(INDEX('Retirement Calculator'!J:J,MATCH('Isaac 401k'!N6107,'Retirement Calculator'!A:A,0),0),0)</f>
        <v>0</v>
      </c>
      <c r="K6107" s="455">
        <f t="shared" ca="1" si="216"/>
        <v>-46369303804010.5</v>
      </c>
      <c r="L6107" s="455">
        <f t="shared" ca="1" si="217"/>
        <v>-1.117500221676653E+16</v>
      </c>
      <c r="M6107" s="471">
        <f t="shared" si="219"/>
        <v>0.05</v>
      </c>
      <c r="N6107" s="475">
        <f t="shared" si="220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18"/>
        <v>-1.117500221676653E+16</v>
      </c>
      <c r="J6108" s="455">
        <f t="array" ref="J6108">IFERROR(INDEX('Retirement Calculator'!J:J,MATCH('Isaac 401k'!N6108,'Retirement Calculator'!A:A,0),0),0)</f>
        <v>0</v>
      </c>
      <c r="K6108" s="455">
        <f t="shared" ca="1" si="216"/>
        <v>-46562509236527.211</v>
      </c>
      <c r="L6108" s="455">
        <f t="shared" ca="1" si="217"/>
        <v>-1.1221564726003058E+16</v>
      </c>
      <c r="M6108" s="471">
        <f t="shared" si="219"/>
        <v>0.05</v>
      </c>
      <c r="N6108" s="475">
        <f t="shared" si="220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18"/>
        <v>-1.1221564726003058E+16</v>
      </c>
      <c r="J6109" s="455">
        <f t="array" ref="J6109">IFERROR(INDEX('Retirement Calculator'!J:J,MATCH('Isaac 401k'!N6109,'Retirement Calculator'!A:A,0),0),0)</f>
        <v>0</v>
      </c>
      <c r="K6109" s="455">
        <f t="shared" ca="1" si="216"/>
        <v>-46756519691679.406</v>
      </c>
      <c r="L6109" s="455">
        <f t="shared" ca="1" si="217"/>
        <v>-1.1268321245694738E+16</v>
      </c>
      <c r="M6109" s="471">
        <f t="shared" si="219"/>
        <v>0.05</v>
      </c>
      <c r="N6109" s="475">
        <f t="shared" si="220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18"/>
        <v>-1.1268321245694738E+16</v>
      </c>
      <c r="J6110" s="455">
        <f t="array" ref="J6110">IFERROR(INDEX('Retirement Calculator'!J:J,MATCH('Isaac 401k'!N6110,'Retirement Calculator'!A:A,0),0),0)</f>
        <v>0</v>
      </c>
      <c r="K6110" s="455">
        <f t="shared" ca="1" si="216"/>
        <v>-46951338523728.078</v>
      </c>
      <c r="L6110" s="455">
        <f t="shared" ca="1" si="217"/>
        <v>-1.1315272584218466E+16</v>
      </c>
      <c r="M6110" s="471">
        <f t="shared" si="219"/>
        <v>0.05</v>
      </c>
      <c r="N6110" s="475">
        <f t="shared" si="220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18"/>
        <v>-1.1315272584218466E+16</v>
      </c>
      <c r="J6111" s="455">
        <f t="array" ref="J6111">IFERROR(INDEX('Retirement Calculator'!J:J,MATCH('Isaac 401k'!N6111,'Retirement Calculator'!A:A,0),0),0)</f>
        <v>0</v>
      </c>
      <c r="K6111" s="455">
        <f t="shared" ca="1" si="216"/>
        <v>-47146969100910.273</v>
      </c>
      <c r="L6111" s="455">
        <f t="shared" ca="1" si="217"/>
        <v>-1.1362419553319376E+16</v>
      </c>
      <c r="M6111" s="471">
        <f t="shared" si="219"/>
        <v>0.05</v>
      </c>
      <c r="N6111" s="475">
        <f t="shared" si="220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18"/>
        <v>-1.1362419553319376E+16</v>
      </c>
      <c r="J6112" s="455">
        <f t="array" ref="J6112">IFERROR(INDEX('Retirement Calculator'!J:J,MATCH('Isaac 401k'!N6112,'Retirement Calculator'!A:A,0),0),0)</f>
        <v>0</v>
      </c>
      <c r="K6112" s="455">
        <f t="shared" ca="1" si="216"/>
        <v>-47343414805497.398</v>
      </c>
      <c r="L6112" s="455">
        <f t="shared" ca="1" si="217"/>
        <v>-1.1409762968124874E+16</v>
      </c>
      <c r="M6112" s="471">
        <f t="shared" si="219"/>
        <v>0.05</v>
      </c>
      <c r="N6112" s="475">
        <f t="shared" si="220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18"/>
        <v>-1.1409762968124874E+16</v>
      </c>
      <c r="J6113" s="455">
        <f t="array" ref="J6113">IFERROR(INDEX('Retirement Calculator'!J:J,MATCH('Isaac 401k'!N6113,'Retirement Calculator'!A:A,0),0),0)</f>
        <v>0</v>
      </c>
      <c r="K6113" s="455">
        <f t="shared" ca="1" si="216"/>
        <v>-47540679033853.641</v>
      </c>
      <c r="L6113" s="455">
        <f t="shared" ca="1" si="217"/>
        <v>-1.1457303647158728E+16</v>
      </c>
      <c r="M6113" s="471">
        <f t="shared" si="219"/>
        <v>0.05</v>
      </c>
      <c r="N6113" s="475">
        <f t="shared" si="220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18"/>
        <v>-1.1457303647158728E+16</v>
      </c>
      <c r="J6114" s="455">
        <f t="array" ref="J6114">IFERROR(INDEX('Retirement Calculator'!J:J,MATCH('Isaac 401k'!N6114,'Retirement Calculator'!A:A,0),0),0)</f>
        <v>0</v>
      </c>
      <c r="K6114" s="455">
        <f t="shared" ca="1" si="216"/>
        <v>-47738765196494.703</v>
      </c>
      <c r="L6114" s="455">
        <f t="shared" ca="1" si="217"/>
        <v>-1.1505042412355222E+16</v>
      </c>
      <c r="M6114" s="471">
        <f t="shared" si="219"/>
        <v>0.05</v>
      </c>
      <c r="N6114" s="475">
        <f t="shared" si="220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18"/>
        <v>-1.1505042412355222E+16</v>
      </c>
      <c r="J6115" s="455">
        <f t="array" ref="J6115">IFERROR(INDEX('Retirement Calculator'!J:J,MATCH('Isaac 401k'!N6115,'Retirement Calculator'!A:A,0),0),0)</f>
        <v>0</v>
      </c>
      <c r="K6115" s="455">
        <f t="shared" ca="1" si="216"/>
        <v>-47937676718146.758</v>
      </c>
      <c r="L6115" s="455">
        <f t="shared" ca="1" si="217"/>
        <v>-1.1552980089073368E+16</v>
      </c>
      <c r="M6115" s="471">
        <f t="shared" si="219"/>
        <v>0.05</v>
      </c>
      <c r="N6115" s="475">
        <f t="shared" si="220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18"/>
        <v>-1.1552980089073368E+16</v>
      </c>
      <c r="J6116" s="455">
        <f t="array" ref="J6116">IFERROR(INDEX('Retirement Calculator'!J:J,MATCH('Isaac 401k'!N6116,'Retirement Calculator'!A:A,0),0),0)</f>
        <v>0</v>
      </c>
      <c r="K6116" s="455">
        <f t="shared" ca="1" si="216"/>
        <v>-48137417037805.703</v>
      </c>
      <c r="L6116" s="455">
        <f t="shared" ca="1" si="217"/>
        <v>-1.1601117506111174E+16</v>
      </c>
      <c r="M6116" s="471">
        <f t="shared" si="219"/>
        <v>0.05</v>
      </c>
      <c r="N6116" s="475">
        <f t="shared" si="220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18"/>
        <v>-1.1601117506111174E+16</v>
      </c>
      <c r="J6117" s="455">
        <f t="array" ref="J6117">IFERROR(INDEX('Retirement Calculator'!J:J,MATCH('Isaac 401k'!N6117,'Retirement Calculator'!A:A,0),0),0)</f>
        <v>0</v>
      </c>
      <c r="K6117" s="455">
        <f t="shared" ca="1" si="216"/>
        <v>-48337989608796.555</v>
      </c>
      <c r="L6117" s="455">
        <f t="shared" ca="1" si="217"/>
        <v>-1.164945549571997E+16</v>
      </c>
      <c r="M6117" s="471">
        <f t="shared" si="219"/>
        <v>0.05</v>
      </c>
      <c r="N6117" s="475">
        <f t="shared" si="220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18"/>
        <v>-1.164945549571997E+16</v>
      </c>
      <c r="J6118" s="455">
        <f t="array" ref="J6118">IFERROR(INDEX('Retirement Calculator'!J:J,MATCH('Isaac 401k'!N6118,'Retirement Calculator'!A:A,0),0),0)</f>
        <v>0</v>
      </c>
      <c r="K6118" s="455">
        <f t="shared" ca="1" si="216"/>
        <v>-48539397898833.211</v>
      </c>
      <c r="L6118" s="455">
        <f t="shared" ca="1" si="217"/>
        <v>-1.1697994893618804E+16</v>
      </c>
      <c r="M6118" s="471">
        <f t="shared" si="219"/>
        <v>0.05</v>
      </c>
      <c r="N6118" s="475">
        <f t="shared" si="220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18"/>
        <v>-1.1697994893618804E+16</v>
      </c>
      <c r="J6119" s="455">
        <f t="array" ref="J6119">IFERROR(INDEX('Retirement Calculator'!J:J,MATCH('Isaac 401k'!N6119,'Retirement Calculator'!A:A,0),0),0)</f>
        <v>0</v>
      </c>
      <c r="K6119" s="455">
        <f t="shared" ca="1" si="216"/>
        <v>-48741645390078.352</v>
      </c>
      <c r="L6119" s="455">
        <f t="shared" ca="1" si="217"/>
        <v>-1.1746736539008882E+16</v>
      </c>
      <c r="M6119" s="471">
        <f t="shared" si="219"/>
        <v>0.05</v>
      </c>
      <c r="N6119" s="475">
        <f t="shared" si="220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18"/>
        <v>-1.1746736539008882E+16</v>
      </c>
      <c r="J6120" s="455">
        <f t="array" ref="J6120">IFERROR(INDEX('Retirement Calculator'!J:J,MATCH('Isaac 401k'!N6120,'Retirement Calculator'!A:A,0),0),0)</f>
        <v>0</v>
      </c>
      <c r="K6120" s="455">
        <f t="shared" ca="1" si="216"/>
        <v>-48944735579203.672</v>
      </c>
      <c r="L6120" s="455">
        <f t="shared" ca="1" si="217"/>
        <v>-1.1795681274588086E+16</v>
      </c>
      <c r="M6120" s="471">
        <f t="shared" si="219"/>
        <v>0.05</v>
      </c>
      <c r="N6120" s="475">
        <f t="shared" si="220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18"/>
        <v>-1.1795681274588086E+16</v>
      </c>
      <c r="J6121" s="455">
        <f t="array" ref="J6121">IFERROR(INDEX('Retirement Calculator'!J:J,MATCH('Isaac 401k'!N6121,'Retirement Calculator'!A:A,0),0),0)</f>
        <v>0</v>
      </c>
      <c r="K6121" s="455">
        <f t="shared" ca="1" si="216"/>
        <v>-49148671977450.359</v>
      </c>
      <c r="L6121" s="455">
        <f t="shared" ca="1" si="217"/>
        <v>-1.1844829946565536E+16</v>
      </c>
      <c r="M6121" s="471">
        <f t="shared" si="219"/>
        <v>0.05</v>
      </c>
      <c r="N6121" s="475">
        <f t="shared" si="220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18"/>
        <v>-1.1844829946565536E+16</v>
      </c>
      <c r="J6122" s="455">
        <f t="array" ref="J6122">IFERROR(INDEX('Retirement Calculator'!J:J,MATCH('Isaac 401k'!N6122,'Retirement Calculator'!A:A,0),0),0)</f>
        <v>0</v>
      </c>
      <c r="K6122" s="455">
        <f t="shared" ca="1" si="216"/>
        <v>-49353458110689.734</v>
      </c>
      <c r="L6122" s="455">
        <f t="shared" ca="1" si="217"/>
        <v>-1.1894183404676226E+16</v>
      </c>
      <c r="M6122" s="471">
        <f t="shared" si="219"/>
        <v>0.05</v>
      </c>
      <c r="N6122" s="475">
        <f t="shared" si="220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18"/>
        <v>-1.1894183404676226E+16</v>
      </c>
      <c r="J6123" s="455">
        <f t="array" ref="J6123">IFERROR(INDEX('Retirement Calculator'!J:J,MATCH('Isaac 401k'!N6123,'Retirement Calculator'!A:A,0),0),0)</f>
        <v>0</v>
      </c>
      <c r="K6123" s="455">
        <f t="shared" ca="1" si="216"/>
        <v>-49559097519484.273</v>
      </c>
      <c r="L6123" s="455">
        <f t="shared" ca="1" si="217"/>
        <v>-1.194374250219571E+16</v>
      </c>
      <c r="M6123" s="471">
        <f t="shared" si="219"/>
        <v>0.05</v>
      </c>
      <c r="N6123" s="475">
        <f t="shared" si="220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18"/>
        <v>-1.194374250219571E+16</v>
      </c>
      <c r="J6124" s="455">
        <f t="array" ref="J6124">IFERROR(INDEX('Retirement Calculator'!J:J,MATCH('Isaac 401k'!N6124,'Retirement Calculator'!A:A,0),0),0)</f>
        <v>0</v>
      </c>
      <c r="K6124" s="455">
        <f t="shared" ca="1" si="216"/>
        <v>-49765593759148.789</v>
      </c>
      <c r="L6124" s="455">
        <f t="shared" ca="1" si="217"/>
        <v>-1.1993508095954858E+16</v>
      </c>
      <c r="M6124" s="471">
        <f t="shared" si="219"/>
        <v>0.05</v>
      </c>
      <c r="N6124" s="475">
        <f t="shared" si="220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18"/>
        <v>-1.1993508095954858E+16</v>
      </c>
      <c r="J6125" s="455">
        <f t="array" ref="J6125">IFERROR(INDEX('Retirement Calculator'!J:J,MATCH('Isaac 401k'!N6125,'Retirement Calculator'!A:A,0),0),0)</f>
        <v>0</v>
      </c>
      <c r="K6125" s="455">
        <f t="shared" ca="1" si="216"/>
        <v>-49972950399811.906</v>
      </c>
      <c r="L6125" s="455">
        <f t="shared" ca="1" si="217"/>
        <v>-1.204348104635467E+16</v>
      </c>
      <c r="M6125" s="471">
        <f t="shared" si="219"/>
        <v>0.05</v>
      </c>
      <c r="N6125" s="475">
        <f t="shared" si="220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18"/>
        <v>-1.204348104635467E+16</v>
      </c>
      <c r="J6126" s="455">
        <f t="array" ref="J6126">IFERROR(INDEX('Retirement Calculator'!J:J,MATCH('Isaac 401k'!N6126,'Retirement Calculator'!A:A,0),0),0)</f>
        <v>0</v>
      </c>
      <c r="K6126" s="455">
        <f t="shared" ca="1" si="216"/>
        <v>-50181171026477.789</v>
      </c>
      <c r="L6126" s="455">
        <f t="shared" ca="1" si="217"/>
        <v>-1.2093662217381148E+16</v>
      </c>
      <c r="M6126" s="471">
        <f t="shared" si="219"/>
        <v>0.05</v>
      </c>
      <c r="N6126" s="475">
        <f t="shared" si="220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18"/>
        <v>-1.2093662217381148E+16</v>
      </c>
      <c r="J6127" s="455">
        <f t="array" ref="J6127">IFERROR(INDEX('Retirement Calculator'!J:J,MATCH('Isaac 401k'!N6127,'Retirement Calculator'!A:A,0),0),0)</f>
        <v>0</v>
      </c>
      <c r="K6127" s="455">
        <f t="shared" ca="1" si="216"/>
        <v>-50390259239088.117</v>
      </c>
      <c r="L6127" s="455">
        <f t="shared" ca="1" si="217"/>
        <v>-1.2144052476620236E+16</v>
      </c>
      <c r="M6127" s="471">
        <f t="shared" si="219"/>
        <v>0.05</v>
      </c>
      <c r="N6127" s="475">
        <f t="shared" si="220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18"/>
        <v>-1.2144052476620236E+16</v>
      </c>
      <c r="J6128" s="455">
        <f t="array" ref="J6128">IFERROR(INDEX('Retirement Calculator'!J:J,MATCH('Isaac 401k'!N6128,'Retirement Calculator'!A:A,0),0),0)</f>
        <v>0</v>
      </c>
      <c r="K6128" s="455">
        <f t="shared" ref="K6128:K6250" ca="1" si="221">IPMT(M6128/12,1,12,-I6128+J6128,,0)</f>
        <v>-50600218652584.313</v>
      </c>
      <c r="L6128" s="455">
        <f t="shared" ref="L6128:L6250" ca="1" si="222">I6128-J6128+K6128</f>
        <v>-1.219465269527282E+16</v>
      </c>
      <c r="M6128" s="471">
        <f t="shared" si="219"/>
        <v>0.05</v>
      </c>
      <c r="N6128" s="475">
        <f t="shared" si="220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23">L6128</f>
        <v>-1.219465269527282E+16</v>
      </c>
      <c r="J6129" s="455">
        <f t="array" ref="J6129">IFERROR(INDEX('Retirement Calculator'!J:J,MATCH('Isaac 401k'!N6129,'Retirement Calculator'!A:A,0),0),0)</f>
        <v>0</v>
      </c>
      <c r="K6129" s="455">
        <f t="shared" ca="1" si="221"/>
        <v>-50811052896970.086</v>
      </c>
      <c r="L6129" s="455">
        <f t="shared" ca="1" si="222"/>
        <v>-1.224546374816979E+16</v>
      </c>
      <c r="M6129" s="471">
        <f t="shared" ref="M6129:M6250" si="224">M6128</f>
        <v>0.05</v>
      </c>
      <c r="N6129" s="475">
        <f t="shared" ref="N6129:N6250" si="225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23"/>
        <v>-1.224546374816979E+16</v>
      </c>
      <c r="J6130" s="455">
        <f t="array" ref="J6130">IFERROR(INDEX('Retirement Calculator'!J:J,MATCH('Isaac 401k'!N6130,'Retirement Calculator'!A:A,0),0),0)</f>
        <v>0</v>
      </c>
      <c r="K6130" s="455">
        <f t="shared" ca="1" si="221"/>
        <v>-51022765617374.125</v>
      </c>
      <c r="L6130" s="455">
        <f t="shared" ca="1" si="222"/>
        <v>-1.2296486513787164E+16</v>
      </c>
      <c r="M6130" s="471">
        <f t="shared" si="224"/>
        <v>0.05</v>
      </c>
      <c r="N6130" s="475">
        <f t="shared" si="225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23"/>
        <v>-1.2296486513787164E+16</v>
      </c>
      <c r="J6131" s="455">
        <f t="array" ref="J6131">IFERROR(INDEX('Retirement Calculator'!J:J,MATCH('Isaac 401k'!N6131,'Retirement Calculator'!A:A,0),0),0)</f>
        <v>0</v>
      </c>
      <c r="K6131" s="455">
        <f t="shared" ca="1" si="221"/>
        <v>-51235360474113.18</v>
      </c>
      <c r="L6131" s="455">
        <f t="shared" ca="1" si="222"/>
        <v>-1.2347721874261278E+16</v>
      </c>
      <c r="M6131" s="471">
        <f t="shared" si="224"/>
        <v>0.05</v>
      </c>
      <c r="N6131" s="475">
        <f t="shared" si="225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23"/>
        <v>-1.2347721874261278E+16</v>
      </c>
      <c r="J6132" s="455">
        <f t="array" ref="J6132">IFERROR(INDEX('Retirement Calculator'!J:J,MATCH('Isaac 401k'!N6132,'Retirement Calculator'!A:A,0),0),0)</f>
        <v>0</v>
      </c>
      <c r="K6132" s="455">
        <f t="shared" ca="1" si="221"/>
        <v>-51448841142755.328</v>
      </c>
      <c r="L6132" s="455">
        <f t="shared" ca="1" si="222"/>
        <v>-1.2399170715404034E+16</v>
      </c>
      <c r="M6132" s="471">
        <f t="shared" si="224"/>
        <v>0.05</v>
      </c>
      <c r="N6132" s="475">
        <f t="shared" si="225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23"/>
        <v>-1.2399170715404034E+16</v>
      </c>
      <c r="J6133" s="455">
        <f t="array" ref="J6133">IFERROR(INDEX('Retirement Calculator'!J:J,MATCH('Isaac 401k'!N6133,'Retirement Calculator'!A:A,0),0),0)</f>
        <v>0</v>
      </c>
      <c r="K6133" s="455">
        <f t="shared" ca="1" si="221"/>
        <v>-51663211314183.477</v>
      </c>
      <c r="L6133" s="455">
        <f t="shared" ca="1" si="222"/>
        <v>-1.2450833926718218E+16</v>
      </c>
      <c r="M6133" s="471">
        <f t="shared" si="224"/>
        <v>0.05</v>
      </c>
      <c r="N6133" s="475">
        <f t="shared" si="225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23"/>
        <v>-1.2450833926718218E+16</v>
      </c>
      <c r="J6134" s="455">
        <f t="array" ref="J6134">IFERROR(INDEX('Retirement Calculator'!J:J,MATCH('Isaac 401k'!N6134,'Retirement Calculator'!A:A,0),0),0)</f>
        <v>0</v>
      </c>
      <c r="K6134" s="455">
        <f t="shared" ca="1" si="221"/>
        <v>-51878474694659.242</v>
      </c>
      <c r="L6134" s="455">
        <f t="shared" ca="1" si="222"/>
        <v>-1.2502712401412878E+16</v>
      </c>
      <c r="M6134" s="471">
        <f t="shared" si="224"/>
        <v>0.05</v>
      </c>
      <c r="N6134" s="475">
        <f t="shared" si="225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23"/>
        <v>-1.2502712401412878E+16</v>
      </c>
      <c r="J6135" s="455">
        <f t="array" ref="J6135">IFERROR(INDEX('Retirement Calculator'!J:J,MATCH('Isaac 401k'!N6135,'Retirement Calculator'!A:A,0),0),0)</f>
        <v>0</v>
      </c>
      <c r="K6135" s="455">
        <f t="shared" ca="1" si="221"/>
        <v>-52094635005886.992</v>
      </c>
      <c r="L6135" s="455">
        <f t="shared" ca="1" si="222"/>
        <v>-1.2554807036418764E+16</v>
      </c>
      <c r="M6135" s="471">
        <f t="shared" si="224"/>
        <v>0.05</v>
      </c>
      <c r="N6135" s="475">
        <f t="shared" si="225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23"/>
        <v>-1.2554807036418764E+16</v>
      </c>
      <c r="J6136" s="455">
        <f t="array" ref="J6136">IFERROR(INDEX('Retirement Calculator'!J:J,MATCH('Isaac 401k'!N6136,'Retirement Calculator'!A:A,0),0),0)</f>
        <v>0</v>
      </c>
      <c r="K6136" s="455">
        <f t="shared" ca="1" si="221"/>
        <v>-52311695985078.18</v>
      </c>
      <c r="L6136" s="455">
        <f t="shared" ca="1" si="222"/>
        <v>-1.2607118732403842E+16</v>
      </c>
      <c r="M6136" s="471">
        <f t="shared" si="224"/>
        <v>0.05</v>
      </c>
      <c r="N6136" s="475">
        <f t="shared" si="225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23"/>
        <v>-1.2607118732403842E+16</v>
      </c>
      <c r="J6137" s="455">
        <f t="array" ref="J6137">IFERROR(INDEX('Retirement Calculator'!J:J,MATCH('Isaac 401k'!N6137,'Retirement Calculator'!A:A,0),0),0)</f>
        <v>0</v>
      </c>
      <c r="K6137" s="455">
        <f t="shared" ca="1" si="221"/>
        <v>-52529661385016.008</v>
      </c>
      <c r="L6137" s="455">
        <f t="shared" ca="1" si="222"/>
        <v>-1.2659648393788858E+16</v>
      </c>
      <c r="M6137" s="471">
        <f t="shared" si="224"/>
        <v>0.05</v>
      </c>
      <c r="N6137" s="475">
        <f t="shared" si="225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23"/>
        <v>-1.2659648393788858E+16</v>
      </c>
      <c r="J6138" s="455">
        <f t="array" ref="J6138">IFERROR(INDEX('Retirement Calculator'!J:J,MATCH('Isaac 401k'!N6138,'Retirement Calculator'!A:A,0),0),0)</f>
        <v>0</v>
      </c>
      <c r="K6138" s="455">
        <f t="shared" ca="1" si="221"/>
        <v>-52748534974120.242</v>
      </c>
      <c r="L6138" s="455">
        <f t="shared" ca="1" si="222"/>
        <v>-1.2712396928762978E+16</v>
      </c>
      <c r="M6138" s="471">
        <f t="shared" si="224"/>
        <v>0.05</v>
      </c>
      <c r="N6138" s="475">
        <f t="shared" si="225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23"/>
        <v>-1.2712396928762978E+16</v>
      </c>
      <c r="J6139" s="455">
        <f t="array" ref="J6139">IFERROR(INDEX('Retirement Calculator'!J:J,MATCH('Isaac 401k'!N6139,'Retirement Calculator'!A:A,0),0),0)</f>
        <v>0</v>
      </c>
      <c r="K6139" s="455">
        <f t="shared" ca="1" si="221"/>
        <v>-52968320536512.406</v>
      </c>
      <c r="L6139" s="455">
        <f t="shared" ca="1" si="222"/>
        <v>-1.276536524929949E+16</v>
      </c>
      <c r="M6139" s="471">
        <f t="shared" si="224"/>
        <v>0.05</v>
      </c>
      <c r="N6139" s="475">
        <f t="shared" si="225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23"/>
        <v>-1.276536524929949E+16</v>
      </c>
      <c r="J6140" s="455">
        <f t="array" ref="J6140">IFERROR(INDEX('Retirement Calculator'!J:J,MATCH('Isaac 401k'!N6140,'Retirement Calculator'!A:A,0),0),0)</f>
        <v>0</v>
      </c>
      <c r="K6140" s="455">
        <f t="shared" ca="1" si="221"/>
        <v>-53189021872081.211</v>
      </c>
      <c r="L6140" s="455">
        <f t="shared" ca="1" si="222"/>
        <v>-1.2818554271171572E+16</v>
      </c>
      <c r="M6140" s="471">
        <f t="shared" si="224"/>
        <v>0.05</v>
      </c>
      <c r="N6140" s="475">
        <f t="shared" si="225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23"/>
        <v>-1.2818554271171572E+16</v>
      </c>
      <c r="J6141" s="455">
        <f t="array" ref="J6141">IFERROR(INDEX('Retirement Calculator'!J:J,MATCH('Isaac 401k'!N6141,'Retirement Calculator'!A:A,0),0),0)</f>
        <v>0</v>
      </c>
      <c r="K6141" s="455">
        <f t="shared" ca="1" si="221"/>
        <v>-53410642796548.219</v>
      </c>
      <c r="L6141" s="455">
        <f t="shared" ca="1" si="222"/>
        <v>-1.287196491396812E+16</v>
      </c>
      <c r="M6141" s="471">
        <f t="shared" si="224"/>
        <v>0.05</v>
      </c>
      <c r="N6141" s="475">
        <f t="shared" si="225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23"/>
        <v>-1.287196491396812E+16</v>
      </c>
      <c r="J6142" s="455">
        <f t="array" ref="J6142">IFERROR(INDEX('Retirement Calculator'!J:J,MATCH('Isaac 401k'!N6142,'Retirement Calculator'!A:A,0),0),0)</f>
        <v>0</v>
      </c>
      <c r="K6142" s="455">
        <f t="shared" ca="1" si="221"/>
        <v>-53633187141533.836</v>
      </c>
      <c r="L6142" s="455">
        <f t="shared" ca="1" si="222"/>
        <v>-1.2925598101109654E+16</v>
      </c>
      <c r="M6142" s="471">
        <f t="shared" si="224"/>
        <v>0.05</v>
      </c>
      <c r="N6142" s="475">
        <f t="shared" si="225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23"/>
        <v>-1.2925598101109654E+16</v>
      </c>
      <c r="J6143" s="455">
        <f t="array" ref="J6143">IFERROR(INDEX('Retirement Calculator'!J:J,MATCH('Isaac 401k'!N6143,'Retirement Calculator'!A:A,0),0),0)</f>
        <v>0</v>
      </c>
      <c r="K6143" s="455">
        <f t="shared" ca="1" si="221"/>
        <v>-53856658754623.555</v>
      </c>
      <c r="L6143" s="455">
        <f t="shared" ca="1" si="222"/>
        <v>-1.2979454759864278E+16</v>
      </c>
      <c r="M6143" s="471">
        <f t="shared" si="224"/>
        <v>0.05</v>
      </c>
      <c r="N6143" s="475">
        <f t="shared" si="225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23"/>
        <v>-1.2979454759864278E+16</v>
      </c>
      <c r="J6144" s="455">
        <f t="array" ref="J6144">IFERROR(INDEX('Retirement Calculator'!J:J,MATCH('Isaac 401k'!N6144,'Retirement Calculator'!A:A,0),0),0)</f>
        <v>0</v>
      </c>
      <c r="K6144" s="455">
        <f t="shared" ca="1" si="221"/>
        <v>-54081061499434.492</v>
      </c>
      <c r="L6144" s="455">
        <f t="shared" ca="1" si="222"/>
        <v>-1.3033535821363712E+16</v>
      </c>
      <c r="M6144" s="471">
        <f t="shared" si="224"/>
        <v>0.05</v>
      </c>
      <c r="N6144" s="475">
        <f t="shared" si="225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23"/>
        <v>-1.3033535821363712E+16</v>
      </c>
      <c r="J6145" s="455">
        <f t="array" ref="J6145">IFERROR(INDEX('Retirement Calculator'!J:J,MATCH('Isaac 401k'!N6145,'Retirement Calculator'!A:A,0),0),0)</f>
        <v>0</v>
      </c>
      <c r="K6145" s="455">
        <f t="shared" ca="1" si="221"/>
        <v>-54306399255682.133</v>
      </c>
      <c r="L6145" s="455">
        <f t="shared" ca="1" si="222"/>
        <v>-1.3087842220619394E+16</v>
      </c>
      <c r="M6145" s="471">
        <f t="shared" si="224"/>
        <v>0.05</v>
      </c>
      <c r="N6145" s="475">
        <f t="shared" si="225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23"/>
        <v>-1.3087842220619394E+16</v>
      </c>
      <c r="J6146" s="455">
        <f t="array" ref="J6146">IFERROR(INDEX('Retirement Calculator'!J:J,MATCH('Isaac 401k'!N6146,'Retirement Calculator'!A:A,0),0),0)</f>
        <v>0</v>
      </c>
      <c r="K6146" s="455">
        <f t="shared" ca="1" si="221"/>
        <v>-54532675919247.477</v>
      </c>
      <c r="L6146" s="455">
        <f t="shared" ca="1" si="222"/>
        <v>-1.3142374896538642E+16</v>
      </c>
      <c r="M6146" s="471">
        <f t="shared" si="224"/>
        <v>0.05</v>
      </c>
      <c r="N6146" s="475">
        <f t="shared" si="225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23"/>
        <v>-1.3142374896538642E+16</v>
      </c>
      <c r="J6147" s="455">
        <f t="array" ref="J6147">IFERROR(INDEX('Retirement Calculator'!J:J,MATCH('Isaac 401k'!N6147,'Retirement Calculator'!A:A,0),0),0)</f>
        <v>0</v>
      </c>
      <c r="K6147" s="455">
        <f t="shared" ca="1" si="221"/>
        <v>-54759895402244.344</v>
      </c>
      <c r="L6147" s="455">
        <f t="shared" ca="1" si="222"/>
        <v>-1.3197134791940886E+16</v>
      </c>
      <c r="M6147" s="471">
        <f t="shared" si="224"/>
        <v>0.05</v>
      </c>
      <c r="N6147" s="475">
        <f t="shared" si="225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23"/>
        <v>-1.3197134791940886E+16</v>
      </c>
      <c r="J6148" s="455">
        <f t="array" ref="J6148">IFERROR(INDEX('Retirement Calculator'!J:J,MATCH('Isaac 401k'!N6148,'Retirement Calculator'!A:A,0),0),0)</f>
        <v>0</v>
      </c>
      <c r="K6148" s="455">
        <f t="shared" ca="1" si="221"/>
        <v>-54988061633087.023</v>
      </c>
      <c r="L6148" s="455">
        <f t="shared" ca="1" si="222"/>
        <v>-1.3252122853573974E+16</v>
      </c>
      <c r="M6148" s="471">
        <f t="shared" si="224"/>
        <v>0.05</v>
      </c>
      <c r="N6148" s="475">
        <f t="shared" si="225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23"/>
        <v>-1.3252122853573974E+16</v>
      </c>
      <c r="J6149" s="455">
        <f t="array" ref="J6149">IFERROR(INDEX('Retirement Calculator'!J:J,MATCH('Isaac 401k'!N6149,'Retirement Calculator'!A:A,0),0),0)</f>
        <v>0</v>
      </c>
      <c r="K6149" s="455">
        <f t="shared" ca="1" si="221"/>
        <v>-55217178556558.227</v>
      </c>
      <c r="L6149" s="455">
        <f t="shared" ca="1" si="222"/>
        <v>-1.3307340032130532E+16</v>
      </c>
      <c r="M6149" s="471">
        <f t="shared" si="224"/>
        <v>0.05</v>
      </c>
      <c r="N6149" s="475">
        <f t="shared" si="225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23"/>
        <v>-1.3307340032130532E+16</v>
      </c>
      <c r="J6150" s="455">
        <f t="array" ref="J6150">IFERROR(INDEX('Retirement Calculator'!J:J,MATCH('Isaac 401k'!N6150,'Retirement Calculator'!A:A,0),0),0)</f>
        <v>0</v>
      </c>
      <c r="K6150" s="455">
        <f t="shared" ca="1" si="221"/>
        <v>-55447250133877.219</v>
      </c>
      <c r="L6150" s="455">
        <f t="shared" ca="1" si="222"/>
        <v>-1.336278728226441E+16</v>
      </c>
      <c r="M6150" s="471">
        <f t="shared" si="224"/>
        <v>0.05</v>
      </c>
      <c r="N6150" s="475">
        <f t="shared" si="225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23"/>
        <v>-1.336278728226441E+16</v>
      </c>
      <c r="J6151" s="455">
        <f t="array" ref="J6151">IFERROR(INDEX('Retirement Calculator'!J:J,MATCH('Isaac 401k'!N6151,'Retirement Calculator'!A:A,0),0),0)</f>
        <v>0</v>
      </c>
      <c r="K6151" s="455">
        <f t="shared" ca="1" si="221"/>
        <v>-55678280342768.375</v>
      </c>
      <c r="L6151" s="455">
        <f t="shared" ca="1" si="222"/>
        <v>-1.3418465562607178E+16</v>
      </c>
      <c r="M6151" s="471">
        <f t="shared" si="224"/>
        <v>0.05</v>
      </c>
      <c r="N6151" s="475">
        <f t="shared" si="225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23"/>
        <v>-1.3418465562607178E+16</v>
      </c>
      <c r="J6152" s="455">
        <f t="array" ref="J6152">IFERROR(INDEX('Retirement Calculator'!J:J,MATCH('Isaac 401k'!N6152,'Retirement Calculator'!A:A,0),0),0)</f>
        <v>0</v>
      </c>
      <c r="K6152" s="455">
        <f t="shared" ca="1" si="221"/>
        <v>-55910273177529.906</v>
      </c>
      <c r="L6152" s="455">
        <f t="shared" ca="1" si="222"/>
        <v>-1.3474375835784708E+16</v>
      </c>
      <c r="M6152" s="471">
        <f t="shared" si="224"/>
        <v>0.05</v>
      </c>
      <c r="N6152" s="475">
        <f t="shared" si="225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23"/>
        <v>-1.3474375835784708E+16</v>
      </c>
      <c r="J6153" s="455">
        <f t="array" ref="J6153">IFERROR(INDEX('Retirement Calculator'!J:J,MATCH('Isaac 401k'!N6153,'Retirement Calculator'!A:A,0),0),0)</f>
        <v>0</v>
      </c>
      <c r="K6153" s="455">
        <f t="shared" ca="1" si="221"/>
        <v>-56143232649102.953</v>
      </c>
      <c r="L6153" s="455">
        <f t="shared" ca="1" si="222"/>
        <v>-1.353051906843381E+16</v>
      </c>
      <c r="M6153" s="471">
        <f t="shared" si="224"/>
        <v>0.05</v>
      </c>
      <c r="N6153" s="475">
        <f t="shared" si="225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23"/>
        <v>-1.353051906843381E+16</v>
      </c>
      <c r="J6154" s="455">
        <f t="array" ref="J6154">IFERROR(INDEX('Retirement Calculator'!J:J,MATCH('Isaac 401k'!N6154,'Retirement Calculator'!A:A,0),0),0)</f>
        <v>0</v>
      </c>
      <c r="K6154" s="455">
        <f t="shared" ca="1" si="221"/>
        <v>-56377162785140.875</v>
      </c>
      <c r="L6154" s="455">
        <f t="shared" ca="1" si="222"/>
        <v>-1.358689623121895E+16</v>
      </c>
      <c r="M6154" s="471">
        <f t="shared" si="224"/>
        <v>0.05</v>
      </c>
      <c r="N6154" s="475">
        <f t="shared" si="225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23"/>
        <v>-1.358689623121895E+16</v>
      </c>
      <c r="J6155" s="455">
        <f t="array" ref="J6155">IFERROR(INDEX('Retirement Calculator'!J:J,MATCH('Isaac 401k'!N6155,'Retirement Calculator'!A:A,0),0),0)</f>
        <v>0</v>
      </c>
      <c r="K6155" s="455">
        <f t="shared" ca="1" si="221"/>
        <v>-56612067630078.961</v>
      </c>
      <c r="L6155" s="455">
        <f t="shared" ca="1" si="222"/>
        <v>-1.3643508298849028E+16</v>
      </c>
      <c r="M6155" s="471">
        <f t="shared" si="224"/>
        <v>0.05</v>
      </c>
      <c r="N6155" s="475">
        <f t="shared" si="225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23"/>
        <v>-1.3643508298849028E+16</v>
      </c>
      <c r="J6156" s="455">
        <f t="array" ref="J6156">IFERROR(INDEX('Retirement Calculator'!J:J,MATCH('Isaac 401k'!N6156,'Retirement Calculator'!A:A,0),0),0)</f>
        <v>0</v>
      </c>
      <c r="K6156" s="455">
        <f t="shared" ca="1" si="221"/>
        <v>-56847951245204.281</v>
      </c>
      <c r="L6156" s="455">
        <f t="shared" ca="1" si="222"/>
        <v>-1.3700356250094232E+16</v>
      </c>
      <c r="M6156" s="471">
        <f t="shared" si="224"/>
        <v>0.05</v>
      </c>
      <c r="N6156" s="475">
        <f t="shared" si="225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23"/>
        <v>-1.3700356250094232E+16</v>
      </c>
      <c r="J6157" s="455">
        <f t="array" ref="J6157">IFERROR(INDEX('Retirement Calculator'!J:J,MATCH('Isaac 401k'!N6157,'Retirement Calculator'!A:A,0),0),0)</f>
        <v>0</v>
      </c>
      <c r="K6157" s="455">
        <f t="shared" ca="1" si="221"/>
        <v>-57084817708725.969</v>
      </c>
      <c r="L6157" s="455">
        <f t="shared" ca="1" si="222"/>
        <v>-1.3757441067802958E+16</v>
      </c>
      <c r="M6157" s="471">
        <f t="shared" si="224"/>
        <v>0.05</v>
      </c>
      <c r="N6157" s="475">
        <f t="shared" si="225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23"/>
        <v>-1.3757441067802958E+16</v>
      </c>
      <c r="J6158" s="455">
        <f t="array" ref="J6158">IFERROR(INDEX('Retirement Calculator'!J:J,MATCH('Isaac 401k'!N6158,'Retirement Calculator'!A:A,0),0),0)</f>
        <v>0</v>
      </c>
      <c r="K6158" s="455">
        <f t="shared" ca="1" si="221"/>
        <v>-57322671115845.656</v>
      </c>
      <c r="L6158" s="455">
        <f t="shared" ca="1" si="222"/>
        <v>-1.3814763738918804E+16</v>
      </c>
      <c r="M6158" s="471">
        <f t="shared" si="224"/>
        <v>0.05</v>
      </c>
      <c r="N6158" s="475">
        <f t="shared" si="225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23"/>
        <v>-1.3814763738918804E+16</v>
      </c>
      <c r="J6159" s="455">
        <f t="array" ref="J6159">IFERROR(INDEX('Retirement Calculator'!J:J,MATCH('Isaac 401k'!N6159,'Retirement Calculator'!A:A,0),0),0)</f>
        <v>0</v>
      </c>
      <c r="K6159" s="455">
        <f t="shared" ca="1" si="221"/>
        <v>-57561515578828.352</v>
      </c>
      <c r="L6159" s="455">
        <f t="shared" ca="1" si="222"/>
        <v>-1.3872325254497632E+16</v>
      </c>
      <c r="M6159" s="471">
        <f t="shared" si="224"/>
        <v>0.05</v>
      </c>
      <c r="N6159" s="475">
        <f t="shared" si="225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23"/>
        <v>-1.3872325254497632E+16</v>
      </c>
      <c r="J6160" s="455">
        <f t="array" ref="J6160">IFERROR(INDEX('Retirement Calculator'!J:J,MATCH('Isaac 401k'!N6160,'Retirement Calculator'!A:A,0),0),0)</f>
        <v>0</v>
      </c>
      <c r="K6160" s="455">
        <f t="shared" ca="1" si="221"/>
        <v>-57801355227073.469</v>
      </c>
      <c r="L6160" s="455">
        <f t="shared" ca="1" si="222"/>
        <v>-1.3930126609724706E+16</v>
      </c>
      <c r="M6160" s="471">
        <f t="shared" si="224"/>
        <v>0.05</v>
      </c>
      <c r="N6160" s="475">
        <f t="shared" si="225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23"/>
        <v>-1.3930126609724706E+16</v>
      </c>
      <c r="J6161" s="455">
        <f t="array" ref="J6161">IFERROR(INDEX('Retirement Calculator'!J:J,MATCH('Isaac 401k'!N6161,'Retirement Calculator'!A:A,0),0),0)</f>
        <v>0</v>
      </c>
      <c r="K6161" s="455">
        <f t="shared" ca="1" si="221"/>
        <v>-58042194207186.273</v>
      </c>
      <c r="L6161" s="455">
        <f t="shared" ca="1" si="222"/>
        <v>-1.3988168803931892E+16</v>
      </c>
      <c r="M6161" s="471">
        <f t="shared" si="224"/>
        <v>0.05</v>
      </c>
      <c r="N6161" s="475">
        <f t="shared" si="225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23"/>
        <v>-1.3988168803931892E+16</v>
      </c>
      <c r="J6162" s="455">
        <f t="array" ref="J6162">IFERROR(INDEX('Retirement Calculator'!J:J,MATCH('Isaac 401k'!N6162,'Retirement Calculator'!A:A,0),0),0)</f>
        <v>0</v>
      </c>
      <c r="K6162" s="455">
        <f t="shared" ca="1" si="221"/>
        <v>-58284036683049.547</v>
      </c>
      <c r="L6162" s="455">
        <f t="shared" ca="1" si="222"/>
        <v>-1.4046452840614942E+16</v>
      </c>
      <c r="M6162" s="471">
        <f t="shared" si="224"/>
        <v>0.05</v>
      </c>
      <c r="N6162" s="475">
        <f t="shared" si="225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23"/>
        <v>-1.4046452840614942E+16</v>
      </c>
      <c r="J6163" s="455">
        <f t="array" ref="J6163">IFERROR(INDEX('Retirement Calculator'!J:J,MATCH('Isaac 401k'!N6163,'Retirement Calculator'!A:A,0),0),0)</f>
        <v>0</v>
      </c>
      <c r="K6163" s="455">
        <f t="shared" ca="1" si="221"/>
        <v>-58526886835895.602</v>
      </c>
      <c r="L6163" s="455">
        <f t="shared" ca="1" si="222"/>
        <v>-1.4104979727450838E+16</v>
      </c>
      <c r="M6163" s="471">
        <f t="shared" si="224"/>
        <v>0.05</v>
      </c>
      <c r="N6163" s="475">
        <f t="shared" si="225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23"/>
        <v>-1.4104979727450838E+16</v>
      </c>
      <c r="J6164" s="455">
        <f t="array" ref="J6164">IFERROR(INDEX('Retirement Calculator'!J:J,MATCH('Isaac 401k'!N6164,'Retirement Calculator'!A:A,0),0),0)</f>
        <v>0</v>
      </c>
      <c r="K6164" s="455">
        <f t="shared" ca="1" si="221"/>
        <v>-58770748864378.492</v>
      </c>
      <c r="L6164" s="455">
        <f t="shared" ca="1" si="222"/>
        <v>-1.4163750476315216E+16</v>
      </c>
      <c r="M6164" s="471">
        <f t="shared" si="224"/>
        <v>0.05</v>
      </c>
      <c r="N6164" s="475">
        <f t="shared" si="225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23"/>
        <v>-1.4163750476315216E+16</v>
      </c>
      <c r="J6165" s="455">
        <f t="array" ref="J6165">IFERROR(INDEX('Retirement Calculator'!J:J,MATCH('Isaac 401k'!N6165,'Retirement Calculator'!A:A,0),0),0)</f>
        <v>0</v>
      </c>
      <c r="K6165" s="455">
        <f t="shared" ca="1" si="221"/>
        <v>-59015626984646.734</v>
      </c>
      <c r="L6165" s="455">
        <f t="shared" ca="1" si="222"/>
        <v>-1.4222766103299862E+16</v>
      </c>
      <c r="M6165" s="471">
        <f t="shared" si="224"/>
        <v>0.05</v>
      </c>
      <c r="N6165" s="475">
        <f t="shared" si="225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23"/>
        <v>-1.4222766103299862E+16</v>
      </c>
      <c r="J6166" s="455">
        <f t="array" ref="J6166">IFERROR(INDEX('Retirement Calculator'!J:J,MATCH('Isaac 401k'!N6166,'Retirement Calculator'!A:A,0),0),0)</f>
        <v>0</v>
      </c>
      <c r="K6166" s="455">
        <f t="shared" ca="1" si="221"/>
        <v>-59261525430416.102</v>
      </c>
      <c r="L6166" s="455">
        <f t="shared" ca="1" si="222"/>
        <v>-1.4282027628730278E+16</v>
      </c>
      <c r="M6166" s="471">
        <f t="shared" si="224"/>
        <v>0.05</v>
      </c>
      <c r="N6166" s="475">
        <f t="shared" si="225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23"/>
        <v>-1.4282027628730278E+16</v>
      </c>
      <c r="J6167" s="455">
        <f t="array" ref="J6167">IFERROR(INDEX('Retirement Calculator'!J:J,MATCH('Isaac 401k'!N6167,'Retirement Calculator'!A:A,0),0),0)</f>
        <v>0</v>
      </c>
      <c r="K6167" s="455">
        <f t="shared" ca="1" si="221"/>
        <v>-59508448453042.82</v>
      </c>
      <c r="L6167" s="455">
        <f t="shared" ca="1" si="222"/>
        <v>-1.434153607718332E+16</v>
      </c>
      <c r="M6167" s="471">
        <f t="shared" si="224"/>
        <v>0.05</v>
      </c>
      <c r="N6167" s="475">
        <f t="shared" si="225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23"/>
        <v>-1.434153607718332E+16</v>
      </c>
      <c r="J6168" s="455">
        <f t="array" ref="J6168">IFERROR(INDEX('Retirement Calculator'!J:J,MATCH('Isaac 401k'!N6168,'Retirement Calculator'!A:A,0),0),0)</f>
        <v>0</v>
      </c>
      <c r="K6168" s="455">
        <f t="shared" ca="1" si="221"/>
        <v>-59756400321597.164</v>
      </c>
      <c r="L6168" s="455">
        <f t="shared" ca="1" si="222"/>
        <v>-1.4401292477504918E+16</v>
      </c>
      <c r="M6168" s="471">
        <f t="shared" si="224"/>
        <v>0.05</v>
      </c>
      <c r="N6168" s="475">
        <f t="shared" si="225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23"/>
        <v>-1.4401292477504918E+16</v>
      </c>
      <c r="J6169" s="455">
        <f t="array" ref="J6169">IFERROR(INDEX('Retirement Calculator'!J:J,MATCH('Isaac 401k'!N6169,'Retirement Calculator'!A:A,0),0),0)</f>
        <v>0</v>
      </c>
      <c r="K6169" s="455">
        <f t="shared" ca="1" si="221"/>
        <v>-60005385322937.156</v>
      </c>
      <c r="L6169" s="455">
        <f t="shared" ca="1" si="222"/>
        <v>-1.4461297862827856E+16</v>
      </c>
      <c r="M6169" s="471">
        <f t="shared" si="224"/>
        <v>0.05</v>
      </c>
      <c r="N6169" s="475">
        <f t="shared" si="225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23"/>
        <v>-1.4461297862827856E+16</v>
      </c>
      <c r="J6170" s="455">
        <f t="array" ref="J6170">IFERROR(INDEX('Retirement Calculator'!J:J,MATCH('Isaac 401k'!N6170,'Retirement Calculator'!A:A,0),0),0)</f>
        <v>0</v>
      </c>
      <c r="K6170" s="455">
        <f t="shared" ca="1" si="221"/>
        <v>-60255407761782.742</v>
      </c>
      <c r="L6170" s="455">
        <f t="shared" ca="1" si="222"/>
        <v>-1.4521553270589638E+16</v>
      </c>
      <c r="M6170" s="471">
        <f t="shared" si="224"/>
        <v>0.05</v>
      </c>
      <c r="N6170" s="475">
        <f t="shared" si="225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23"/>
        <v>-1.4521553270589638E+16</v>
      </c>
      <c r="J6171" s="455">
        <f t="array" ref="J6171">IFERROR(INDEX('Retirement Calculator'!J:J,MATCH('Isaac 401k'!N6171,'Retirement Calculator'!A:A,0),0),0)</f>
        <v>0</v>
      </c>
      <c r="K6171" s="455">
        <f t="shared" ca="1" si="221"/>
        <v>-60506471960790.148</v>
      </c>
      <c r="L6171" s="455">
        <f t="shared" ca="1" si="222"/>
        <v>-1.4582059742550428E+16</v>
      </c>
      <c r="M6171" s="471">
        <f t="shared" si="224"/>
        <v>0.05</v>
      </c>
      <c r="N6171" s="475">
        <f t="shared" si="225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23"/>
        <v>-1.4582059742550428E+16</v>
      </c>
      <c r="J6172" s="455">
        <f t="array" ref="J6172">IFERROR(INDEX('Retirement Calculator'!J:J,MATCH('Isaac 401k'!N6172,'Retirement Calculator'!A:A,0),0),0)</f>
        <v>0</v>
      </c>
      <c r="K6172" s="455">
        <f t="shared" ca="1" si="221"/>
        <v>-60758582260626.773</v>
      </c>
      <c r="L6172" s="455">
        <f t="shared" ca="1" si="222"/>
        <v>-1.4642818324811054E+16</v>
      </c>
      <c r="M6172" s="471">
        <f t="shared" si="224"/>
        <v>0.05</v>
      </c>
      <c r="N6172" s="475">
        <f t="shared" si="225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23"/>
        <v>-1.4642818324811054E+16</v>
      </c>
      <c r="J6173" s="455">
        <f t="array" ref="J6173">IFERROR(INDEX('Retirement Calculator'!J:J,MATCH('Isaac 401k'!N6173,'Retirement Calculator'!A:A,0),0),0)</f>
        <v>0</v>
      </c>
      <c r="K6173" s="455">
        <f t="shared" ca="1" si="221"/>
        <v>-61011743020046.047</v>
      </c>
      <c r="L6173" s="455">
        <f t="shared" ca="1" si="222"/>
        <v>-1.47038300678311E+16</v>
      </c>
      <c r="M6173" s="471">
        <f t="shared" si="224"/>
        <v>0.05</v>
      </c>
      <c r="N6173" s="475">
        <f t="shared" si="225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23"/>
        <v>-1.47038300678311E+16</v>
      </c>
      <c r="J6174" s="455">
        <f t="array" ref="J6174">IFERROR(INDEX('Retirement Calculator'!J:J,MATCH('Isaac 401k'!N6174,'Retirement Calculator'!A:A,0),0),0)</f>
        <v>0</v>
      </c>
      <c r="K6174" s="455">
        <f t="shared" ca="1" si="221"/>
        <v>-61265958615962.922</v>
      </c>
      <c r="L6174" s="455">
        <f t="shared" ca="1" si="222"/>
        <v>-1.4765096026447062E+16</v>
      </c>
      <c r="M6174" s="471">
        <f t="shared" si="224"/>
        <v>0.05</v>
      </c>
      <c r="N6174" s="475">
        <f t="shared" si="225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23"/>
        <v>-1.4765096026447062E+16</v>
      </c>
      <c r="J6175" s="455">
        <f t="array" ref="J6175">IFERROR(INDEX('Retirement Calculator'!J:J,MATCH('Isaac 401k'!N6175,'Retirement Calculator'!A:A,0),0),0)</f>
        <v>0</v>
      </c>
      <c r="K6175" s="455">
        <f t="shared" ca="1" si="221"/>
        <v>-61521233443529.422</v>
      </c>
      <c r="L6175" s="455">
        <f t="shared" ca="1" si="222"/>
        <v>-1.4826617259890592E+16</v>
      </c>
      <c r="M6175" s="471">
        <f t="shared" si="224"/>
        <v>0.05</v>
      </c>
      <c r="N6175" s="475">
        <f t="shared" si="225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23"/>
        <v>-1.4826617259890592E+16</v>
      </c>
      <c r="J6176" s="455">
        <f t="array" ref="J6176">IFERROR(INDEX('Retirement Calculator'!J:J,MATCH('Isaac 401k'!N6176,'Retirement Calculator'!A:A,0),0),0)</f>
        <v>0</v>
      </c>
      <c r="K6176" s="455">
        <f t="shared" ca="1" si="221"/>
        <v>-61777571916210.797</v>
      </c>
      <c r="L6176" s="455">
        <f t="shared" ca="1" si="222"/>
        <v>-1.4888394831806802E+16</v>
      </c>
      <c r="M6176" s="471">
        <f t="shared" si="224"/>
        <v>0.05</v>
      </c>
      <c r="N6176" s="475">
        <f t="shared" si="225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23"/>
        <v>-1.4888394831806802E+16</v>
      </c>
      <c r="J6177" s="455">
        <f t="array" ref="J6177">IFERROR(INDEX('Retirement Calculator'!J:J,MATCH('Isaac 401k'!N6177,'Retirement Calculator'!A:A,0),0),0)</f>
        <v>0</v>
      </c>
      <c r="K6177" s="455">
        <f t="shared" ca="1" si="221"/>
        <v>-62034978465861.664</v>
      </c>
      <c r="L6177" s="455">
        <f t="shared" ca="1" si="222"/>
        <v>-1.4950429810272664E+16</v>
      </c>
      <c r="M6177" s="471">
        <f t="shared" si="224"/>
        <v>0.05</v>
      </c>
      <c r="N6177" s="475">
        <f t="shared" si="225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23"/>
        <v>-1.4950429810272664E+16</v>
      </c>
      <c r="J6178" s="455">
        <f t="array" ref="J6178">IFERROR(INDEX('Retirement Calculator'!J:J,MATCH('Isaac 401k'!N6178,'Retirement Calculator'!A:A,0),0),0)</f>
        <v>0</v>
      </c>
      <c r="K6178" s="455">
        <f t="shared" ca="1" si="221"/>
        <v>-62293457542802.758</v>
      </c>
      <c r="L6178" s="455">
        <f t="shared" ca="1" si="222"/>
        <v>-1.5012723267815466E+16</v>
      </c>
      <c r="M6178" s="471">
        <f t="shared" si="224"/>
        <v>0.05</v>
      </c>
      <c r="N6178" s="475">
        <f t="shared" si="225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23"/>
        <v>-1.5012723267815466E+16</v>
      </c>
      <c r="J6179" s="455">
        <f t="array" ref="J6179">IFERROR(INDEX('Retirement Calculator'!J:J,MATCH('Isaac 401k'!N6179,'Retirement Calculator'!A:A,0),0),0)</f>
        <v>0</v>
      </c>
      <c r="K6179" s="455">
        <f t="shared" ca="1" si="221"/>
        <v>-62553013615897.781</v>
      </c>
      <c r="L6179" s="455">
        <f t="shared" ca="1" si="222"/>
        <v>-1.5075276281431364E+16</v>
      </c>
      <c r="M6179" s="471">
        <f t="shared" si="224"/>
        <v>0.05</v>
      </c>
      <c r="N6179" s="475">
        <f t="shared" si="225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23"/>
        <v>-1.5075276281431364E+16</v>
      </c>
      <c r="J6180" s="455">
        <f t="array" ref="J6180">IFERROR(INDEX('Retirement Calculator'!J:J,MATCH('Isaac 401k'!N6180,'Retirement Calculator'!A:A,0),0),0)</f>
        <v>0</v>
      </c>
      <c r="K6180" s="455">
        <f t="shared" ca="1" si="221"/>
        <v>-62813651172630.672</v>
      </c>
      <c r="L6180" s="455">
        <f t="shared" ca="1" si="222"/>
        <v>-1.5138089932603994E+16</v>
      </c>
      <c r="M6180" s="471">
        <f t="shared" si="224"/>
        <v>0.05</v>
      </c>
      <c r="N6180" s="475">
        <f t="shared" si="225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23"/>
        <v>-1.5138089932603994E+16</v>
      </c>
      <c r="J6181" s="455">
        <f t="array" ref="J6181">IFERROR(INDEX('Retirement Calculator'!J:J,MATCH('Isaac 401k'!N6181,'Retirement Calculator'!A:A,0),0),0)</f>
        <v>0</v>
      </c>
      <c r="K6181" s="455">
        <f t="shared" ca="1" si="221"/>
        <v>-63075374719183.313</v>
      </c>
      <c r="L6181" s="455">
        <f t="shared" ca="1" si="222"/>
        <v>-1.5201165307323178E+16</v>
      </c>
      <c r="M6181" s="471">
        <f t="shared" si="224"/>
        <v>0.05</v>
      </c>
      <c r="N6181" s="475">
        <f t="shared" si="225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23"/>
        <v>-1.5201165307323178E+16</v>
      </c>
      <c r="J6182" s="455">
        <f t="array" ref="J6182">IFERROR(INDEX('Retirement Calculator'!J:J,MATCH('Isaac 401k'!N6182,'Retirement Calculator'!A:A,0),0),0)</f>
        <v>0</v>
      </c>
      <c r="K6182" s="455">
        <f t="shared" ca="1" si="221"/>
        <v>-63338188780513.234</v>
      </c>
      <c r="L6182" s="455">
        <f t="shared" ca="1" si="222"/>
        <v>-1.5264503496103692E+16</v>
      </c>
      <c r="M6182" s="471">
        <f t="shared" si="224"/>
        <v>0.05</v>
      </c>
      <c r="N6182" s="475">
        <f t="shared" si="225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23"/>
        <v>-1.5264503496103692E+16</v>
      </c>
      <c r="J6183" s="455">
        <f t="array" ref="J6183">IFERROR(INDEX('Retirement Calculator'!J:J,MATCH('Isaac 401k'!N6183,'Retirement Calculator'!A:A,0),0),0)</f>
        <v>0</v>
      </c>
      <c r="K6183" s="455">
        <f t="shared" ca="1" si="221"/>
        <v>-63602097900432.047</v>
      </c>
      <c r="L6183" s="455">
        <f t="shared" ca="1" si="222"/>
        <v>-1.5328105594004124E+16</v>
      </c>
      <c r="M6183" s="471">
        <f t="shared" si="224"/>
        <v>0.05</v>
      </c>
      <c r="N6183" s="475">
        <f t="shared" si="225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23"/>
        <v>-1.5328105594004124E+16</v>
      </c>
      <c r="J6184" s="455">
        <f t="array" ref="J6184">IFERROR(INDEX('Retirement Calculator'!J:J,MATCH('Isaac 401k'!N6184,'Retirement Calculator'!A:A,0),0),0)</f>
        <v>0</v>
      </c>
      <c r="K6184" s="455">
        <f t="shared" ca="1" si="221"/>
        <v>-63867106641683.844</v>
      </c>
      <c r="L6184" s="455">
        <f t="shared" ca="1" si="222"/>
        <v>-1.5391972700645808E+16</v>
      </c>
      <c r="M6184" s="471">
        <f t="shared" si="224"/>
        <v>0.05</v>
      </c>
      <c r="N6184" s="475">
        <f t="shared" si="225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23"/>
        <v>-1.5391972700645808E+16</v>
      </c>
      <c r="J6185" s="455">
        <f t="array" ref="J6185">IFERROR(INDEX('Retirement Calculator'!J:J,MATCH('Isaac 401k'!N6185,'Retirement Calculator'!A:A,0),0),0)</f>
        <v>0</v>
      </c>
      <c r="K6185" s="455">
        <f t="shared" ca="1" si="221"/>
        <v>-64133219586024.195</v>
      </c>
      <c r="L6185" s="455">
        <f t="shared" ca="1" si="222"/>
        <v>-1.5456105920231832E+16</v>
      </c>
      <c r="M6185" s="471">
        <f t="shared" si="224"/>
        <v>0.05</v>
      </c>
      <c r="N6185" s="475">
        <f t="shared" si="225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23"/>
        <v>-1.5456105920231832E+16</v>
      </c>
      <c r="J6186" s="455">
        <f t="array" ref="J6186">IFERROR(INDEX('Retirement Calculator'!J:J,MATCH('Isaac 401k'!N6186,'Retirement Calculator'!A:A,0),0),0)</f>
        <v>0</v>
      </c>
      <c r="K6186" s="455">
        <f t="shared" ca="1" si="221"/>
        <v>-64400441334299.297</v>
      </c>
      <c r="L6186" s="455">
        <f t="shared" ca="1" si="222"/>
        <v>-1.5520506361566132E+16</v>
      </c>
      <c r="M6186" s="471">
        <f t="shared" si="224"/>
        <v>0.05</v>
      </c>
      <c r="N6186" s="475">
        <f t="shared" si="225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23"/>
        <v>-1.5520506361566132E+16</v>
      </c>
      <c r="J6187" s="455">
        <f t="array" ref="J6187">IFERROR(INDEX('Retirement Calculator'!J:J,MATCH('Isaac 401k'!N6187,'Retirement Calculator'!A:A,0),0),0)</f>
        <v>0</v>
      </c>
      <c r="K6187" s="455">
        <f t="shared" ca="1" si="221"/>
        <v>-64668776506525.547</v>
      </c>
      <c r="L6187" s="455">
        <f t="shared" ca="1" si="222"/>
        <v>-1.5585175138072658E+16</v>
      </c>
      <c r="M6187" s="471">
        <f t="shared" si="224"/>
        <v>0.05</v>
      </c>
      <c r="N6187" s="475">
        <f t="shared" si="225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23"/>
        <v>-1.5585175138072658E+16</v>
      </c>
      <c r="J6188" s="455">
        <f t="array" ref="J6188">IFERROR(INDEX('Retirement Calculator'!J:J,MATCH('Isaac 401k'!N6188,'Retirement Calculator'!A:A,0),0),0)</f>
        <v>0</v>
      </c>
      <c r="K6188" s="455">
        <f t="shared" ca="1" si="221"/>
        <v>-64938229741969.414</v>
      </c>
      <c r="L6188" s="455">
        <f t="shared" ca="1" si="222"/>
        <v>-1.5650113367814628E+16</v>
      </c>
      <c r="M6188" s="471">
        <f t="shared" si="224"/>
        <v>0.05</v>
      </c>
      <c r="N6188" s="475">
        <f t="shared" si="225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23"/>
        <v>-1.5650113367814628E+16</v>
      </c>
      <c r="J6189" s="455">
        <f t="array" ref="J6189">IFERROR(INDEX('Retirement Calculator'!J:J,MATCH('Isaac 401k'!N6189,'Retirement Calculator'!A:A,0),0),0)</f>
        <v>0</v>
      </c>
      <c r="K6189" s="455">
        <f t="shared" ca="1" si="221"/>
        <v>-65208805699227.617</v>
      </c>
      <c r="L6189" s="455">
        <f t="shared" ca="1" si="222"/>
        <v>-1.5715322173513856E+16</v>
      </c>
      <c r="M6189" s="471">
        <f t="shared" si="224"/>
        <v>0.05</v>
      </c>
      <c r="N6189" s="475">
        <f t="shared" si="225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23"/>
        <v>-1.5715322173513856E+16</v>
      </c>
      <c r="J6190" s="455">
        <f t="array" ref="J6190">IFERROR(INDEX('Retirement Calculator'!J:J,MATCH('Isaac 401k'!N6190,'Retirement Calculator'!A:A,0),0),0)</f>
        <v>0</v>
      </c>
      <c r="K6190" s="455">
        <f t="shared" ca="1" si="221"/>
        <v>-65480509056307.734</v>
      </c>
      <c r="L6190" s="455">
        <f t="shared" ca="1" si="222"/>
        <v>-1.5780802682570164E+16</v>
      </c>
      <c r="M6190" s="471">
        <f t="shared" si="224"/>
        <v>0.05</v>
      </c>
      <c r="N6190" s="475">
        <f t="shared" si="225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23"/>
        <v>-1.5780802682570164E+16</v>
      </c>
      <c r="J6191" s="455">
        <f t="array" ref="J6191">IFERROR(INDEX('Retirement Calculator'!J:J,MATCH('Isaac 401k'!N6191,'Retirement Calculator'!A:A,0),0),0)</f>
        <v>0</v>
      </c>
      <c r="K6191" s="455">
        <f t="shared" ca="1" si="221"/>
        <v>-65753344510709.023</v>
      </c>
      <c r="L6191" s="455">
        <f t="shared" ca="1" si="222"/>
        <v>-1.5846556027080874E+16</v>
      </c>
      <c r="M6191" s="471">
        <f t="shared" si="224"/>
        <v>0.05</v>
      </c>
      <c r="N6191" s="475">
        <f t="shared" si="225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23"/>
        <v>-1.5846556027080874E+16</v>
      </c>
      <c r="J6192" s="455">
        <f t="array" ref="J6192">IFERROR(INDEX('Retirement Calculator'!J:J,MATCH('Isaac 401k'!N6192,'Retirement Calculator'!A:A,0),0),0)</f>
        <v>0</v>
      </c>
      <c r="K6192" s="455">
        <f t="shared" ca="1" si="221"/>
        <v>-66027316779503.641</v>
      </c>
      <c r="L6192" s="455">
        <f t="shared" ca="1" si="222"/>
        <v>-1.5912583343860378E+16</v>
      </c>
      <c r="M6192" s="471">
        <f t="shared" si="224"/>
        <v>0.05</v>
      </c>
      <c r="N6192" s="475">
        <f t="shared" si="225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23"/>
        <v>-1.5912583343860378E+16</v>
      </c>
      <c r="J6193" s="455">
        <f t="array" ref="J6193">IFERROR(INDEX('Retirement Calculator'!J:J,MATCH('Isaac 401k'!N6193,'Retirement Calculator'!A:A,0),0),0)</f>
        <v>0</v>
      </c>
      <c r="K6193" s="455">
        <f t="shared" ca="1" si="221"/>
        <v>-66302430599418.25</v>
      </c>
      <c r="L6193" s="455">
        <f t="shared" ca="1" si="222"/>
        <v>-1.5978885774459796E+16</v>
      </c>
      <c r="M6193" s="471">
        <f t="shared" si="224"/>
        <v>0.05</v>
      </c>
      <c r="N6193" s="475">
        <f t="shared" si="225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23"/>
        <v>-1.5978885774459796E+16</v>
      </c>
      <c r="J6194" s="455">
        <f t="array" ref="J6194">IFERROR(INDEX('Retirement Calculator'!J:J,MATCH('Isaac 401k'!N6194,'Retirement Calculator'!A:A,0),0),0)</f>
        <v>0</v>
      </c>
      <c r="K6194" s="455">
        <f t="shared" ca="1" si="221"/>
        <v>-66578690726915.813</v>
      </c>
      <c r="L6194" s="455">
        <f t="shared" ca="1" si="222"/>
        <v>-1.6045464465186712E+16</v>
      </c>
      <c r="M6194" s="471">
        <f t="shared" si="224"/>
        <v>0.05</v>
      </c>
      <c r="N6194" s="475">
        <f t="shared" si="225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23"/>
        <v>-1.6045464465186712E+16</v>
      </c>
      <c r="J6195" s="455">
        <f t="array" ref="J6195">IFERROR(INDEX('Retirement Calculator'!J:J,MATCH('Isaac 401k'!N6195,'Retirement Calculator'!A:A,0),0),0)</f>
        <v>0</v>
      </c>
      <c r="K6195" s="455">
        <f t="shared" ca="1" si="221"/>
        <v>-66856101938277.969</v>
      </c>
      <c r="L6195" s="455">
        <f t="shared" ca="1" si="222"/>
        <v>-1.611232056712499E+16</v>
      </c>
      <c r="M6195" s="471">
        <f t="shared" si="224"/>
        <v>0.05</v>
      </c>
      <c r="N6195" s="475">
        <f t="shared" si="225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23"/>
        <v>-1.611232056712499E+16</v>
      </c>
      <c r="J6196" s="455">
        <f t="array" ref="J6196">IFERROR(INDEX('Retirement Calculator'!J:J,MATCH('Isaac 401k'!N6196,'Retirement Calculator'!A:A,0),0),0)</f>
        <v>0</v>
      </c>
      <c r="K6196" s="455">
        <f t="shared" ca="1" si="221"/>
        <v>-67134669029687.469</v>
      </c>
      <c r="L6196" s="455">
        <f t="shared" ca="1" si="222"/>
        <v>-1.6179455236154678E+16</v>
      </c>
      <c r="M6196" s="471">
        <f t="shared" si="224"/>
        <v>0.05</v>
      </c>
      <c r="N6196" s="475">
        <f t="shared" si="225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23"/>
        <v>-1.6179455236154678E+16</v>
      </c>
      <c r="J6197" s="455">
        <f t="array" ref="J6197">IFERROR(INDEX('Retirement Calculator'!J:J,MATCH('Isaac 401k'!N6197,'Retirement Calculator'!A:A,0),0),0)</f>
        <v>0</v>
      </c>
      <c r="K6197" s="455">
        <f t="shared" ca="1" si="221"/>
        <v>-67414396817311.156</v>
      </c>
      <c r="L6197" s="455">
        <f t="shared" ca="1" si="222"/>
        <v>-1.624686963297199E+16</v>
      </c>
      <c r="M6197" s="471">
        <f t="shared" si="224"/>
        <v>0.05</v>
      </c>
      <c r="N6197" s="475">
        <f t="shared" si="225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23"/>
        <v>-1.624686963297199E+16</v>
      </c>
      <c r="J6198" s="455">
        <f t="array" ref="J6198">IFERROR(INDEX('Retirement Calculator'!J:J,MATCH('Isaac 401k'!N6198,'Retirement Calculator'!A:A,0),0),0)</f>
        <v>0</v>
      </c>
      <c r="K6198" s="455">
        <f t="shared" ca="1" si="221"/>
        <v>-67695290137383.289</v>
      </c>
      <c r="L6198" s="455">
        <f t="shared" ca="1" si="222"/>
        <v>-1.6314564923109374E+16</v>
      </c>
      <c r="M6198" s="471">
        <f t="shared" si="224"/>
        <v>0.05</v>
      </c>
      <c r="N6198" s="475">
        <f t="shared" si="225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23"/>
        <v>-1.6314564923109374E+16</v>
      </c>
      <c r="J6199" s="455">
        <f t="array" ref="J6199">IFERROR(INDEX('Retirement Calculator'!J:J,MATCH('Isaac 401k'!N6199,'Retirement Calculator'!A:A,0),0),0)</f>
        <v>0</v>
      </c>
      <c r="K6199" s="455">
        <f t="shared" ca="1" si="221"/>
        <v>-67977353846289.055</v>
      </c>
      <c r="L6199" s="455">
        <f t="shared" ca="1" si="222"/>
        <v>-1.6382542276955664E+16</v>
      </c>
      <c r="M6199" s="471">
        <f t="shared" si="224"/>
        <v>0.05</v>
      </c>
      <c r="N6199" s="475">
        <f t="shared" si="225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23"/>
        <v>-1.6382542276955664E+16</v>
      </c>
      <c r="J6200" s="455">
        <f t="array" ref="J6200">IFERROR(INDEX('Retirement Calculator'!J:J,MATCH('Isaac 401k'!N6200,'Retirement Calculator'!A:A,0),0),0)</f>
        <v>0</v>
      </c>
      <c r="K6200" s="455">
        <f t="shared" ca="1" si="221"/>
        <v>-68260592820648.609</v>
      </c>
      <c r="L6200" s="455">
        <f t="shared" ca="1" si="222"/>
        <v>-1.6450802869776312E+16</v>
      </c>
      <c r="M6200" s="471">
        <f t="shared" si="224"/>
        <v>0.05</v>
      </c>
      <c r="N6200" s="475">
        <f t="shared" si="225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23"/>
        <v>-1.6450802869776312E+16</v>
      </c>
      <c r="J6201" s="455">
        <f t="array" ref="J6201">IFERROR(INDEX('Retirement Calculator'!J:J,MATCH('Isaac 401k'!N6201,'Retirement Calculator'!A:A,0),0),0)</f>
        <v>0</v>
      </c>
      <c r="K6201" s="455">
        <f t="shared" ca="1" si="221"/>
        <v>-68545011957401.297</v>
      </c>
      <c r="L6201" s="455">
        <f t="shared" ca="1" si="222"/>
        <v>-1.6519347881733714E+16</v>
      </c>
      <c r="M6201" s="471">
        <f t="shared" si="224"/>
        <v>0.05</v>
      </c>
      <c r="N6201" s="475">
        <f t="shared" si="225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23"/>
        <v>-1.6519347881733714E+16</v>
      </c>
      <c r="J6202" s="455">
        <f t="array" ref="J6202">IFERROR(INDEX('Retirement Calculator'!J:J,MATCH('Isaac 401k'!N6202,'Retirement Calculator'!A:A,0),0),0)</f>
        <v>0</v>
      </c>
      <c r="K6202" s="455">
        <f t="shared" ca="1" si="221"/>
        <v>-68830616173890.477</v>
      </c>
      <c r="L6202" s="455">
        <f t="shared" ca="1" si="222"/>
        <v>-1.6588178497907604E+16</v>
      </c>
      <c r="M6202" s="471">
        <f t="shared" si="224"/>
        <v>0.05</v>
      </c>
      <c r="N6202" s="475">
        <f t="shared" si="225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23"/>
        <v>-1.6588178497907604E+16</v>
      </c>
      <c r="J6203" s="455">
        <f t="array" ref="J6203">IFERROR(INDEX('Retirement Calculator'!J:J,MATCH('Isaac 401k'!N6203,'Retirement Calculator'!A:A,0),0),0)</f>
        <v>0</v>
      </c>
      <c r="K6203" s="455">
        <f t="shared" ca="1" si="221"/>
        <v>-69117410407948.352</v>
      </c>
      <c r="L6203" s="455">
        <f t="shared" ca="1" si="222"/>
        <v>-1.6657295908315552E+16</v>
      </c>
      <c r="M6203" s="471">
        <f t="shared" si="224"/>
        <v>0.05</v>
      </c>
      <c r="N6203" s="475">
        <f t="shared" si="225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23"/>
        <v>-1.6657295908315552E+16</v>
      </c>
      <c r="J6204" s="455">
        <f t="array" ref="J6204">IFERROR(INDEX('Retirement Calculator'!J:J,MATCH('Isaac 401k'!N6204,'Retirement Calculator'!A:A,0),0),0)</f>
        <v>0</v>
      </c>
      <c r="K6204" s="455">
        <f t="shared" ca="1" si="221"/>
        <v>-69405399617981.469</v>
      </c>
      <c r="L6204" s="455">
        <f t="shared" ca="1" si="222"/>
        <v>-1.6726701307933534E+16</v>
      </c>
      <c r="M6204" s="471">
        <f t="shared" si="224"/>
        <v>0.05</v>
      </c>
      <c r="N6204" s="475">
        <f t="shared" si="225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23"/>
        <v>-1.6726701307933534E+16</v>
      </c>
      <c r="J6205" s="455">
        <f t="array" ref="J6205">IFERROR(INDEX('Retirement Calculator'!J:J,MATCH('Isaac 401k'!N6205,'Retirement Calculator'!A:A,0),0),0)</f>
        <v>0</v>
      </c>
      <c r="K6205" s="455">
        <f t="shared" ca="1" si="221"/>
        <v>-69694588783056.391</v>
      </c>
      <c r="L6205" s="455">
        <f t="shared" ca="1" si="222"/>
        <v>-1.679639589671659E+16</v>
      </c>
      <c r="M6205" s="471">
        <f t="shared" si="224"/>
        <v>0.05</v>
      </c>
      <c r="N6205" s="475">
        <f t="shared" si="225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23"/>
        <v>-1.679639589671659E+16</v>
      </c>
      <c r="J6206" s="455">
        <f t="array" ref="J6206">IFERROR(INDEX('Retirement Calculator'!J:J,MATCH('Isaac 401k'!N6206,'Retirement Calculator'!A:A,0),0),0)</f>
        <v>0</v>
      </c>
      <c r="K6206" s="455">
        <f t="shared" ca="1" si="221"/>
        <v>-69984982902985.797</v>
      </c>
      <c r="L6206" s="455">
        <f t="shared" ca="1" si="222"/>
        <v>-1.6866380879619576E+16</v>
      </c>
      <c r="M6206" s="471">
        <f t="shared" si="224"/>
        <v>0.05</v>
      </c>
      <c r="N6206" s="475">
        <f t="shared" si="225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23"/>
        <v>-1.6866380879619576E+16</v>
      </c>
      <c r="J6207" s="455">
        <f t="array" ref="J6207">IFERROR(INDEX('Retirement Calculator'!J:J,MATCH('Isaac 401k'!N6207,'Retirement Calculator'!A:A,0),0),0)</f>
        <v>0</v>
      </c>
      <c r="K6207" s="455">
        <f t="shared" ca="1" si="221"/>
        <v>-70276586998414.891</v>
      </c>
      <c r="L6207" s="455">
        <f t="shared" ca="1" si="222"/>
        <v>-1.693665746661799E+16</v>
      </c>
      <c r="M6207" s="471">
        <f t="shared" si="224"/>
        <v>0.05</v>
      </c>
      <c r="N6207" s="475">
        <f t="shared" si="225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23"/>
        <v>-1.693665746661799E+16</v>
      </c>
      <c r="J6208" s="455">
        <f t="array" ref="J6208">IFERROR(INDEX('Retirement Calculator'!J:J,MATCH('Isaac 401k'!N6208,'Retirement Calculator'!A:A,0),0),0)</f>
        <v>0</v>
      </c>
      <c r="K6208" s="455">
        <f t="shared" ca="1" si="221"/>
        <v>-70569406110908.297</v>
      </c>
      <c r="L6208" s="455">
        <f t="shared" ca="1" si="222"/>
        <v>-1.7007226872728898E+16</v>
      </c>
      <c r="M6208" s="471">
        <f t="shared" si="224"/>
        <v>0.05</v>
      </c>
      <c r="N6208" s="475">
        <f t="shared" si="225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23"/>
        <v>-1.7007226872728898E+16</v>
      </c>
      <c r="J6209" s="455">
        <f t="array" ref="J6209">IFERROR(INDEX('Retirement Calculator'!J:J,MATCH('Isaac 401k'!N6209,'Retirement Calculator'!A:A,0),0),0)</f>
        <v>0</v>
      </c>
      <c r="K6209" s="455">
        <f t="shared" ca="1" si="221"/>
        <v>-70863445303037.078</v>
      </c>
      <c r="L6209" s="455">
        <f t="shared" ca="1" si="222"/>
        <v>-1.7078090318031936E+16</v>
      </c>
      <c r="M6209" s="471">
        <f t="shared" si="224"/>
        <v>0.05</v>
      </c>
      <c r="N6209" s="475">
        <f t="shared" si="225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23"/>
        <v>-1.7078090318031936E+16</v>
      </c>
      <c r="J6210" s="455">
        <f t="array" ref="J6210">IFERROR(INDEX('Retirement Calculator'!J:J,MATCH('Isaac 401k'!N6210,'Retirement Calculator'!A:A,0),0),0)</f>
        <v>0</v>
      </c>
      <c r="K6210" s="455">
        <f t="shared" ca="1" si="221"/>
        <v>-71158709658466.406</v>
      </c>
      <c r="L6210" s="455">
        <f t="shared" ca="1" si="222"/>
        <v>-1.7149249027690402E+16</v>
      </c>
      <c r="M6210" s="471">
        <f t="shared" si="224"/>
        <v>0.05</v>
      </c>
      <c r="N6210" s="475">
        <f t="shared" si="225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23"/>
        <v>-1.7149249027690402E+16</v>
      </c>
      <c r="J6211" s="455">
        <f t="array" ref="J6211">IFERROR(INDEX('Retirement Calculator'!J:J,MATCH('Isaac 401k'!N6211,'Retirement Calculator'!A:A,0),0),0)</f>
        <v>0</v>
      </c>
      <c r="K6211" s="455">
        <f t="shared" ca="1" si="221"/>
        <v>-71455204282043.328</v>
      </c>
      <c r="L6211" s="455">
        <f t="shared" ca="1" si="222"/>
        <v>-1.7220704231972446E+16</v>
      </c>
      <c r="M6211" s="471">
        <f t="shared" si="224"/>
        <v>0.05</v>
      </c>
      <c r="N6211" s="475">
        <f t="shared" si="225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23"/>
        <v>-1.7220704231972446E+16</v>
      </c>
      <c r="J6212" s="455">
        <f t="array" ref="J6212">IFERROR(INDEX('Retirement Calculator'!J:J,MATCH('Isaac 401k'!N6212,'Retirement Calculator'!A:A,0),0),0)</f>
        <v>0</v>
      </c>
      <c r="K6212" s="455">
        <f t="shared" ca="1" si="221"/>
        <v>-71752934299885.188</v>
      </c>
      <c r="L6212" s="455">
        <f t="shared" ca="1" si="222"/>
        <v>-1.7292457166272332E+16</v>
      </c>
      <c r="M6212" s="471">
        <f t="shared" si="224"/>
        <v>0.05</v>
      </c>
      <c r="N6212" s="475">
        <f t="shared" si="225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23"/>
        <v>-1.7292457166272332E+16</v>
      </c>
      <c r="J6213" s="455">
        <f t="array" ref="J6213">IFERROR(INDEX('Retirement Calculator'!J:J,MATCH('Isaac 401k'!N6213,'Retirement Calculator'!A:A,0),0),0)</f>
        <v>0</v>
      </c>
      <c r="K6213" s="455">
        <f t="shared" ca="1" si="221"/>
        <v>-72051904859468.063</v>
      </c>
      <c r="L6213" s="455">
        <f t="shared" ca="1" si="222"/>
        <v>-1.73645090711318E+16</v>
      </c>
      <c r="M6213" s="471">
        <f t="shared" si="224"/>
        <v>0.05</v>
      </c>
      <c r="N6213" s="475">
        <f t="shared" si="225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23"/>
        <v>-1.73645090711318E+16</v>
      </c>
      <c r="J6214" s="455">
        <f t="array" ref="J6214">IFERROR(INDEX('Retirement Calculator'!J:J,MATCH('Isaac 401k'!N6214,'Retirement Calculator'!A:A,0),0),0)</f>
        <v>0</v>
      </c>
      <c r="K6214" s="455">
        <f t="shared" ca="1" si="221"/>
        <v>-72352121129715.828</v>
      </c>
      <c r="L6214" s="455">
        <f t="shared" ca="1" si="222"/>
        <v>-1.7436861192261516E+16</v>
      </c>
      <c r="M6214" s="471">
        <f t="shared" si="224"/>
        <v>0.05</v>
      </c>
      <c r="N6214" s="475">
        <f t="shared" si="225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23"/>
        <v>-1.7436861192261516E+16</v>
      </c>
      <c r="J6215" s="455">
        <f t="array" ref="J6215">IFERROR(INDEX('Retirement Calculator'!J:J,MATCH('Isaac 401k'!N6215,'Retirement Calculator'!A:A,0),0),0)</f>
        <v>0</v>
      </c>
      <c r="K6215" s="455">
        <f t="shared" ca="1" si="221"/>
        <v>-72653588301089.656</v>
      </c>
      <c r="L6215" s="455">
        <f t="shared" ca="1" si="222"/>
        <v>-1.7509514780562606E+16</v>
      </c>
      <c r="M6215" s="471">
        <f t="shared" si="224"/>
        <v>0.05</v>
      </c>
      <c r="N6215" s="475">
        <f t="shared" si="225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23"/>
        <v>-1.7509514780562606E+16</v>
      </c>
      <c r="J6216" s="455">
        <f t="array" ref="J6216">IFERROR(INDEX('Retirement Calculator'!J:J,MATCH('Isaac 401k'!N6216,'Retirement Calculator'!A:A,0),0),0)</f>
        <v>0</v>
      </c>
      <c r="K6216" s="455">
        <f t="shared" ca="1" si="221"/>
        <v>-72956311585677.531</v>
      </c>
      <c r="L6216" s="455">
        <f t="shared" ca="1" si="222"/>
        <v>-1.7582471092148284E+16</v>
      </c>
      <c r="M6216" s="471">
        <f t="shared" si="224"/>
        <v>0.05</v>
      </c>
      <c r="N6216" s="475">
        <f t="shared" si="225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23"/>
        <v>-1.7582471092148284E+16</v>
      </c>
      <c r="J6217" s="455">
        <f t="array" ref="J6217">IFERROR(INDEX('Retirement Calculator'!J:J,MATCH('Isaac 401k'!N6217,'Retirement Calculator'!A:A,0),0),0)</f>
        <v>0</v>
      </c>
      <c r="K6217" s="455">
        <f t="shared" ca="1" si="221"/>
        <v>-73260296217284.5</v>
      </c>
      <c r="L6217" s="455">
        <f t="shared" ca="1" si="222"/>
        <v>-1.7655731388365568E+16</v>
      </c>
      <c r="M6217" s="471">
        <f t="shared" si="224"/>
        <v>0.05</v>
      </c>
      <c r="N6217" s="475">
        <f t="shared" si="225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23"/>
        <v>-1.7655731388365568E+16</v>
      </c>
      <c r="J6218" s="455">
        <f t="array" ref="J6218">IFERROR(INDEX('Retirement Calculator'!J:J,MATCH('Isaac 401k'!N6218,'Retirement Calculator'!A:A,0),0),0)</f>
        <v>0</v>
      </c>
      <c r="K6218" s="455">
        <f t="shared" ca="1" si="221"/>
        <v>-73565547451523.203</v>
      </c>
      <c r="L6218" s="455">
        <f t="shared" ca="1" si="222"/>
        <v>-1.7729296935817092E+16</v>
      </c>
      <c r="M6218" s="471">
        <f t="shared" si="224"/>
        <v>0.05</v>
      </c>
      <c r="N6218" s="475">
        <f t="shared" si="225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23"/>
        <v>-1.7729296935817092E+16</v>
      </c>
      <c r="J6219" s="455">
        <f t="array" ref="J6219">IFERROR(INDEX('Retirement Calculator'!J:J,MATCH('Isaac 401k'!N6219,'Retirement Calculator'!A:A,0),0),0)</f>
        <v>0</v>
      </c>
      <c r="K6219" s="455">
        <f t="shared" ca="1" si="221"/>
        <v>-73872070565904.547</v>
      </c>
      <c r="L6219" s="455">
        <f t="shared" ca="1" si="222"/>
        <v>-1.7803169006382996E+16</v>
      </c>
      <c r="M6219" s="471">
        <f t="shared" si="224"/>
        <v>0.05</v>
      </c>
      <c r="N6219" s="475">
        <f t="shared" si="225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23"/>
        <v>-1.7803169006382996E+16</v>
      </c>
      <c r="J6220" s="455">
        <f t="array" ref="J6220">IFERROR(INDEX('Retirement Calculator'!J:J,MATCH('Isaac 401k'!N6220,'Retirement Calculator'!A:A,0),0),0)</f>
        <v>0</v>
      </c>
      <c r="K6220" s="455">
        <f t="shared" ca="1" si="221"/>
        <v>-74179870859929.141</v>
      </c>
      <c r="L6220" s="455">
        <f t="shared" ca="1" si="222"/>
        <v>-1.7877348877242926E+16</v>
      </c>
      <c r="M6220" s="471">
        <f t="shared" si="224"/>
        <v>0.05</v>
      </c>
      <c r="N6220" s="475">
        <f t="shared" si="225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23"/>
        <v>-1.7877348877242926E+16</v>
      </c>
      <c r="J6221" s="455">
        <f t="array" ref="J6221">IFERROR(INDEX('Retirement Calculator'!J:J,MATCH('Isaac 401k'!N6221,'Retirement Calculator'!A:A,0),0),0)</f>
        <v>0</v>
      </c>
      <c r="K6221" s="455">
        <f t="shared" ca="1" si="221"/>
        <v>-74488953655178.859</v>
      </c>
      <c r="L6221" s="455">
        <f t="shared" ca="1" si="222"/>
        <v>-1.7951837830898104E+16</v>
      </c>
      <c r="M6221" s="471">
        <f t="shared" si="224"/>
        <v>0.05</v>
      </c>
      <c r="N6221" s="475">
        <f t="shared" si="225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23"/>
        <v>-1.7951837830898104E+16</v>
      </c>
      <c r="J6222" s="455">
        <f t="array" ref="J6222">IFERROR(INDEX('Retirement Calculator'!J:J,MATCH('Isaac 401k'!N6222,'Retirement Calculator'!A:A,0),0),0)</f>
        <v>0</v>
      </c>
      <c r="K6222" s="455">
        <f t="shared" ca="1" si="221"/>
        <v>-74799324295408.781</v>
      </c>
      <c r="L6222" s="455">
        <f t="shared" ca="1" si="222"/>
        <v>-1.8026637155193512E+16</v>
      </c>
      <c r="M6222" s="471">
        <f t="shared" si="224"/>
        <v>0.05</v>
      </c>
      <c r="N6222" s="475">
        <f t="shared" si="225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23"/>
        <v>-1.8026637155193512E+16</v>
      </c>
      <c r="J6223" s="455">
        <f t="array" ref="J6223">IFERROR(INDEX('Retirement Calculator'!J:J,MATCH('Isaac 401k'!N6223,'Retirement Calculator'!A:A,0),0),0)</f>
        <v>0</v>
      </c>
      <c r="K6223" s="455">
        <f t="shared" ca="1" si="221"/>
        <v>-75110988146639.625</v>
      </c>
      <c r="L6223" s="455">
        <f t="shared" ca="1" si="222"/>
        <v>-1.8101748143340152E+16</v>
      </c>
      <c r="M6223" s="471">
        <f t="shared" si="224"/>
        <v>0.05</v>
      </c>
      <c r="N6223" s="475">
        <f t="shared" si="225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23"/>
        <v>-1.8101748143340152E+16</v>
      </c>
      <c r="J6224" s="455">
        <f t="array" ref="J6224">IFERROR(INDEX('Retirement Calculator'!J:J,MATCH('Isaac 401k'!N6224,'Retirement Calculator'!A:A,0),0),0)</f>
        <v>0</v>
      </c>
      <c r="K6224" s="455">
        <f t="shared" ca="1" si="221"/>
        <v>-75423950597250.625</v>
      </c>
      <c r="L6224" s="455">
        <f t="shared" ca="1" si="222"/>
        <v>-1.8177172093937404E+16</v>
      </c>
      <c r="M6224" s="471">
        <f t="shared" si="224"/>
        <v>0.05</v>
      </c>
      <c r="N6224" s="475">
        <f t="shared" si="225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23"/>
        <v>-1.8177172093937404E+16</v>
      </c>
      <c r="J6225" s="455">
        <f t="array" ref="J6225">IFERROR(INDEX('Retirement Calculator'!J:J,MATCH('Isaac 401k'!N6225,'Retirement Calculator'!A:A,0),0),0)</f>
        <v>0</v>
      </c>
      <c r="K6225" s="455">
        <f t="shared" ca="1" si="221"/>
        <v>-75738217058072.516</v>
      </c>
      <c r="L6225" s="455">
        <f t="shared" ca="1" si="222"/>
        <v>-1.8252910310995476E+16</v>
      </c>
      <c r="M6225" s="471">
        <f t="shared" si="224"/>
        <v>0.05</v>
      </c>
      <c r="N6225" s="475">
        <f t="shared" si="225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23"/>
        <v>-1.8252910310995476E+16</v>
      </c>
      <c r="J6226" s="455">
        <f t="array" ref="J6226">IFERROR(INDEX('Retirement Calculator'!J:J,MATCH('Isaac 401k'!N6226,'Retirement Calculator'!A:A,0),0),0)</f>
        <v>0</v>
      </c>
      <c r="K6226" s="455">
        <f t="shared" ca="1" si="221"/>
        <v>-76053792962481.156</v>
      </c>
      <c r="L6226" s="455">
        <f t="shared" ca="1" si="222"/>
        <v>-1.8328964103957956E+16</v>
      </c>
      <c r="M6226" s="471">
        <f t="shared" si="224"/>
        <v>0.05</v>
      </c>
      <c r="N6226" s="475">
        <f t="shared" si="225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23"/>
        <v>-1.8328964103957956E+16</v>
      </c>
      <c r="J6227" s="455">
        <f t="array" ref="J6227">IFERROR(INDEX('Retirement Calculator'!J:J,MATCH('Isaac 401k'!N6227,'Retirement Calculator'!A:A,0),0),0)</f>
        <v>0</v>
      </c>
      <c r="K6227" s="455">
        <f t="shared" ca="1" si="221"/>
        <v>-76370683766491.484</v>
      </c>
      <c r="L6227" s="455">
        <f t="shared" ca="1" si="222"/>
        <v>-1.8405334787724448E+16</v>
      </c>
      <c r="M6227" s="471">
        <f t="shared" si="224"/>
        <v>0.05</v>
      </c>
      <c r="N6227" s="475">
        <f t="shared" si="225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23"/>
        <v>-1.8405334787724448E+16</v>
      </c>
      <c r="J6228" s="455">
        <f t="array" ref="J6228">IFERROR(INDEX('Retirement Calculator'!J:J,MATCH('Isaac 401k'!N6228,'Retirement Calculator'!A:A,0),0),0)</f>
        <v>0</v>
      </c>
      <c r="K6228" s="455">
        <f t="shared" ca="1" si="221"/>
        <v>-76688894948851.859</v>
      </c>
      <c r="L6228" s="455">
        <f t="shared" ca="1" si="222"/>
        <v>-1.84820236826733E+16</v>
      </c>
      <c r="M6228" s="471">
        <f t="shared" si="224"/>
        <v>0.05</v>
      </c>
      <c r="N6228" s="475">
        <f t="shared" si="225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23"/>
        <v>-1.84820236826733E+16</v>
      </c>
      <c r="J6229" s="455">
        <f t="array" ref="J6229">IFERROR(INDEX('Retirement Calculator'!J:J,MATCH('Isaac 401k'!N6229,'Retirement Calculator'!A:A,0),0),0)</f>
        <v>0</v>
      </c>
      <c r="K6229" s="455">
        <f t="shared" ca="1" si="221"/>
        <v>-77008432011138.75</v>
      </c>
      <c r="L6229" s="455">
        <f t="shared" ca="1" si="222"/>
        <v>-1.855903211468444E+16</v>
      </c>
      <c r="M6229" s="471">
        <f t="shared" si="224"/>
        <v>0.05</v>
      </c>
      <c r="N6229" s="475">
        <f t="shared" si="225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23"/>
        <v>-1.855903211468444E+16</v>
      </c>
      <c r="J6230" s="455">
        <f t="array" ref="J6230">IFERROR(INDEX('Retirement Calculator'!J:J,MATCH('Isaac 401k'!N6230,'Retirement Calculator'!A:A,0),0),0)</f>
        <v>0</v>
      </c>
      <c r="K6230" s="455">
        <f t="shared" ca="1" si="221"/>
        <v>-77329300477851.828</v>
      </c>
      <c r="L6230" s="455">
        <f t="shared" ca="1" si="222"/>
        <v>-1.8636361415162292E+16</v>
      </c>
      <c r="M6230" s="471">
        <f t="shared" si="224"/>
        <v>0.05</v>
      </c>
      <c r="N6230" s="475">
        <f t="shared" si="225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23"/>
        <v>-1.8636361415162292E+16</v>
      </c>
      <c r="J6231" s="455">
        <f t="array" ref="J6231">IFERROR(INDEX('Retirement Calculator'!J:J,MATCH('Isaac 401k'!N6231,'Retirement Calculator'!A:A,0),0),0)</f>
        <v>0</v>
      </c>
      <c r="K6231" s="455">
        <f t="shared" ca="1" si="221"/>
        <v>-77651505896509.547</v>
      </c>
      <c r="L6231" s="455">
        <f t="shared" ca="1" si="222"/>
        <v>-1.87140129210588E+16</v>
      </c>
      <c r="M6231" s="471">
        <f t="shared" si="224"/>
        <v>0.05</v>
      </c>
      <c r="N6231" s="475">
        <f t="shared" si="225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23"/>
        <v>-1.87140129210588E+16</v>
      </c>
      <c r="J6232" s="455">
        <f t="array" ref="J6232">IFERROR(INDEX('Retirement Calculator'!J:J,MATCH('Isaac 401k'!N6232,'Retirement Calculator'!A:A,0),0),0)</f>
        <v>0</v>
      </c>
      <c r="K6232" s="455">
        <f t="shared" ca="1" si="221"/>
        <v>-77975053837745</v>
      </c>
      <c r="L6232" s="455">
        <f t="shared" ca="1" si="222"/>
        <v>-1.8791987974896544E+16</v>
      </c>
      <c r="M6232" s="471">
        <f t="shared" si="224"/>
        <v>0.05</v>
      </c>
      <c r="N6232" s="475">
        <f t="shared" si="225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23"/>
        <v>-1.8791987974896544E+16</v>
      </c>
      <c r="J6233" s="455">
        <f t="array" ref="J6233">IFERROR(INDEX('Retirement Calculator'!J:J,MATCH('Isaac 401k'!N6233,'Retirement Calculator'!A:A,0),0),0)</f>
        <v>0</v>
      </c>
      <c r="K6233" s="455">
        <f t="shared" ca="1" si="221"/>
        <v>-78299949895402.266</v>
      </c>
      <c r="L6233" s="455">
        <f t="shared" ca="1" si="222"/>
        <v>-1.8870287924791948E+16</v>
      </c>
      <c r="M6233" s="471">
        <f t="shared" si="224"/>
        <v>0.05</v>
      </c>
      <c r="N6233" s="475">
        <f t="shared" si="225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23"/>
        <v>-1.8870287924791948E+16</v>
      </c>
      <c r="J6234" s="455">
        <f t="array" ref="J6234">IFERROR(INDEX('Retirement Calculator'!J:J,MATCH('Isaac 401k'!N6234,'Retirement Calculator'!A:A,0),0),0)</f>
        <v>0</v>
      </c>
      <c r="K6234" s="455">
        <f t="shared" ca="1" si="221"/>
        <v>-78626199686633.109</v>
      </c>
      <c r="L6234" s="455">
        <f t="shared" ca="1" si="222"/>
        <v>-1.894891412447858E+16</v>
      </c>
      <c r="M6234" s="471">
        <f t="shared" si="224"/>
        <v>0.05</v>
      </c>
      <c r="N6234" s="475">
        <f t="shared" si="225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23"/>
        <v>-1.894891412447858E+16</v>
      </c>
      <c r="J6235" s="455">
        <f t="array" ref="J6235">IFERROR(INDEX('Retirement Calculator'!J:J,MATCH('Isaac 401k'!N6235,'Retirement Calculator'!A:A,0),0),0)</f>
        <v>0</v>
      </c>
      <c r="K6235" s="455">
        <f t="shared" ca="1" si="221"/>
        <v>-78953808851994.078</v>
      </c>
      <c r="L6235" s="455">
        <f t="shared" ca="1" si="222"/>
        <v>-1.9027867933330576E+16</v>
      </c>
      <c r="M6235" s="471">
        <f t="shared" si="224"/>
        <v>0.05</v>
      </c>
      <c r="N6235" s="475">
        <f t="shared" si="225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23"/>
        <v>-1.9027867933330576E+16</v>
      </c>
      <c r="J6236" s="455">
        <f t="array" ref="J6236">IFERROR(INDEX('Retirement Calculator'!J:J,MATCH('Isaac 401k'!N6236,'Retirement Calculator'!A:A,0),0),0)</f>
        <v>0</v>
      </c>
      <c r="K6236" s="455">
        <f t="shared" ca="1" si="221"/>
        <v>-79282783055544.063</v>
      </c>
      <c r="L6236" s="455">
        <f t="shared" ca="1" si="222"/>
        <v>-1.910715071638612E+16</v>
      </c>
      <c r="M6236" s="471">
        <f t="shared" si="224"/>
        <v>0.05</v>
      </c>
      <c r="N6236" s="475">
        <f t="shared" si="225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23"/>
        <v>-1.910715071638612E+16</v>
      </c>
      <c r="J6237" s="455">
        <f t="array" ref="J6237">IFERROR(INDEX('Retirement Calculator'!J:J,MATCH('Isaac 401k'!N6237,'Retirement Calculator'!A:A,0),0),0)</f>
        <v>0</v>
      </c>
      <c r="K6237" s="455">
        <f t="shared" ca="1" si="221"/>
        <v>-79613127984942.172</v>
      </c>
      <c r="L6237" s="455">
        <f t="shared" ca="1" si="222"/>
        <v>-1.9186763844371064E+16</v>
      </c>
      <c r="M6237" s="471">
        <f t="shared" si="224"/>
        <v>0.05</v>
      </c>
      <c r="N6237" s="475">
        <f t="shared" si="225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23"/>
        <v>-1.9186763844371064E+16</v>
      </c>
      <c r="J6238" s="455">
        <f t="array" ref="J6238">IFERROR(INDEX('Retirement Calculator'!J:J,MATCH('Isaac 401k'!N6238,'Retirement Calculator'!A:A,0),0),0)</f>
        <v>0</v>
      </c>
      <c r="K6238" s="455">
        <f t="shared" ca="1" si="221"/>
        <v>-79944849351546.094</v>
      </c>
      <c r="L6238" s="455">
        <f t="shared" ca="1" si="222"/>
        <v>-1.9266708693722612E+16</v>
      </c>
      <c r="M6238" s="471">
        <f t="shared" si="224"/>
        <v>0.05</v>
      </c>
      <c r="N6238" s="475">
        <f t="shared" si="225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23"/>
        <v>-1.9266708693722612E+16</v>
      </c>
      <c r="J6239" s="455">
        <f t="array" ref="J6239">IFERROR(INDEX('Retirement Calculator'!J:J,MATCH('Isaac 401k'!N6239,'Retirement Calculator'!A:A,0),0),0)</f>
        <v>0</v>
      </c>
      <c r="K6239" s="455">
        <f t="shared" ca="1" si="221"/>
        <v>-80277952890510.875</v>
      </c>
      <c r="L6239" s="455">
        <f t="shared" ca="1" si="222"/>
        <v>-1.9346986646613124E+16</v>
      </c>
      <c r="M6239" s="471">
        <f t="shared" si="224"/>
        <v>0.05</v>
      </c>
      <c r="N6239" s="475">
        <f t="shared" si="225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23"/>
        <v>-1.9346986646613124E+16</v>
      </c>
      <c r="J6240" s="455">
        <f t="array" ref="J6240">IFERROR(INDEX('Retirement Calculator'!J:J,MATCH('Isaac 401k'!N6240,'Retirement Calculator'!A:A,0),0),0)</f>
        <v>0</v>
      </c>
      <c r="K6240" s="455">
        <f t="shared" ca="1" si="221"/>
        <v>-80612444360888.016</v>
      </c>
      <c r="L6240" s="455">
        <f t="shared" ca="1" si="222"/>
        <v>-1.9427599090974012E+16</v>
      </c>
      <c r="M6240" s="471">
        <f t="shared" si="224"/>
        <v>0.05</v>
      </c>
      <c r="N6240" s="475">
        <f t="shared" si="225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23"/>
        <v>-1.9427599090974012E+16</v>
      </c>
      <c r="J6241" s="455">
        <f t="array" ref="J6241">IFERROR(INDEX('Retirement Calculator'!J:J,MATCH('Isaac 401k'!N6241,'Retirement Calculator'!A:A,0),0),0)</f>
        <v>0</v>
      </c>
      <c r="K6241" s="455">
        <f t="shared" ca="1" si="221"/>
        <v>-80948329545725.047</v>
      </c>
      <c r="L6241" s="455">
        <f t="shared" ca="1" si="222"/>
        <v>-1.9508547420519736E+16</v>
      </c>
      <c r="M6241" s="471">
        <f t="shared" si="224"/>
        <v>0.05</v>
      </c>
      <c r="N6241" s="475">
        <f t="shared" si="225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23"/>
        <v>-1.9508547420519736E+16</v>
      </c>
      <c r="J6242" s="455">
        <f t="array" ref="J6242">IFERROR(INDEX('Retirement Calculator'!J:J,MATCH('Isaac 401k'!N6242,'Retirement Calculator'!A:A,0),0),0)</f>
        <v>0</v>
      </c>
      <c r="K6242" s="455">
        <f t="shared" ca="1" si="221"/>
        <v>-81285614252165.563</v>
      </c>
      <c r="L6242" s="455">
        <f t="shared" ca="1" si="222"/>
        <v>-1.95898330347719E+16</v>
      </c>
      <c r="M6242" s="471">
        <f t="shared" si="224"/>
        <v>0.05</v>
      </c>
      <c r="N6242" s="475">
        <f t="shared" si="225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23"/>
        <v>-1.95898330347719E+16</v>
      </c>
      <c r="J6243" s="455">
        <f t="array" ref="J6243">IFERROR(INDEX('Retirement Calculator'!J:J,MATCH('Isaac 401k'!N6243,'Retirement Calculator'!A:A,0),0),0)</f>
        <v>0</v>
      </c>
      <c r="K6243" s="455">
        <f t="shared" ca="1" si="221"/>
        <v>-81624304311549.578</v>
      </c>
      <c r="L6243" s="455">
        <f t="shared" ca="1" si="222"/>
        <v>-1.9671457339083448E+16</v>
      </c>
      <c r="M6243" s="471">
        <f t="shared" si="224"/>
        <v>0.05</v>
      </c>
      <c r="N6243" s="475">
        <f t="shared" si="225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23"/>
        <v>-1.9671457339083448E+16</v>
      </c>
      <c r="J6244" s="455">
        <f t="array" ref="J6244">IFERROR(INDEX('Retirement Calculator'!J:J,MATCH('Isaac 401k'!N6244,'Retirement Calculator'!A:A,0),0),0)</f>
        <v>0</v>
      </c>
      <c r="K6244" s="455">
        <f t="shared" ca="1" si="221"/>
        <v>-81964405579514.359</v>
      </c>
      <c r="L6244" s="455">
        <f t="shared" ca="1" si="222"/>
        <v>-1.9753421744662964E+16</v>
      </c>
      <c r="M6244" s="471">
        <f t="shared" si="224"/>
        <v>0.05</v>
      </c>
      <c r="N6244" s="475">
        <f t="shared" si="225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23"/>
        <v>-1.9753421744662964E+16</v>
      </c>
      <c r="J6245" s="455">
        <f t="array" ref="J6245">IFERROR(INDEX('Retirement Calculator'!J:J,MATCH('Isaac 401k'!N6245,'Retirement Calculator'!A:A,0),0),0)</f>
        <v>0</v>
      </c>
      <c r="K6245" s="455">
        <f t="shared" ca="1" si="221"/>
        <v>-82305923936095.688</v>
      </c>
      <c r="L6245" s="455">
        <f t="shared" ca="1" si="222"/>
        <v>-1.983572766859906E+16</v>
      </c>
      <c r="M6245" s="471">
        <f t="shared" si="224"/>
        <v>0.05</v>
      </c>
      <c r="N6245" s="475">
        <f t="shared" si="225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23"/>
        <v>-1.983572766859906E+16</v>
      </c>
      <c r="J6246" s="455">
        <f t="array" ref="J6246">IFERROR(INDEX('Retirement Calculator'!J:J,MATCH('Isaac 401k'!N6246,'Retirement Calculator'!A:A,0),0),0)</f>
        <v>0</v>
      </c>
      <c r="K6246" s="455">
        <f t="shared" ca="1" si="221"/>
        <v>-82648865285829.422</v>
      </c>
      <c r="L6246" s="455">
        <f t="shared" ca="1" si="222"/>
        <v>-1.9918376533884888E+16</v>
      </c>
      <c r="M6246" s="471">
        <f t="shared" si="224"/>
        <v>0.05</v>
      </c>
      <c r="N6246" s="475">
        <f t="shared" si="225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23"/>
        <v>-1.9918376533884888E+16</v>
      </c>
      <c r="J6247" s="455">
        <f t="array" ref="J6247">IFERROR(INDEX('Retirement Calculator'!J:J,MATCH('Isaac 401k'!N6247,'Retirement Calculator'!A:A,0),0),0)</f>
        <v>0</v>
      </c>
      <c r="K6247" s="455">
        <f t="shared" ca="1" si="221"/>
        <v>-82993235557853.703</v>
      </c>
      <c r="L6247" s="455">
        <f t="shared" ca="1" si="222"/>
        <v>-2.000136976944274E+16</v>
      </c>
      <c r="M6247" s="471">
        <f t="shared" si="224"/>
        <v>0.05</v>
      </c>
      <c r="N6247" s="475">
        <f t="shared" si="225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23"/>
        <v>-2.000136976944274E+16</v>
      </c>
      <c r="J6248" s="455">
        <f t="array" ref="J6248">IFERROR(INDEX('Retirement Calculator'!J:J,MATCH('Isaac 401k'!N6248,'Retirement Calculator'!A:A,0),0),0)</f>
        <v>0</v>
      </c>
      <c r="K6248" s="455">
        <f t="shared" ca="1" si="221"/>
        <v>-83339040706011.422</v>
      </c>
      <c r="L6248" s="455">
        <f t="shared" ca="1" si="222"/>
        <v>-2.0084708810148752E+16</v>
      </c>
      <c r="M6248" s="471">
        <f t="shared" si="224"/>
        <v>0.05</v>
      </c>
      <c r="N6248" s="475">
        <f t="shared" si="225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23"/>
        <v>-2.0084708810148752E+16</v>
      </c>
      <c r="J6249" s="455">
        <f t="array" ref="J6249">IFERROR(INDEX('Retirement Calculator'!J:J,MATCH('Isaac 401k'!N6249,'Retirement Calculator'!A:A,0),0),0)</f>
        <v>0</v>
      </c>
      <c r="K6249" s="455">
        <f t="shared" ca="1" si="221"/>
        <v>-83686286708953.125</v>
      </c>
      <c r="L6249" s="455">
        <f t="shared" ca="1" si="222"/>
        <v>-2.0168395096857704E+16</v>
      </c>
      <c r="M6249" s="471">
        <f t="shared" si="224"/>
        <v>0.05</v>
      </c>
      <c r="N6249" s="475">
        <f t="shared" si="225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23"/>
        <v>-2.0168395096857704E+16</v>
      </c>
      <c r="J6250" s="455">
        <f t="array" ref="J6250">IFERROR(INDEX('Retirement Calculator'!J:J,MATCH('Isaac 401k'!N6250,'Retirement Calculator'!A:A,0),0),0)</f>
        <v>0</v>
      </c>
      <c r="K6250" s="455">
        <f t="shared" ca="1" si="221"/>
        <v>-84034979570240.438</v>
      </c>
      <c r="L6250" s="455">
        <f t="shared" ca="1" si="222"/>
        <v>-2.0252430076427944E+16</v>
      </c>
      <c r="M6250" s="471">
        <f t="shared" si="224"/>
        <v>0.05</v>
      </c>
      <c r="N6250" s="475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70" t="s">
        <v>657</v>
      </c>
      <c r="B1" s="455">
        <f ca="1">'Combined Retirement'!I8+'Combined Retirement'!K8</f>
        <v>3313531.9212232269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75"/>
    </row>
    <row r="2" spans="1:14" ht="11.25" customHeight="1" x14ac:dyDescent="0.3">
      <c r="A2" s="470" t="s">
        <v>658</v>
      </c>
      <c r="B2" s="471">
        <v>0.05</v>
      </c>
      <c r="C2" s="457" t="s">
        <v>667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75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75"/>
    </row>
    <row r="4" spans="1:14" ht="11.25" customHeight="1" x14ac:dyDescent="0.3">
      <c r="A4" s="470" t="s">
        <v>660</v>
      </c>
      <c r="B4" s="462">
        <f ca="1">(SUMIFS(H:H,I:I,"&gt;0",L:L,"&lt;0"))/12</f>
        <v>49.083333333333336</v>
      </c>
      <c r="C4" s="474">
        <f ca="1">(SUMIFS(H:H,I:I,"&gt;0",L:L,"&lt;0"))</f>
        <v>589</v>
      </c>
      <c r="D4" s="467">
        <f t="array" aca="1" ref="D4" ca="1">INDEX(N:N,MATCH(C4,H:H,0),0)</f>
        <v>69185</v>
      </c>
      <c r="E4" s="457"/>
      <c r="F4" s="457"/>
      <c r="G4" s="470"/>
      <c r="H4" s="470"/>
      <c r="I4" s="457"/>
      <c r="J4" s="442"/>
      <c r="K4" s="442"/>
      <c r="L4" s="442"/>
      <c r="M4" s="473"/>
      <c r="N4" s="475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75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75"/>
    </row>
    <row r="7" spans="1:14" ht="11.25" customHeight="1" x14ac:dyDescent="0.3">
      <c r="A7" s="470" t="s">
        <v>661</v>
      </c>
      <c r="B7" s="457" t="s">
        <v>662</v>
      </c>
      <c r="C7" s="457" t="s">
        <v>663</v>
      </c>
      <c r="D7" s="457" t="s">
        <v>664</v>
      </c>
      <c r="E7" s="457" t="s">
        <v>665</v>
      </c>
      <c r="F7" s="457"/>
      <c r="G7" s="470" t="s">
        <v>666</v>
      </c>
      <c r="H7" s="470" t="s">
        <v>224</v>
      </c>
      <c r="I7" s="457" t="s">
        <v>662</v>
      </c>
      <c r="J7" s="457" t="s">
        <v>663</v>
      </c>
      <c r="K7" s="457" t="s">
        <v>664</v>
      </c>
      <c r="L7" s="457" t="s">
        <v>665</v>
      </c>
      <c r="M7" s="471"/>
      <c r="N7" s="475" t="s">
        <v>592</v>
      </c>
    </row>
    <row r="8" spans="1:14" ht="11.25" customHeight="1" x14ac:dyDescent="0.3">
      <c r="A8" s="470">
        <v>1</v>
      </c>
      <c r="B8" s="458">
        <f ca="1">B1</f>
        <v>3313531.9212232269</v>
      </c>
      <c r="C8" s="458">
        <f t="shared" ref="C8:C71" si="0">SUMIF(G:G,A8,J:J)</f>
        <v>0</v>
      </c>
      <c r="D8" s="458">
        <f ca="1">SUMIF(G:G,1,K:K)</f>
        <v>169526.5817814859</v>
      </c>
      <c r="E8" s="458">
        <f t="shared" ref="E8:E71" ca="1" si="1">B8-C8+D8</f>
        <v>3483058.503004713</v>
      </c>
      <c r="F8" s="442"/>
      <c r="G8" s="470">
        <v>1</v>
      </c>
      <c r="H8" s="470">
        <v>1</v>
      </c>
      <c r="I8" s="455">
        <f ca="1">B1</f>
        <v>3313531.9212232269</v>
      </c>
      <c r="J8" s="455">
        <f t="array" ref="J8">IFERROR(INDEX('Retirement Calculator'!K:K,MATCH('Lorri 401b'!N8,'Retirement Calculator'!A:A,0),0),0)</f>
        <v>0</v>
      </c>
      <c r="K8" s="455">
        <f t="shared" ref="K8:K262" ca="1" si="2">IPMT(M8/12,1,12,-I8+J8,,0)</f>
        <v>13806.383005096779</v>
      </c>
      <c r="L8" s="455">
        <f t="shared" ref="L8:L262" ca="1" si="3">I8-J8+K8</f>
        <v>3327338.3042283235</v>
      </c>
      <c r="M8" s="471">
        <f>B2</f>
        <v>0.05</v>
      </c>
      <c r="N8" s="475">
        <f>'Retirement Calculator'!D7</f>
        <v>51288</v>
      </c>
    </row>
    <row r="9" spans="1:14" ht="11.25" customHeight="1" x14ac:dyDescent="0.3">
      <c r="A9" s="470">
        <v>2</v>
      </c>
      <c r="B9" s="458">
        <f t="shared" ref="B9:B71" ca="1" si="4">E8</f>
        <v>3483058.503004713</v>
      </c>
      <c r="C9" s="458">
        <f t="shared" si="0"/>
        <v>0</v>
      </c>
      <c r="D9" s="458">
        <f ca="1">SUMIF(G:G,2,K:K)</f>
        <v>178199.8834468296</v>
      </c>
      <c r="E9" s="458">
        <f t="shared" ca="1" si="1"/>
        <v>3661258.3864515424</v>
      </c>
      <c r="F9" s="442"/>
      <c r="G9" s="470">
        <v>1</v>
      </c>
      <c r="H9" s="470">
        <v>2</v>
      </c>
      <c r="I9" s="455">
        <f t="shared" ref="I9:I263" ca="1" si="5">L8</f>
        <v>3327338.3042283235</v>
      </c>
      <c r="J9" s="455">
        <f t="array" ref="J9">IFERROR(INDEX('Retirement Calculator'!K:K,MATCH('Lorri 401b'!N9,'Retirement Calculator'!A:A,0),0),0)</f>
        <v>0</v>
      </c>
      <c r="K9" s="455">
        <f t="shared" ca="1" si="2"/>
        <v>13863.909600951345</v>
      </c>
      <c r="L9" s="455">
        <f t="shared" ca="1" si="3"/>
        <v>3341202.2138292748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3661258.3864515424</v>
      </c>
      <c r="C10" s="458">
        <f t="shared" si="0"/>
        <v>0</v>
      </c>
      <c r="D10" s="458">
        <f ca="1">SUMIF(G:G,3,K:K)</f>
        <v>187316.92768627309</v>
      </c>
      <c r="E10" s="458">
        <f t="shared" ca="1" si="1"/>
        <v>3848575.3141378155</v>
      </c>
      <c r="F10" s="442"/>
      <c r="G10" s="470">
        <v>1</v>
      </c>
      <c r="H10" s="470">
        <v>3</v>
      </c>
      <c r="I10" s="455">
        <f t="shared" ca="1" si="5"/>
        <v>3341202.2138292748</v>
      </c>
      <c r="J10" s="455">
        <f t="array" ref="J10">IFERROR(INDEX('Retirement Calculator'!K:K,MATCH('Lorri 401b'!N10,'Retirement Calculator'!A:A,0),0),0)</f>
        <v>0</v>
      </c>
      <c r="K10" s="455">
        <f t="shared" ca="1" si="2"/>
        <v>13921.675890955314</v>
      </c>
      <c r="L10" s="455">
        <f t="shared" ca="1" si="3"/>
        <v>3355123.8897202299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3848575.3141378155</v>
      </c>
      <c r="C11" s="458">
        <f t="shared" si="0"/>
        <v>0</v>
      </c>
      <c r="D11" s="458">
        <f ca="1">SUMIF(G:G,4,K:K)</f>
        <v>196900.4172120782</v>
      </c>
      <c r="E11" s="458">
        <f t="shared" ca="1" si="1"/>
        <v>4045475.7313498938</v>
      </c>
      <c r="F11" s="442"/>
      <c r="G11" s="470">
        <v>1</v>
      </c>
      <c r="H11" s="470">
        <v>4</v>
      </c>
      <c r="I11" s="455">
        <f t="shared" ca="1" si="5"/>
        <v>3355123.8897202299</v>
      </c>
      <c r="J11" s="455">
        <f t="array" ref="J11">IFERROR(INDEX('Retirement Calculator'!K:K,MATCH('Lorri 401b'!N11,'Retirement Calculator'!A:A,0),0),0)</f>
        <v>0</v>
      </c>
      <c r="K11" s="455">
        <f t="shared" ca="1" si="2"/>
        <v>13979.682873834294</v>
      </c>
      <c r="L11" s="455">
        <f t="shared" ca="1" si="3"/>
        <v>3369103.5725940643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4045475.7313498938</v>
      </c>
      <c r="C12" s="458">
        <f t="shared" si="0"/>
        <v>0</v>
      </c>
      <c r="D12" s="458">
        <f ca="1">SUMIF(G:G,5,K:K)</f>
        <v>206974.2162503532</v>
      </c>
      <c r="E12" s="458">
        <f t="shared" ca="1" si="1"/>
        <v>4252449.9476002473</v>
      </c>
      <c r="F12" s="442"/>
      <c r="G12" s="470">
        <v>1</v>
      </c>
      <c r="H12" s="470">
        <v>5</v>
      </c>
      <c r="I12" s="455">
        <f t="shared" ca="1" si="5"/>
        <v>3369103.5725940643</v>
      </c>
      <c r="J12" s="455">
        <f t="array" ref="J12">IFERROR(INDEX('Retirement Calculator'!K:K,MATCH('Lorri 401b'!N12,'Retirement Calculator'!A:A,0),0),0)</f>
        <v>0</v>
      </c>
      <c r="K12" s="455">
        <f t="shared" ca="1" si="2"/>
        <v>14037.931552475267</v>
      </c>
      <c r="L12" s="455">
        <f t="shared" ca="1" si="3"/>
        <v>3383141.5041465396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4252449.9476002473</v>
      </c>
      <c r="C13" s="458">
        <f t="shared" si="0"/>
        <v>110129.63259692027</v>
      </c>
      <c r="D13" s="458">
        <f ca="1">SUMIF(G:G,6,K:K)</f>
        <v>216179.11772817123</v>
      </c>
      <c r="E13" s="458">
        <f t="shared" ca="1" si="1"/>
        <v>4358499.432731498</v>
      </c>
      <c r="F13" s="442"/>
      <c r="G13" s="470">
        <v>1</v>
      </c>
      <c r="H13" s="470">
        <v>6</v>
      </c>
      <c r="I13" s="455">
        <f t="shared" ca="1" si="5"/>
        <v>3383141.5041465396</v>
      </c>
      <c r="J13" s="455">
        <f t="array" ref="J13">IFERROR(INDEX('Retirement Calculator'!K:K,MATCH('Lorri 401b'!N13,'Retirement Calculator'!A:A,0),0),0)</f>
        <v>0</v>
      </c>
      <c r="K13" s="455">
        <f t="shared" ca="1" si="2"/>
        <v>14096.422933943917</v>
      </c>
      <c r="L13" s="455">
        <f t="shared" ca="1" si="3"/>
        <v>3397237.9270804836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4358499.432731498</v>
      </c>
      <c r="C14" s="458">
        <f t="shared" si="0"/>
        <v>264311.11823260866</v>
      </c>
      <c r="D14" s="458">
        <f ca="1">SUMIF(G:G,7,K:K)</f>
        <v>215720.16412380588</v>
      </c>
      <c r="E14" s="458">
        <f t="shared" ca="1" si="1"/>
        <v>4309908.4786226954</v>
      </c>
      <c r="F14" s="442"/>
      <c r="G14" s="470">
        <v>1</v>
      </c>
      <c r="H14" s="470">
        <v>7</v>
      </c>
      <c r="I14" s="455">
        <f t="shared" ca="1" si="5"/>
        <v>3397237.9270804836</v>
      </c>
      <c r="J14" s="455">
        <f t="array" ref="J14">IFERROR(INDEX('Retirement Calculator'!K:K,MATCH('Lorri 401b'!N14,'Retirement Calculator'!A:A,0),0),0)</f>
        <v>0</v>
      </c>
      <c r="K14" s="455">
        <f t="shared" ca="1" si="2"/>
        <v>14155.158029502016</v>
      </c>
      <c r="L14" s="455">
        <f t="shared" ca="1" si="3"/>
        <v>3411393.0851099854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4309908.4786226954</v>
      </c>
      <c r="C15" s="458">
        <f t="shared" si="0"/>
        <v>264311.11823260866</v>
      </c>
      <c r="D15" s="458">
        <f ca="1">SUMIF(G:G,8,K:K)</f>
        <v>213234.15869171557</v>
      </c>
      <c r="E15" s="458">
        <f t="shared" ca="1" si="1"/>
        <v>4258831.5190818021</v>
      </c>
      <c r="F15" s="442"/>
      <c r="G15" s="470">
        <v>1</v>
      </c>
      <c r="H15" s="470">
        <v>8</v>
      </c>
      <c r="I15" s="455">
        <f t="shared" ca="1" si="5"/>
        <v>3411393.0851099854</v>
      </c>
      <c r="J15" s="455">
        <f t="array" ref="J15">IFERROR(INDEX('Retirement Calculator'!K:K,MATCH('Lorri 401b'!N15,'Retirement Calculator'!A:A,0),0),0)</f>
        <v>0</v>
      </c>
      <c r="K15" s="455">
        <f t="shared" ca="1" si="2"/>
        <v>14214.137854624938</v>
      </c>
      <c r="L15" s="455">
        <f t="shared" ca="1" si="3"/>
        <v>3425607.2229646104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4258831.5190818021</v>
      </c>
      <c r="C16" s="458">
        <f t="shared" si="0"/>
        <v>245128.2138326086</v>
      </c>
      <c r="D16" s="458">
        <f ca="1">SUMIF(G:G,9,K:K)</f>
        <v>211107.26070694634</v>
      </c>
      <c r="E16" s="458">
        <f t="shared" ca="1" si="1"/>
        <v>4224810.5659561399</v>
      </c>
      <c r="F16" s="442"/>
      <c r="G16" s="470">
        <v>1</v>
      </c>
      <c r="H16" s="470">
        <v>9</v>
      </c>
      <c r="I16" s="455">
        <f t="shared" ca="1" si="5"/>
        <v>3425607.2229646104</v>
      </c>
      <c r="J16" s="455">
        <f t="array" ref="J16">IFERROR(INDEX('Retirement Calculator'!K:K,MATCH('Lorri 401b'!N16,'Retirement Calculator'!A:A,0),0),0)</f>
        <v>0</v>
      </c>
      <c r="K16" s="455">
        <f t="shared" ca="1" si="2"/>
        <v>14273.363429019208</v>
      </c>
      <c r="L16" s="455">
        <f t="shared" ca="1" si="3"/>
        <v>3439880.5863936297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4224810.5659561399</v>
      </c>
      <c r="C17" s="458">
        <f t="shared" si="0"/>
        <v>243384.31343260861</v>
      </c>
      <c r="D17" s="458">
        <f ca="1">SUMIF(G:G,10,K:K)</f>
        <v>209455.90543147275</v>
      </c>
      <c r="E17" s="458">
        <f t="shared" ca="1" si="1"/>
        <v>4190882.1579550039</v>
      </c>
      <c r="F17" s="442"/>
      <c r="G17" s="470">
        <v>1</v>
      </c>
      <c r="H17" s="470">
        <v>10</v>
      </c>
      <c r="I17" s="455">
        <f t="shared" ca="1" si="5"/>
        <v>3439880.5863936297</v>
      </c>
      <c r="J17" s="455">
        <f t="array" ref="J17">IFERROR(INDEX('Retirement Calculator'!K:K,MATCH('Lorri 401b'!N17,'Retirement Calculator'!A:A,0),0),0)</f>
        <v>0</v>
      </c>
      <c r="K17" s="455">
        <f t="shared" ca="1" si="2"/>
        <v>14332.835776640122</v>
      </c>
      <c r="L17" s="455">
        <f t="shared" ca="1" si="3"/>
        <v>3454213.4221702698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4190882.1579550039</v>
      </c>
      <c r="C18" s="458">
        <f t="shared" si="0"/>
        <v>243384.31343260861</v>
      </c>
      <c r="D18" s="458">
        <f ca="1">SUMIF(G:G,11,K:K)</f>
        <v>207720.06368602891</v>
      </c>
      <c r="E18" s="458">
        <f t="shared" ca="1" si="1"/>
        <v>4155217.9082084242</v>
      </c>
      <c r="F18" s="442"/>
      <c r="G18" s="470">
        <v>1</v>
      </c>
      <c r="H18" s="470">
        <v>11</v>
      </c>
      <c r="I18" s="455">
        <f t="shared" ca="1" si="5"/>
        <v>3454213.4221702698</v>
      </c>
      <c r="J18" s="455">
        <f t="array" ref="J18">IFERROR(INDEX('Retirement Calculator'!K:K,MATCH('Lorri 401b'!N18,'Retirement Calculator'!A:A,0),0),0)</f>
        <v>0</v>
      </c>
      <c r="K18" s="455">
        <f t="shared" ca="1" si="2"/>
        <v>14392.555925709457</v>
      </c>
      <c r="L18" s="455">
        <f t="shared" ca="1" si="3"/>
        <v>3468605.9780959794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4155217.9082084242</v>
      </c>
      <c r="C19" s="458">
        <f t="shared" si="0"/>
        <v>243384.31343260861</v>
      </c>
      <c r="D19" s="458">
        <f ca="1">SUMIF(G:G,12,K:K)</f>
        <v>205895.41298246582</v>
      </c>
      <c r="E19" s="458">
        <f t="shared" ca="1" si="1"/>
        <v>4117729.0077582812</v>
      </c>
      <c r="F19" s="442"/>
      <c r="G19" s="470">
        <v>1</v>
      </c>
      <c r="H19" s="470">
        <v>12</v>
      </c>
      <c r="I19" s="455">
        <f t="shared" ca="1" si="5"/>
        <v>3468605.9780959794</v>
      </c>
      <c r="J19" s="455">
        <f t="array" ref="J19">IFERROR(INDEX('Retirement Calculator'!K:K,MATCH('Lorri 401b'!N19,'Retirement Calculator'!A:A,0),0),0)</f>
        <v>0</v>
      </c>
      <c r="K19" s="455">
        <f t="shared" ca="1" si="2"/>
        <v>14452.524908733247</v>
      </c>
      <c r="L19" s="455">
        <f t="shared" ca="1" si="3"/>
        <v>3483058.5030047125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4117729.0077582812</v>
      </c>
      <c r="C20" s="458">
        <f t="shared" si="0"/>
        <v>243384.31343260861</v>
      </c>
      <c r="D20" s="458">
        <f ca="1">SUMIF(G:G,13,K:K)</f>
        <v>203977.40968593722</v>
      </c>
      <c r="E20" s="458">
        <f t="shared" ca="1" si="1"/>
        <v>4078322.1040116097</v>
      </c>
      <c r="F20" s="442"/>
      <c r="G20" s="470">
        <v>2</v>
      </c>
      <c r="H20" s="470">
        <v>13</v>
      </c>
      <c r="I20" s="455">
        <f t="shared" ca="1" si="5"/>
        <v>3483058.5030047125</v>
      </c>
      <c r="J20" s="455">
        <f t="array" ref="J20">IFERROR(INDEX('Retirement Calculator'!K:K,MATCH('Lorri 401b'!N20,'Retirement Calculator'!A:A,0),0),0)</f>
        <v>0</v>
      </c>
      <c r="K20" s="455">
        <f t="shared" ca="1" si="2"/>
        <v>14512.743762519638</v>
      </c>
      <c r="L20" s="455">
        <f t="shared" ca="1" si="3"/>
        <v>3497571.2467672322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4078322.1040116097</v>
      </c>
      <c r="C21" s="458">
        <f t="shared" si="0"/>
        <v>243384.31343260861</v>
      </c>
      <c r="D21" s="458">
        <f ca="1">SUMIF(G:G,14,K:K)</f>
        <v>201961.27770061477</v>
      </c>
      <c r="E21" s="458">
        <f t="shared" ca="1" si="1"/>
        <v>4036899.0682796156</v>
      </c>
      <c r="F21" s="442"/>
      <c r="G21" s="470">
        <v>2</v>
      </c>
      <c r="H21" s="470">
        <v>14</v>
      </c>
      <c r="I21" s="455">
        <f t="shared" ca="1" si="5"/>
        <v>3497571.2467672322</v>
      </c>
      <c r="J21" s="455">
        <f t="array" ref="J21">IFERROR(INDEX('Retirement Calculator'!K:K,MATCH('Lorri 401b'!N21,'Retirement Calculator'!A:A,0),0),0)</f>
        <v>0</v>
      </c>
      <c r="K21" s="455">
        <f t="shared" ca="1" si="2"/>
        <v>14573.2135281968</v>
      </c>
      <c r="L21" s="455">
        <f t="shared" ca="1" si="3"/>
        <v>3512144.460295429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4036899.0682796156</v>
      </c>
      <c r="C22" s="458">
        <f t="shared" si="0"/>
        <v>243384.31343260861</v>
      </c>
      <c r="D22" s="458">
        <f ca="1">SUMIF(G:G,15,K:K)</f>
        <v>199841.99657654308</v>
      </c>
      <c r="E22" s="458">
        <f t="shared" ca="1" si="1"/>
        <v>3993356.7514235498</v>
      </c>
      <c r="F22" s="442"/>
      <c r="G22" s="470">
        <v>2</v>
      </c>
      <c r="H22" s="470">
        <v>15</v>
      </c>
      <c r="I22" s="455">
        <f t="shared" ca="1" si="5"/>
        <v>3512144.460295429</v>
      </c>
      <c r="J22" s="455">
        <f t="array" ref="J22">IFERROR(INDEX('Retirement Calculator'!K:K,MATCH('Lorri 401b'!N22,'Retirement Calculator'!A:A,0),0),0)</f>
        <v>0</v>
      </c>
      <c r="K22" s="455">
        <f t="shared" ca="1" si="2"/>
        <v>14633.935251230954</v>
      </c>
      <c r="L22" s="455">
        <f t="shared" ca="1" si="3"/>
        <v>3526778.3955466598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3993356.7514235498</v>
      </c>
      <c r="C23" s="458">
        <f t="shared" si="0"/>
        <v>243384.31343260861</v>
      </c>
      <c r="D23" s="458">
        <f ca="1">SUMIF(G:G,16,K:K)</f>
        <v>197614.28900801908</v>
      </c>
      <c r="E23" s="458">
        <f t="shared" ca="1" si="1"/>
        <v>3947586.7269989601</v>
      </c>
      <c r="F23" s="442"/>
      <c r="G23" s="470">
        <v>2</v>
      </c>
      <c r="H23" s="470">
        <v>16</v>
      </c>
      <c r="I23" s="455">
        <f t="shared" ca="1" si="5"/>
        <v>3526778.3955466598</v>
      </c>
      <c r="J23" s="455">
        <f t="array" ref="J23">IFERROR(INDEX('Retirement Calculator'!K:K,MATCH('Lorri 401b'!N23,'Retirement Calculator'!A:A,0),0),0)</f>
        <v>0</v>
      </c>
      <c r="K23" s="455">
        <f t="shared" ca="1" si="2"/>
        <v>14694.909981444416</v>
      </c>
      <c r="L23" s="455">
        <f t="shared" ca="1" si="3"/>
        <v>3541473.3055281043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3947586.7269989601</v>
      </c>
      <c r="C24" s="458">
        <f t="shared" si="0"/>
        <v>243384.31343260861</v>
      </c>
      <c r="D24" s="458">
        <f ca="1">SUMIF(G:G,17,K:K)</f>
        <v>195272.60769236385</v>
      </c>
      <c r="E24" s="458">
        <f t="shared" ca="1" si="1"/>
        <v>3899475.0212587151</v>
      </c>
      <c r="F24" s="442"/>
      <c r="G24" s="470">
        <v>2</v>
      </c>
      <c r="H24" s="470">
        <v>17</v>
      </c>
      <c r="I24" s="455">
        <f t="shared" ca="1" si="5"/>
        <v>3541473.3055281043</v>
      </c>
      <c r="J24" s="455">
        <f t="array" ref="J24">IFERROR(INDEX('Retirement Calculator'!K:K,MATCH('Lorri 401b'!N24,'Retirement Calculator'!A:A,0),0),0)</f>
        <v>0</v>
      </c>
      <c r="K24" s="455">
        <f t="shared" ca="1" si="2"/>
        <v>14756.138773033766</v>
      </c>
      <c r="L24" s="455">
        <f t="shared" ca="1" si="3"/>
        <v>3556229.4443011382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3899475.0212587151</v>
      </c>
      <c r="C25" s="458">
        <f t="shared" si="0"/>
        <v>243384.31343260861</v>
      </c>
      <c r="D25" s="458">
        <f ca="1">SUMIF(G:G,18,K:K)</f>
        <v>192811.12151636553</v>
      </c>
      <c r="E25" s="458">
        <f t="shared" ca="1" si="1"/>
        <v>3848901.8293424719</v>
      </c>
      <c r="F25" s="442"/>
      <c r="G25" s="470">
        <v>2</v>
      </c>
      <c r="H25" s="470">
        <v>18</v>
      </c>
      <c r="I25" s="455">
        <f t="shared" ca="1" si="5"/>
        <v>3556229.4443011382</v>
      </c>
      <c r="J25" s="455">
        <f t="array" ref="J25">IFERROR(INDEX('Retirement Calculator'!K:K,MATCH('Lorri 401b'!N25,'Retirement Calculator'!A:A,0),0),0)</f>
        <v>0</v>
      </c>
      <c r="K25" s="455">
        <f t="shared" ca="1" si="2"/>
        <v>14817.622684588074</v>
      </c>
      <c r="L25" s="455">
        <f t="shared" ca="1" si="3"/>
        <v>3571047.0669857264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3848901.8293424719</v>
      </c>
      <c r="C26" s="458">
        <f t="shared" si="0"/>
        <v>243384.31343260861</v>
      </c>
      <c r="D26" s="458">
        <f ca="1">SUMIF(G:G,19,K:K)</f>
        <v>190223.70103599346</v>
      </c>
      <c r="E26" s="458">
        <f t="shared" ca="1" si="1"/>
        <v>3795741.2169458568</v>
      </c>
      <c r="F26" s="442"/>
      <c r="G26" s="470">
        <v>2</v>
      </c>
      <c r="H26" s="470">
        <v>19</v>
      </c>
      <c r="I26" s="455">
        <f t="shared" ca="1" si="5"/>
        <v>3571047.0669857264</v>
      </c>
      <c r="J26" s="455">
        <f t="array" ref="J26">IFERROR(INDEX('Retirement Calculator'!K:K,MATCH('Lorri 401b'!N26,'Retirement Calculator'!A:A,0),0),0)</f>
        <v>0</v>
      </c>
      <c r="K26" s="455">
        <f t="shared" ca="1" si="2"/>
        <v>14879.362779107192</v>
      </c>
      <c r="L26" s="455">
        <f t="shared" ca="1" si="3"/>
        <v>3585926.4297648338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3795741.2169458568</v>
      </c>
      <c r="C27" s="458">
        <f t="shared" si="0"/>
        <v>243384.31343260861</v>
      </c>
      <c r="D27" s="458">
        <f ca="1">SUMIF(G:G,20,K:K)</f>
        <v>187503.90321322752</v>
      </c>
      <c r="E27" s="458">
        <f t="shared" ca="1" si="1"/>
        <v>3739860.8067264757</v>
      </c>
      <c r="F27" s="442"/>
      <c r="G27" s="470">
        <v>2</v>
      </c>
      <c r="H27" s="470">
        <v>20</v>
      </c>
      <c r="I27" s="455">
        <f t="shared" ca="1" si="5"/>
        <v>3585926.4297648338</v>
      </c>
      <c r="J27" s="455">
        <f t="array" ref="J27">IFERROR(INDEX('Retirement Calculator'!K:K,MATCH('Lorri 401b'!N27,'Retirement Calculator'!A:A,0),0),0)</f>
        <v>0</v>
      </c>
      <c r="K27" s="455">
        <f t="shared" ca="1" si="2"/>
        <v>14941.360124020141</v>
      </c>
      <c r="L27" s="455">
        <f t="shared" ca="1" si="3"/>
        <v>3600867.7898888541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3739860.8067264757</v>
      </c>
      <c r="C28" s="458">
        <f t="shared" si="0"/>
        <v>243384.31343260861</v>
      </c>
      <c r="D28" s="458">
        <f ca="1">SUMIF(G:G,21,K:K)</f>
        <v>184644.95537199421</v>
      </c>
      <c r="E28" s="458">
        <f t="shared" ca="1" si="1"/>
        <v>3681121.448665861</v>
      </c>
      <c r="F28" s="442"/>
      <c r="G28" s="470">
        <v>2</v>
      </c>
      <c r="H28" s="470">
        <v>21</v>
      </c>
      <c r="I28" s="455">
        <f t="shared" ca="1" si="5"/>
        <v>3600867.7898888541</v>
      </c>
      <c r="J28" s="455">
        <f t="array" ref="J28">IFERROR(INDEX('Retirement Calculator'!K:K,MATCH('Lorri 401b'!N28,'Retirement Calculator'!A:A,0),0),0)</f>
        <v>0</v>
      </c>
      <c r="K28" s="455">
        <f t="shared" ca="1" si="2"/>
        <v>15003.615791203558</v>
      </c>
      <c r="L28" s="455">
        <f t="shared" ca="1" si="3"/>
        <v>3615871.4056800576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3681121.448665861</v>
      </c>
      <c r="C29" s="458">
        <f t="shared" si="0"/>
        <v>243384.31343260861</v>
      </c>
      <c r="D29" s="458">
        <f ca="1">SUMIF(G:G,22,K:K)</f>
        <v>181639.73833325857</v>
      </c>
      <c r="E29" s="458">
        <f t="shared" ca="1" si="1"/>
        <v>3619376.8735665111</v>
      </c>
      <c r="F29" s="442"/>
      <c r="G29" s="470">
        <v>2</v>
      </c>
      <c r="H29" s="470">
        <v>22</v>
      </c>
      <c r="I29" s="455">
        <f t="shared" ca="1" si="5"/>
        <v>3615871.4056800576</v>
      </c>
      <c r="J29" s="455">
        <f t="array" ref="J29">IFERROR(INDEX('Retirement Calculator'!K:K,MATCH('Lorri 401b'!N29,'Retirement Calculator'!A:A,0),0),0)</f>
        <v>0</v>
      </c>
      <c r="K29" s="455">
        <f t="shared" ca="1" si="2"/>
        <v>15066.13085700024</v>
      </c>
      <c r="L29" s="455">
        <f t="shared" ca="1" si="3"/>
        <v>3630937.5365370577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3619376.8735665111</v>
      </c>
      <c r="C30" s="458">
        <f t="shared" si="0"/>
        <v>243384.31343260861</v>
      </c>
      <c r="D30" s="458">
        <f ca="1">SUMIF(G:G,23,K:K)</f>
        <v>178480.76868727469</v>
      </c>
      <c r="E30" s="458">
        <f t="shared" ca="1" si="1"/>
        <v>3554473.3288211771</v>
      </c>
      <c r="F30" s="442"/>
      <c r="G30" s="470">
        <v>2</v>
      </c>
      <c r="H30" s="470">
        <v>23</v>
      </c>
      <c r="I30" s="455">
        <f t="shared" ca="1" si="5"/>
        <v>3630937.5365370577</v>
      </c>
      <c r="J30" s="455">
        <f t="array" ref="J30">IFERROR(INDEX('Retirement Calculator'!K:K,MATCH('Lorri 401b'!N30,'Retirement Calculator'!A:A,0),0),0)</f>
        <v>0</v>
      </c>
      <c r="K30" s="455">
        <f t="shared" ca="1" si="2"/>
        <v>15128.906402237741</v>
      </c>
      <c r="L30" s="455">
        <f t="shared" ca="1" si="3"/>
        <v>3646066.4429392954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3554473.3288211771</v>
      </c>
      <c r="C31" s="458">
        <f t="shared" si="0"/>
        <v>243384.31343260861</v>
      </c>
      <c r="D31" s="458">
        <f ca="1">SUMIF(G:G,24,K:K)</f>
        <v>175160.18015885144</v>
      </c>
      <c r="E31" s="458">
        <f t="shared" ca="1" si="1"/>
        <v>3486249.1955474196</v>
      </c>
      <c r="F31" s="442"/>
      <c r="G31" s="470">
        <v>2</v>
      </c>
      <c r="H31" s="470">
        <v>24</v>
      </c>
      <c r="I31" s="455">
        <f t="shared" ca="1" si="5"/>
        <v>3646066.4429392954</v>
      </c>
      <c r="J31" s="455">
        <f t="array" ref="J31">IFERROR(INDEX('Retirement Calculator'!K:K,MATCH('Lorri 401b'!N31,'Retirement Calculator'!A:A,0),0),0)</f>
        <v>0</v>
      </c>
      <c r="K31" s="455">
        <f t="shared" ca="1" si="2"/>
        <v>15191.943512247064</v>
      </c>
      <c r="L31" s="455">
        <f t="shared" ca="1" si="3"/>
        <v>3661258.3864515424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3486249.1955474196</v>
      </c>
      <c r="C32" s="458">
        <f t="shared" si="0"/>
        <v>243384.31343260861</v>
      </c>
      <c r="D32" s="458">
        <f ca="1">SUMIF(G:G,25,K:K)</f>
        <v>171669.70401922971</v>
      </c>
      <c r="E32" s="458">
        <f t="shared" ca="1" si="1"/>
        <v>3414534.5861340407</v>
      </c>
      <c r="F32" s="442"/>
      <c r="G32" s="470">
        <v>3</v>
      </c>
      <c r="H32" s="470">
        <v>25</v>
      </c>
      <c r="I32" s="455">
        <f t="shared" ca="1" si="5"/>
        <v>3661258.3864515424</v>
      </c>
      <c r="J32" s="455">
        <f t="array" ref="J32">IFERROR(INDEX('Retirement Calculator'!K:K,MATCH('Lorri 401b'!N32,'Retirement Calculator'!A:A,0),0),0)</f>
        <v>0</v>
      </c>
      <c r="K32" s="455">
        <f t="shared" ca="1" si="2"/>
        <v>15255.243276881427</v>
      </c>
      <c r="L32" s="455">
        <f t="shared" ca="1" si="3"/>
        <v>3676513.6297284239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3414534.5861340407</v>
      </c>
      <c r="C33" s="458">
        <f t="shared" si="0"/>
        <v>243384.31343260861</v>
      </c>
      <c r="D33" s="458">
        <f ca="1">SUMIF(G:G,26,K:K)</f>
        <v>168000.6484957941</v>
      </c>
      <c r="E33" s="458">
        <f t="shared" ca="1" si="1"/>
        <v>3339150.9211972263</v>
      </c>
      <c r="F33" s="442"/>
      <c r="G33" s="470">
        <v>3</v>
      </c>
      <c r="H33" s="470">
        <v>26</v>
      </c>
      <c r="I33" s="455">
        <f t="shared" ca="1" si="5"/>
        <v>3676513.6297284239</v>
      </c>
      <c r="J33" s="455">
        <f t="array" ref="J33">IFERROR(INDEX('Retirement Calculator'!K:K,MATCH('Lorri 401b'!N33,'Retirement Calculator'!A:A,0),0),0)</f>
        <v>0</v>
      </c>
      <c r="K33" s="455">
        <f t="shared" ca="1" si="2"/>
        <v>15318.806790535102</v>
      </c>
      <c r="L33" s="455">
        <f t="shared" ca="1" si="3"/>
        <v>3691832.4365189588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3339150.9211972263</v>
      </c>
      <c r="C34" s="458">
        <f t="shared" si="0"/>
        <v>243384.31343260861</v>
      </c>
      <c r="D34" s="458">
        <f ca="1">SUMIF(G:G,27,K:K)</f>
        <v>164143.8771283461</v>
      </c>
      <c r="E34" s="458">
        <f t="shared" ca="1" si="1"/>
        <v>3259910.4848929634</v>
      </c>
      <c r="F34" s="442"/>
      <c r="G34" s="470">
        <v>3</v>
      </c>
      <c r="H34" s="470">
        <v>27</v>
      </c>
      <c r="I34" s="455">
        <f t="shared" ca="1" si="5"/>
        <v>3691832.4365189588</v>
      </c>
      <c r="J34" s="455">
        <f t="array" ref="J34">IFERROR(INDEX('Retirement Calculator'!K:K,MATCH('Lorri 401b'!N34,'Retirement Calculator'!A:A,0),0),0)</f>
        <v>0</v>
      </c>
      <c r="K34" s="455">
        <f t="shared" ca="1" si="2"/>
        <v>15382.635152162329</v>
      </c>
      <c r="L34" s="455">
        <f t="shared" ca="1" si="3"/>
        <v>3707215.0716711213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3259910.4848929634</v>
      </c>
      <c r="C35" s="458">
        <f t="shared" si="0"/>
        <v>243384.31343260861</v>
      </c>
      <c r="D35" s="458">
        <f ca="1">SUMIF(G:G,28,K:K)</f>
        <v>160089.78601804347</v>
      </c>
      <c r="E35" s="458">
        <f t="shared" ca="1" si="1"/>
        <v>3176615.957478398</v>
      </c>
      <c r="F35" s="442"/>
      <c r="G35" s="470">
        <v>3</v>
      </c>
      <c r="H35" s="470">
        <v>28</v>
      </c>
      <c r="I35" s="455">
        <f t="shared" ca="1" si="5"/>
        <v>3707215.0716711213</v>
      </c>
      <c r="J35" s="455">
        <f t="array" ref="J35">IFERROR(INDEX('Retirement Calculator'!K:K,MATCH('Lorri 401b'!N35,'Retirement Calculator'!A:A,0),0),0)</f>
        <v>0</v>
      </c>
      <c r="K35" s="455">
        <f t="shared" ca="1" si="2"/>
        <v>15446.729465296339</v>
      </c>
      <c r="L35" s="455">
        <f t="shared" ca="1" si="3"/>
        <v>3722661.8011364178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3176615.957478398</v>
      </c>
      <c r="C36" s="458">
        <f t="shared" si="0"/>
        <v>243384.31343260861</v>
      </c>
      <c r="D36" s="458">
        <f ca="1">SUMIF(G:G,29,K:K)</f>
        <v>155828.2799123523</v>
      </c>
      <c r="E36" s="458">
        <f t="shared" ca="1" si="1"/>
        <v>3089059.9239581414</v>
      </c>
      <c r="F36" s="442"/>
      <c r="G36" s="470">
        <v>3</v>
      </c>
      <c r="H36" s="470">
        <v>29</v>
      </c>
      <c r="I36" s="455">
        <f t="shared" ca="1" si="5"/>
        <v>3722661.8011364178</v>
      </c>
      <c r="J36" s="455">
        <f t="array" ref="J36">IFERROR(INDEX('Retirement Calculator'!K:K,MATCH('Lorri 401b'!N36,'Retirement Calculator'!A:A,0),0),0)</f>
        <v>0</v>
      </c>
      <c r="K36" s="455">
        <f t="shared" ca="1" si="2"/>
        <v>15511.090838068407</v>
      </c>
      <c r="L36" s="455">
        <f t="shared" ca="1" si="3"/>
        <v>3738172.8919744864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3089059.9239581414</v>
      </c>
      <c r="C37" s="458">
        <f t="shared" si="0"/>
        <v>243384.31343260861</v>
      </c>
      <c r="D37" s="458">
        <f ca="1">SUMIF(G:G,30,K:K)</f>
        <v>151348.74706645933</v>
      </c>
      <c r="E37" s="458">
        <f t="shared" ca="1" si="1"/>
        <v>2997024.3575919918</v>
      </c>
      <c r="F37" s="442"/>
      <c r="G37" s="470">
        <v>3</v>
      </c>
      <c r="H37" s="470">
        <v>30</v>
      </c>
      <c r="I37" s="455">
        <f t="shared" ca="1" si="5"/>
        <v>3738172.8919744864</v>
      </c>
      <c r="J37" s="455">
        <f t="array" ref="J37">IFERROR(INDEX('Retirement Calculator'!K:K,MATCH('Lorri 401b'!N37,'Retirement Calculator'!A:A,0),0),0)</f>
        <v>0</v>
      </c>
      <c r="K37" s="455">
        <f t="shared" ca="1" si="2"/>
        <v>15575.720383227026</v>
      </c>
      <c r="L37" s="455">
        <f t="shared" ca="1" si="3"/>
        <v>3753748.6123577133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2997024.3575919918</v>
      </c>
      <c r="C38" s="458">
        <f t="shared" si="0"/>
        <v>243384.31343260861</v>
      </c>
      <c r="D38" s="458">
        <f ca="1">SUMIF(G:G,31,K:K)</f>
        <v>146640.03281854698</v>
      </c>
      <c r="E38" s="458">
        <f t="shared" ca="1" si="1"/>
        <v>2900280.07697793</v>
      </c>
      <c r="F38" s="442"/>
      <c r="G38" s="470">
        <v>3</v>
      </c>
      <c r="H38" s="470">
        <v>31</v>
      </c>
      <c r="I38" s="455">
        <f t="shared" ca="1" si="5"/>
        <v>3753748.6123577133</v>
      </c>
      <c r="J38" s="455">
        <f t="array" ref="J38">IFERROR(INDEX('Retirement Calculator'!K:K,MATCH('Lorri 401b'!N38,'Retirement Calculator'!A:A,0),0),0)</f>
        <v>0</v>
      </c>
      <c r="K38" s="455">
        <f t="shared" ca="1" si="2"/>
        <v>15640.619218157139</v>
      </c>
      <c r="L38" s="455">
        <f t="shared" ca="1" si="3"/>
        <v>3769389.2315758704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2900280.07697793</v>
      </c>
      <c r="C39" s="458">
        <f t="shared" si="0"/>
        <v>243384.31343260861</v>
      </c>
      <c r="D39" s="458">
        <f ca="1">SUMIF(G:G,32,K:K)</f>
        <v>141690.41181312868</v>
      </c>
      <c r="E39" s="458">
        <f t="shared" ca="1" si="1"/>
        <v>2798586.17535845</v>
      </c>
      <c r="F39" s="442"/>
      <c r="G39" s="470">
        <v>3</v>
      </c>
      <c r="H39" s="470">
        <v>32</v>
      </c>
      <c r="I39" s="455">
        <f t="shared" ca="1" si="5"/>
        <v>3769389.2315758704</v>
      </c>
      <c r="J39" s="455">
        <f t="array" ref="J39">IFERROR(INDEX('Retirement Calculator'!K:K,MATCH('Lorri 401b'!N39,'Retirement Calculator'!A:A,0),0),0)</f>
        <v>0</v>
      </c>
      <c r="K39" s="455">
        <f t="shared" ca="1" si="2"/>
        <v>15705.78846489946</v>
      </c>
      <c r="L39" s="455">
        <f t="shared" ca="1" si="3"/>
        <v>3785095.0200407701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2798586.17535845</v>
      </c>
      <c r="C40" s="458">
        <f t="shared" si="0"/>
        <v>243384.31343260861</v>
      </c>
      <c r="D40" s="458">
        <f ca="1">SUMIF(G:G,33,K:K)</f>
        <v>136487.55880327785</v>
      </c>
      <c r="E40" s="458">
        <f t="shared" ca="1" si="1"/>
        <v>2691689.4207291193</v>
      </c>
      <c r="F40" s="442"/>
      <c r="G40" s="470">
        <v>3</v>
      </c>
      <c r="H40" s="470">
        <v>33</v>
      </c>
      <c r="I40" s="455">
        <f t="shared" ca="1" si="5"/>
        <v>3785095.0200407701</v>
      </c>
      <c r="J40" s="455">
        <f t="array" ref="J40">IFERROR(INDEX('Retirement Calculator'!K:K,MATCH('Lorri 401b'!N40,'Retirement Calculator'!A:A,0),0),0)</f>
        <v>0</v>
      </c>
      <c r="K40" s="455">
        <f t="shared" ca="1" si="2"/>
        <v>15771.229250169874</v>
      </c>
      <c r="L40" s="455">
        <f t="shared" ca="1" si="3"/>
        <v>3800866.2492909399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2691689.4207291193</v>
      </c>
      <c r="C41" s="458">
        <f t="shared" si="0"/>
        <v>243384.31343260861</v>
      </c>
      <c r="D41" s="458">
        <f ca="1">SUMIF(G:G,34,K:K)</f>
        <v>131018.51795904338</v>
      </c>
      <c r="E41" s="458">
        <f t="shared" ca="1" si="1"/>
        <v>2579323.625255554</v>
      </c>
      <c r="F41" s="442"/>
      <c r="G41" s="470">
        <v>3</v>
      </c>
      <c r="H41" s="470">
        <v>34</v>
      </c>
      <c r="I41" s="455">
        <f t="shared" ca="1" si="5"/>
        <v>3800866.2492909399</v>
      </c>
      <c r="J41" s="455">
        <f t="array" ref="J41">IFERROR(INDEX('Retirement Calculator'!K:K,MATCH('Lorri 401b'!N41,'Retirement Calculator'!A:A,0),0),0)</f>
        <v>0</v>
      </c>
      <c r="K41" s="455">
        <f t="shared" ca="1" si="2"/>
        <v>15836.942705378917</v>
      </c>
      <c r="L41" s="455">
        <f t="shared" ca="1" si="3"/>
        <v>3816703.1919963188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2579323.625255554</v>
      </c>
      <c r="C42" s="458">
        <f t="shared" si="0"/>
        <v>243384.31343260861</v>
      </c>
      <c r="D42" s="458">
        <f ca="1">SUMIF(G:G,35,K:K)</f>
        <v>125269.67060562517</v>
      </c>
      <c r="E42" s="458">
        <f t="shared" ca="1" si="1"/>
        <v>2461208.9824285703</v>
      </c>
      <c r="F42" s="442"/>
      <c r="G42" s="470">
        <v>3</v>
      </c>
      <c r="H42" s="470">
        <v>35</v>
      </c>
      <c r="I42" s="455">
        <f t="shared" ca="1" si="5"/>
        <v>3816703.1919963188</v>
      </c>
      <c r="J42" s="455">
        <f t="array" ref="J42">IFERROR(INDEX('Retirement Calculator'!K:K,MATCH('Lorri 401b'!N42,'Retirement Calculator'!A:A,0),0),0)</f>
        <v>0</v>
      </c>
      <c r="K42" s="455">
        <f t="shared" ca="1" si="2"/>
        <v>15902.929966651327</v>
      </c>
      <c r="L42" s="455">
        <f t="shared" ca="1" si="3"/>
        <v>3832606.1219629701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2461208.9824285703</v>
      </c>
      <c r="C43" s="458">
        <f t="shared" si="0"/>
        <v>243384.31343260861</v>
      </c>
      <c r="D43" s="458">
        <f ca="1">SUMIF(G:G,36,K:K)</f>
        <v>119226.70131097366</v>
      </c>
      <c r="E43" s="458">
        <f t="shared" ca="1" si="1"/>
        <v>2337051.3703069352</v>
      </c>
      <c r="F43" s="442"/>
      <c r="G43" s="470">
        <v>3</v>
      </c>
      <c r="H43" s="470">
        <v>36</v>
      </c>
      <c r="I43" s="455">
        <f t="shared" ca="1" si="5"/>
        <v>3832606.1219629701</v>
      </c>
      <c r="J43" s="455">
        <f t="array" ref="J43">IFERROR(INDEX('Retirement Calculator'!K:K,MATCH('Lorri 401b'!N43,'Retirement Calculator'!A:A,0),0),0)</f>
        <v>0</v>
      </c>
      <c r="K43" s="455">
        <f t="shared" ca="1" si="2"/>
        <v>15969.192174845708</v>
      </c>
      <c r="L43" s="455">
        <f t="shared" ca="1" si="3"/>
        <v>3848575.314137816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2337051.3703069352</v>
      </c>
      <c r="C44" s="458">
        <f t="shared" si="0"/>
        <v>243384.31343260861</v>
      </c>
      <c r="D44" s="458">
        <f ca="1">SUMIF(G:G,37,K:K)</f>
        <v>112874.56223836678</v>
      </c>
      <c r="E44" s="458">
        <f t="shared" ca="1" si="1"/>
        <v>2206541.6191126932</v>
      </c>
      <c r="F44" s="442"/>
      <c r="G44" s="470">
        <v>4</v>
      </c>
      <c r="H44" s="470">
        <v>37</v>
      </c>
      <c r="I44" s="455">
        <f t="shared" ca="1" si="5"/>
        <v>3848575.314137816</v>
      </c>
      <c r="J44" s="455">
        <f t="array" ref="J44">IFERROR(INDEX('Retirement Calculator'!K:K,MATCH('Lorri 401b'!N44,'Retirement Calculator'!A:A,0),0),0)</f>
        <v>0</v>
      </c>
      <c r="K44" s="455">
        <f t="shared" ca="1" si="2"/>
        <v>16035.730475574233</v>
      </c>
      <c r="L44" s="455">
        <f t="shared" ca="1" si="3"/>
        <v>3864611.0446133902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2206541.6191126932</v>
      </c>
      <c r="C45" s="458">
        <f t="shared" si="0"/>
        <v>243384.31343260861</v>
      </c>
      <c r="D45" s="458">
        <f ca="1">SUMIF(G:G,38,K:K)</f>
        <v>106197.43567519658</v>
      </c>
      <c r="E45" s="458">
        <f t="shared" ca="1" si="1"/>
        <v>2069354.7413552811</v>
      </c>
      <c r="F45" s="442"/>
      <c r="G45" s="470">
        <v>4</v>
      </c>
      <c r="H45" s="470">
        <v>38</v>
      </c>
      <c r="I45" s="455">
        <f t="shared" ca="1" si="5"/>
        <v>3864611.0446133902</v>
      </c>
      <c r="J45" s="455">
        <f t="array" ref="J45">IFERROR(INDEX('Retirement Calculator'!K:K,MATCH('Lorri 401b'!N45,'Retirement Calculator'!A:A,0),0),0)</f>
        <v>0</v>
      </c>
      <c r="K45" s="455">
        <f t="shared" ca="1" si="2"/>
        <v>16102.546019222458</v>
      </c>
      <c r="L45" s="455">
        <f t="shared" ca="1" si="3"/>
        <v>3880713.5906326128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2069354.7413552811</v>
      </c>
      <c r="C46" s="458">
        <f t="shared" si="0"/>
        <v>243384.31343260861</v>
      </c>
      <c r="D46" s="458">
        <f ca="1">SUMIF(G:G,39,K:K)</f>
        <v>99178.69464465807</v>
      </c>
      <c r="E46" s="458">
        <f t="shared" ca="1" si="1"/>
        <v>1925149.1225673307</v>
      </c>
      <c r="F46" s="442"/>
      <c r="G46" s="470">
        <v>4</v>
      </c>
      <c r="H46" s="470">
        <v>39</v>
      </c>
      <c r="I46" s="455">
        <f t="shared" ca="1" si="5"/>
        <v>3880713.5906326128</v>
      </c>
      <c r="J46" s="455">
        <f t="array" ref="J46">IFERROR(INDEX('Retirement Calculator'!K:K,MATCH('Lorri 401b'!N46,'Retirement Calculator'!A:A,0),0),0)</f>
        <v>0</v>
      </c>
      <c r="K46" s="455">
        <f t="shared" ca="1" si="2"/>
        <v>16169.639960969222</v>
      </c>
      <c r="L46" s="455">
        <f t="shared" ca="1" si="3"/>
        <v>3896883.2305935821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1925149.1225673307</v>
      </c>
      <c r="C47" s="458">
        <f t="shared" si="0"/>
        <v>243384.31343260861</v>
      </c>
      <c r="D47" s="458">
        <f ca="1">SUMIF(G:G,40,K:K)</f>
        <v>91800.861502256826</v>
      </c>
      <c r="E47" s="458">
        <f t="shared" ca="1" si="1"/>
        <v>1773565.6706369789</v>
      </c>
      <c r="F47" s="442"/>
      <c r="G47" s="470">
        <v>4</v>
      </c>
      <c r="H47" s="470">
        <v>40</v>
      </c>
      <c r="I47" s="455">
        <f t="shared" ca="1" si="5"/>
        <v>3896883.2305935821</v>
      </c>
      <c r="J47" s="455">
        <f t="array" ref="J47">IFERROR(INDEX('Retirement Calculator'!K:K,MATCH('Lorri 401b'!N47,'Retirement Calculator'!A:A,0),0),0)</f>
        <v>0</v>
      </c>
      <c r="K47" s="455">
        <f t="shared" ca="1" si="2"/>
        <v>16237.013460806593</v>
      </c>
      <c r="L47" s="455">
        <f t="shared" ca="1" si="3"/>
        <v>3913120.2440543887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1773565.6706369789</v>
      </c>
      <c r="C48" s="458">
        <f t="shared" si="0"/>
        <v>243384.31343260861</v>
      </c>
      <c r="D48" s="458">
        <f ca="1">SUMIF(G:G,41,K:K)</f>
        <v>84045.564414035602</v>
      </c>
      <c r="E48" s="458">
        <f t="shared" ca="1" si="1"/>
        <v>1614226.9216184057</v>
      </c>
      <c r="F48" s="442"/>
      <c r="G48" s="470">
        <v>4</v>
      </c>
      <c r="H48" s="470">
        <v>41</v>
      </c>
      <c r="I48" s="455">
        <f t="shared" ca="1" si="5"/>
        <v>3913120.2440543887</v>
      </c>
      <c r="J48" s="455">
        <f t="array" ref="J48">IFERROR(INDEX('Retirement Calculator'!K:K,MATCH('Lorri 401b'!N48,'Retirement Calculator'!A:A,0),0),0)</f>
        <v>0</v>
      </c>
      <c r="K48" s="455">
        <f t="shared" ca="1" si="2"/>
        <v>16304.667683559956</v>
      </c>
      <c r="L48" s="455">
        <f t="shared" ca="1" si="3"/>
        <v>3929424.9117379487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1614226.9216184057</v>
      </c>
      <c r="C49" s="458">
        <f t="shared" si="0"/>
        <v>243384.31343260861</v>
      </c>
      <c r="D49" s="458">
        <f ca="1">SUMIF(G:G,42,K:K)</f>
        <v>75893.491608144293</v>
      </c>
      <c r="E49" s="458">
        <f t="shared" ca="1" si="1"/>
        <v>1446736.0997939412</v>
      </c>
      <c r="F49" s="442"/>
      <c r="G49" s="470">
        <v>4</v>
      </c>
      <c r="H49" s="470">
        <v>42</v>
      </c>
      <c r="I49" s="455">
        <f t="shared" ca="1" si="5"/>
        <v>3929424.9117379487</v>
      </c>
      <c r="J49" s="455">
        <f t="array" ref="J49">IFERROR(INDEX('Retirement Calculator'!K:K,MATCH('Lorri 401b'!N49,'Retirement Calculator'!A:A,0),0),0)</f>
        <v>0</v>
      </c>
      <c r="K49" s="455">
        <f t="shared" ca="1" si="2"/>
        <v>16372.60379890812</v>
      </c>
      <c r="L49" s="455">
        <f t="shared" ca="1" si="3"/>
        <v>3945797.5155368568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1446736.0997939412</v>
      </c>
      <c r="C50" s="458">
        <f t="shared" si="0"/>
        <v>243384.31343260861</v>
      </c>
      <c r="D50" s="458">
        <f ca="1">SUMIF(G:G,43,K:K)</f>
        <v>67324.343285833515</v>
      </c>
      <c r="E50" s="458">
        <f t="shared" ca="1" si="1"/>
        <v>1270676.129647166</v>
      </c>
      <c r="F50" s="442"/>
      <c r="G50" s="470">
        <v>4</v>
      </c>
      <c r="H50" s="470">
        <v>43</v>
      </c>
      <c r="I50" s="455">
        <f t="shared" ca="1" si="5"/>
        <v>3945797.5155368568</v>
      </c>
      <c r="J50" s="455">
        <f t="array" ref="J50">IFERROR(INDEX('Retirement Calculator'!K:K,MATCH('Lorri 401b'!N50,'Retirement Calculator'!A:A,0),0),0)</f>
        <v>0</v>
      </c>
      <c r="K50" s="455">
        <f t="shared" ca="1" si="2"/>
        <v>16440.822981403569</v>
      </c>
      <c r="L50" s="455">
        <f t="shared" ca="1" si="3"/>
        <v>3962238.3385182605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1270676.129647166</v>
      </c>
      <c r="C51" s="458">
        <f t="shared" si="0"/>
        <v>243384.31343260861</v>
      </c>
      <c r="D51" s="458">
        <f ca="1">SUMIF(G:G,44,K:K)</f>
        <v>58316.78107212326</v>
      </c>
      <c r="E51" s="458">
        <f t="shared" ca="1" si="1"/>
        <v>1085608.5972866807</v>
      </c>
      <c r="F51" s="442"/>
      <c r="G51" s="470">
        <v>4</v>
      </c>
      <c r="H51" s="470">
        <v>44</v>
      </c>
      <c r="I51" s="455">
        <f t="shared" ca="1" si="5"/>
        <v>3962238.3385182605</v>
      </c>
      <c r="J51" s="455">
        <f t="array" ref="J51">IFERROR(INDEX('Retirement Calculator'!K:K,MATCH('Lorri 401b'!N51,'Retirement Calculator'!A:A,0),0),0)</f>
        <v>0</v>
      </c>
      <c r="K51" s="455">
        <f t="shared" ca="1" si="2"/>
        <v>16509.326410492755</v>
      </c>
      <c r="L51" s="455">
        <f t="shared" ca="1" si="3"/>
        <v>3978747.6649287534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1085608.5972866807</v>
      </c>
      <c r="C52" s="458">
        <f t="shared" si="0"/>
        <v>243384.31343260861</v>
      </c>
      <c r="D52" s="458">
        <f ca="1">SUMIF(G:G,45,K:K)</f>
        <v>48848.374880271745</v>
      </c>
      <c r="E52" s="458">
        <f t="shared" ca="1" si="1"/>
        <v>891072.65873434383</v>
      </c>
      <c r="F52" s="442"/>
      <c r="G52" s="470">
        <v>4</v>
      </c>
      <c r="H52" s="470">
        <v>45</v>
      </c>
      <c r="I52" s="455">
        <f t="shared" ca="1" si="5"/>
        <v>3978747.6649287534</v>
      </c>
      <c r="J52" s="455">
        <f t="array" ref="J52">IFERROR(INDEX('Retirement Calculator'!K:K,MATCH('Lorri 401b'!N52,'Retirement Calculator'!A:A,0),0),0)</f>
        <v>0</v>
      </c>
      <c r="K52" s="455">
        <f t="shared" ca="1" si="2"/>
        <v>16578.115270536473</v>
      </c>
      <c r="L52" s="455">
        <f t="shared" ca="1" si="3"/>
        <v>3995325.7801992898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891072.65873434383</v>
      </c>
      <c r="C53" s="458">
        <f t="shared" si="0"/>
        <v>243384.31343260861</v>
      </c>
      <c r="D53" s="458">
        <f ca="1">SUMIF(G:G,46,K:K)</f>
        <v>38895.547057729927</v>
      </c>
      <c r="E53" s="458">
        <f t="shared" ca="1" si="1"/>
        <v>686583.89235946513</v>
      </c>
      <c r="F53" s="442"/>
      <c r="G53" s="470">
        <v>4</v>
      </c>
      <c r="H53" s="470">
        <v>46</v>
      </c>
      <c r="I53" s="455">
        <f t="shared" ca="1" si="5"/>
        <v>3995325.7801992898</v>
      </c>
      <c r="J53" s="455">
        <f t="array" ref="J53">IFERROR(INDEX('Retirement Calculator'!K:K,MATCH('Lorri 401b'!N53,'Retirement Calculator'!A:A,0),0),0)</f>
        <v>0</v>
      </c>
      <c r="K53" s="455">
        <f t="shared" ca="1" si="2"/>
        <v>16647.190750830374</v>
      </c>
      <c r="L53" s="455">
        <f t="shared" ca="1" si="3"/>
        <v>4011972.9709501201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686583.89235946513</v>
      </c>
      <c r="C54" s="458">
        <f t="shared" si="0"/>
        <v>243384.31343260861</v>
      </c>
      <c r="D54" s="458">
        <f ca="1">SUMIF(G:G,47,K:K)</f>
        <v>28433.513674496779</v>
      </c>
      <c r="E54" s="458">
        <f t="shared" ca="1" si="1"/>
        <v>471633.0926013533</v>
      </c>
      <c r="F54" s="442"/>
      <c r="G54" s="470">
        <v>4</v>
      </c>
      <c r="H54" s="470">
        <v>47</v>
      </c>
      <c r="I54" s="455">
        <f t="shared" ca="1" si="5"/>
        <v>4011972.9709501201</v>
      </c>
      <c r="J54" s="455">
        <f t="array" ref="J54">IFERROR(INDEX('Retirement Calculator'!K:K,MATCH('Lorri 401b'!N54,'Retirement Calculator'!A:A,0),0),0)</f>
        <v>0</v>
      </c>
      <c r="K54" s="455">
        <f t="shared" ca="1" si="2"/>
        <v>16716.554045625497</v>
      </c>
      <c r="L54" s="455">
        <f t="shared" ca="1" si="3"/>
        <v>4028689.5249957456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471633.0926013533</v>
      </c>
      <c r="C55" s="458">
        <f t="shared" si="0"/>
        <v>243384.31343260861</v>
      </c>
      <c r="D55" s="458">
        <f ca="1">SUMIF(G:G,48,K:K)</f>
        <v>17436.222807675378</v>
      </c>
      <c r="E55" s="458">
        <f t="shared" ca="1" si="1"/>
        <v>245685.00197642006</v>
      </c>
      <c r="F55" s="442"/>
      <c r="G55" s="470">
        <v>4</v>
      </c>
      <c r="H55" s="470">
        <v>48</v>
      </c>
      <c r="I55" s="455">
        <f t="shared" ca="1" si="5"/>
        <v>4028689.5249957456</v>
      </c>
      <c r="J55" s="455">
        <f t="array" ref="J55">IFERROR(INDEX('Retirement Calculator'!K:K,MATCH('Lorri 401b'!N55,'Retirement Calculator'!A:A,0),0),0)</f>
        <v>0</v>
      </c>
      <c r="K55" s="455">
        <f t="shared" ca="1" si="2"/>
        <v>16786.206354148941</v>
      </c>
      <c r="L55" s="455">
        <f t="shared" ca="1" si="3"/>
        <v>4045475.7313498948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245685.00197642006</v>
      </c>
      <c r="C56" s="458">
        <f t="shared" si="0"/>
        <v>243384.31343260861</v>
      </c>
      <c r="D56" s="458">
        <f ca="1">SUMIF(G:G,49,K:K)</f>
        <v>5876.2896685499509</v>
      </c>
      <c r="E56" s="458">
        <f t="shared" ca="1" si="1"/>
        <v>8176.9782123613913</v>
      </c>
      <c r="F56" s="442"/>
      <c r="G56" s="470">
        <f>G55+1</f>
        <v>5</v>
      </c>
      <c r="H56" s="470">
        <v>49</v>
      </c>
      <c r="I56" s="455">
        <f t="shared" ca="1" si="5"/>
        <v>4045475.7313498948</v>
      </c>
      <c r="J56" s="455">
        <f t="array" ref="J56">IFERROR(INDEX('Retirement Calculator'!K:K,MATCH('Lorri 401b'!N56,'Retirement Calculator'!A:A,0),0),0)</f>
        <v>0</v>
      </c>
      <c r="K56" s="455">
        <f t="shared" ca="1" si="2"/>
        <v>16856.148880624562</v>
      </c>
      <c r="L56" s="455">
        <f t="shared" ca="1" si="3"/>
        <v>4062331.8802305195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8176.9782123613913</v>
      </c>
      <c r="C57" s="458">
        <f t="shared" si="0"/>
        <v>243384.31343260861</v>
      </c>
      <c r="D57" s="458">
        <f ca="1">SUMIF(G:G,50,K:K)</f>
        <v>-6275.0715893590805</v>
      </c>
      <c r="E57" s="458">
        <f t="shared" ca="1" si="1"/>
        <v>-241482.4068096063</v>
      </c>
      <c r="F57" s="442"/>
      <c r="G57" s="470">
        <f t="shared" ref="G57:G67" si="8">G56</f>
        <v>5</v>
      </c>
      <c r="H57" s="470">
        <v>50</v>
      </c>
      <c r="I57" s="455">
        <f t="shared" ca="1" si="5"/>
        <v>4062331.8802305195</v>
      </c>
      <c r="J57" s="455">
        <f t="array" ref="J57">IFERROR(INDEX('Retirement Calculator'!K:K,MATCH('Lorri 401b'!N57,'Retirement Calculator'!A:A,0),0),0)</f>
        <v>0</v>
      </c>
      <c r="K57" s="455">
        <f t="shared" ca="1" si="2"/>
        <v>16926.382834293829</v>
      </c>
      <c r="L57" s="455">
        <f t="shared" ca="1" si="3"/>
        <v>4079258.2630648133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-241482.4068096063</v>
      </c>
      <c r="C58" s="458">
        <f t="shared" si="0"/>
        <v>243384.31343260861</v>
      </c>
      <c r="D58" s="458">
        <f ca="1">SUMIF(G:G,51,K:K)</f>
        <v>-19048.1195510693</v>
      </c>
      <c r="E58" s="458">
        <f t="shared" ca="1" si="1"/>
        <v>-503914.83979328419</v>
      </c>
      <c r="F58" s="442"/>
      <c r="G58" s="470">
        <f t="shared" si="8"/>
        <v>5</v>
      </c>
      <c r="H58" s="470">
        <v>51</v>
      </c>
      <c r="I58" s="455">
        <f t="shared" ca="1" si="5"/>
        <v>4079258.2630648133</v>
      </c>
      <c r="J58" s="455">
        <f t="array" ref="J58">IFERROR(INDEX('Retirement Calculator'!K:K,MATCH('Lorri 401b'!N58,'Retirement Calculator'!A:A,0),0),0)</f>
        <v>0</v>
      </c>
      <c r="K58" s="455">
        <f t="shared" ca="1" si="2"/>
        <v>16996.909429436721</v>
      </c>
      <c r="L58" s="455">
        <f t="shared" ca="1" si="3"/>
        <v>4096255.1724942499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-503914.83979328419</v>
      </c>
      <c r="C59" s="458">
        <f t="shared" si="0"/>
        <v>243384.31343260861</v>
      </c>
      <c r="D59" s="458">
        <f ca="1">SUMIF(G:G,52,K:K)</f>
        <v>-32474.660888235027</v>
      </c>
      <c r="E59" s="458">
        <f t="shared" ca="1" si="1"/>
        <v>-779773.81411412777</v>
      </c>
      <c r="F59" s="442"/>
      <c r="G59" s="470">
        <f t="shared" si="8"/>
        <v>5</v>
      </c>
      <c r="H59" s="470">
        <v>52</v>
      </c>
      <c r="I59" s="455">
        <f t="shared" ca="1" si="5"/>
        <v>4096255.1724942499</v>
      </c>
      <c r="J59" s="455">
        <f t="array" ref="J59">IFERROR(INDEX('Retirement Calculator'!K:K,MATCH('Lorri 401b'!N59,'Retirement Calculator'!A:A,0),0),0)</f>
        <v>0</v>
      </c>
      <c r="K59" s="455">
        <f t="shared" ca="1" si="2"/>
        <v>17067.729885392706</v>
      </c>
      <c r="L59" s="455">
        <f t="shared" ca="1" si="3"/>
        <v>4113322.9023796427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-779773.81411412777</v>
      </c>
      <c r="C60" s="458">
        <f t="shared" si="0"/>
        <v>243384.31343260861</v>
      </c>
      <c r="D60" s="458">
        <f ca="1">SUMIF(G:G,53,K:K)</f>
        <v>-46588.129562197719</v>
      </c>
      <c r="E60" s="458">
        <f t="shared" ca="1" si="1"/>
        <v>-1069746.2571089342</v>
      </c>
      <c r="F60" s="442"/>
      <c r="G60" s="470">
        <f t="shared" si="8"/>
        <v>5</v>
      </c>
      <c r="H60" s="470">
        <v>53</v>
      </c>
      <c r="I60" s="455">
        <f t="shared" ca="1" si="5"/>
        <v>4113322.9023796427</v>
      </c>
      <c r="J60" s="455">
        <f t="array" ref="J60">IFERROR(INDEX('Retirement Calculator'!K:K,MATCH('Lorri 401b'!N60,'Retirement Calculator'!A:A,0),0),0)</f>
        <v>0</v>
      </c>
      <c r="K60" s="455">
        <f t="shared" ca="1" si="2"/>
        <v>17138.845426581844</v>
      </c>
      <c r="L60" s="455">
        <f t="shared" ca="1" si="3"/>
        <v>4130461.7478062245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-1069746.2571089342</v>
      </c>
      <c r="C61" s="458">
        <f t="shared" si="0"/>
        <v>243384.31343260861</v>
      </c>
      <c r="D61" s="458">
        <f ca="1">SUMIF(G:G,54,K:K)</f>
        <v>-61423.670079214688</v>
      </c>
      <c r="E61" s="458">
        <f t="shared" ca="1" si="1"/>
        <v>-1374554.2406207577</v>
      </c>
      <c r="F61" s="442"/>
      <c r="G61" s="470">
        <f t="shared" si="8"/>
        <v>5</v>
      </c>
      <c r="H61" s="470">
        <v>54</v>
      </c>
      <c r="I61" s="455">
        <f t="shared" ca="1" si="5"/>
        <v>4130461.7478062245</v>
      </c>
      <c r="J61" s="455">
        <f t="array" ref="J61">IFERROR(INDEX('Retirement Calculator'!K:K,MATCH('Lorri 401b'!N61,'Retirement Calculator'!A:A,0),0),0)</f>
        <v>0</v>
      </c>
      <c r="K61" s="455">
        <f t="shared" ca="1" si="2"/>
        <v>17210.257282525934</v>
      </c>
      <c r="L61" s="455">
        <f t="shared" ca="1" si="3"/>
        <v>4147672.0050887503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-1374554.2406207577</v>
      </c>
      <c r="C62" s="458">
        <f t="shared" si="0"/>
        <v>243384.31343260861</v>
      </c>
      <c r="D62" s="458">
        <f ca="1">SUMIF(G:G,55,K:K)</f>
        <v>-77018.225005183544</v>
      </c>
      <c r="E62" s="458">
        <f t="shared" ca="1" si="1"/>
        <v>-1694956.7790585498</v>
      </c>
      <c r="F62" s="442"/>
      <c r="G62" s="470">
        <f t="shared" si="8"/>
        <v>5</v>
      </c>
      <c r="H62" s="470">
        <v>55</v>
      </c>
      <c r="I62" s="455">
        <f t="shared" ca="1" si="5"/>
        <v>4147672.0050887503</v>
      </c>
      <c r="J62" s="455">
        <f t="array" ref="J62">IFERROR(INDEX('Retirement Calculator'!K:K,MATCH('Lorri 401b'!N62,'Retirement Calculator'!A:A,0),0),0)</f>
        <v>0</v>
      </c>
      <c r="K62" s="455">
        <f t="shared" ca="1" si="2"/>
        <v>17281.96668786979</v>
      </c>
      <c r="L62" s="455">
        <f t="shared" ca="1" si="3"/>
        <v>4164953.97177662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-1694956.7790585498</v>
      </c>
      <c r="C63" s="458">
        <f t="shared" si="0"/>
        <v>243384.31343260861</v>
      </c>
      <c r="D63" s="458">
        <f ca="1">SUMIF(G:G,56,K:K)</f>
        <v>-93410.62695778592</v>
      </c>
      <c r="E63" s="458">
        <f t="shared" ca="1" si="1"/>
        <v>-2031751.7194489441</v>
      </c>
      <c r="F63" s="442"/>
      <c r="G63" s="470">
        <f t="shared" si="8"/>
        <v>5</v>
      </c>
      <c r="H63" s="470">
        <v>56</v>
      </c>
      <c r="I63" s="455">
        <f t="shared" ca="1" si="5"/>
        <v>4164953.97177662</v>
      </c>
      <c r="J63" s="455">
        <f t="array" ref="J63">IFERROR(INDEX('Retirement Calculator'!K:K,MATCH('Lorri 401b'!N63,'Retirement Calculator'!A:A,0),0),0)</f>
        <v>0</v>
      </c>
      <c r="K63" s="455">
        <f t="shared" ca="1" si="2"/>
        <v>17353.974882402585</v>
      </c>
      <c r="L63" s="455">
        <f t="shared" ca="1" si="3"/>
        <v>4182307.9466590225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-2031751.7194489441</v>
      </c>
      <c r="C64" s="458">
        <f t="shared" si="0"/>
        <v>243384.31343260861</v>
      </c>
      <c r="D64" s="458">
        <f ca="1">SUMIF(G:G,57,K:K)</f>
        <v>-110641.69530512365</v>
      </c>
      <c r="E64" s="458">
        <f t="shared" ca="1" si="1"/>
        <v>-2385777.7281866763</v>
      </c>
      <c r="F64" s="442"/>
      <c r="G64" s="470">
        <f t="shared" si="8"/>
        <v>5</v>
      </c>
      <c r="H64" s="470">
        <v>57</v>
      </c>
      <c r="I64" s="455">
        <f t="shared" ca="1" si="5"/>
        <v>4182307.9466590225</v>
      </c>
      <c r="J64" s="455">
        <f t="array" ref="J64">IFERROR(INDEX('Retirement Calculator'!K:K,MATCH('Lorri 401b'!N64,'Retirement Calculator'!A:A,0),0),0)</f>
        <v>0</v>
      </c>
      <c r="K64" s="455">
        <f t="shared" ca="1" si="2"/>
        <v>17426.283111079261</v>
      </c>
      <c r="L64" s="455">
        <f t="shared" ca="1" si="3"/>
        <v>4199734.2297701016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-2385777.7281866763</v>
      </c>
      <c r="C65" s="458">
        <f t="shared" si="0"/>
        <v>243384.31343260861</v>
      </c>
      <c r="D65" s="458">
        <f ca="1">SUMIF(G:G,58,K:K)</f>
        <v>-128754.33781164105</v>
      </c>
      <c r="E65" s="458">
        <f t="shared" ca="1" si="1"/>
        <v>-2757916.3794309259</v>
      </c>
      <c r="F65" s="442"/>
      <c r="G65" s="470">
        <f t="shared" si="8"/>
        <v>5</v>
      </c>
      <c r="H65" s="470">
        <v>58</v>
      </c>
      <c r="I65" s="455">
        <f t="shared" ca="1" si="5"/>
        <v>4199734.2297701016</v>
      </c>
      <c r="J65" s="455">
        <f t="array" ref="J65">IFERROR(INDEX('Retirement Calculator'!K:K,MATCH('Lorri 401b'!N65,'Retirement Calculator'!A:A,0),0),0)</f>
        <v>0</v>
      </c>
      <c r="K65" s="455">
        <f t="shared" ca="1" si="2"/>
        <v>17498.892624042091</v>
      </c>
      <c r="L65" s="455">
        <f t="shared" ca="1" si="3"/>
        <v>4217233.1223941436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-2757916.3794309259</v>
      </c>
      <c r="C66" s="458">
        <f t="shared" si="0"/>
        <v>243384.31343260861</v>
      </c>
      <c r="D66" s="458">
        <f ca="1">SUMIF(G:G,59,K:K)</f>
        <v>-147793.65748444523</v>
      </c>
      <c r="E66" s="458">
        <f t="shared" ca="1" si="1"/>
        <v>-3149094.3503479799</v>
      </c>
      <c r="F66" s="442"/>
      <c r="G66" s="470">
        <f t="shared" si="8"/>
        <v>5</v>
      </c>
      <c r="H66" s="470">
        <v>59</v>
      </c>
      <c r="I66" s="455">
        <f t="shared" ca="1" si="5"/>
        <v>4217233.1223941436</v>
      </c>
      <c r="J66" s="455">
        <f t="array" ref="J66">IFERROR(INDEX('Retirement Calculator'!K:K,MATCH('Lorri 401b'!N66,'Retirement Calculator'!A:A,0),0),0)</f>
        <v>0</v>
      </c>
      <c r="K66" s="455">
        <f t="shared" ca="1" si="2"/>
        <v>17571.804676642263</v>
      </c>
      <c r="L66" s="455">
        <f t="shared" ca="1" si="3"/>
        <v>4234804.9270707862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-3149094.3503479799</v>
      </c>
      <c r="C67" s="458">
        <f t="shared" si="0"/>
        <v>243384.31343260861</v>
      </c>
      <c r="D67" s="458">
        <f t="shared" ref="D67:D71" ca="1" si="9">SUMIF(G:G,60,K:K)</f>
        <v>-167807.06488608706</v>
      </c>
      <c r="E67" s="458">
        <f t="shared" ca="1" si="1"/>
        <v>-3560285.7286666757</v>
      </c>
      <c r="F67" s="442"/>
      <c r="G67" s="470">
        <f t="shared" si="8"/>
        <v>5</v>
      </c>
      <c r="H67" s="470">
        <v>60</v>
      </c>
      <c r="I67" s="455">
        <f t="shared" ca="1" si="5"/>
        <v>4234804.9270707862</v>
      </c>
      <c r="J67" s="455">
        <f t="array" ref="J67">IFERROR(INDEX('Retirement Calculator'!K:K,MATCH('Lorri 401b'!N67,'Retirement Calculator'!A:A,0),0),0)</f>
        <v>0</v>
      </c>
      <c r="K67" s="455">
        <f t="shared" ca="1" si="2"/>
        <v>17645.02052946161</v>
      </c>
      <c r="L67" s="455">
        <f t="shared" ca="1" si="3"/>
        <v>4252449.9476002483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-3560285.7286666757</v>
      </c>
      <c r="C68" s="458">
        <f t="shared" si="0"/>
        <v>243384.31343260861</v>
      </c>
      <c r="D68" s="458">
        <f t="shared" ca="1" si="9"/>
        <v>-167807.06488608706</v>
      </c>
      <c r="E68" s="458">
        <f t="shared" ca="1" si="1"/>
        <v>-3971477.1069853716</v>
      </c>
      <c r="F68" s="442"/>
      <c r="G68" s="470">
        <f>G67+1</f>
        <v>6</v>
      </c>
      <c r="H68" s="470">
        <v>61</v>
      </c>
      <c r="I68" s="455">
        <f t="shared" ca="1" si="5"/>
        <v>4252449.9476002483</v>
      </c>
      <c r="J68" s="455">
        <f t="array" ref="J68">IFERROR(INDEX('Retirement Calculator'!K:K,MATCH('Lorri 401b'!N68,'Retirement Calculator'!A:A,0),0),0)</f>
        <v>0</v>
      </c>
      <c r="K68" s="455">
        <f t="shared" ca="1" si="2"/>
        <v>17718.541448334367</v>
      </c>
      <c r="L68" s="455">
        <f t="shared" ca="1" si="3"/>
        <v>4270168.4890485825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-3971477.1069853716</v>
      </c>
      <c r="C69" s="458">
        <f t="shared" si="0"/>
        <v>243384.31343260861</v>
      </c>
      <c r="D69" s="458">
        <f t="shared" ca="1" si="9"/>
        <v>-167807.06488608706</v>
      </c>
      <c r="E69" s="458">
        <f t="shared" ca="1" si="1"/>
        <v>-4382668.4853040669</v>
      </c>
      <c r="F69" s="442"/>
      <c r="G69" s="470">
        <f t="shared" ref="G69:G79" si="10">G68</f>
        <v>6</v>
      </c>
      <c r="H69" s="470">
        <v>62</v>
      </c>
      <c r="I69" s="455">
        <f t="shared" ca="1" si="5"/>
        <v>4270168.4890485825</v>
      </c>
      <c r="J69" s="455">
        <f t="array" ref="J69">IFERROR(INDEX('Retirement Calculator'!K:K,MATCH('Lorri 401b'!N69,'Retirement Calculator'!A:A,0),0),0)</f>
        <v>0</v>
      </c>
      <c r="K69" s="455">
        <f t="shared" ca="1" si="2"/>
        <v>17792.368704369095</v>
      </c>
      <c r="L69" s="455">
        <f t="shared" ca="1" si="3"/>
        <v>4287960.8577529518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-4382668.4853040669</v>
      </c>
      <c r="C70" s="458">
        <f t="shared" si="0"/>
        <v>243384.31343260861</v>
      </c>
      <c r="D70" s="458">
        <f t="shared" ca="1" si="9"/>
        <v>-167807.06488608706</v>
      </c>
      <c r="E70" s="458">
        <f t="shared" ca="1" si="1"/>
        <v>-4793859.8636227623</v>
      </c>
      <c r="F70" s="442"/>
      <c r="G70" s="470">
        <f t="shared" si="10"/>
        <v>6</v>
      </c>
      <c r="H70" s="470">
        <v>63</v>
      </c>
      <c r="I70" s="455">
        <f t="shared" ca="1" si="5"/>
        <v>4287960.8577529518</v>
      </c>
      <c r="J70" s="455">
        <f t="array" ref="J70">IFERROR(INDEX('Retirement Calculator'!K:K,MATCH('Lorri 401b'!N70,'Retirement Calculator'!A:A,0),0),0)</f>
        <v>0</v>
      </c>
      <c r="K70" s="455">
        <f t="shared" ca="1" si="2"/>
        <v>17866.503573970633</v>
      </c>
      <c r="L70" s="455">
        <f t="shared" ca="1" si="3"/>
        <v>4305827.3613269227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-4793859.8636227623</v>
      </c>
      <c r="C71" s="458">
        <f t="shared" si="0"/>
        <v>243384.31343260861</v>
      </c>
      <c r="D71" s="458">
        <f t="shared" ca="1" si="9"/>
        <v>-167807.06488608706</v>
      </c>
      <c r="E71" s="458">
        <f t="shared" ca="1" si="1"/>
        <v>-5205051.2419414576</v>
      </c>
      <c r="F71" s="442"/>
      <c r="G71" s="470">
        <f t="shared" si="10"/>
        <v>6</v>
      </c>
      <c r="H71" s="470">
        <v>64</v>
      </c>
      <c r="I71" s="455">
        <f t="shared" ca="1" si="5"/>
        <v>4305827.3613269227</v>
      </c>
      <c r="J71" s="455">
        <f t="array" ref="J71">IFERROR(INDEX('Retirement Calculator'!K:K,MATCH('Lorri 401b'!N71,'Retirement Calculator'!A:A,0),0),0)</f>
        <v>0</v>
      </c>
      <c r="K71" s="455">
        <f t="shared" ca="1" si="2"/>
        <v>17940.947338862177</v>
      </c>
      <c r="L71" s="455">
        <f t="shared" ca="1" si="3"/>
        <v>4323768.308665785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42"/>
      <c r="C72" s="442"/>
      <c r="D72" s="442"/>
      <c r="E72" s="442"/>
      <c r="F72" s="442"/>
      <c r="G72" s="470">
        <f t="shared" si="10"/>
        <v>6</v>
      </c>
      <c r="H72" s="470">
        <v>65</v>
      </c>
      <c r="I72" s="455">
        <f t="shared" ca="1" si="5"/>
        <v>4323768.308665785</v>
      </c>
      <c r="J72" s="455">
        <f t="array" ref="J72">IFERROR(INDEX('Retirement Calculator'!K:K,MATCH('Lorri 401b'!N72,'Retirement Calculator'!A:A,0),0),0)</f>
        <v>0</v>
      </c>
      <c r="K72" s="455">
        <f t="shared" ca="1" si="2"/>
        <v>18015.701286107436</v>
      </c>
      <c r="L72" s="455">
        <f t="shared" ca="1" si="3"/>
        <v>4341784.0099518923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42"/>
      <c r="C73" s="442"/>
      <c r="D73" s="442"/>
      <c r="E73" s="442"/>
      <c r="F73" s="442"/>
      <c r="G73" s="470">
        <f t="shared" si="10"/>
        <v>6</v>
      </c>
      <c r="H73" s="470">
        <v>66</v>
      </c>
      <c r="I73" s="455">
        <f t="shared" ca="1" si="5"/>
        <v>4341784.0099518923</v>
      </c>
      <c r="J73" s="455">
        <f t="array" ref="J73">IFERROR(INDEX('Retirement Calculator'!K:K,MATCH('Lorri 401b'!N73,'Retirement Calculator'!A:A,0),0),0)</f>
        <v>0</v>
      </c>
      <c r="K73" s="455">
        <f t="shared" ca="1" si="2"/>
        <v>18090.766708132884</v>
      </c>
      <c r="L73" s="455">
        <f t="shared" ca="1" si="3"/>
        <v>4359874.7766600251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42"/>
      <c r="C74" s="442"/>
      <c r="D74" s="442"/>
      <c r="E74" s="442"/>
      <c r="F74" s="442"/>
      <c r="G74" s="470">
        <f t="shared" si="10"/>
        <v>6</v>
      </c>
      <c r="H74" s="470">
        <v>67</v>
      </c>
      <c r="I74" s="455">
        <f t="shared" ca="1" si="5"/>
        <v>4359874.7766600251</v>
      </c>
      <c r="J74" s="455">
        <f t="array" ref="J74">IFERROR(INDEX('Retirement Calculator'!K:K,MATCH('Lorri 401b'!N74,'Retirement Calculator'!A:A,0),0),0)</f>
        <v>0</v>
      </c>
      <c r="K74" s="455">
        <f t="shared" ca="1" si="2"/>
        <v>18166.144902750104</v>
      </c>
      <c r="L74" s="455">
        <f t="shared" ca="1" si="3"/>
        <v>4378040.921562775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42"/>
      <c r="C75" s="442"/>
      <c r="D75" s="442"/>
      <c r="E75" s="442"/>
      <c r="F75" s="442"/>
      <c r="G75" s="470">
        <f t="shared" si="10"/>
        <v>6</v>
      </c>
      <c r="H75" s="470">
        <v>68</v>
      </c>
      <c r="I75" s="455">
        <f t="shared" ca="1" si="5"/>
        <v>4378040.921562775</v>
      </c>
      <c r="J75" s="455">
        <f t="array" ref="J75">IFERROR(INDEX('Retirement Calculator'!K:K,MATCH('Lorri 401b'!N75,'Retirement Calculator'!A:A,0),0),0)</f>
        <v>22025.926519384055</v>
      </c>
      <c r="K75" s="455">
        <f t="shared" ca="1" si="2"/>
        <v>18150.062479347464</v>
      </c>
      <c r="L75" s="455">
        <f t="shared" ca="1" si="3"/>
        <v>4374165.0575227393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42"/>
      <c r="C76" s="442"/>
      <c r="D76" s="442"/>
      <c r="E76" s="442"/>
      <c r="F76" s="442"/>
      <c r="G76" s="470">
        <f t="shared" si="10"/>
        <v>6</v>
      </c>
      <c r="H76" s="470">
        <v>69</v>
      </c>
      <c r="I76" s="455">
        <f t="shared" ca="1" si="5"/>
        <v>4374165.0575227393</v>
      </c>
      <c r="J76" s="455">
        <f t="array" ref="J76">IFERROR(INDEX('Retirement Calculator'!K:K,MATCH('Lorri 401b'!N76,'Retirement Calculator'!A:A,0),0),0)</f>
        <v>22025.926519384055</v>
      </c>
      <c r="K76" s="455">
        <f t="shared" ca="1" si="2"/>
        <v>18133.913045847316</v>
      </c>
      <c r="L76" s="455">
        <f t="shared" ca="1" si="3"/>
        <v>4370273.0440492025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42"/>
      <c r="C77" s="442"/>
      <c r="D77" s="442"/>
      <c r="E77" s="442"/>
      <c r="F77" s="442"/>
      <c r="G77" s="470">
        <f t="shared" si="10"/>
        <v>6</v>
      </c>
      <c r="H77" s="470">
        <v>70</v>
      </c>
      <c r="I77" s="455">
        <f t="shared" ca="1" si="5"/>
        <v>4370273.0440492025</v>
      </c>
      <c r="J77" s="455">
        <f t="array" ref="J77">IFERROR(INDEX('Retirement Calculator'!K:K,MATCH('Lorri 401b'!N77,'Retirement Calculator'!A:A,0),0),0)</f>
        <v>22025.926519384055</v>
      </c>
      <c r="K77" s="455">
        <f t="shared" ca="1" si="2"/>
        <v>18117.696323040913</v>
      </c>
      <c r="L77" s="455">
        <f t="shared" ca="1" si="3"/>
        <v>4366364.8138528597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42"/>
      <c r="C78" s="442"/>
      <c r="D78" s="442"/>
      <c r="E78" s="442"/>
      <c r="F78" s="442"/>
      <c r="G78" s="470">
        <f t="shared" si="10"/>
        <v>6</v>
      </c>
      <c r="H78" s="470">
        <v>71</v>
      </c>
      <c r="I78" s="455">
        <f t="shared" ca="1" si="5"/>
        <v>4366364.8138528597</v>
      </c>
      <c r="J78" s="455">
        <f t="array" ref="J78">IFERROR(INDEX('Retirement Calculator'!K:K,MATCH('Lorri 401b'!N78,'Retirement Calculator'!A:A,0),0),0)</f>
        <v>22025.926519384055</v>
      </c>
      <c r="K78" s="455">
        <f t="shared" ca="1" si="2"/>
        <v>18101.412030556148</v>
      </c>
      <c r="L78" s="455">
        <f t="shared" ca="1" si="3"/>
        <v>4362440.2993640322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42"/>
      <c r="C79" s="442"/>
      <c r="D79" s="442"/>
      <c r="E79" s="442"/>
      <c r="F79" s="442"/>
      <c r="G79" s="470">
        <f t="shared" si="10"/>
        <v>6</v>
      </c>
      <c r="H79" s="470">
        <v>72</v>
      </c>
      <c r="I79" s="455">
        <f t="shared" ca="1" si="5"/>
        <v>4362440.2993640322</v>
      </c>
      <c r="J79" s="455">
        <f t="array" ref="J79">IFERROR(INDEX('Retirement Calculator'!K:K,MATCH('Lorri 401b'!N79,'Retirement Calculator'!A:A,0),0),0)</f>
        <v>22025.926519384055</v>
      </c>
      <c r="K79" s="455">
        <f t="shared" ca="1" si="2"/>
        <v>18085.059886852701</v>
      </c>
      <c r="L79" s="455">
        <f t="shared" ca="1" si="3"/>
        <v>4358499.4327315008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42"/>
      <c r="C80" s="442"/>
      <c r="D80" s="442"/>
      <c r="E80" s="442"/>
      <c r="F80" s="442"/>
      <c r="G80" s="470">
        <f>G79+1</f>
        <v>7</v>
      </c>
      <c r="H80" s="470">
        <v>73</v>
      </c>
      <c r="I80" s="455">
        <f t="shared" ca="1" si="5"/>
        <v>4358499.4327315008</v>
      </c>
      <c r="J80" s="455">
        <f t="array" ref="J80">IFERROR(INDEX('Retirement Calculator'!K:K,MATCH('Lorri 401b'!N80,'Retirement Calculator'!A:A,0),0),0)</f>
        <v>22025.926519384055</v>
      </c>
      <c r="K80" s="455">
        <f t="shared" ca="1" si="2"/>
        <v>18068.639609217156</v>
      </c>
      <c r="L80" s="455">
        <f t="shared" ca="1" si="3"/>
        <v>4354542.1458213339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42"/>
      <c r="C81" s="442"/>
      <c r="D81" s="442"/>
      <c r="E81" s="442"/>
      <c r="F81" s="442"/>
      <c r="G81" s="470">
        <f t="shared" ref="G81:G91" si="11">G80</f>
        <v>7</v>
      </c>
      <c r="H81" s="470">
        <v>74</v>
      </c>
      <c r="I81" s="455">
        <f t="shared" ca="1" si="5"/>
        <v>4354542.1458213339</v>
      </c>
      <c r="J81" s="455">
        <f t="array" ref="J81">IFERROR(INDEX('Retirement Calculator'!K:K,MATCH('Lorri 401b'!N81,'Retirement Calculator'!A:A,0),0),0)</f>
        <v>22025.926519384055</v>
      </c>
      <c r="K81" s="455">
        <f t="shared" ca="1" si="2"/>
        <v>18052.150913758127</v>
      </c>
      <c r="L81" s="455">
        <f t="shared" ca="1" si="3"/>
        <v>4350568.3702157084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42"/>
      <c r="C82" s="442"/>
      <c r="D82" s="442"/>
      <c r="E82" s="442"/>
      <c r="F82" s="442"/>
      <c r="G82" s="470">
        <f t="shared" si="11"/>
        <v>7</v>
      </c>
      <c r="H82" s="470">
        <v>75</v>
      </c>
      <c r="I82" s="455">
        <f t="shared" ca="1" si="5"/>
        <v>4350568.3702157084</v>
      </c>
      <c r="J82" s="455">
        <f t="array" ref="J82">IFERROR(INDEX('Retirement Calculator'!K:K,MATCH('Lorri 401b'!N82,'Retirement Calculator'!A:A,0),0),0)</f>
        <v>22025.926519384055</v>
      </c>
      <c r="K82" s="455">
        <f t="shared" ca="1" si="2"/>
        <v>18035.593515401353</v>
      </c>
      <c r="L82" s="455">
        <f t="shared" ca="1" si="3"/>
        <v>4346578.0372117264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42"/>
      <c r="C83" s="442"/>
      <c r="D83" s="442"/>
      <c r="E83" s="442"/>
      <c r="F83" s="442"/>
      <c r="G83" s="470">
        <f t="shared" si="11"/>
        <v>7</v>
      </c>
      <c r="H83" s="470">
        <v>76</v>
      </c>
      <c r="I83" s="455">
        <f t="shared" ca="1" si="5"/>
        <v>4346578.0372117264</v>
      </c>
      <c r="J83" s="455">
        <f t="array" ref="J83">IFERROR(INDEX('Retirement Calculator'!K:K,MATCH('Lorri 401b'!N83,'Retirement Calculator'!A:A,0),0),0)</f>
        <v>22025.926519384055</v>
      </c>
      <c r="K83" s="455">
        <f t="shared" ca="1" si="2"/>
        <v>18018.96712788476</v>
      </c>
      <c r="L83" s="455">
        <f t="shared" ca="1" si="3"/>
        <v>4342571.0778202275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42"/>
      <c r="C84" s="442"/>
      <c r="D84" s="442"/>
      <c r="E84" s="442"/>
      <c r="F84" s="442"/>
      <c r="G84" s="470">
        <f t="shared" si="11"/>
        <v>7</v>
      </c>
      <c r="H84" s="470">
        <v>77</v>
      </c>
      <c r="I84" s="455">
        <f t="shared" ca="1" si="5"/>
        <v>4342571.0778202275</v>
      </c>
      <c r="J84" s="455">
        <f t="array" ref="J84">IFERROR(INDEX('Retirement Calculator'!K:K,MATCH('Lorri 401b'!N84,'Retirement Calculator'!A:A,0),0),0)</f>
        <v>22025.926519384055</v>
      </c>
      <c r="K84" s="455">
        <f t="shared" ca="1" si="2"/>
        <v>18002.271463753517</v>
      </c>
      <c r="L84" s="455">
        <f t="shared" ca="1" si="3"/>
        <v>4338547.4227645975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42"/>
      <c r="C85" s="442"/>
      <c r="D85" s="442"/>
      <c r="E85" s="442"/>
      <c r="F85" s="442"/>
      <c r="G85" s="470">
        <f t="shared" si="11"/>
        <v>7</v>
      </c>
      <c r="H85" s="470">
        <v>78</v>
      </c>
      <c r="I85" s="455">
        <f t="shared" ca="1" si="5"/>
        <v>4338547.4227645975</v>
      </c>
      <c r="J85" s="455">
        <f t="array" ref="J85">IFERROR(INDEX('Retirement Calculator'!K:K,MATCH('Lorri 401b'!N85,'Retirement Calculator'!A:A,0),0),0)</f>
        <v>22025.926519384055</v>
      </c>
      <c r="K85" s="455">
        <f t="shared" ca="1" si="2"/>
        <v>17985.506234355056</v>
      </c>
      <c r="L85" s="455">
        <f t="shared" ca="1" si="3"/>
        <v>4334507.0024795691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42"/>
      <c r="C86" s="442"/>
      <c r="D86" s="442"/>
      <c r="E86" s="442"/>
      <c r="F86" s="442"/>
      <c r="G86" s="470">
        <f t="shared" si="11"/>
        <v>7</v>
      </c>
      <c r="H86" s="470">
        <v>79</v>
      </c>
      <c r="I86" s="455">
        <f t="shared" ca="1" si="5"/>
        <v>4334507.0024795691</v>
      </c>
      <c r="J86" s="455">
        <f t="array" ref="J86">IFERROR(INDEX('Retirement Calculator'!K:K,MATCH('Lorri 401b'!N86,'Retirement Calculator'!A:A,0),0),0)</f>
        <v>22025.926519384055</v>
      </c>
      <c r="K86" s="455">
        <f t="shared" ca="1" si="2"/>
        <v>17968.671149834106</v>
      </c>
      <c r="L86" s="455">
        <f t="shared" ca="1" si="3"/>
        <v>4330449.7471100194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42"/>
      <c r="C87" s="442"/>
      <c r="D87" s="442"/>
      <c r="E87" s="442"/>
      <c r="F87" s="442"/>
      <c r="G87" s="470">
        <f t="shared" si="11"/>
        <v>7</v>
      </c>
      <c r="H87" s="470">
        <v>80</v>
      </c>
      <c r="I87" s="455">
        <f t="shared" ca="1" si="5"/>
        <v>4330449.7471100194</v>
      </c>
      <c r="J87" s="455">
        <f t="array" ref="J87">IFERROR(INDEX('Retirement Calculator'!K:K,MATCH('Lorri 401b'!N87,'Retirement Calculator'!A:A,0),0),0)</f>
        <v>22025.926519384055</v>
      </c>
      <c r="K87" s="455">
        <f t="shared" ca="1" si="2"/>
        <v>17951.765919127647</v>
      </c>
      <c r="L87" s="455">
        <f t="shared" ca="1" si="3"/>
        <v>4326375.5865097633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42"/>
      <c r="C88" s="442"/>
      <c r="D88" s="442"/>
      <c r="E88" s="442"/>
      <c r="F88" s="442"/>
      <c r="G88" s="470">
        <f t="shared" si="11"/>
        <v>7</v>
      </c>
      <c r="H88" s="470">
        <v>81</v>
      </c>
      <c r="I88" s="455">
        <f t="shared" ca="1" si="5"/>
        <v>4326375.5865097633</v>
      </c>
      <c r="J88" s="455">
        <f t="array" ref="J88">IFERROR(INDEX('Retirement Calculator'!K:K,MATCH('Lorri 401b'!N88,'Retirement Calculator'!A:A,0),0),0)</f>
        <v>22025.926519384055</v>
      </c>
      <c r="K88" s="455">
        <f t="shared" ca="1" si="2"/>
        <v>17934.790249959915</v>
      </c>
      <c r="L88" s="455">
        <f t="shared" ca="1" si="3"/>
        <v>4322284.4502403392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42"/>
      <c r="C89" s="442"/>
      <c r="D89" s="442"/>
      <c r="E89" s="442"/>
      <c r="F89" s="442"/>
      <c r="G89" s="470">
        <f t="shared" si="11"/>
        <v>7</v>
      </c>
      <c r="H89" s="470">
        <v>82</v>
      </c>
      <c r="I89" s="455">
        <f t="shared" ca="1" si="5"/>
        <v>4322284.4502403392</v>
      </c>
      <c r="J89" s="455">
        <f t="array" ref="J89">IFERROR(INDEX('Retirement Calculator'!K:K,MATCH('Lorri 401b'!N89,'Retirement Calculator'!A:A,0),0),0)</f>
        <v>22025.926519384055</v>
      </c>
      <c r="K89" s="455">
        <f t="shared" ca="1" si="2"/>
        <v>17917.743848837315</v>
      </c>
      <c r="L89" s="455">
        <f t="shared" ca="1" si="3"/>
        <v>4318176.2675697925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42"/>
      <c r="C90" s="442"/>
      <c r="D90" s="442"/>
      <c r="E90" s="442"/>
      <c r="F90" s="442"/>
      <c r="G90" s="470">
        <f t="shared" si="11"/>
        <v>7</v>
      </c>
      <c r="H90" s="470">
        <v>83</v>
      </c>
      <c r="I90" s="455">
        <f t="shared" ca="1" si="5"/>
        <v>4318176.2675697925</v>
      </c>
      <c r="J90" s="455">
        <f t="array" ref="J90">IFERROR(INDEX('Retirement Calculator'!K:K,MATCH('Lorri 401b'!N90,'Retirement Calculator'!A:A,0),0),0)</f>
        <v>22025.926519384055</v>
      </c>
      <c r="K90" s="455">
        <f t="shared" ca="1" si="2"/>
        <v>17900.626421043369</v>
      </c>
      <c r="L90" s="455">
        <f t="shared" ca="1" si="3"/>
        <v>4314050.9674714524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42"/>
      <c r="C91" s="442"/>
      <c r="D91" s="442"/>
      <c r="E91" s="442"/>
      <c r="F91" s="442"/>
      <c r="G91" s="470">
        <f t="shared" si="11"/>
        <v>7</v>
      </c>
      <c r="H91" s="470">
        <v>84</v>
      </c>
      <c r="I91" s="455">
        <f t="shared" ca="1" si="5"/>
        <v>4314050.9674714524</v>
      </c>
      <c r="J91" s="455">
        <f t="array" ref="J91">IFERROR(INDEX('Retirement Calculator'!K:K,MATCH('Lorri 401b'!N91,'Retirement Calculator'!A:A,0),0),0)</f>
        <v>22025.926519384055</v>
      </c>
      <c r="K91" s="455">
        <f t="shared" ca="1" si="2"/>
        <v>17883.437670633619</v>
      </c>
      <c r="L91" s="455">
        <f t="shared" ca="1" si="3"/>
        <v>4309908.478622702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42"/>
      <c r="C92" s="442"/>
      <c r="D92" s="442"/>
      <c r="E92" s="442"/>
      <c r="F92" s="442"/>
      <c r="G92" s="470">
        <f>G91+1</f>
        <v>8</v>
      </c>
      <c r="H92" s="470">
        <v>85</v>
      </c>
      <c r="I92" s="455">
        <f t="shared" ca="1" si="5"/>
        <v>4309908.478622702</v>
      </c>
      <c r="J92" s="455">
        <f t="array" ref="J92">IFERROR(INDEX('Retirement Calculator'!K:K,MATCH('Lorri 401b'!N92,'Retirement Calculator'!A:A,0),0),0)</f>
        <v>22025.926519384055</v>
      </c>
      <c r="K92" s="455">
        <f t="shared" ca="1" si="2"/>
        <v>17866.177300430492</v>
      </c>
      <c r="L92" s="455">
        <f t="shared" ca="1" si="3"/>
        <v>4305748.7294037491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42"/>
      <c r="C93" s="442"/>
      <c r="D93" s="442"/>
      <c r="E93" s="442"/>
      <c r="F93" s="442"/>
      <c r="G93" s="470">
        <f t="shared" ref="G93:G103" si="12">G92</f>
        <v>8</v>
      </c>
      <c r="H93" s="470">
        <v>86</v>
      </c>
      <c r="I93" s="455">
        <f t="shared" ca="1" si="5"/>
        <v>4305748.7294037491</v>
      </c>
      <c r="J93" s="455">
        <f t="array" ref="J93">IFERROR(INDEX('Retirement Calculator'!K:K,MATCH('Lorri 401b'!N93,'Retirement Calculator'!A:A,0),0),0)</f>
        <v>22025.926519384055</v>
      </c>
      <c r="K93" s="455">
        <f t="shared" ca="1" si="2"/>
        <v>17848.845012018188</v>
      </c>
      <c r="L93" s="455">
        <f t="shared" ca="1" si="3"/>
        <v>4301571.6478963839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42"/>
      <c r="C94" s="442"/>
      <c r="D94" s="442"/>
      <c r="E94" s="442"/>
      <c r="F94" s="442"/>
      <c r="G94" s="470">
        <f t="shared" si="12"/>
        <v>8</v>
      </c>
      <c r="H94" s="470">
        <v>87</v>
      </c>
      <c r="I94" s="455">
        <f t="shared" ca="1" si="5"/>
        <v>4301571.6478963839</v>
      </c>
      <c r="J94" s="455">
        <f t="array" ref="J94">IFERROR(INDEX('Retirement Calculator'!K:K,MATCH('Lorri 401b'!N94,'Retirement Calculator'!A:A,0),0),0)</f>
        <v>22025.926519384055</v>
      </c>
      <c r="K94" s="455">
        <f t="shared" ca="1" si="2"/>
        <v>17831.440505737501</v>
      </c>
      <c r="L94" s="455">
        <f t="shared" ca="1" si="3"/>
        <v>4297377.1618827377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42"/>
      <c r="C95" s="442"/>
      <c r="D95" s="442"/>
      <c r="E95" s="442"/>
      <c r="F95" s="442"/>
      <c r="G95" s="470">
        <f t="shared" si="12"/>
        <v>8</v>
      </c>
      <c r="H95" s="470">
        <v>88</v>
      </c>
      <c r="I95" s="455">
        <f t="shared" ca="1" si="5"/>
        <v>4297377.1618827377</v>
      </c>
      <c r="J95" s="455">
        <f t="array" ref="J95">IFERROR(INDEX('Retirement Calculator'!K:K,MATCH('Lorri 401b'!N95,'Retirement Calculator'!A:A,0),0),0)</f>
        <v>22025.926519384055</v>
      </c>
      <c r="K95" s="455">
        <f t="shared" ca="1" si="2"/>
        <v>17813.963480680643</v>
      </c>
      <c r="L95" s="455">
        <f t="shared" ca="1" si="3"/>
        <v>4293165.1988440342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42"/>
      <c r="C96" s="442"/>
      <c r="D96" s="442"/>
      <c r="E96" s="442"/>
      <c r="F96" s="442"/>
      <c r="G96" s="470">
        <f t="shared" si="12"/>
        <v>8</v>
      </c>
      <c r="H96" s="470">
        <v>89</v>
      </c>
      <c r="I96" s="455">
        <f t="shared" ca="1" si="5"/>
        <v>4293165.1988440342</v>
      </c>
      <c r="J96" s="455">
        <f t="array" ref="J96">IFERROR(INDEX('Retirement Calculator'!K:K,MATCH('Lorri 401b'!N96,'Retirement Calculator'!A:A,0),0),0)</f>
        <v>22025.926519384055</v>
      </c>
      <c r="K96" s="455">
        <f t="shared" ca="1" si="2"/>
        <v>17796.413634686043</v>
      </c>
      <c r="L96" s="455">
        <f t="shared" ca="1" si="3"/>
        <v>4288935.6859593363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42"/>
      <c r="C97" s="442"/>
      <c r="D97" s="442"/>
      <c r="E97" s="442"/>
      <c r="F97" s="442"/>
      <c r="G97" s="470">
        <f t="shared" si="12"/>
        <v>8</v>
      </c>
      <c r="H97" s="470">
        <v>90</v>
      </c>
      <c r="I97" s="455">
        <f t="shared" ca="1" si="5"/>
        <v>4288935.6859593363</v>
      </c>
      <c r="J97" s="455">
        <f t="array" ref="J97">IFERROR(INDEX('Retirement Calculator'!K:K,MATCH('Lorri 401b'!N97,'Retirement Calculator'!A:A,0),0),0)</f>
        <v>22025.926519384055</v>
      </c>
      <c r="K97" s="455">
        <f t="shared" ca="1" si="2"/>
        <v>17778.790664333137</v>
      </c>
      <c r="L97" s="455">
        <f t="shared" ca="1" si="3"/>
        <v>4284688.5501042856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42"/>
      <c r="C98" s="442"/>
      <c r="D98" s="442"/>
      <c r="E98" s="442"/>
      <c r="F98" s="442"/>
      <c r="G98" s="470">
        <f t="shared" si="12"/>
        <v>8</v>
      </c>
      <c r="H98" s="470">
        <v>91</v>
      </c>
      <c r="I98" s="455">
        <f t="shared" ca="1" si="5"/>
        <v>4284688.5501042856</v>
      </c>
      <c r="J98" s="455">
        <f t="array" ref="J98">IFERROR(INDEX('Retirement Calculator'!K:K,MATCH('Lorri 401b'!N98,'Retirement Calculator'!A:A,0),0),0)</f>
        <v>22025.926519384055</v>
      </c>
      <c r="K98" s="455">
        <f t="shared" ca="1" si="2"/>
        <v>17761.094264937092</v>
      </c>
      <c r="L98" s="455">
        <f t="shared" ca="1" si="3"/>
        <v>4280423.7178498385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42"/>
      <c r="C99" s="442"/>
      <c r="D99" s="442"/>
      <c r="E99" s="442"/>
      <c r="F99" s="442"/>
      <c r="G99" s="470">
        <f t="shared" si="12"/>
        <v>8</v>
      </c>
      <c r="H99" s="470">
        <v>92</v>
      </c>
      <c r="I99" s="455">
        <f t="shared" ca="1" si="5"/>
        <v>4280423.7178498385</v>
      </c>
      <c r="J99" s="455">
        <f t="array" ref="J99">IFERROR(INDEX('Retirement Calculator'!K:K,MATCH('Lorri 401b'!N99,'Retirement Calculator'!A:A,0),0),0)</f>
        <v>22025.926519384055</v>
      </c>
      <c r="K99" s="455">
        <f t="shared" ca="1" si="2"/>
        <v>17743.324130543562</v>
      </c>
      <c r="L99" s="455">
        <f t="shared" ca="1" si="3"/>
        <v>4276141.1154609984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42"/>
      <c r="C100" s="442"/>
      <c r="D100" s="442"/>
      <c r="E100" s="442"/>
      <c r="F100" s="442"/>
      <c r="G100" s="470">
        <f t="shared" si="12"/>
        <v>8</v>
      </c>
      <c r="H100" s="470">
        <v>93</v>
      </c>
      <c r="I100" s="455">
        <f t="shared" ca="1" si="5"/>
        <v>4276141.1154609984</v>
      </c>
      <c r="J100" s="455">
        <f t="array" ref="J100">IFERROR(INDEX('Retirement Calculator'!K:K,MATCH('Lorri 401b'!N100,'Retirement Calculator'!A:A,0),0),0)</f>
        <v>22025.926519384055</v>
      </c>
      <c r="K100" s="455">
        <f t="shared" ca="1" si="2"/>
        <v>17725.479953923394</v>
      </c>
      <c r="L100" s="455">
        <f t="shared" ca="1" si="3"/>
        <v>4271840.668895538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42"/>
      <c r="C101" s="442"/>
      <c r="D101" s="442"/>
      <c r="E101" s="442"/>
      <c r="F101" s="442"/>
      <c r="G101" s="470">
        <f t="shared" si="12"/>
        <v>8</v>
      </c>
      <c r="H101" s="470">
        <v>94</v>
      </c>
      <c r="I101" s="455">
        <f t="shared" ca="1" si="5"/>
        <v>4271840.668895538</v>
      </c>
      <c r="J101" s="455">
        <f t="array" ref="J101">IFERROR(INDEX('Retirement Calculator'!K:K,MATCH('Lorri 401b'!N101,'Retirement Calculator'!A:A,0),0),0)</f>
        <v>22025.926519384055</v>
      </c>
      <c r="K101" s="455">
        <f t="shared" ca="1" si="2"/>
        <v>17707.56142656731</v>
      </c>
      <c r="L101" s="455">
        <f t="shared" ca="1" si="3"/>
        <v>4267522.3038027212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42"/>
      <c r="C102" s="442"/>
      <c r="D102" s="442"/>
      <c r="E102" s="442"/>
      <c r="F102" s="442"/>
      <c r="G102" s="470">
        <f t="shared" si="12"/>
        <v>8</v>
      </c>
      <c r="H102" s="470">
        <v>95</v>
      </c>
      <c r="I102" s="455">
        <f t="shared" ca="1" si="5"/>
        <v>4267522.3038027212</v>
      </c>
      <c r="J102" s="455">
        <f t="array" ref="J102">IFERROR(INDEX('Retirement Calculator'!K:K,MATCH('Lorri 401b'!N102,'Retirement Calculator'!A:A,0),0),0)</f>
        <v>22025.926519384055</v>
      </c>
      <c r="K102" s="455">
        <f t="shared" ca="1" si="2"/>
        <v>17689.568238680571</v>
      </c>
      <c r="L102" s="455">
        <f t="shared" ca="1" si="3"/>
        <v>4263185.9455220178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42"/>
      <c r="C103" s="442"/>
      <c r="D103" s="442"/>
      <c r="E103" s="442"/>
      <c r="F103" s="442"/>
      <c r="G103" s="470">
        <f t="shared" si="12"/>
        <v>8</v>
      </c>
      <c r="H103" s="470">
        <v>96</v>
      </c>
      <c r="I103" s="455">
        <f t="shared" ca="1" si="5"/>
        <v>4263185.9455220178</v>
      </c>
      <c r="J103" s="455">
        <f t="array" ref="J103">IFERROR(INDEX('Retirement Calculator'!K:K,MATCH('Lorri 401b'!N103,'Retirement Calculator'!A:A,0),0),0)</f>
        <v>22025.926519384055</v>
      </c>
      <c r="K103" s="455">
        <f t="shared" ca="1" si="2"/>
        <v>17671.50007917764</v>
      </c>
      <c r="L103" s="455">
        <f t="shared" ca="1" si="3"/>
        <v>4258831.5190818114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42"/>
      <c r="C104" s="442"/>
      <c r="D104" s="442"/>
      <c r="E104" s="442"/>
      <c r="F104" s="442"/>
      <c r="G104" s="470">
        <f>G103+1</f>
        <v>9</v>
      </c>
      <c r="H104" s="470">
        <v>97</v>
      </c>
      <c r="I104" s="455">
        <f t="shared" ca="1" si="5"/>
        <v>4258831.5190818114</v>
      </c>
      <c r="J104" s="455">
        <f t="array" ref="J104">IFERROR(INDEX('Retirement Calculator'!K:K,MATCH('Lorri 401b'!N104,'Retirement Calculator'!A:A,0),0),0)</f>
        <v>22025.926519384055</v>
      </c>
      <c r="K104" s="455">
        <f t="shared" ca="1" si="2"/>
        <v>17653.356635676781</v>
      </c>
      <c r="L104" s="455">
        <f t="shared" ca="1" si="3"/>
        <v>4254458.9491981044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42"/>
      <c r="C105" s="442"/>
      <c r="D105" s="442"/>
      <c r="E105" s="442"/>
      <c r="F105" s="442"/>
      <c r="G105" s="470">
        <f t="shared" ref="G105:G115" si="13">G104</f>
        <v>9</v>
      </c>
      <c r="H105" s="470">
        <v>98</v>
      </c>
      <c r="I105" s="455">
        <f t="shared" ca="1" si="5"/>
        <v>4254458.9491981044</v>
      </c>
      <c r="J105" s="455">
        <f t="array" ref="J105">IFERROR(INDEX('Retirement Calculator'!K:K,MATCH('Lorri 401b'!N105,'Retirement Calculator'!A:A,0),0),0)</f>
        <v>20282.026119384056</v>
      </c>
      <c r="K105" s="455">
        <f t="shared" ca="1" si="2"/>
        <v>17642.403846161335</v>
      </c>
      <c r="L105" s="455">
        <f t="shared" ca="1" si="3"/>
        <v>4251819.3269248819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42"/>
      <c r="C106" s="442"/>
      <c r="D106" s="442"/>
      <c r="E106" s="442"/>
      <c r="F106" s="442"/>
      <c r="G106" s="470">
        <f t="shared" si="13"/>
        <v>9</v>
      </c>
      <c r="H106" s="470">
        <v>99</v>
      </c>
      <c r="I106" s="455">
        <f t="shared" ca="1" si="5"/>
        <v>4251819.3269248819</v>
      </c>
      <c r="J106" s="455">
        <f t="array" ref="J106">IFERROR(INDEX('Retirement Calculator'!K:K,MATCH('Lorri 401b'!N106,'Retirement Calculator'!A:A,0),0),0)</f>
        <v>20282.026119384056</v>
      </c>
      <c r="K106" s="455">
        <f t="shared" ca="1" si="2"/>
        <v>17631.405420022907</v>
      </c>
      <c r="L106" s="455">
        <f t="shared" ca="1" si="3"/>
        <v>4249168.7062255209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42"/>
      <c r="C107" s="442"/>
      <c r="D107" s="442"/>
      <c r="E107" s="442"/>
      <c r="F107" s="442"/>
      <c r="G107" s="470">
        <f t="shared" si="13"/>
        <v>9</v>
      </c>
      <c r="H107" s="470">
        <v>100</v>
      </c>
      <c r="I107" s="455">
        <f t="shared" ca="1" si="5"/>
        <v>4249168.7062255209</v>
      </c>
      <c r="J107" s="455">
        <f t="array" ref="J107">IFERROR(INDEX('Retirement Calculator'!K:K,MATCH('Lorri 401b'!N107,'Retirement Calculator'!A:A,0),0),0)</f>
        <v>20282.026119384056</v>
      </c>
      <c r="K107" s="455">
        <f t="shared" ca="1" si="2"/>
        <v>17620.361167108902</v>
      </c>
      <c r="L107" s="455">
        <f t="shared" ca="1" si="3"/>
        <v>4246507.0412732456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42"/>
      <c r="C108" s="442"/>
      <c r="D108" s="442"/>
      <c r="E108" s="442"/>
      <c r="F108" s="442"/>
      <c r="G108" s="470">
        <f t="shared" si="13"/>
        <v>9</v>
      </c>
      <c r="H108" s="470">
        <v>101</v>
      </c>
      <c r="I108" s="455">
        <f t="shared" ca="1" si="5"/>
        <v>4246507.0412732456</v>
      </c>
      <c r="J108" s="455">
        <f t="array" ref="J108">IFERROR(INDEX('Retirement Calculator'!K:K,MATCH('Lorri 401b'!N108,'Retirement Calculator'!A:A,0),0),0)</f>
        <v>20282.026119384056</v>
      </c>
      <c r="K108" s="455">
        <f t="shared" ca="1" si="2"/>
        <v>17609.270896474423</v>
      </c>
      <c r="L108" s="455">
        <f t="shared" ca="1" si="3"/>
        <v>4243834.2860503364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42"/>
      <c r="C109" s="442"/>
      <c r="D109" s="442"/>
      <c r="E109" s="442"/>
      <c r="F109" s="442"/>
      <c r="G109" s="470">
        <f t="shared" si="13"/>
        <v>9</v>
      </c>
      <c r="H109" s="470">
        <v>102</v>
      </c>
      <c r="I109" s="455">
        <f t="shared" ca="1" si="5"/>
        <v>4243834.2860503364</v>
      </c>
      <c r="J109" s="455">
        <f t="array" ref="J109">IFERROR(INDEX('Retirement Calculator'!K:K,MATCH('Lorri 401b'!N109,'Retirement Calculator'!A:A,0),0),0)</f>
        <v>20282.026119384056</v>
      </c>
      <c r="K109" s="455">
        <f t="shared" ca="1" si="2"/>
        <v>17598.134416378969</v>
      </c>
      <c r="L109" s="455">
        <f t="shared" ca="1" si="3"/>
        <v>4241150.3943473315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42"/>
      <c r="C110" s="442"/>
      <c r="D110" s="442"/>
      <c r="E110" s="442"/>
      <c r="F110" s="442"/>
      <c r="G110" s="470">
        <f t="shared" si="13"/>
        <v>9</v>
      </c>
      <c r="H110" s="470">
        <v>103</v>
      </c>
      <c r="I110" s="455">
        <f t="shared" ca="1" si="5"/>
        <v>4241150.3943473315</v>
      </c>
      <c r="J110" s="455">
        <f t="array" ref="J110">IFERROR(INDEX('Retirement Calculator'!K:K,MATCH('Lorri 401b'!N110,'Retirement Calculator'!A:A,0),0),0)</f>
        <v>20282.026119384056</v>
      </c>
      <c r="K110" s="455">
        <f t="shared" ca="1" si="2"/>
        <v>17586.951534283115</v>
      </c>
      <c r="L110" s="455">
        <f t="shared" ca="1" si="3"/>
        <v>4238455.3197622309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42"/>
      <c r="C111" s="442"/>
      <c r="D111" s="442"/>
      <c r="E111" s="442"/>
      <c r="F111" s="442"/>
      <c r="G111" s="470">
        <f t="shared" si="13"/>
        <v>9</v>
      </c>
      <c r="H111" s="470">
        <v>104</v>
      </c>
      <c r="I111" s="455">
        <f t="shared" ca="1" si="5"/>
        <v>4238455.3197622309</v>
      </c>
      <c r="J111" s="455">
        <f t="array" ref="J111">IFERROR(INDEX('Retirement Calculator'!K:K,MATCH('Lorri 401b'!N111,'Retirement Calculator'!A:A,0),0),0)</f>
        <v>20282.026119384056</v>
      </c>
      <c r="K111" s="455">
        <f t="shared" ca="1" si="2"/>
        <v>17575.722056845196</v>
      </c>
      <c r="L111" s="455">
        <f t="shared" ca="1" si="3"/>
        <v>4235749.0156996921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42"/>
      <c r="C112" s="442"/>
      <c r="D112" s="442"/>
      <c r="E112" s="442"/>
      <c r="F112" s="442"/>
      <c r="G112" s="470">
        <f t="shared" si="13"/>
        <v>9</v>
      </c>
      <c r="H112" s="470">
        <v>105</v>
      </c>
      <c r="I112" s="455">
        <f t="shared" ca="1" si="5"/>
        <v>4235749.0156996921</v>
      </c>
      <c r="J112" s="455">
        <f t="array" ref="J112">IFERROR(INDEX('Retirement Calculator'!K:K,MATCH('Lorri 401b'!N112,'Retirement Calculator'!A:A,0),0),0)</f>
        <v>20282.026119384056</v>
      </c>
      <c r="K112" s="455">
        <f t="shared" ca="1" si="2"/>
        <v>17564.445789917951</v>
      </c>
      <c r="L112" s="455">
        <f t="shared" ca="1" si="3"/>
        <v>4233031.4353702264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42"/>
      <c r="C113" s="442"/>
      <c r="D113" s="442"/>
      <c r="E113" s="442"/>
      <c r="F113" s="442"/>
      <c r="G113" s="470">
        <f t="shared" si="13"/>
        <v>9</v>
      </c>
      <c r="H113" s="470">
        <v>106</v>
      </c>
      <c r="I113" s="455">
        <f t="shared" ca="1" si="5"/>
        <v>4233031.4353702264</v>
      </c>
      <c r="J113" s="455">
        <f t="array" ref="J113">IFERROR(INDEX('Retirement Calculator'!K:K,MATCH('Lorri 401b'!N113,'Retirement Calculator'!A:A,0),0),0)</f>
        <v>20282.026119384056</v>
      </c>
      <c r="K113" s="455">
        <f t="shared" ca="1" si="2"/>
        <v>17553.122538545176</v>
      </c>
      <c r="L113" s="455">
        <f t="shared" ca="1" si="3"/>
        <v>4230302.5317893876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42"/>
      <c r="C114" s="442"/>
      <c r="D114" s="442"/>
      <c r="E114" s="442"/>
      <c r="F114" s="442"/>
      <c r="G114" s="470">
        <f t="shared" si="13"/>
        <v>9</v>
      </c>
      <c r="H114" s="470">
        <v>107</v>
      </c>
      <c r="I114" s="455">
        <f t="shared" ca="1" si="5"/>
        <v>4230302.5317893876</v>
      </c>
      <c r="J114" s="455">
        <f t="array" ref="J114">IFERROR(INDEX('Retirement Calculator'!K:K,MATCH('Lorri 401b'!N114,'Retirement Calculator'!A:A,0),0),0)</f>
        <v>20282.026119384056</v>
      </c>
      <c r="K114" s="455">
        <f t="shared" ca="1" si="2"/>
        <v>17541.752106958349</v>
      </c>
      <c r="L114" s="455">
        <f t="shared" ca="1" si="3"/>
        <v>4227562.2577769617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42"/>
      <c r="C115" s="442"/>
      <c r="D115" s="442"/>
      <c r="E115" s="442"/>
      <c r="F115" s="442"/>
      <c r="G115" s="470">
        <f t="shared" si="13"/>
        <v>9</v>
      </c>
      <c r="H115" s="470">
        <v>108</v>
      </c>
      <c r="I115" s="455">
        <f t="shared" ca="1" si="5"/>
        <v>4227562.2577769617</v>
      </c>
      <c r="J115" s="455">
        <f t="array" ref="J115">IFERROR(INDEX('Retirement Calculator'!K:K,MATCH('Lorri 401b'!N115,'Retirement Calculator'!A:A,0),0),0)</f>
        <v>20282.026119384056</v>
      </c>
      <c r="K115" s="455">
        <f t="shared" ca="1" si="2"/>
        <v>17530.334298573242</v>
      </c>
      <c r="L115" s="455">
        <f t="shared" ca="1" si="3"/>
        <v>4224810.5659561511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42"/>
      <c r="C116" s="442"/>
      <c r="D116" s="442"/>
      <c r="E116" s="442"/>
      <c r="F116" s="442"/>
      <c r="G116" s="470">
        <f>G115+1</f>
        <v>10</v>
      </c>
      <c r="H116" s="470">
        <v>109</v>
      </c>
      <c r="I116" s="455">
        <f t="shared" ca="1" si="5"/>
        <v>4224810.5659561511</v>
      </c>
      <c r="J116" s="455">
        <f t="array" ref="J116">IFERROR(INDEX('Retirement Calculator'!K:K,MATCH('Lorri 401b'!N116,'Retirement Calculator'!A:A,0),0),0)</f>
        <v>20282.026119384056</v>
      </c>
      <c r="K116" s="455">
        <f t="shared" ca="1" si="2"/>
        <v>17518.868915986528</v>
      </c>
      <c r="L116" s="455">
        <f t="shared" ca="1" si="3"/>
        <v>4222047.4087527534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42"/>
      <c r="C117" s="442"/>
      <c r="D117" s="442"/>
      <c r="E117" s="442"/>
      <c r="F117" s="442"/>
      <c r="G117" s="470">
        <f t="shared" ref="G117:G127" si="14">G116</f>
        <v>10</v>
      </c>
      <c r="H117" s="470">
        <v>110</v>
      </c>
      <c r="I117" s="455">
        <f t="shared" ca="1" si="5"/>
        <v>4222047.4087527534</v>
      </c>
      <c r="J117" s="455">
        <f t="array" ref="J117">IFERROR(INDEX('Retirement Calculator'!K:K,MATCH('Lorri 401b'!N117,'Retirement Calculator'!A:A,0),0),0)</f>
        <v>20282.026119384056</v>
      </c>
      <c r="K117" s="455">
        <f t="shared" ca="1" si="2"/>
        <v>17507.355760972372</v>
      </c>
      <c r="L117" s="455">
        <f t="shared" ca="1" si="3"/>
        <v>4219272.7383943414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42"/>
      <c r="C118" s="442"/>
      <c r="D118" s="442"/>
      <c r="E118" s="442"/>
      <c r="F118" s="442"/>
      <c r="G118" s="470">
        <f t="shared" si="14"/>
        <v>10</v>
      </c>
      <c r="H118" s="470">
        <v>111</v>
      </c>
      <c r="I118" s="455">
        <f t="shared" ca="1" si="5"/>
        <v>4219272.7383943414</v>
      </c>
      <c r="J118" s="455">
        <f t="array" ref="J118">IFERROR(INDEX('Retirement Calculator'!K:K,MATCH('Lorri 401b'!N118,'Retirement Calculator'!A:A,0),0),0)</f>
        <v>20282.026119384056</v>
      </c>
      <c r="K118" s="455">
        <f t="shared" ca="1" si="2"/>
        <v>17495.794634478989</v>
      </c>
      <c r="L118" s="455">
        <f t="shared" ca="1" si="3"/>
        <v>4216486.5069094365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42"/>
      <c r="C119" s="442"/>
      <c r="D119" s="442"/>
      <c r="E119" s="442"/>
      <c r="F119" s="442"/>
      <c r="G119" s="470">
        <f t="shared" si="14"/>
        <v>10</v>
      </c>
      <c r="H119" s="470">
        <v>112</v>
      </c>
      <c r="I119" s="455">
        <f t="shared" ca="1" si="5"/>
        <v>4216486.5069094365</v>
      </c>
      <c r="J119" s="455">
        <f t="array" ref="J119">IFERROR(INDEX('Retirement Calculator'!K:K,MATCH('Lorri 401b'!N119,'Retirement Calculator'!A:A,0),0),0)</f>
        <v>20282.026119384056</v>
      </c>
      <c r="K119" s="455">
        <f t="shared" ca="1" si="2"/>
        <v>17484.185336625218</v>
      </c>
      <c r="L119" s="455">
        <f t="shared" ca="1" si="3"/>
        <v>4213688.6661266778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42"/>
      <c r="C120" s="442"/>
      <c r="D120" s="442"/>
      <c r="E120" s="442"/>
      <c r="F120" s="442"/>
      <c r="G120" s="470">
        <f t="shared" si="14"/>
        <v>10</v>
      </c>
      <c r="H120" s="470">
        <v>113</v>
      </c>
      <c r="I120" s="455">
        <f t="shared" ca="1" si="5"/>
        <v>4213688.6661266778</v>
      </c>
      <c r="J120" s="455">
        <f t="array" ref="J120">IFERROR(INDEX('Retirement Calculator'!K:K,MATCH('Lorri 401b'!N120,'Retirement Calculator'!A:A,0),0),0)</f>
        <v>20282.026119384056</v>
      </c>
      <c r="K120" s="455">
        <f t="shared" ca="1" si="2"/>
        <v>17472.527666697057</v>
      </c>
      <c r="L120" s="455">
        <f t="shared" ca="1" si="3"/>
        <v>4210879.1676739911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42"/>
      <c r="C121" s="442"/>
      <c r="D121" s="442"/>
      <c r="E121" s="442"/>
      <c r="F121" s="442"/>
      <c r="G121" s="470">
        <f t="shared" si="14"/>
        <v>10</v>
      </c>
      <c r="H121" s="470">
        <v>114</v>
      </c>
      <c r="I121" s="455">
        <f t="shared" ca="1" si="5"/>
        <v>4210879.1676739911</v>
      </c>
      <c r="J121" s="455">
        <f t="array" ref="J121">IFERROR(INDEX('Retirement Calculator'!K:K,MATCH('Lorri 401b'!N121,'Retirement Calculator'!A:A,0),0),0)</f>
        <v>20282.026119384056</v>
      </c>
      <c r="K121" s="455">
        <f t="shared" ca="1" si="2"/>
        <v>17460.821423144196</v>
      </c>
      <c r="L121" s="455">
        <f t="shared" ca="1" si="3"/>
        <v>4208057.9629777512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42"/>
      <c r="C122" s="442"/>
      <c r="D122" s="442"/>
      <c r="E122" s="442"/>
      <c r="F122" s="442"/>
      <c r="G122" s="470">
        <f t="shared" si="14"/>
        <v>10</v>
      </c>
      <c r="H122" s="470">
        <v>115</v>
      </c>
      <c r="I122" s="455">
        <f t="shared" ca="1" si="5"/>
        <v>4208057.9629777512</v>
      </c>
      <c r="J122" s="455">
        <f t="array" ref="J122">IFERROR(INDEX('Retirement Calculator'!K:K,MATCH('Lorri 401b'!N122,'Retirement Calculator'!A:A,0),0),0)</f>
        <v>20282.026119384056</v>
      </c>
      <c r="K122" s="455">
        <f t="shared" ca="1" si="2"/>
        <v>17449.066403576529</v>
      </c>
      <c r="L122" s="455">
        <f t="shared" ca="1" si="3"/>
        <v>4205225.0032619433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42"/>
      <c r="C123" s="442"/>
      <c r="D123" s="442"/>
      <c r="E123" s="442"/>
      <c r="F123" s="442"/>
      <c r="G123" s="470">
        <f t="shared" si="14"/>
        <v>10</v>
      </c>
      <c r="H123" s="470">
        <v>116</v>
      </c>
      <c r="I123" s="455">
        <f t="shared" ca="1" si="5"/>
        <v>4205225.0032619433</v>
      </c>
      <c r="J123" s="455">
        <f t="array" ref="J123">IFERROR(INDEX('Retirement Calculator'!K:K,MATCH('Lorri 401b'!N123,'Retirement Calculator'!A:A,0),0),0)</f>
        <v>20282.026119384056</v>
      </c>
      <c r="K123" s="455">
        <f t="shared" ca="1" si="2"/>
        <v>17437.262404760662</v>
      </c>
      <c r="L123" s="455">
        <f t="shared" ca="1" si="3"/>
        <v>4202380.2395473197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42"/>
      <c r="C124" s="442"/>
      <c r="D124" s="442"/>
      <c r="E124" s="442"/>
      <c r="F124" s="442"/>
      <c r="G124" s="470">
        <f t="shared" si="14"/>
        <v>10</v>
      </c>
      <c r="H124" s="470">
        <v>117</v>
      </c>
      <c r="I124" s="455">
        <f t="shared" ca="1" si="5"/>
        <v>4202380.2395473197</v>
      </c>
      <c r="J124" s="455">
        <f t="array" ref="J124">IFERROR(INDEX('Retirement Calculator'!K:K,MATCH('Lorri 401b'!N124,'Retirement Calculator'!A:A,0),0),0)</f>
        <v>20282.026119384056</v>
      </c>
      <c r="K124" s="455">
        <f t="shared" ca="1" si="2"/>
        <v>17425.409222616399</v>
      </c>
      <c r="L124" s="455">
        <f t="shared" ca="1" si="3"/>
        <v>4199523.6226505525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42"/>
      <c r="C125" s="442"/>
      <c r="D125" s="442"/>
      <c r="E125" s="442"/>
      <c r="F125" s="442"/>
      <c r="G125" s="470">
        <f t="shared" si="14"/>
        <v>10</v>
      </c>
      <c r="H125" s="470">
        <v>118</v>
      </c>
      <c r="I125" s="455">
        <f t="shared" ca="1" si="5"/>
        <v>4199523.6226505525</v>
      </c>
      <c r="J125" s="455">
        <f t="array" ref="J125">IFERROR(INDEX('Retirement Calculator'!K:K,MATCH('Lorri 401b'!N125,'Retirement Calculator'!A:A,0),0),0)</f>
        <v>20282.026119384056</v>
      </c>
      <c r="K125" s="455">
        <f t="shared" ca="1" si="2"/>
        <v>17413.506652213204</v>
      </c>
      <c r="L125" s="455">
        <f t="shared" ca="1" si="3"/>
        <v>4196655.1031833822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42"/>
      <c r="C126" s="442"/>
      <c r="D126" s="442"/>
      <c r="E126" s="442"/>
      <c r="F126" s="442"/>
      <c r="G126" s="470">
        <f t="shared" si="14"/>
        <v>10</v>
      </c>
      <c r="H126" s="470">
        <v>119</v>
      </c>
      <c r="I126" s="455">
        <f t="shared" ca="1" si="5"/>
        <v>4196655.1031833822</v>
      </c>
      <c r="J126" s="455">
        <f t="array" ref="J126">IFERROR(INDEX('Retirement Calculator'!K:K,MATCH('Lorri 401b'!N126,'Retirement Calculator'!A:A,0),0),0)</f>
        <v>20282.026119384056</v>
      </c>
      <c r="K126" s="455">
        <f t="shared" ca="1" si="2"/>
        <v>17401.554487766658</v>
      </c>
      <c r="L126" s="455">
        <f t="shared" ca="1" si="3"/>
        <v>4193774.6315517649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42"/>
      <c r="C127" s="442"/>
      <c r="D127" s="442"/>
      <c r="E127" s="442"/>
      <c r="F127" s="442"/>
      <c r="G127" s="470">
        <f t="shared" si="14"/>
        <v>10</v>
      </c>
      <c r="H127" s="470">
        <v>120</v>
      </c>
      <c r="I127" s="455">
        <f t="shared" ca="1" si="5"/>
        <v>4193774.6315517649</v>
      </c>
      <c r="J127" s="455">
        <f t="array" ref="J127">IFERROR(INDEX('Retirement Calculator'!K:K,MATCH('Lorri 401b'!N127,'Retirement Calculator'!A:A,0),0),0)</f>
        <v>20282.026119384056</v>
      </c>
      <c r="K127" s="455">
        <f t="shared" ca="1" si="2"/>
        <v>17389.55252263492</v>
      </c>
      <c r="L127" s="455">
        <f t="shared" ca="1" si="3"/>
        <v>4190882.157955016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42"/>
      <c r="C128" s="442"/>
      <c r="D128" s="442"/>
      <c r="E128" s="442"/>
      <c r="F128" s="442"/>
      <c r="G128" s="470">
        <f>G127+1</f>
        <v>11</v>
      </c>
      <c r="H128" s="470">
        <v>121</v>
      </c>
      <c r="I128" s="455">
        <f t="shared" ca="1" si="5"/>
        <v>4190882.157955016</v>
      </c>
      <c r="J128" s="455">
        <f t="array" ref="J128">IFERROR(INDEX('Retirement Calculator'!K:K,MATCH('Lorri 401b'!N128,'Retirement Calculator'!A:A,0),0),0)</f>
        <v>20282.026119384056</v>
      </c>
      <c r="K128" s="455">
        <f t="shared" ca="1" si="2"/>
        <v>17377.500549315133</v>
      </c>
      <c r="L128" s="455">
        <f t="shared" ca="1" si="3"/>
        <v>4187977.632384947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42"/>
      <c r="C129" s="442"/>
      <c r="D129" s="442"/>
      <c r="E129" s="442"/>
      <c r="F129" s="442"/>
      <c r="G129" s="470">
        <f t="shared" ref="G129:G139" si="15">G128</f>
        <v>11</v>
      </c>
      <c r="H129" s="470">
        <v>122</v>
      </c>
      <c r="I129" s="455">
        <f t="shared" ca="1" si="5"/>
        <v>4187977.632384947</v>
      </c>
      <c r="J129" s="455">
        <f t="array" ref="J129">IFERROR(INDEX('Retirement Calculator'!K:K,MATCH('Lorri 401b'!N129,'Retirement Calculator'!A:A,0),0),0)</f>
        <v>20282.026119384056</v>
      </c>
      <c r="K129" s="455">
        <f t="shared" ca="1" si="2"/>
        <v>17365.398359439845</v>
      </c>
      <c r="L129" s="455">
        <f t="shared" ca="1" si="3"/>
        <v>4185061.0046250029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42"/>
      <c r="C130" s="442"/>
      <c r="D130" s="442"/>
      <c r="E130" s="442"/>
      <c r="F130" s="442"/>
      <c r="G130" s="470">
        <f t="shared" si="15"/>
        <v>11</v>
      </c>
      <c r="H130" s="470">
        <v>123</v>
      </c>
      <c r="I130" s="455">
        <f t="shared" ca="1" si="5"/>
        <v>4185061.0046250029</v>
      </c>
      <c r="J130" s="455">
        <f t="array" ref="J130">IFERROR(INDEX('Retirement Calculator'!K:K,MATCH('Lorri 401b'!N130,'Retirement Calculator'!A:A,0),0),0)</f>
        <v>20282.026119384056</v>
      </c>
      <c r="K130" s="455">
        <f t="shared" ca="1" si="2"/>
        <v>17353.245743773412</v>
      </c>
      <c r="L130" s="455">
        <f t="shared" ca="1" si="3"/>
        <v>4182132.2242493923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42"/>
      <c r="C131" s="442"/>
      <c r="D131" s="442"/>
      <c r="E131" s="442"/>
      <c r="F131" s="442"/>
      <c r="G131" s="470">
        <f t="shared" si="15"/>
        <v>11</v>
      </c>
      <c r="H131" s="470">
        <v>124</v>
      </c>
      <c r="I131" s="455">
        <f t="shared" ca="1" si="5"/>
        <v>4182132.2242493923</v>
      </c>
      <c r="J131" s="455">
        <f t="array" ref="J131">IFERROR(INDEX('Retirement Calculator'!K:K,MATCH('Lorri 401b'!N131,'Retirement Calculator'!A:A,0),0),0)</f>
        <v>20282.026119384056</v>
      </c>
      <c r="K131" s="455">
        <f t="shared" ca="1" si="2"/>
        <v>17341.042492208369</v>
      </c>
      <c r="L131" s="455">
        <f t="shared" ca="1" si="3"/>
        <v>4179191.2406222168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42"/>
      <c r="C132" s="442"/>
      <c r="D132" s="442"/>
      <c r="E132" s="442"/>
      <c r="F132" s="442"/>
      <c r="G132" s="470">
        <f t="shared" si="15"/>
        <v>11</v>
      </c>
      <c r="H132" s="470">
        <v>125</v>
      </c>
      <c r="I132" s="455">
        <f t="shared" ca="1" si="5"/>
        <v>4179191.2406222168</v>
      </c>
      <c r="J132" s="455">
        <f t="array" ref="J132">IFERROR(INDEX('Retirement Calculator'!K:K,MATCH('Lorri 401b'!N132,'Retirement Calculator'!A:A,0),0),0)</f>
        <v>20282.026119384056</v>
      </c>
      <c r="K132" s="455">
        <f t="shared" ca="1" si="2"/>
        <v>17328.788393761803</v>
      </c>
      <c r="L132" s="455">
        <f t="shared" ca="1" si="3"/>
        <v>4176238.0028965948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42"/>
      <c r="C133" s="442"/>
      <c r="D133" s="442"/>
      <c r="E133" s="442"/>
      <c r="F133" s="442"/>
      <c r="G133" s="470">
        <f t="shared" si="15"/>
        <v>11</v>
      </c>
      <c r="H133" s="470">
        <v>126</v>
      </c>
      <c r="I133" s="455">
        <f t="shared" ca="1" si="5"/>
        <v>4176238.0028965948</v>
      </c>
      <c r="J133" s="455">
        <f t="array" ref="J133">IFERROR(INDEX('Retirement Calculator'!K:K,MATCH('Lorri 401b'!N133,'Retirement Calculator'!A:A,0),0),0)</f>
        <v>20282.026119384056</v>
      </c>
      <c r="K133" s="455">
        <f t="shared" ca="1" si="2"/>
        <v>17316.483236571708</v>
      </c>
      <c r="L133" s="455">
        <f t="shared" ca="1" si="3"/>
        <v>4173272.4600137826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42"/>
      <c r="C134" s="442"/>
      <c r="D134" s="442"/>
      <c r="E134" s="442"/>
      <c r="F134" s="442"/>
      <c r="G134" s="470">
        <f t="shared" si="15"/>
        <v>11</v>
      </c>
      <c r="H134" s="470">
        <v>127</v>
      </c>
      <c r="I134" s="455">
        <f t="shared" ca="1" si="5"/>
        <v>4173272.4600137826</v>
      </c>
      <c r="J134" s="455">
        <f t="array" ref="J134">IFERROR(INDEX('Retirement Calculator'!K:K,MATCH('Lorri 401b'!N134,'Retirement Calculator'!A:A,0),0),0)</f>
        <v>20282.026119384056</v>
      </c>
      <c r="K134" s="455">
        <f t="shared" ca="1" si="2"/>
        <v>17304.126807893328</v>
      </c>
      <c r="L134" s="455">
        <f t="shared" ca="1" si="3"/>
        <v>4170294.5607022918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42"/>
      <c r="C135" s="442"/>
      <c r="D135" s="442"/>
      <c r="E135" s="442"/>
      <c r="F135" s="442"/>
      <c r="G135" s="470">
        <f t="shared" si="15"/>
        <v>11</v>
      </c>
      <c r="H135" s="470">
        <v>128</v>
      </c>
      <c r="I135" s="455">
        <f t="shared" ca="1" si="5"/>
        <v>4170294.5607022918</v>
      </c>
      <c r="J135" s="455">
        <f t="array" ref="J135">IFERROR(INDEX('Retirement Calculator'!K:K,MATCH('Lorri 401b'!N135,'Retirement Calculator'!A:A,0),0),0)</f>
        <v>20282.026119384056</v>
      </c>
      <c r="K135" s="455">
        <f t="shared" ca="1" si="2"/>
        <v>17291.718894095447</v>
      </c>
      <c r="L135" s="455">
        <f t="shared" ca="1" si="3"/>
        <v>4167304.2534770034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42"/>
      <c r="C136" s="442"/>
      <c r="D136" s="442"/>
      <c r="E136" s="442"/>
      <c r="F136" s="442"/>
      <c r="G136" s="470">
        <f t="shared" si="15"/>
        <v>11</v>
      </c>
      <c r="H136" s="470">
        <v>129</v>
      </c>
      <c r="I136" s="455">
        <f t="shared" ca="1" si="5"/>
        <v>4167304.2534770034</v>
      </c>
      <c r="J136" s="455">
        <f t="array" ref="J136">IFERROR(INDEX('Retirement Calculator'!K:K,MATCH('Lorri 401b'!N136,'Retirement Calculator'!A:A,0),0),0)</f>
        <v>20282.026119384056</v>
      </c>
      <c r="K136" s="455">
        <f t="shared" ca="1" si="2"/>
        <v>17279.259280656748</v>
      </c>
      <c r="L136" s="455">
        <f t="shared" ca="1" si="3"/>
        <v>4164301.4866382764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4164301.4866382764</v>
      </c>
      <c r="J137" s="455">
        <f t="array" ref="J137">IFERROR(INDEX('Retirement Calculator'!K:K,MATCH('Lorri 401b'!N137,'Retirement Calculator'!A:A,0),0),0)</f>
        <v>20282.026119384056</v>
      </c>
      <c r="K137" s="455">
        <f t="shared" ca="1" si="2"/>
        <v>17266.747752162053</v>
      </c>
      <c r="L137" s="455">
        <f t="shared" ca="1" si="3"/>
        <v>4161286.2082710546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4161286.2082710546</v>
      </c>
      <c r="J138" s="455">
        <f t="array" ref="J138">IFERROR(INDEX('Retirement Calculator'!K:K,MATCH('Lorri 401b'!N138,'Retirement Calculator'!A:A,0),0),0)</f>
        <v>20282.026119384056</v>
      </c>
      <c r="K138" s="455">
        <f t="shared" ca="1" si="2"/>
        <v>17254.184092298627</v>
      </c>
      <c r="L138" s="455">
        <f t="shared" ca="1" si="3"/>
        <v>4158258.3662439692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4158258.3662439692</v>
      </c>
      <c r="J139" s="455">
        <f t="array" ref="J139">IFERROR(INDEX('Retirement Calculator'!K:K,MATCH('Lorri 401b'!N139,'Retirement Calculator'!A:A,0),0),0)</f>
        <v>20282.026119384056</v>
      </c>
      <c r="K139" s="455">
        <f t="shared" ca="1" si="2"/>
        <v>17241.568083852439</v>
      </c>
      <c r="L139" s="455">
        <f t="shared" ca="1" si="3"/>
        <v>4155217.9082084377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4155217.9082084377</v>
      </c>
      <c r="J140" s="455">
        <f t="array" ref="J140">IFERROR(INDEX('Retirement Calculator'!K:K,MATCH('Lorri 401b'!N140,'Retirement Calculator'!A:A,0),0),0)</f>
        <v>20282.026119384056</v>
      </c>
      <c r="K140" s="455">
        <f t="shared" ca="1" si="2"/>
        <v>17228.899508704391</v>
      </c>
      <c r="L140" s="455">
        <f t="shared" ca="1" si="3"/>
        <v>4152164.7815977582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4152164.7815977582</v>
      </c>
      <c r="J141" s="455">
        <f t="array" ref="J141">IFERROR(INDEX('Retirement Calculator'!K:K,MATCH('Lorri 401b'!N141,'Retirement Calculator'!A:A,0),0),0)</f>
        <v>20282.026119384056</v>
      </c>
      <c r="K141" s="455">
        <f t="shared" ca="1" si="2"/>
        <v>17216.178147826558</v>
      </c>
      <c r="L141" s="455">
        <f t="shared" ca="1" si="3"/>
        <v>4149098.9336262005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4149098.9336262005</v>
      </c>
      <c r="J142" s="455">
        <f t="array" ref="J142">IFERROR(INDEX('Retirement Calculator'!K:K,MATCH('Lorri 401b'!N142,'Retirement Calculator'!A:A,0),0),0)</f>
        <v>20282.026119384056</v>
      </c>
      <c r="K142" s="455">
        <f t="shared" ca="1" si="2"/>
        <v>17203.403781278401</v>
      </c>
      <c r="L142" s="455">
        <f t="shared" ca="1" si="3"/>
        <v>4146020.3112880951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4146020.3112880951</v>
      </c>
      <c r="J143" s="455">
        <f t="array" ref="J143">IFERROR(INDEX('Retirement Calculator'!K:K,MATCH('Lorri 401b'!N143,'Retirement Calculator'!A:A,0),0),0)</f>
        <v>20282.026119384056</v>
      </c>
      <c r="K143" s="455">
        <f t="shared" ca="1" si="2"/>
        <v>17190.576188202962</v>
      </c>
      <c r="L143" s="455">
        <f t="shared" ca="1" si="3"/>
        <v>4142928.861356914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4142928.861356914</v>
      </c>
      <c r="J144" s="455">
        <f t="array" ref="J144">IFERROR(INDEX('Retirement Calculator'!K:K,MATCH('Lorri 401b'!N144,'Retirement Calculator'!A:A,0),0),0)</f>
        <v>20282.026119384056</v>
      </c>
      <c r="K144" s="455">
        <f t="shared" ca="1" si="2"/>
        <v>17177.69514682304</v>
      </c>
      <c r="L144" s="455">
        <f t="shared" ca="1" si="3"/>
        <v>4139824.5303843529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4139824.5303843529</v>
      </c>
      <c r="J145" s="455">
        <f t="array" ref="J145">IFERROR(INDEX('Retirement Calculator'!K:K,MATCH('Lorri 401b'!N145,'Retirement Calculator'!A:A,0),0),0)</f>
        <v>20282.026119384056</v>
      </c>
      <c r="K145" s="455">
        <f t="shared" ca="1" si="2"/>
        <v>17164.760434437369</v>
      </c>
      <c r="L145" s="455">
        <f t="shared" ca="1" si="3"/>
        <v>4136707.2646994065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4136707.2646994065</v>
      </c>
      <c r="J146" s="455">
        <f t="array" ref="J146">IFERROR(INDEX('Retirement Calculator'!K:K,MATCH('Lorri 401b'!N146,'Retirement Calculator'!A:A,0),0),0)</f>
        <v>20282.026119384056</v>
      </c>
      <c r="K146" s="455">
        <f t="shared" ca="1" si="2"/>
        <v>17151.77182741676</v>
      </c>
      <c r="L146" s="455">
        <f t="shared" ca="1" si="3"/>
        <v>4133577.0104074394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4133577.0104074394</v>
      </c>
      <c r="J147" s="455">
        <f t="array" ref="J147">IFERROR(INDEX('Retirement Calculator'!K:K,MATCH('Lorri 401b'!N147,'Retirement Calculator'!A:A,0),0),0)</f>
        <v>20282.026119384056</v>
      </c>
      <c r="K147" s="455">
        <f t="shared" ca="1" si="2"/>
        <v>17138.729101200232</v>
      </c>
      <c r="L147" s="455">
        <f t="shared" ca="1" si="3"/>
        <v>4130433.7133892556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4130433.7133892556</v>
      </c>
      <c r="J148" s="455">
        <f t="array" ref="J148">IFERROR(INDEX('Retirement Calculator'!K:K,MATCH('Lorri 401b'!N148,'Retirement Calculator'!A:A,0),0),0)</f>
        <v>20282.026119384056</v>
      </c>
      <c r="K148" s="455">
        <f t="shared" ca="1" si="2"/>
        <v>17125.63203029113</v>
      </c>
      <c r="L148" s="455">
        <f t="shared" ca="1" si="3"/>
        <v>4127277.3193001626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4127277.3193001626</v>
      </c>
      <c r="J149" s="455">
        <f t="array" ref="J149">IFERROR(INDEX('Retirement Calculator'!K:K,MATCH('Lorri 401b'!N149,'Retirement Calculator'!A:A,0),0),0)</f>
        <v>20282.026119384056</v>
      </c>
      <c r="K149" s="455">
        <f t="shared" ca="1" si="2"/>
        <v>17112.480388253243</v>
      </c>
      <c r="L149" s="455">
        <f t="shared" ca="1" si="3"/>
        <v>4124107.7735690321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4124107.7735690321</v>
      </c>
      <c r="J150" s="455">
        <f t="array" ref="J150">IFERROR(INDEX('Retirement Calculator'!K:K,MATCH('Lorri 401b'!N150,'Retirement Calculator'!A:A,0),0),0)</f>
        <v>20282.026119384056</v>
      </c>
      <c r="K150" s="455">
        <f t="shared" ca="1" si="2"/>
        <v>17099.273947706868</v>
      </c>
      <c r="L150" s="455">
        <f t="shared" ca="1" si="3"/>
        <v>4120925.021397355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4120925.021397355</v>
      </c>
      <c r="J151" s="455">
        <f t="array" ref="J151">IFERROR(INDEX('Retirement Calculator'!K:K,MATCH('Lorri 401b'!N151,'Retirement Calculator'!A:A,0),0),0)</f>
        <v>20282.026119384056</v>
      </c>
      <c r="K151" s="455">
        <f t="shared" ca="1" si="2"/>
        <v>17086.01248032488</v>
      </c>
      <c r="L151" s="455">
        <f t="shared" ca="1" si="3"/>
        <v>4117729.0077582961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4117729.0077582961</v>
      </c>
      <c r="J152" s="455">
        <f t="array" ref="J152">IFERROR(INDEX('Retirement Calculator'!K:K,MATCH('Lorri 401b'!N152,'Retirement Calculator'!A:A,0),0),0)</f>
        <v>20282.026119384056</v>
      </c>
      <c r="K152" s="455">
        <f t="shared" ca="1" si="2"/>
        <v>17072.695756828802</v>
      </c>
      <c r="L152" s="455">
        <f t="shared" ca="1" si="3"/>
        <v>4114519.677395741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4114519.677395741</v>
      </c>
      <c r="J153" s="455">
        <f t="array" ref="J153">IFERROR(INDEX('Retirement Calculator'!K:K,MATCH('Lorri 401b'!N153,'Retirement Calculator'!A:A,0),0),0)</f>
        <v>20282.026119384056</v>
      </c>
      <c r="K153" s="455">
        <f t="shared" ca="1" si="2"/>
        <v>17059.323546984822</v>
      </c>
      <c r="L153" s="455">
        <f t="shared" ca="1" si="3"/>
        <v>4111296.9748233417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4111296.9748233417</v>
      </c>
      <c r="J154" s="455">
        <f t="array" ref="J154">IFERROR(INDEX('Retirement Calculator'!K:K,MATCH('Lorri 401b'!N154,'Retirement Calculator'!A:A,0),0),0)</f>
        <v>20282.026119384056</v>
      </c>
      <c r="K154" s="455">
        <f t="shared" ca="1" si="2"/>
        <v>17045.895619599822</v>
      </c>
      <c r="L154" s="455">
        <f t="shared" ca="1" si="3"/>
        <v>4108060.8443235573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4108060.8443235573</v>
      </c>
      <c r="J155" s="455">
        <f t="array" ref="J155">IFERROR(INDEX('Retirement Calculator'!K:K,MATCH('Lorri 401b'!N155,'Retirement Calculator'!A:A,0),0),0)</f>
        <v>20282.026119384056</v>
      </c>
      <c r="K155" s="455">
        <f t="shared" ca="1" si="2"/>
        <v>17032.41174251739</v>
      </c>
      <c r="L155" s="455">
        <f t="shared" ca="1" si="3"/>
        <v>4104811.2299466906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4104811.2299466906</v>
      </c>
      <c r="J156" s="455">
        <f t="array" ref="J156">IFERROR(INDEX('Retirement Calculator'!K:K,MATCH('Lorri 401b'!N156,'Retirement Calculator'!A:A,0),0),0)</f>
        <v>20282.026119384056</v>
      </c>
      <c r="K156" s="455">
        <f t="shared" ca="1" si="2"/>
        <v>17018.871682613775</v>
      </c>
      <c r="L156" s="455">
        <f t="shared" ca="1" si="3"/>
        <v>4101548.0755099203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4101548.0755099203</v>
      </c>
      <c r="J157" s="455">
        <f t="array" ref="J157">IFERROR(INDEX('Retirement Calculator'!K:K,MATCH('Lorri 401b'!N157,'Retirement Calculator'!A:A,0),0),0)</f>
        <v>20282.026119384056</v>
      </c>
      <c r="K157" s="455">
        <f t="shared" ca="1" si="2"/>
        <v>17005.2752057939</v>
      </c>
      <c r="L157" s="455">
        <f t="shared" ca="1" si="3"/>
        <v>4098271.3245963301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4098271.3245963301</v>
      </c>
      <c r="J158" s="455">
        <f t="array" ref="J158">IFERROR(INDEX('Retirement Calculator'!K:K,MATCH('Lorri 401b'!N158,'Retirement Calculator'!A:A,0),0),0)</f>
        <v>20282.026119384056</v>
      </c>
      <c r="K158" s="455">
        <f t="shared" ca="1" si="2"/>
        <v>16991.622076987274</v>
      </c>
      <c r="L158" s="455">
        <f t="shared" ca="1" si="3"/>
        <v>4094980.9205539334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4094980.9205539334</v>
      </c>
      <c r="J159" s="455">
        <f t="array" ref="J159">IFERROR(INDEX('Retirement Calculator'!K:K,MATCH('Lorri 401b'!N159,'Retirement Calculator'!A:A,0),0),0)</f>
        <v>20282.026119384056</v>
      </c>
      <c r="K159" s="455">
        <f t="shared" ca="1" si="2"/>
        <v>16977.912060143957</v>
      </c>
      <c r="L159" s="455">
        <f t="shared" ca="1" si="3"/>
        <v>4091676.8064946933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4091676.8064946933</v>
      </c>
      <c r="J160" s="455">
        <f t="array" ref="J160">IFERROR(INDEX('Retirement Calculator'!K:K,MATCH('Lorri 401b'!N160,'Retirement Calculator'!A:A,0),0),0)</f>
        <v>20282.026119384056</v>
      </c>
      <c r="K160" s="455">
        <f t="shared" ca="1" si="2"/>
        <v>16964.144918230453</v>
      </c>
      <c r="L160" s="455">
        <f t="shared" ca="1" si="3"/>
        <v>4088358.9252935397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4088358.9252935397</v>
      </c>
      <c r="J161" s="455">
        <f t="array" ref="J161">IFERROR(INDEX('Retirement Calculator'!K:K,MATCH('Lorri 401b'!N161,'Retirement Calculator'!A:A,0),0),0)</f>
        <v>20282.026119384056</v>
      </c>
      <c r="K161" s="455">
        <f t="shared" ca="1" si="2"/>
        <v>16950.320413225651</v>
      </c>
      <c r="L161" s="455">
        <f t="shared" ca="1" si="3"/>
        <v>4085027.2195873815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4085027.2195873815</v>
      </c>
      <c r="J162" s="455">
        <f t="array" ref="J162">IFERROR(INDEX('Retirement Calculator'!K:K,MATCH('Lorri 401b'!N162,'Retirement Calculator'!A:A,0),0),0)</f>
        <v>20282.026119384056</v>
      </c>
      <c r="K162" s="455">
        <f t="shared" ca="1" si="2"/>
        <v>16936.438306116659</v>
      </c>
      <c r="L162" s="455">
        <f t="shared" ca="1" si="3"/>
        <v>4081681.631774114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4081681.631774114</v>
      </c>
      <c r="J163" s="455">
        <f t="array" ref="J163">IFERROR(INDEX('Retirement Calculator'!K:K,MATCH('Lorri 401b'!N163,'Retirement Calculator'!A:A,0),0),0)</f>
        <v>20282.026119384056</v>
      </c>
      <c r="K163" s="455">
        <f t="shared" ca="1" si="2"/>
        <v>16922.498356894706</v>
      </c>
      <c r="L163" s="455">
        <f t="shared" ca="1" si="3"/>
        <v>4078322.1040116246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4078322.1040116246</v>
      </c>
      <c r="J164" s="455">
        <f t="array" ref="J164">IFERROR(INDEX('Retirement Calculator'!K:K,MATCH('Lorri 401b'!N164,'Retirement Calculator'!A:A,0),0),0)</f>
        <v>20282.026119384056</v>
      </c>
      <c r="K164" s="455">
        <f t="shared" ca="1" si="2"/>
        <v>16908.500324551002</v>
      </c>
      <c r="L164" s="455">
        <f t="shared" ca="1" si="3"/>
        <v>4074948.5782167916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4074948.5782167916</v>
      </c>
      <c r="J165" s="455">
        <f t="array" ref="J165">IFERROR(INDEX('Retirement Calculator'!K:K,MATCH('Lorri 401b'!N165,'Retirement Calculator'!A:A,0),0),0)</f>
        <v>20282.026119384056</v>
      </c>
      <c r="K165" s="455">
        <f t="shared" ca="1" si="2"/>
        <v>16894.443967072533</v>
      </c>
      <c r="L165" s="455">
        <f t="shared" ca="1" si="3"/>
        <v>4071560.9960644804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4071560.9960644804</v>
      </c>
      <c r="J166" s="455">
        <f t="array" ref="J166">IFERROR(INDEX('Retirement Calculator'!K:K,MATCH('Lorri 401b'!N166,'Retirement Calculator'!A:A,0),0),0)</f>
        <v>20282.026119384056</v>
      </c>
      <c r="K166" s="455">
        <f t="shared" ca="1" si="2"/>
        <v>16880.329041437901</v>
      </c>
      <c r="L166" s="455">
        <f t="shared" ca="1" si="3"/>
        <v>4068159.2989865341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4068159.2989865341</v>
      </c>
      <c r="J167" s="455">
        <f t="array" ref="J167">IFERROR(INDEX('Retirement Calculator'!K:K,MATCH('Lorri 401b'!N167,'Retirement Calculator'!A:A,0),0),0)</f>
        <v>20282.026119384056</v>
      </c>
      <c r="K167" s="455">
        <f t="shared" ca="1" si="2"/>
        <v>16866.155303613126</v>
      </c>
      <c r="L167" s="455">
        <f t="shared" ca="1" si="3"/>
        <v>4064743.4281707634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4064743.4281707634</v>
      </c>
      <c r="J168" s="455">
        <f t="array" ref="J168">IFERROR(INDEX('Retirement Calculator'!K:K,MATCH('Lorri 401b'!N168,'Retirement Calculator'!A:A,0),0),0)</f>
        <v>20282.026119384056</v>
      </c>
      <c r="K168" s="455">
        <f t="shared" ca="1" si="2"/>
        <v>16851.922508547414</v>
      </c>
      <c r="L168" s="455">
        <f t="shared" ca="1" si="3"/>
        <v>4061313.324559927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4061313.324559927</v>
      </c>
      <c r="J169" s="455">
        <f t="array" ref="J169">IFERROR(INDEX('Retirement Calculator'!K:K,MATCH('Lorri 401b'!N169,'Retirement Calculator'!A:A,0),0),0)</f>
        <v>20282.026119384056</v>
      </c>
      <c r="K169" s="455">
        <f t="shared" ca="1" si="2"/>
        <v>16837.630410168927</v>
      </c>
      <c r="L169" s="455">
        <f t="shared" ca="1" si="3"/>
        <v>4057868.9288507118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4057868.9288507118</v>
      </c>
      <c r="J170" s="455">
        <f t="array" ref="J170">IFERROR(INDEX('Retirement Calculator'!K:K,MATCH('Lorri 401b'!N170,'Retirement Calculator'!A:A,0),0),0)</f>
        <v>20282.026119384056</v>
      </c>
      <c r="K170" s="455">
        <f t="shared" ca="1" si="2"/>
        <v>16823.278761380534</v>
      </c>
      <c r="L170" s="455">
        <f t="shared" ca="1" si="3"/>
        <v>4054410.1814927082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4054410.1814927082</v>
      </c>
      <c r="J171" s="455">
        <f t="array" ref="J171">IFERROR(INDEX('Retirement Calculator'!K:K,MATCH('Lorri 401b'!N171,'Retirement Calculator'!A:A,0),0),0)</f>
        <v>20282.026119384056</v>
      </c>
      <c r="K171" s="455">
        <f t="shared" ca="1" si="2"/>
        <v>16808.867314055518</v>
      </c>
      <c r="L171" s="455">
        <f t="shared" ca="1" si="3"/>
        <v>4050937.0226873797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4050937.0226873797</v>
      </c>
      <c r="J172" s="455">
        <f t="array" ref="J172">IFERROR(INDEX('Retirement Calculator'!K:K,MATCH('Lorri 401b'!N172,'Retirement Calculator'!A:A,0),0),0)</f>
        <v>20282.026119384056</v>
      </c>
      <c r="K172" s="455">
        <f t="shared" ca="1" si="2"/>
        <v>16794.395819033314</v>
      </c>
      <c r="L172" s="455">
        <f t="shared" ca="1" si="3"/>
        <v>4047449.3923870292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4047449.3923870292</v>
      </c>
      <c r="J173" s="455">
        <f t="array" ref="J173">IFERROR(INDEX('Retirement Calculator'!K:K,MATCH('Lorri 401b'!N173,'Retirement Calculator'!A:A,0),0),0)</f>
        <v>20282.026119384056</v>
      </c>
      <c r="K173" s="455">
        <f t="shared" ca="1" si="2"/>
        <v>16779.864026115185</v>
      </c>
      <c r="L173" s="455">
        <f t="shared" ca="1" si="3"/>
        <v>4043947.2302937605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4043947.2302937605</v>
      </c>
      <c r="J174" s="455">
        <f t="array" ref="J174">IFERROR(INDEX('Retirement Calculator'!K:K,MATCH('Lorri 401b'!N174,'Retirement Calculator'!A:A,0),0),0)</f>
        <v>20282.026119384056</v>
      </c>
      <c r="K174" s="455">
        <f t="shared" ca="1" si="2"/>
        <v>16765.271684059902</v>
      </c>
      <c r="L174" s="455">
        <f t="shared" ca="1" si="3"/>
        <v>4040430.4758584364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4040430.4758584364</v>
      </c>
      <c r="J175" s="455">
        <f t="array" ref="J175">IFERROR(INDEX('Retirement Calculator'!K:K,MATCH('Lorri 401b'!N175,'Retirement Calculator'!A:A,0),0),0)</f>
        <v>20282.026119384056</v>
      </c>
      <c r="K175" s="455">
        <f t="shared" ca="1" si="2"/>
        <v>16750.618540579384</v>
      </c>
      <c r="L175" s="455">
        <f t="shared" ca="1" si="3"/>
        <v>4036899.0682796319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4036899.0682796319</v>
      </c>
      <c r="J176" s="455">
        <f t="array" ref="J176">IFERROR(INDEX('Retirement Calculator'!K:K,MATCH('Lorri 401b'!N176,'Retirement Calculator'!A:A,0),0),0)</f>
        <v>20282.026119384056</v>
      </c>
      <c r="K176" s="455">
        <f t="shared" ca="1" si="2"/>
        <v>16735.904342334365</v>
      </c>
      <c r="L176" s="455">
        <f t="shared" ca="1" si="3"/>
        <v>4033352.9465025822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4033352.9465025822</v>
      </c>
      <c r="J177" s="455">
        <f t="array" ref="J177">IFERROR(INDEX('Retirement Calculator'!K:K,MATCH('Lorri 401b'!N177,'Retirement Calculator'!A:A,0),0),0)</f>
        <v>20282.026119384056</v>
      </c>
      <c r="K177" s="455">
        <f t="shared" ca="1" si="2"/>
        <v>16721.12883492999</v>
      </c>
      <c r="L177" s="455">
        <f t="shared" ca="1" si="3"/>
        <v>4029792.049218128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4029792.049218128</v>
      </c>
      <c r="J178" s="455">
        <f t="array" ref="J178">IFERROR(INDEX('Retirement Calculator'!K:K,MATCH('Lorri 401b'!N178,'Retirement Calculator'!A:A,0),0),0)</f>
        <v>20282.026119384056</v>
      </c>
      <c r="K178" s="455">
        <f t="shared" ca="1" si="2"/>
        <v>16706.291762911431</v>
      </c>
      <c r="L178" s="455">
        <f t="shared" ca="1" si="3"/>
        <v>4026216.3148616552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4026216.3148616552</v>
      </c>
      <c r="J179" s="455">
        <f t="array" ref="J179">IFERROR(INDEX('Retirement Calculator'!K:K,MATCH('Lorri 401b'!N179,'Retirement Calculator'!A:A,0),0),0)</f>
        <v>20282.026119384056</v>
      </c>
      <c r="K179" s="455">
        <f t="shared" ca="1" si="2"/>
        <v>16691.392869759464</v>
      </c>
      <c r="L179" s="455">
        <f t="shared" ca="1" si="3"/>
        <v>4022625.6816120306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4022625.6816120306</v>
      </c>
      <c r="J180" s="455">
        <f t="array" ref="J180">IFERROR(INDEX('Retirement Calculator'!K:K,MATCH('Lorri 401b'!N180,'Retirement Calculator'!A:A,0),0),0)</f>
        <v>20282.026119384056</v>
      </c>
      <c r="K180" s="455">
        <f t="shared" ca="1" si="2"/>
        <v>16676.431897886025</v>
      </c>
      <c r="L180" s="455">
        <f t="shared" ca="1" si="3"/>
        <v>4019020.0873905327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4019020.0873905327</v>
      </c>
      <c r="J181" s="455">
        <f t="array" ref="J181">IFERROR(INDEX('Retirement Calculator'!K:K,MATCH('Lorri 401b'!N181,'Retirement Calculator'!A:A,0),0),0)</f>
        <v>20282.026119384056</v>
      </c>
      <c r="K181" s="455">
        <f t="shared" ca="1" si="2"/>
        <v>16661.408588629787</v>
      </c>
      <c r="L181" s="455">
        <f t="shared" ca="1" si="3"/>
        <v>4015399.4698597784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4015399.4698597784</v>
      </c>
      <c r="J182" s="455">
        <f t="array" ref="J182">IFERROR(INDEX('Retirement Calculator'!K:K,MATCH('Lorri 401b'!N182,'Retirement Calculator'!A:A,0),0),0)</f>
        <v>20282.026119384056</v>
      </c>
      <c r="K182" s="455">
        <f t="shared" ca="1" si="2"/>
        <v>16646.322682251644</v>
      </c>
      <c r="L182" s="455">
        <f t="shared" ca="1" si="3"/>
        <v>4011763.7664226461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4011763.7664226461</v>
      </c>
      <c r="J183" s="455">
        <f t="array" ref="J183">IFERROR(INDEX('Retirement Calculator'!K:K,MATCH('Lorri 401b'!N183,'Retirement Calculator'!A:A,0),0),0)</f>
        <v>20282.026119384056</v>
      </c>
      <c r="K183" s="455">
        <f t="shared" ca="1" si="2"/>
        <v>16631.17391793026</v>
      </c>
      <c r="L183" s="455">
        <f t="shared" ca="1" si="3"/>
        <v>4008112.9142211922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4008112.9142211922</v>
      </c>
      <c r="J184" s="455">
        <f t="array" ref="J184">IFERROR(INDEX('Retirement Calculator'!K:K,MATCH('Lorri 401b'!N184,'Retirement Calculator'!A:A,0),0),0)</f>
        <v>20282.026119384056</v>
      </c>
      <c r="K184" s="455">
        <f t="shared" ca="1" si="2"/>
        <v>16615.962033757532</v>
      </c>
      <c r="L184" s="455">
        <f t="shared" ca="1" si="3"/>
        <v>4004446.8501355657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4004446.8501355657</v>
      </c>
      <c r="J185" s="455">
        <f t="array" ref="J185">IFERROR(INDEX('Retirement Calculator'!K:K,MATCH('Lorri 401b'!N185,'Retirement Calculator'!A:A,0),0),0)</f>
        <v>20282.026119384056</v>
      </c>
      <c r="K185" s="455">
        <f t="shared" ca="1" si="2"/>
        <v>16600.686766734092</v>
      </c>
      <c r="L185" s="455">
        <f t="shared" ca="1" si="3"/>
        <v>4000765.5107829156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4000765.5107829156</v>
      </c>
      <c r="J186" s="455">
        <f t="array" ref="J186">IFERROR(INDEX('Retirement Calculator'!K:K,MATCH('Lorri 401b'!N186,'Retirement Calculator'!A:A,0),0),0)</f>
        <v>20282.026119384056</v>
      </c>
      <c r="K186" s="455">
        <f t="shared" ca="1" si="2"/>
        <v>16585.347852764717</v>
      </c>
      <c r="L186" s="455">
        <f t="shared" ca="1" si="3"/>
        <v>3997068.8325162963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3997068.8325162963</v>
      </c>
      <c r="J187" s="455">
        <f t="array" ref="J187">IFERROR(INDEX('Retirement Calculator'!K:K,MATCH('Lorri 401b'!N187,'Retirement Calculator'!A:A,0),0),0)</f>
        <v>20282.026119384056</v>
      </c>
      <c r="K187" s="455">
        <f t="shared" ca="1" si="2"/>
        <v>16569.945026653801</v>
      </c>
      <c r="L187" s="455">
        <f t="shared" ca="1" si="3"/>
        <v>3993356.7514235661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3993356.7514235661</v>
      </c>
      <c r="J188" s="455">
        <f t="array" ref="J188">IFERROR(INDEX('Retirement Calculator'!K:K,MATCH('Lorri 401b'!N188,'Retirement Calculator'!A:A,0),0),0)</f>
        <v>20282.026119384056</v>
      </c>
      <c r="K188" s="455">
        <f t="shared" ca="1" si="2"/>
        <v>16554.47802210076</v>
      </c>
      <c r="L188" s="455">
        <f t="shared" ca="1" si="3"/>
        <v>3989629.203326283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3989629.203326283</v>
      </c>
      <c r="J189" s="455">
        <f t="array" ref="J189">IFERROR(INDEX('Retirement Calculator'!K:K,MATCH('Lorri 401b'!N189,'Retirement Calculator'!A:A,0),0),0)</f>
        <v>20282.026119384056</v>
      </c>
      <c r="K189" s="455">
        <f t="shared" ca="1" si="2"/>
        <v>16538.946571695411</v>
      </c>
      <c r="L189" s="455">
        <f t="shared" ca="1" si="3"/>
        <v>3985886.1237785947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3985886.1237785947</v>
      </c>
      <c r="J190" s="455">
        <f t="array" ref="J190">IFERROR(INDEX('Retirement Calculator'!K:K,MATCH('Lorri 401b'!N190,'Retirement Calculator'!A:A,0),0),0)</f>
        <v>20282.026119384056</v>
      </c>
      <c r="K190" s="455">
        <f t="shared" ca="1" si="2"/>
        <v>16523.350406913374</v>
      </c>
      <c r="L190" s="455">
        <f t="shared" ca="1" si="3"/>
        <v>3982127.4480661242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3982127.4480661242</v>
      </c>
      <c r="J191" s="455">
        <f t="array" ref="J191">IFERROR(INDEX('Retirement Calculator'!K:K,MATCH('Lorri 401b'!N191,'Retirement Calculator'!A:A,0),0),0)</f>
        <v>20282.026119384056</v>
      </c>
      <c r="K191" s="455">
        <f t="shared" ca="1" si="2"/>
        <v>16507.689258111419</v>
      </c>
      <c r="L191" s="455">
        <f t="shared" ca="1" si="3"/>
        <v>3978353.1112048519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3978353.1112048519</v>
      </c>
      <c r="J192" s="455">
        <f t="array" ref="J192">IFERROR(INDEX('Retirement Calculator'!K:K,MATCH('Lorri 401b'!N192,'Retirement Calculator'!A:A,0),0),0)</f>
        <v>20282.026119384056</v>
      </c>
      <c r="K192" s="455">
        <f t="shared" ca="1" si="2"/>
        <v>16491.962854522782</v>
      </c>
      <c r="L192" s="455">
        <f t="shared" ca="1" si="3"/>
        <v>3974563.0479399906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3974563.0479399906</v>
      </c>
      <c r="J193" s="455">
        <f t="array" ref="J193">IFERROR(INDEX('Retirement Calculator'!K:K,MATCH('Lorri 401b'!N193,'Retirement Calculator'!A:A,0),0),0)</f>
        <v>20282.026119384056</v>
      </c>
      <c r="K193" s="455">
        <f t="shared" ca="1" si="2"/>
        <v>16476.170924252528</v>
      </c>
      <c r="L193" s="455">
        <f t="shared" ca="1" si="3"/>
        <v>3970757.192744859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3970757.192744859</v>
      </c>
      <c r="J194" s="455">
        <f t="array" ref="J194">IFERROR(INDEX('Retirement Calculator'!K:K,MATCH('Lorri 401b'!N194,'Retirement Calculator'!A:A,0),0),0)</f>
        <v>20282.026119384056</v>
      </c>
      <c r="K194" s="455">
        <f t="shared" ca="1" si="2"/>
        <v>16460.313194272814</v>
      </c>
      <c r="L194" s="455">
        <f t="shared" ca="1" si="3"/>
        <v>3966935.4798197481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3966935.4798197481</v>
      </c>
      <c r="J195" s="455">
        <f t="array" ref="J195">IFERROR(INDEX('Retirement Calculator'!K:K,MATCH('Lorri 401b'!N195,'Retirement Calculator'!A:A,0),0),0)</f>
        <v>20282.026119384056</v>
      </c>
      <c r="K195" s="455">
        <f t="shared" ca="1" si="2"/>
        <v>16444.389390418182</v>
      </c>
      <c r="L195" s="455">
        <f t="shared" ca="1" si="3"/>
        <v>3963097.8430907824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3963097.8430907824</v>
      </c>
      <c r="J196" s="455">
        <f t="array" ref="J196">IFERROR(INDEX('Retirement Calculator'!K:K,MATCH('Lorri 401b'!N196,'Retirement Calculator'!A:A,0),0),0)</f>
        <v>20282.026119384056</v>
      </c>
      <c r="K196" s="455">
        <f t="shared" ca="1" si="2"/>
        <v>16428.399237380825</v>
      </c>
      <c r="L196" s="455">
        <f t="shared" ca="1" si="3"/>
        <v>3959244.2162087793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3959244.2162087793</v>
      </c>
      <c r="J197" s="455">
        <f t="array" ref="J197">IFERROR(INDEX('Retirement Calculator'!K:K,MATCH('Lorri 401b'!N197,'Retirement Calculator'!A:A,0),0),0)</f>
        <v>20282.026119384056</v>
      </c>
      <c r="K197" s="455">
        <f t="shared" ca="1" si="2"/>
        <v>16412.342458705811</v>
      </c>
      <c r="L197" s="455">
        <f t="shared" ca="1" si="3"/>
        <v>3955374.5325481012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3955374.5325481012</v>
      </c>
      <c r="J198" s="455">
        <f t="array" ref="J198">IFERROR(INDEX('Retirement Calculator'!K:K,MATCH('Lorri 401b'!N198,'Retirement Calculator'!A:A,0),0),0)</f>
        <v>20282.026119384056</v>
      </c>
      <c r="K198" s="455">
        <f t="shared" ca="1" si="2"/>
        <v>16396.218776786322</v>
      </c>
      <c r="L198" s="455">
        <f t="shared" ca="1" si="3"/>
        <v>3951488.7252055034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3951488.7252055034</v>
      </c>
      <c r="J199" s="455">
        <f t="array" ref="J199">IFERROR(INDEX('Retirement Calculator'!K:K,MATCH('Lorri 401b'!N199,'Retirement Calculator'!A:A,0),0),0)</f>
        <v>20282.026119384056</v>
      </c>
      <c r="K199" s="455">
        <f t="shared" ca="1" si="2"/>
        <v>16380.02791285883</v>
      </c>
      <c r="L199" s="455">
        <f t="shared" ca="1" si="3"/>
        <v>3947586.7269989783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3947586.7269989783</v>
      </c>
      <c r="J200" s="455">
        <f t="array" ref="J200">IFERROR(INDEX('Retirement Calculator'!K:K,MATCH('Lorri 401b'!N200,'Retirement Calculator'!A:A,0),0),0)</f>
        <v>20282.026119384056</v>
      </c>
      <c r="K200" s="455">
        <f t="shared" ca="1" si="2"/>
        <v>16363.769586998309</v>
      </c>
      <c r="L200" s="455">
        <f t="shared" ca="1" si="3"/>
        <v>3943668.4704665928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3943668.4704665928</v>
      </c>
      <c r="J201" s="455">
        <f t="array" ref="J201">IFERROR(INDEX('Retirement Calculator'!K:K,MATCH('Lorri 401b'!N201,'Retirement Calculator'!A:A,0),0),0)</f>
        <v>20282.026119384056</v>
      </c>
      <c r="K201" s="455">
        <f t="shared" ca="1" si="2"/>
        <v>16347.443518113372</v>
      </c>
      <c r="L201" s="455">
        <f t="shared" ca="1" si="3"/>
        <v>3939733.8878653222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3939733.8878653222</v>
      </c>
      <c r="J202" s="455">
        <f t="array" ref="J202">IFERROR(INDEX('Retirement Calculator'!K:K,MATCH('Lorri 401b'!N202,'Retirement Calculator'!A:A,0),0),0)</f>
        <v>20282.026119384056</v>
      </c>
      <c r="K202" s="455">
        <f t="shared" ca="1" si="2"/>
        <v>16331.049423941407</v>
      </c>
      <c r="L202" s="455">
        <f t="shared" ca="1" si="3"/>
        <v>3935782.9111698796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3935782.9111698796</v>
      </c>
      <c r="J203" s="455">
        <f t="array" ref="J203">IFERROR(INDEX('Retirement Calculator'!K:K,MATCH('Lorri 401b'!N203,'Retirement Calculator'!A:A,0),0),0)</f>
        <v>20282.026119384056</v>
      </c>
      <c r="K203" s="455">
        <f t="shared" ca="1" si="2"/>
        <v>16314.587021043732</v>
      </c>
      <c r="L203" s="455">
        <f t="shared" ca="1" si="3"/>
        <v>3931815.4720715391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3931815.4720715391</v>
      </c>
      <c r="J204" s="455">
        <f t="array" ref="J204">IFERROR(INDEX('Retirement Calculator'!K:K,MATCH('Lorri 401b'!N204,'Retirement Calculator'!A:A,0),0),0)</f>
        <v>20282.026119384056</v>
      </c>
      <c r="K204" s="455">
        <f t="shared" ca="1" si="2"/>
        <v>16298.056024800648</v>
      </c>
      <c r="L204" s="455">
        <f t="shared" ca="1" si="3"/>
        <v>3927831.5019769557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3927831.5019769557</v>
      </c>
      <c r="J205" s="455">
        <f t="array" ref="J205">IFERROR(INDEX('Retirement Calculator'!K:K,MATCH('Lorri 401b'!N205,'Retirement Calculator'!A:A,0),0),0)</f>
        <v>20282.026119384056</v>
      </c>
      <c r="K205" s="455">
        <f t="shared" ca="1" si="2"/>
        <v>16281.456149406547</v>
      </c>
      <c r="L205" s="455">
        <f t="shared" ca="1" si="3"/>
        <v>3923830.9320069784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3923830.9320069784</v>
      </c>
      <c r="J206" s="455">
        <f t="array" ref="J206">IFERROR(INDEX('Retirement Calculator'!K:K,MATCH('Lorri 401b'!N206,'Retirement Calculator'!A:A,0),0),0)</f>
        <v>20282.026119384056</v>
      </c>
      <c r="K206" s="455">
        <f t="shared" ca="1" si="2"/>
        <v>16264.787107864975</v>
      </c>
      <c r="L206" s="455">
        <f t="shared" ca="1" si="3"/>
        <v>3919813.6929954593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3919813.6929954593</v>
      </c>
      <c r="J207" s="455">
        <f t="array" ref="J207">IFERROR(INDEX('Retirement Calculator'!K:K,MATCH('Lorri 401b'!N207,'Retirement Calculator'!A:A,0),0),0)</f>
        <v>20282.026119384056</v>
      </c>
      <c r="K207" s="455">
        <f t="shared" ca="1" si="2"/>
        <v>16248.048611983648</v>
      </c>
      <c r="L207" s="455">
        <f t="shared" ca="1" si="3"/>
        <v>3915779.715488059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3915779.715488059</v>
      </c>
      <c r="J208" s="455">
        <f t="array" ref="J208">IFERROR(INDEX('Retirement Calculator'!K:K,MATCH('Lorri 401b'!N208,'Retirement Calculator'!A:A,0),0),0)</f>
        <v>20282.026119384056</v>
      </c>
      <c r="K208" s="455">
        <f t="shared" ca="1" si="2"/>
        <v>16231.240372369479</v>
      </c>
      <c r="L208" s="455">
        <f t="shared" ca="1" si="3"/>
        <v>3911728.9297410445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3911728.9297410445</v>
      </c>
      <c r="J209" s="455">
        <f t="array" ref="J209">IFERROR(INDEX('Retirement Calculator'!K:K,MATCH('Lorri 401b'!N209,'Retirement Calculator'!A:A,0),0),0)</f>
        <v>20282.026119384056</v>
      </c>
      <c r="K209" s="455">
        <f t="shared" ca="1" si="2"/>
        <v>16214.362098423588</v>
      </c>
      <c r="L209" s="455">
        <f t="shared" ca="1" si="3"/>
        <v>3907661.2657200843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3907661.2657200843</v>
      </c>
      <c r="J210" s="455">
        <f t="array" ref="J210">IFERROR(INDEX('Retirement Calculator'!K:K,MATCH('Lorri 401b'!N210,'Retirement Calculator'!A:A,0),0),0)</f>
        <v>20282.026119384056</v>
      </c>
      <c r="K210" s="455">
        <f t="shared" ca="1" si="2"/>
        <v>16197.413498336251</v>
      </c>
      <c r="L210" s="455">
        <f t="shared" ca="1" si="3"/>
        <v>3903576.6530990368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3903576.6530990368</v>
      </c>
      <c r="J211" s="455">
        <f t="array" ref="J211">IFERROR(INDEX('Retirement Calculator'!K:K,MATCH('Lorri 401b'!N211,'Retirement Calculator'!A:A,0),0),0)</f>
        <v>20282.026119384056</v>
      </c>
      <c r="K211" s="455">
        <f t="shared" ca="1" si="2"/>
        <v>16180.394279081886</v>
      </c>
      <c r="L211" s="455">
        <f t="shared" ca="1" si="3"/>
        <v>3899475.0212587346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3899475.0212587346</v>
      </c>
      <c r="J212" s="455">
        <f t="array" ref="J212">IFERROR(INDEX('Retirement Calculator'!K:K,MATCH('Lorri 401b'!N212,'Retirement Calculator'!A:A,0),0),0)</f>
        <v>20282.026119384056</v>
      </c>
      <c r="K212" s="455">
        <f t="shared" ca="1" si="2"/>
        <v>16163.304146413959</v>
      </c>
      <c r="L212" s="455">
        <f t="shared" ca="1" si="3"/>
        <v>3895356.2992857648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3895356.2992857648</v>
      </c>
      <c r="J213" s="455">
        <f t="array" ref="J213">IFERROR(INDEX('Retirement Calculator'!K:K,MATCH('Lorri 401b'!N213,'Retirement Calculator'!A:A,0),0),0)</f>
        <v>20282.026119384056</v>
      </c>
      <c r="K213" s="455">
        <f t="shared" ca="1" si="2"/>
        <v>16146.142804859921</v>
      </c>
      <c r="L213" s="455">
        <f t="shared" ca="1" si="3"/>
        <v>3891220.415971241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3891220.415971241</v>
      </c>
      <c r="J214" s="455">
        <f t="array" ref="J214">IFERROR(INDEX('Retirement Calculator'!K:K,MATCH('Lorri 401b'!N214,'Retirement Calculator'!A:A,0),0),0)</f>
        <v>20282.026119384056</v>
      </c>
      <c r="K214" s="455">
        <f t="shared" ca="1" si="2"/>
        <v>16128.909957716069</v>
      </c>
      <c r="L214" s="455">
        <f t="shared" ca="1" si="3"/>
        <v>3887067.2998095732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3887067.2998095732</v>
      </c>
      <c r="J215" s="455">
        <f t="array" ref="J215">IFERROR(INDEX('Retirement Calculator'!K:K,MATCH('Lorri 401b'!N215,'Retirement Calculator'!A:A,0),0),0)</f>
        <v>20282.026119384056</v>
      </c>
      <c r="K215" s="455">
        <f t="shared" ca="1" si="2"/>
        <v>16111.605307042455</v>
      </c>
      <c r="L215" s="455">
        <f t="shared" ca="1" si="3"/>
        <v>3882896.8789972318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3882896.8789972318</v>
      </c>
      <c r="J216" s="455">
        <f t="array" ref="J216">IFERROR(INDEX('Retirement Calculator'!K:K,MATCH('Lorri 401b'!N216,'Retirement Calculator'!A:A,0),0),0)</f>
        <v>20282.026119384056</v>
      </c>
      <c r="K216" s="455">
        <f t="shared" ca="1" si="2"/>
        <v>16094.228553657702</v>
      </c>
      <c r="L216" s="455">
        <f t="shared" ca="1" si="3"/>
        <v>3878709.0814315057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3878709.0814315057</v>
      </c>
      <c r="J217" s="455">
        <f t="array" ref="J217">IFERROR(INDEX('Retirement Calculator'!K:K,MATCH('Lorri 401b'!N217,'Retirement Calculator'!A:A,0),0),0)</f>
        <v>20282.026119384056</v>
      </c>
      <c r="K217" s="455">
        <f t="shared" ca="1" si="2"/>
        <v>16076.77939713384</v>
      </c>
      <c r="L217" s="455">
        <f t="shared" ca="1" si="3"/>
        <v>3874503.8347092555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3874503.8347092555</v>
      </c>
      <c r="J218" s="455">
        <f t="array" ref="J218">IFERROR(INDEX('Retirement Calculator'!K:K,MATCH('Lorri 401b'!N218,'Retirement Calculator'!A:A,0),0),0)</f>
        <v>20282.026119384056</v>
      </c>
      <c r="K218" s="455">
        <f t="shared" ca="1" si="2"/>
        <v>16059.257535791134</v>
      </c>
      <c r="L218" s="455">
        <f t="shared" ca="1" si="3"/>
        <v>3870281.0661256625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3870281.0661256625</v>
      </c>
      <c r="J219" s="455">
        <f t="array" ref="J219">IFERROR(INDEX('Retirement Calculator'!K:K,MATCH('Lorri 401b'!N219,'Retirement Calculator'!A:A,0),0),0)</f>
        <v>20282.026119384056</v>
      </c>
      <c r="K219" s="455">
        <f t="shared" ca="1" si="2"/>
        <v>16041.662666692828</v>
      </c>
      <c r="L219" s="455">
        <f t="shared" ca="1" si="3"/>
        <v>3866040.7026729714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3866040.7026729714</v>
      </c>
      <c r="J220" s="455">
        <f t="array" ref="J220">IFERROR(INDEX('Retirement Calculator'!K:K,MATCH('Lorri 401b'!N220,'Retirement Calculator'!A:A,0),0),0)</f>
        <v>20282.026119384056</v>
      </c>
      <c r="K220" s="455">
        <f t="shared" ca="1" si="2"/>
        <v>16023.994485639947</v>
      </c>
      <c r="L220" s="455">
        <f t="shared" ca="1" si="3"/>
        <v>3861782.6710392274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3861782.6710392274</v>
      </c>
      <c r="J221" s="455">
        <f t="array" ref="J221">IFERROR(INDEX('Retirement Calculator'!K:K,MATCH('Lorri 401b'!N221,'Retirement Calculator'!A:A,0),0),0)</f>
        <v>20282.026119384056</v>
      </c>
      <c r="K221" s="455">
        <f t="shared" ca="1" si="2"/>
        <v>16006.252687166014</v>
      </c>
      <c r="L221" s="455">
        <f t="shared" ca="1" si="3"/>
        <v>3857506.8976070094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3857506.8976070094</v>
      </c>
      <c r="J222" s="455">
        <f t="array" ref="J222">IFERROR(INDEX('Retirement Calculator'!K:K,MATCH('Lorri 401b'!N222,'Retirement Calculator'!A:A,0),0),0)</f>
        <v>20282.026119384056</v>
      </c>
      <c r="K222" s="455">
        <f t="shared" ca="1" si="2"/>
        <v>15988.436964531775</v>
      </c>
      <c r="L222" s="455">
        <f t="shared" ca="1" si="3"/>
        <v>3853213.3084521573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3853213.3084521573</v>
      </c>
      <c r="J223" s="455">
        <f t="array" ref="J223">IFERROR(INDEX('Retirement Calculator'!K:K,MATCH('Lorri 401b'!N223,'Retirement Calculator'!A:A,0),0),0)</f>
        <v>20282.026119384056</v>
      </c>
      <c r="K223" s="455">
        <f t="shared" ca="1" si="2"/>
        <v>15970.547009719889</v>
      </c>
      <c r="L223" s="455">
        <f t="shared" ca="1" si="3"/>
        <v>3848901.8293424933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3848901.8293424933</v>
      </c>
      <c r="J224" s="455">
        <f t="array" ref="J224">IFERROR(INDEX('Retirement Calculator'!K:K,MATCH('Lorri 401b'!N224,'Retirement Calculator'!A:A,0),0),0)</f>
        <v>20282.026119384056</v>
      </c>
      <c r="K224" s="455">
        <f t="shared" ca="1" si="2"/>
        <v>15952.582513429623</v>
      </c>
      <c r="L224" s="455">
        <f t="shared" ca="1" si="3"/>
        <v>3844572.385736539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3844572.385736539</v>
      </c>
      <c r="J225" s="455">
        <f t="array" ref="J225">IFERROR(INDEX('Retirement Calculator'!K:K,MATCH('Lorri 401b'!N225,'Retirement Calculator'!A:A,0),0),0)</f>
        <v>20282.026119384056</v>
      </c>
      <c r="K225" s="455">
        <f t="shared" ca="1" si="2"/>
        <v>15934.543165071476</v>
      </c>
      <c r="L225" s="455">
        <f t="shared" ca="1" si="3"/>
        <v>3840224.9027822264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3840224.9027822264</v>
      </c>
      <c r="J226" s="455">
        <f t="array" ref="J226">IFERROR(INDEX('Retirement Calculator'!K:K,MATCH('Lorri 401b'!N226,'Retirement Calculator'!A:A,0),0),0)</f>
        <v>20282.026119384056</v>
      </c>
      <c r="K226" s="455">
        <f t="shared" ca="1" si="2"/>
        <v>15916.428652761846</v>
      </c>
      <c r="L226" s="455">
        <f t="shared" ca="1" si="3"/>
        <v>3835859.3053156044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3835859.3053156044</v>
      </c>
      <c r="J227" s="455">
        <f t="array" ref="J227">IFERROR(INDEX('Retirement Calculator'!K:K,MATCH('Lorri 401b'!N227,'Retirement Calculator'!A:A,0),0),0)</f>
        <v>20282.026119384056</v>
      </c>
      <c r="K227" s="455">
        <f t="shared" ca="1" si="2"/>
        <v>15898.238663317587</v>
      </c>
      <c r="L227" s="455">
        <f t="shared" ca="1" si="3"/>
        <v>3831475.5178595381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3831475.5178595381</v>
      </c>
      <c r="J228" s="455">
        <f t="array" ref="J228">IFERROR(INDEX('Retirement Calculator'!K:K,MATCH('Lorri 401b'!N228,'Retirement Calculator'!A:A,0),0),0)</f>
        <v>20282.026119384056</v>
      </c>
      <c r="K228" s="455">
        <f t="shared" ca="1" si="2"/>
        <v>15879.972882250642</v>
      </c>
      <c r="L228" s="455">
        <f t="shared" ca="1" si="3"/>
        <v>3827073.4646224049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3827073.4646224049</v>
      </c>
      <c r="J229" s="455">
        <f t="array" ref="J229">IFERROR(INDEX('Retirement Calculator'!K:K,MATCH('Lorri 401b'!N229,'Retirement Calculator'!A:A,0),0),0)</f>
        <v>20282.026119384056</v>
      </c>
      <c r="K229" s="455">
        <f t="shared" ca="1" si="2"/>
        <v>15861.630993762587</v>
      </c>
      <c r="L229" s="455">
        <f t="shared" ca="1" si="3"/>
        <v>3822653.0694967834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3822653.0694967834</v>
      </c>
      <c r="J230" s="455">
        <f t="array" ref="J230">IFERROR(INDEX('Retirement Calculator'!K:K,MATCH('Lorri 401b'!N230,'Retirement Calculator'!A:A,0),0),0)</f>
        <v>20282.026119384056</v>
      </c>
      <c r="K230" s="455">
        <f t="shared" ca="1" si="2"/>
        <v>15843.212680739163</v>
      </c>
      <c r="L230" s="455">
        <f t="shared" ca="1" si="3"/>
        <v>3818214.2560581388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3818214.2560581388</v>
      </c>
      <c r="J231" s="455">
        <f t="array" ref="J231">IFERROR(INDEX('Retirement Calculator'!K:K,MATCH('Lorri 401b'!N231,'Retirement Calculator'!A:A,0),0),0)</f>
        <v>20282.026119384056</v>
      </c>
      <c r="K231" s="455">
        <f t="shared" ca="1" si="2"/>
        <v>15824.717624744811</v>
      </c>
      <c r="L231" s="455">
        <f t="shared" ca="1" si="3"/>
        <v>3813756.9475634997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3813756.9475634997</v>
      </c>
      <c r="J232" s="455">
        <f t="array" ref="J232">IFERROR(INDEX('Retirement Calculator'!K:K,MATCH('Lorri 401b'!N232,'Retirement Calculator'!A:A,0),0),0)</f>
        <v>20282.026119384056</v>
      </c>
      <c r="K232" s="455">
        <f t="shared" ca="1" si="2"/>
        <v>15806.145506017148</v>
      </c>
      <c r="L232" s="455">
        <f t="shared" ca="1" si="3"/>
        <v>3809281.0669501331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3809281.0669501331</v>
      </c>
      <c r="J233" s="455">
        <f t="array" ref="J233">IFERROR(INDEX('Retirement Calculator'!K:K,MATCH('Lorri 401b'!N233,'Retirement Calculator'!A:A,0),0),0)</f>
        <v>20282.026119384056</v>
      </c>
      <c r="K233" s="455">
        <f t="shared" ca="1" si="2"/>
        <v>15787.496003461456</v>
      </c>
      <c r="L233" s="455">
        <f t="shared" ca="1" si="3"/>
        <v>3804786.5368342106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3804786.5368342106</v>
      </c>
      <c r="J234" s="455">
        <f t="array" ref="J234">IFERROR(INDEX('Retirement Calculator'!K:K,MATCH('Lorri 401b'!N234,'Retirement Calculator'!A:A,0),0),0)</f>
        <v>20282.026119384056</v>
      </c>
      <c r="K234" s="455">
        <f t="shared" ca="1" si="2"/>
        <v>15768.768794645111</v>
      </c>
      <c r="L234" s="455">
        <f t="shared" ca="1" si="3"/>
        <v>3800273.2795094717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3800273.2795094717</v>
      </c>
      <c r="J235" s="455">
        <f t="array" ref="J235">IFERROR(INDEX('Retirement Calculator'!K:K,MATCH('Lorri 401b'!N235,'Retirement Calculator'!A:A,0),0),0)</f>
        <v>20282.026119384056</v>
      </c>
      <c r="K235" s="455">
        <f t="shared" ca="1" si="2"/>
        <v>15749.963555792032</v>
      </c>
      <c r="L235" s="455">
        <f t="shared" ca="1" si="3"/>
        <v>3795741.2169458796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3795741.2169458796</v>
      </c>
      <c r="J236" s="455">
        <f t="array" ref="J236">IFERROR(INDEX('Retirement Calculator'!K:K,MATCH('Lorri 401b'!N236,'Retirement Calculator'!A:A,0),0),0)</f>
        <v>20282.026119384056</v>
      </c>
      <c r="K236" s="455">
        <f t="shared" ca="1" si="2"/>
        <v>15731.079961777064</v>
      </c>
      <c r="L236" s="455">
        <f t="shared" ca="1" si="3"/>
        <v>3791190.2707882728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3791190.2707882728</v>
      </c>
      <c r="J237" s="455">
        <f t="array" ref="J237">IFERROR(INDEX('Retirement Calculator'!K:K,MATCH('Lorri 401b'!N237,'Retirement Calculator'!A:A,0),0),0)</f>
        <v>20282.026119384056</v>
      </c>
      <c r="K237" s="455">
        <f t="shared" ca="1" si="2"/>
        <v>15712.117686120368</v>
      </c>
      <c r="L237" s="455">
        <f t="shared" ca="1" si="3"/>
        <v>3786620.3623550092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3786620.3623550092</v>
      </c>
      <c r="J238" s="455">
        <f t="array" ref="J238">IFERROR(INDEX('Retirement Calculator'!K:K,MATCH('Lorri 401b'!N238,'Retirement Calculator'!A:A,0),0),0)</f>
        <v>20282.026119384056</v>
      </c>
      <c r="K238" s="455">
        <f t="shared" ca="1" si="2"/>
        <v>15693.07640098177</v>
      </c>
      <c r="L238" s="455">
        <f t="shared" ca="1" si="3"/>
        <v>3782031.412636607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3782031.412636607</v>
      </c>
      <c r="J239" s="455">
        <f t="array" ref="J239">IFERROR(INDEX('Retirement Calculator'!K:K,MATCH('Lorri 401b'!N239,'Retirement Calculator'!A:A,0),0),0)</f>
        <v>20282.026119384056</v>
      </c>
      <c r="K239" s="455">
        <f t="shared" ca="1" si="2"/>
        <v>15673.955777155095</v>
      </c>
      <c r="L239" s="455">
        <f t="shared" ca="1" si="3"/>
        <v>3777423.3422943782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3777423.3422943782</v>
      </c>
      <c r="J240" s="455">
        <f t="array" ref="J240">IFERROR(INDEX('Retirement Calculator'!K:K,MATCH('Lorri 401b'!N240,'Retirement Calculator'!A:A,0),0),0)</f>
        <v>20282.026119384056</v>
      </c>
      <c r="K240" s="455">
        <f t="shared" ca="1" si="2"/>
        <v>15654.755484062476</v>
      </c>
      <c r="L240" s="455">
        <f t="shared" ca="1" si="3"/>
        <v>3772796.0716590565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3772796.0716590565</v>
      </c>
      <c r="J241" s="455">
        <f t="array" ref="J241">IFERROR(INDEX('Retirement Calculator'!K:K,MATCH('Lorri 401b'!N241,'Retirement Calculator'!A:A,0),0),0)</f>
        <v>20282.026119384056</v>
      </c>
      <c r="K241" s="455">
        <f t="shared" ca="1" si="2"/>
        <v>15635.475189748635</v>
      </c>
      <c r="L241" s="455">
        <f t="shared" ca="1" si="3"/>
        <v>3768149.5207294212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3768149.5207294212</v>
      </c>
      <c r="J242" s="455">
        <f t="array" ref="J242">IFERROR(INDEX('Retirement Calculator'!K:K,MATCH('Lorri 401b'!N242,'Retirement Calculator'!A:A,0),0),0)</f>
        <v>20282.026119384056</v>
      </c>
      <c r="K242" s="455">
        <f t="shared" ca="1" si="2"/>
        <v>15616.114560875152</v>
      </c>
      <c r="L242" s="455">
        <f t="shared" ca="1" si="3"/>
        <v>3763483.6091709123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3763483.6091709123</v>
      </c>
      <c r="J243" s="455">
        <f t="array" ref="J243">IFERROR(INDEX('Retirement Calculator'!K:K,MATCH('Lorri 401b'!N243,'Retirement Calculator'!A:A,0),0),0)</f>
        <v>20282.026119384056</v>
      </c>
      <c r="K243" s="455">
        <f t="shared" ca="1" si="2"/>
        <v>15596.673262714701</v>
      </c>
      <c r="L243" s="455">
        <f t="shared" ca="1" si="3"/>
        <v>3758798.2563142432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3758798.2563142432</v>
      </c>
      <c r="J244" s="455">
        <f t="array" ref="J244">IFERROR(INDEX('Retirement Calculator'!K:K,MATCH('Lorri 401b'!N244,'Retirement Calculator'!A:A,0),0),0)</f>
        <v>20282.026119384056</v>
      </c>
      <c r="K244" s="455">
        <f t="shared" ca="1" si="2"/>
        <v>15577.150959145247</v>
      </c>
      <c r="L244" s="455">
        <f t="shared" ca="1" si="3"/>
        <v>3754093.3811540045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3754093.3811540045</v>
      </c>
      <c r="J245" s="455">
        <f t="array" ref="J245">IFERROR(INDEX('Retirement Calculator'!K:K,MATCH('Lorri 401b'!N245,'Retirement Calculator'!A:A,0),0),0)</f>
        <v>20282.026119384056</v>
      </c>
      <c r="K245" s="455">
        <f t="shared" ca="1" si="2"/>
        <v>15557.547312644252</v>
      </c>
      <c r="L245" s="455">
        <f t="shared" ca="1" si="3"/>
        <v>3749368.9023472648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3749368.9023472648</v>
      </c>
      <c r="J246" s="455">
        <f t="array" ref="J246">IFERROR(INDEX('Retirement Calculator'!K:K,MATCH('Lorri 401b'!N246,'Retirement Calculator'!A:A,0),0),0)</f>
        <v>20282.026119384056</v>
      </c>
      <c r="K246" s="455">
        <f t="shared" ca="1" si="2"/>
        <v>15537.861984282839</v>
      </c>
      <c r="L246" s="455">
        <f t="shared" ca="1" si="3"/>
        <v>3744624.7382121636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3744624.7382121636</v>
      </c>
      <c r="J247" s="455">
        <f t="array" ref="J247">IFERROR(INDEX('Retirement Calculator'!K:K,MATCH('Lorri 401b'!N247,'Retirement Calculator'!A:A,0),0),0)</f>
        <v>20282.026119384056</v>
      </c>
      <c r="K247" s="455">
        <f t="shared" ca="1" si="2"/>
        <v>15518.094633719915</v>
      </c>
      <c r="L247" s="455">
        <f t="shared" ca="1" si="3"/>
        <v>3739860.8067264995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3739860.8067264995</v>
      </c>
      <c r="J248" s="455">
        <f t="array" ref="J248">IFERROR(INDEX('Retirement Calculator'!K:K,MATCH('Lorri 401b'!N248,'Retirement Calculator'!A:A,0),0),0)</f>
        <v>20282.026119384056</v>
      </c>
      <c r="K248" s="455">
        <f t="shared" ca="1" si="2"/>
        <v>15498.244919196315</v>
      </c>
      <c r="L248" s="455">
        <f t="shared" ca="1" si="3"/>
        <v>3735077.0255263117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3735077.0255263117</v>
      </c>
      <c r="J249" s="455">
        <f t="array" ref="J249">IFERROR(INDEX('Retirement Calculator'!K:K,MATCH('Lorri 401b'!N249,'Retirement Calculator'!A:A,0),0),0)</f>
        <v>20282.026119384056</v>
      </c>
      <c r="K249" s="455">
        <f t="shared" ca="1" si="2"/>
        <v>15478.312497528865</v>
      </c>
      <c r="L249" s="455">
        <f t="shared" ca="1" si="3"/>
        <v>3730273.3119044565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3730273.3119044565</v>
      </c>
      <c r="J250" s="455">
        <f t="array" ref="J250">IFERROR(INDEX('Retirement Calculator'!K:K,MATCH('Lorri 401b'!N250,'Retirement Calculator'!A:A,0),0),0)</f>
        <v>20282.026119384056</v>
      </c>
      <c r="K250" s="455">
        <f t="shared" ca="1" si="2"/>
        <v>15458.29702410447</v>
      </c>
      <c r="L250" s="455">
        <f t="shared" ca="1" si="3"/>
        <v>3725449.5828091768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3725449.5828091768</v>
      </c>
      <c r="J251" s="455">
        <f t="array" ref="J251">IFERROR(INDEX('Retirement Calculator'!K:K,MATCH('Lorri 401b'!N251,'Retirement Calculator'!A:A,0),0),0)</f>
        <v>20282.026119384056</v>
      </c>
      <c r="K251" s="455">
        <f t="shared" ca="1" si="2"/>
        <v>15438.198152874136</v>
      </c>
      <c r="L251" s="455">
        <f t="shared" ca="1" si="3"/>
        <v>3720605.7548426669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3720605.7548426669</v>
      </c>
      <c r="J252" s="455">
        <f t="array" ref="J252">IFERROR(INDEX('Retirement Calculator'!K:K,MATCH('Lorri 401b'!N252,'Retirement Calculator'!A:A,0),0),0)</f>
        <v>20282.026119384056</v>
      </c>
      <c r="K252" s="455">
        <f t="shared" ca="1" si="2"/>
        <v>15418.015536347011</v>
      </c>
      <c r="L252" s="455">
        <f t="shared" ca="1" si="3"/>
        <v>3715741.7442596299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3715741.7442596299</v>
      </c>
      <c r="J253" s="455">
        <f t="array" ref="J253">IFERROR(INDEX('Retirement Calculator'!K:K,MATCH('Lorri 401b'!N253,'Retirement Calculator'!A:A,0),0),0)</f>
        <v>20282.026119384056</v>
      </c>
      <c r="K253" s="455">
        <f t="shared" ca="1" si="2"/>
        <v>15397.74882558436</v>
      </c>
      <c r="L253" s="455">
        <f t="shared" ca="1" si="3"/>
        <v>3710857.4669658304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3710857.4669658304</v>
      </c>
      <c r="J254" s="455">
        <f t="array" ref="J254">IFERROR(INDEX('Retirement Calculator'!K:K,MATCH('Lorri 401b'!N254,'Retirement Calculator'!A:A,0),0),0)</f>
        <v>20282.026119384056</v>
      </c>
      <c r="K254" s="455">
        <f t="shared" ca="1" si="2"/>
        <v>15377.397670193524</v>
      </c>
      <c r="L254" s="455">
        <f t="shared" ca="1" si="3"/>
        <v>3705952.83851664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3705952.83851664</v>
      </c>
      <c r="J255" s="455">
        <f t="array" ref="J255">IFERROR(INDEX('Retirement Calculator'!K:K,MATCH('Lorri 401b'!N255,'Retirement Calculator'!A:A,0),0),0)</f>
        <v>20282.026119384056</v>
      </c>
      <c r="K255" s="455">
        <f t="shared" ca="1" si="2"/>
        <v>15356.961718321902</v>
      </c>
      <c r="L255" s="455">
        <f t="shared" ca="1" si="3"/>
        <v>3701027.7741155778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3701027.7741155778</v>
      </c>
      <c r="J256" s="455">
        <f t="array" ref="J256">IFERROR(INDEX('Retirement Calculator'!K:K,MATCH('Lorri 401b'!N256,'Retirement Calculator'!A:A,0),0),0)</f>
        <v>20282.026119384056</v>
      </c>
      <c r="K256" s="455">
        <f t="shared" ca="1" si="2"/>
        <v>15336.440616650807</v>
      </c>
      <c r="L256" s="455">
        <f t="shared" ca="1" si="3"/>
        <v>3696082.1886128448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3696082.1886128448</v>
      </c>
      <c r="J257" s="455">
        <f t="array" ref="J257">IFERROR(INDEX('Retirement Calculator'!K:K,MATCH('Lorri 401b'!N257,'Retirement Calculator'!A:A,0),0),0)</f>
        <v>20282.026119384056</v>
      </c>
      <c r="K257" s="455">
        <f t="shared" ca="1" si="2"/>
        <v>15315.834010389421</v>
      </c>
      <c r="L257" s="455">
        <f t="shared" ca="1" si="3"/>
        <v>3691115.9965038504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3691115.9965038504</v>
      </c>
      <c r="J258" s="455">
        <f t="array" ref="J258">IFERROR(INDEX('Retirement Calculator'!K:K,MATCH('Lorri 401b'!N258,'Retirement Calculator'!A:A,0),0),0)</f>
        <v>20282.026119384056</v>
      </c>
      <c r="K258" s="455">
        <f t="shared" ca="1" si="2"/>
        <v>15295.141543268612</v>
      </c>
      <c r="L258" s="455">
        <f t="shared" ca="1" si="3"/>
        <v>3686129.1119277352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3686129.1119277352</v>
      </c>
      <c r="J259" s="455">
        <f t="array" ref="J259">IFERROR(INDEX('Retirement Calculator'!K:K,MATCH('Lorri 401b'!N259,'Retirement Calculator'!A:A,0),0),0)</f>
        <v>20282.026119384056</v>
      </c>
      <c r="K259" s="455">
        <f t="shared" ca="1" si="2"/>
        <v>15274.362857534796</v>
      </c>
      <c r="L259" s="455">
        <f t="shared" ca="1" si="3"/>
        <v>3681121.4486658862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3681121.4486658862</v>
      </c>
      <c r="J260" s="455">
        <f t="array" ref="J260">IFERROR(INDEX('Retirement Calculator'!K:K,MATCH('Lorri 401b'!N260,'Retirement Calculator'!A:A,0),0),0)</f>
        <v>20282.026119384056</v>
      </c>
      <c r="K260" s="455">
        <f t="shared" ca="1" si="2"/>
        <v>15253.497593943759</v>
      </c>
      <c r="L260" s="455">
        <f t="shared" ca="1" si="3"/>
        <v>3676092.9201404462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3676092.9201404462</v>
      </c>
      <c r="J261" s="455">
        <f t="array" ref="J261">IFERROR(INDEX('Retirement Calculator'!K:K,MATCH('Lorri 401b'!N261,'Retirement Calculator'!A:A,0),0),0)</f>
        <v>20282.026119384056</v>
      </c>
      <c r="K261" s="455">
        <f t="shared" ca="1" si="2"/>
        <v>15232.545391754427</v>
      </c>
      <c r="L261" s="455">
        <f t="shared" ca="1" si="3"/>
        <v>3671043.4394128164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3671043.4394128164</v>
      </c>
      <c r="J262" s="455">
        <f t="array" ref="J262">IFERROR(INDEX('Retirement Calculator'!K:K,MATCH('Lorri 401b'!N262,'Retirement Calculator'!A:A,0),0),0)</f>
        <v>20282.026119384056</v>
      </c>
      <c r="K262" s="455">
        <f t="shared" ca="1" si="2"/>
        <v>15211.505888722635</v>
      </c>
      <c r="L262" s="455">
        <f t="shared" ca="1" si="3"/>
        <v>3665972.9191821553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3665972.9191821553</v>
      </c>
      <c r="J263" s="455">
        <f t="array" ref="J263">IFERROR(INDEX('Retirement Calculator'!K:K,MATCH('Lorri 401b'!N263,'Retirement Calculator'!A:A,0),0),0)</f>
        <v>20282.026119384056</v>
      </c>
      <c r="K263" s="455">
        <f t="shared" ref="K263:K517" ca="1" si="27">IPMT(M263/12,1,12,-I263+J263,,0)</f>
        <v>15190.378721094878</v>
      </c>
      <c r="L263" s="455">
        <f t="shared" ref="L263:L517" ca="1" si="28">I263-J263+K263</f>
        <v>3660881.271783866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3660881.271783866</v>
      </c>
      <c r="J264" s="455">
        <f t="array" ref="J264">IFERROR(INDEX('Retirement Calculator'!K:K,MATCH('Lorri 401b'!N264,'Retirement Calculator'!A:A,0),0),0)</f>
        <v>20282.026119384056</v>
      </c>
      <c r="K264" s="455">
        <f t="shared" ca="1" si="27"/>
        <v>15169.163523602008</v>
      </c>
      <c r="L264" s="455">
        <f t="shared" ca="1" si="28"/>
        <v>3655768.4091880838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3655768.4091880838</v>
      </c>
      <c r="J265" s="455">
        <f t="array" ref="J265">IFERROR(INDEX('Retirement Calculator'!K:K,MATCH('Lorri 401b'!N265,'Retirement Calculator'!A:A,0),0),0)</f>
        <v>20282.026119384056</v>
      </c>
      <c r="K265" s="455">
        <f t="shared" ca="1" si="27"/>
        <v>15147.859929452916</v>
      </c>
      <c r="L265" s="455">
        <f t="shared" ca="1" si="28"/>
        <v>3650634.242998153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3650634.242998153</v>
      </c>
      <c r="J266" s="455">
        <f t="array" ref="J266">IFERROR(INDEX('Retirement Calculator'!K:K,MATCH('Lorri 401b'!N266,'Retirement Calculator'!A:A,0),0),0)</f>
        <v>20282.026119384056</v>
      </c>
      <c r="K266" s="455">
        <f t="shared" ca="1" si="27"/>
        <v>15126.467570328205</v>
      </c>
      <c r="L266" s="455">
        <f t="shared" ca="1" si="28"/>
        <v>3645478.6844490971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3645478.6844490971</v>
      </c>
      <c r="J267" s="455">
        <f t="array" ref="J267">IFERROR(INDEX('Retirement Calculator'!K:K,MATCH('Lorri 401b'!N267,'Retirement Calculator'!A:A,0),0),0)</f>
        <v>20282.026119384056</v>
      </c>
      <c r="K267" s="455">
        <f t="shared" ca="1" si="27"/>
        <v>15104.986076373803</v>
      </c>
      <c r="L267" s="455">
        <f t="shared" ca="1" si="28"/>
        <v>3640301.6444060868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3640301.6444060868</v>
      </c>
      <c r="J268" s="455">
        <f t="array" ref="J268">IFERROR(INDEX('Retirement Calculator'!K:K,MATCH('Lorri 401b'!N268,'Retirement Calculator'!A:A,0),0),0)</f>
        <v>20282.026119384056</v>
      </c>
      <c r="K268" s="455">
        <f t="shared" ca="1" si="27"/>
        <v>15083.415076194595</v>
      </c>
      <c r="L268" s="455">
        <f t="shared" ca="1" si="28"/>
        <v>3635103.0333628976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3635103.0333628976</v>
      </c>
      <c r="J269" s="455">
        <f t="array" ref="J269">IFERROR(INDEX('Retirement Calculator'!K:K,MATCH('Lorri 401b'!N269,'Retirement Calculator'!A:A,0),0),0)</f>
        <v>20282.026119384056</v>
      </c>
      <c r="K269" s="455">
        <f t="shared" ca="1" si="27"/>
        <v>15061.754196847975</v>
      </c>
      <c r="L269" s="455">
        <f t="shared" ca="1" si="28"/>
        <v>3629882.7614403614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3629882.7614403614</v>
      </c>
      <c r="J270" s="455">
        <f t="array" ref="J270">IFERROR(INDEX('Retirement Calculator'!K:K,MATCH('Lorri 401b'!N270,'Retirement Calculator'!A:A,0),0),0)</f>
        <v>20282.026119384056</v>
      </c>
      <c r="K270" s="455">
        <f t="shared" ca="1" si="27"/>
        <v>15040.003063837406</v>
      </c>
      <c r="L270" s="455">
        <f t="shared" ca="1" si="28"/>
        <v>3624640.7383848149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3624640.7383848149</v>
      </c>
      <c r="J271" s="455">
        <f t="array" ref="J271">IFERROR(INDEX('Retirement Calculator'!K:K,MATCH('Lorri 401b'!N271,'Retirement Calculator'!A:A,0),0),0)</f>
        <v>20282.026119384056</v>
      </c>
      <c r="K271" s="455">
        <f t="shared" ca="1" si="27"/>
        <v>15018.16130110596</v>
      </c>
      <c r="L271" s="455">
        <f t="shared" ca="1" si="28"/>
        <v>3619376.8735665367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3619376.8735665367</v>
      </c>
      <c r="J272" s="455">
        <f t="array" ref="J272">IFERROR(INDEX('Retirement Calculator'!K:K,MATCH('Lorri 401b'!N272,'Retirement Calculator'!A:A,0),0),0)</f>
        <v>20282.026119384056</v>
      </c>
      <c r="K272" s="455">
        <f t="shared" ca="1" si="27"/>
        <v>14996.228531029805</v>
      </c>
      <c r="L272" s="455">
        <f t="shared" ca="1" si="28"/>
        <v>3614091.0759781827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3614091.0759781827</v>
      </c>
      <c r="J273" s="455">
        <f t="array" ref="J273">IFERROR(INDEX('Retirement Calculator'!K:K,MATCH('Lorri 401b'!N273,'Retirement Calculator'!A:A,0),0),0)</f>
        <v>20282.026119384056</v>
      </c>
      <c r="K273" s="455">
        <f t="shared" ca="1" si="27"/>
        <v>14974.204374411664</v>
      </c>
      <c r="L273" s="455">
        <f t="shared" ca="1" si="28"/>
        <v>3608783.2542332103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3608783.2542332103</v>
      </c>
      <c r="J274" s="455">
        <f t="array" ref="J274">IFERROR(INDEX('Retirement Calculator'!K:K,MATCH('Lorri 401b'!N274,'Retirement Calculator'!A:A,0),0),0)</f>
        <v>20282.026119384056</v>
      </c>
      <c r="K274" s="455">
        <f t="shared" ca="1" si="27"/>
        <v>14952.088450474279</v>
      </c>
      <c r="L274" s="455">
        <f t="shared" ca="1" si="28"/>
        <v>3603453.3165643006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3603453.3165643006</v>
      </c>
      <c r="J275" s="455">
        <f t="array" ref="J275">IFERROR(INDEX('Retirement Calculator'!K:K,MATCH('Lorri 401b'!N275,'Retirement Calculator'!A:A,0),0),0)</f>
        <v>20282.026119384056</v>
      </c>
      <c r="K275" s="455">
        <f t="shared" ca="1" si="27"/>
        <v>14929.880376853816</v>
      </c>
      <c r="L275" s="455">
        <f t="shared" ca="1" si="28"/>
        <v>3598101.1708217706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3598101.1708217706</v>
      </c>
      <c r="J276" s="455">
        <f t="array" ref="J276">IFERROR(INDEX('Retirement Calculator'!K:K,MATCH('Lorri 401b'!N276,'Retirement Calculator'!A:A,0),0),0)</f>
        <v>20282.026119384056</v>
      </c>
      <c r="K276" s="455">
        <f t="shared" ca="1" si="27"/>
        <v>14907.579769593278</v>
      </c>
      <c r="L276" s="455">
        <f t="shared" ca="1" si="28"/>
        <v>3592726.7244719798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3592726.7244719798</v>
      </c>
      <c r="J277" s="455">
        <f t="array" ref="J277">IFERROR(INDEX('Retirement Calculator'!K:K,MATCH('Lorri 401b'!N277,'Retirement Calculator'!A:A,0),0),0)</f>
        <v>20282.026119384056</v>
      </c>
      <c r="K277" s="455">
        <f t="shared" ca="1" si="27"/>
        <v>14885.186243135815</v>
      </c>
      <c r="L277" s="455">
        <f t="shared" ca="1" si="28"/>
        <v>3587329.8845957317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3587329.8845957317</v>
      </c>
      <c r="J278" s="455">
        <f t="array" ref="J278">IFERROR(INDEX('Retirement Calculator'!K:K,MATCH('Lorri 401b'!N278,'Retirement Calculator'!A:A,0),0),0)</f>
        <v>20282.026119384056</v>
      </c>
      <c r="K278" s="455">
        <f t="shared" ca="1" si="27"/>
        <v>14862.699410318113</v>
      </c>
      <c r="L278" s="455">
        <f t="shared" ca="1" si="28"/>
        <v>3581910.5578866657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3581910.5578866657</v>
      </c>
      <c r="J279" s="455">
        <f t="array" ref="J279">IFERROR(INDEX('Retirement Calculator'!K:K,MATCH('Lorri 401b'!N279,'Retirement Calculator'!A:A,0),0),0)</f>
        <v>20282.026119384056</v>
      </c>
      <c r="K279" s="455">
        <f t="shared" ca="1" si="27"/>
        <v>14840.118882363671</v>
      </c>
      <c r="L279" s="455">
        <f t="shared" ca="1" si="28"/>
        <v>3576468.6506496454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3576468.6506496454</v>
      </c>
      <c r="J280" s="455">
        <f t="array" ref="J280">IFERROR(INDEX('Retirement Calculator'!K:K,MATCH('Lorri 401b'!N280,'Retirement Calculator'!A:A,0),0),0)</f>
        <v>20282.026119384056</v>
      </c>
      <c r="K280" s="455">
        <f t="shared" ca="1" si="27"/>
        <v>14817.444268876086</v>
      </c>
      <c r="L280" s="455">
        <f t="shared" ca="1" si="28"/>
        <v>3571004.0687991376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3571004.0687991376</v>
      </c>
      <c r="J281" s="455">
        <f t="array" ref="J281">IFERROR(INDEX('Retirement Calculator'!K:K,MATCH('Lorri 401b'!N281,'Retirement Calculator'!A:A,0),0),0)</f>
        <v>20282.026119384056</v>
      </c>
      <c r="K281" s="455">
        <f t="shared" ca="1" si="27"/>
        <v>14794.675177832307</v>
      </c>
      <c r="L281" s="455">
        <f t="shared" ca="1" si="28"/>
        <v>3565516.7178575858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3565516.7178575858</v>
      </c>
      <c r="J282" s="455">
        <f t="array" ref="J282">IFERROR(INDEX('Retirement Calculator'!K:K,MATCH('Lorri 401b'!N282,'Retirement Calculator'!A:A,0),0),0)</f>
        <v>20282.026119384056</v>
      </c>
      <c r="K282" s="455">
        <f t="shared" ca="1" si="27"/>
        <v>14771.811215575841</v>
      </c>
      <c r="L282" s="455">
        <f t="shared" ca="1" si="28"/>
        <v>3560006.5029537776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3560006.5029537776</v>
      </c>
      <c r="J283" s="455">
        <f t="array" ref="J283">IFERROR(INDEX('Retirement Calculator'!K:K,MATCH('Lorri 401b'!N283,'Retirement Calculator'!A:A,0),0),0)</f>
        <v>20282.026119384056</v>
      </c>
      <c r="K283" s="455">
        <f t="shared" ca="1" si="27"/>
        <v>14748.851986809976</v>
      </c>
      <c r="L283" s="455">
        <f t="shared" ca="1" si="28"/>
        <v>3554473.3288212037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3554473.3288212037</v>
      </c>
      <c r="J284" s="455">
        <f t="array" ref="J284">IFERROR(INDEX('Retirement Calculator'!K:K,MATCH('Lorri 401b'!N284,'Retirement Calculator'!A:A,0),0),0)</f>
        <v>20282.026119384056</v>
      </c>
      <c r="K284" s="455">
        <f t="shared" ca="1" si="27"/>
        <v>14725.797094590915</v>
      </c>
      <c r="L284" s="455">
        <f t="shared" ca="1" si="28"/>
        <v>3548917.0997964107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3548917.0997964107</v>
      </c>
      <c r="J285" s="455">
        <f t="array" ref="J285">IFERROR(INDEX('Retirement Calculator'!K:K,MATCH('Lorri 401b'!N285,'Retirement Calculator'!A:A,0),0),0)</f>
        <v>20282.026119384056</v>
      </c>
      <c r="K285" s="455">
        <f t="shared" ca="1" si="27"/>
        <v>14702.646140320945</v>
      </c>
      <c r="L285" s="455">
        <f t="shared" ca="1" si="28"/>
        <v>3543337.7198173478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3543337.7198173478</v>
      </c>
      <c r="J286" s="455">
        <f t="array" ref="J286">IFERROR(INDEX('Retirement Calculator'!K:K,MATCH('Lorri 401b'!N286,'Retirement Calculator'!A:A,0),0),0)</f>
        <v>20282.026119384056</v>
      </c>
      <c r="K286" s="455">
        <f t="shared" ca="1" si="27"/>
        <v>14679.398723741515</v>
      </c>
      <c r="L286" s="455">
        <f t="shared" ca="1" si="28"/>
        <v>3537735.0924217054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3537735.0924217054</v>
      </c>
      <c r="J287" s="455">
        <f t="array" ref="J287">IFERROR(INDEX('Retirement Calculator'!K:K,MATCH('Lorri 401b'!N287,'Retirement Calculator'!A:A,0),0),0)</f>
        <v>20282.026119384056</v>
      </c>
      <c r="K287" s="455">
        <f t="shared" ca="1" si="27"/>
        <v>14656.054442926339</v>
      </c>
      <c r="L287" s="455">
        <f t="shared" ca="1" si="28"/>
        <v>3532109.1207452477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3532109.1207452477</v>
      </c>
      <c r="J288" s="455">
        <f t="array" ref="J288">IFERROR(INDEX('Retirement Calculator'!K:K,MATCH('Lorri 401b'!N288,'Retirement Calculator'!A:A,0),0),0)</f>
        <v>20282.026119384056</v>
      </c>
      <c r="K288" s="455">
        <f t="shared" ca="1" si="27"/>
        <v>14632.612894274433</v>
      </c>
      <c r="L288" s="455">
        <f t="shared" ca="1" si="28"/>
        <v>3526459.707520138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3526459.707520138</v>
      </c>
      <c r="J289" s="455">
        <f t="array" ref="J289">IFERROR(INDEX('Retirement Calculator'!K:K,MATCH('Lorri 401b'!N289,'Retirement Calculator'!A:A,0),0),0)</f>
        <v>20282.026119384056</v>
      </c>
      <c r="K289" s="455">
        <f t="shared" ca="1" si="27"/>
        <v>14609.073672503142</v>
      </c>
      <c r="L289" s="455">
        <f t="shared" ca="1" si="28"/>
        <v>3520786.7550732573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3520786.7550732573</v>
      </c>
      <c r="J290" s="455">
        <f t="array" ref="J290">IFERROR(INDEX('Retirement Calculator'!K:K,MATCH('Lorri 401b'!N290,'Retirement Calculator'!A:A,0),0),0)</f>
        <v>20282.026119384056</v>
      </c>
      <c r="K290" s="455">
        <f t="shared" ca="1" si="27"/>
        <v>14585.436370641139</v>
      </c>
      <c r="L290" s="455">
        <f t="shared" ca="1" si="28"/>
        <v>3515090.1653245143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3515090.1653245143</v>
      </c>
      <c r="J291" s="455">
        <f t="array" ref="J291">IFERROR(INDEX('Retirement Calculator'!K:K,MATCH('Lorri 401b'!N291,'Retirement Calculator'!A:A,0),0),0)</f>
        <v>20282.026119384056</v>
      </c>
      <c r="K291" s="455">
        <f t="shared" ca="1" si="27"/>
        <v>14561.700580021377</v>
      </c>
      <c r="L291" s="455">
        <f t="shared" ca="1" si="28"/>
        <v>3509369.8397851516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3509369.8397851516</v>
      </c>
      <c r="J292" s="455">
        <f t="array" ref="J292">IFERROR(INDEX('Retirement Calculator'!K:K,MATCH('Lorri 401b'!N292,'Retirement Calculator'!A:A,0),0),0)</f>
        <v>20282.026119384056</v>
      </c>
      <c r="K292" s="455">
        <f t="shared" ca="1" si="27"/>
        <v>14537.865890274032</v>
      </c>
      <c r="L292" s="455">
        <f t="shared" ca="1" si="28"/>
        <v>3503625.6795560415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3503625.6795560415</v>
      </c>
      <c r="J293" s="455">
        <f t="array" ref="J293">IFERROR(INDEX('Retirement Calculator'!K:K,MATCH('Lorri 401b'!N293,'Retirement Calculator'!A:A,0),0),0)</f>
        <v>20282.026119384056</v>
      </c>
      <c r="K293" s="455">
        <f t="shared" ca="1" si="27"/>
        <v>14513.931889319409</v>
      </c>
      <c r="L293" s="455">
        <f t="shared" ca="1" si="28"/>
        <v>3497857.5853259768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3497857.5853259768</v>
      </c>
      <c r="J294" s="455">
        <f t="array" ref="J294">IFERROR(INDEX('Retirement Calculator'!K:K,MATCH('Lorri 401b'!N294,'Retirement Calculator'!A:A,0),0),0)</f>
        <v>20282.026119384056</v>
      </c>
      <c r="K294" s="455">
        <f t="shared" ca="1" si="27"/>
        <v>14489.898163360804</v>
      </c>
      <c r="L294" s="455">
        <f t="shared" ca="1" si="28"/>
        <v>3492065.4573699539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3492065.4573699539</v>
      </c>
      <c r="J295" s="455">
        <f t="array" ref="J295">IFERROR(INDEX('Retirement Calculator'!K:K,MATCH('Lorri 401b'!N295,'Retirement Calculator'!A:A,0),0),0)</f>
        <v>20282.026119384056</v>
      </c>
      <c r="K295" s="455">
        <f t="shared" ca="1" si="27"/>
        <v>14465.764296877376</v>
      </c>
      <c r="L295" s="455">
        <f t="shared" ca="1" si="28"/>
        <v>3486249.1955474471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3486249.1955474471</v>
      </c>
      <c r="J296" s="455">
        <f t="array" ref="J296">IFERROR(INDEX('Retirement Calculator'!K:K,MATCH('Lorri 401b'!N296,'Retirement Calculator'!A:A,0),0),0)</f>
        <v>20282.026119384056</v>
      </c>
      <c r="K296" s="455">
        <f t="shared" ca="1" si="27"/>
        <v>14441.529872616931</v>
      </c>
      <c r="L296" s="455">
        <f t="shared" ca="1" si="28"/>
        <v>3480408.6993006798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3480408.6993006798</v>
      </c>
      <c r="J297" s="455">
        <f t="array" ref="J297">IFERROR(INDEX('Retirement Calculator'!K:K,MATCH('Lorri 401b'!N297,'Retirement Calculator'!A:A,0),0),0)</f>
        <v>20282.026119384056</v>
      </c>
      <c r="K297" s="455">
        <f t="shared" ca="1" si="27"/>
        <v>14417.194471588731</v>
      </c>
      <c r="L297" s="455">
        <f t="shared" ca="1" si="28"/>
        <v>3474543.8676528847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3474543.8676528847</v>
      </c>
      <c r="J298" s="455">
        <f t="array" ref="J298">IFERROR(INDEX('Retirement Calculator'!K:K,MATCH('Lorri 401b'!N298,'Retirement Calculator'!A:A,0),0),0)</f>
        <v>20282.026119384056</v>
      </c>
      <c r="K298" s="455">
        <f t="shared" ca="1" si="27"/>
        <v>14392.757673056252</v>
      </c>
      <c r="L298" s="455">
        <f t="shared" ca="1" si="28"/>
        <v>3468654.599206557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3468654.599206557</v>
      </c>
      <c r="J299" s="455">
        <f t="array" ref="J299">IFERROR(INDEX('Retirement Calculator'!K:K,MATCH('Lorri 401b'!N299,'Retirement Calculator'!A:A,0),0),0)</f>
        <v>20282.026119384056</v>
      </c>
      <c r="K299" s="455">
        <f t="shared" ca="1" si="27"/>
        <v>14368.219054529889</v>
      </c>
      <c r="L299" s="455">
        <f t="shared" ca="1" si="28"/>
        <v>3462740.792141703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3462740.792141703</v>
      </c>
      <c r="J300" s="455">
        <f t="array" ref="J300">IFERROR(INDEX('Retirement Calculator'!K:K,MATCH('Lorri 401b'!N300,'Retirement Calculator'!A:A,0),0),0)</f>
        <v>20282.026119384056</v>
      </c>
      <c r="K300" s="455">
        <f t="shared" ca="1" si="27"/>
        <v>14343.578191759661</v>
      </c>
      <c r="L300" s="455">
        <f t="shared" ca="1" si="28"/>
        <v>3456802.3442140785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3456802.3442140785</v>
      </c>
      <c r="J301" s="455">
        <f t="array" ref="J301">IFERROR(INDEX('Retirement Calculator'!K:K,MATCH('Lorri 401b'!N301,'Retirement Calculator'!A:A,0),0),0)</f>
        <v>20282.026119384056</v>
      </c>
      <c r="K301" s="455">
        <f t="shared" ca="1" si="27"/>
        <v>14318.834658727894</v>
      </c>
      <c r="L301" s="455">
        <f t="shared" ca="1" si="28"/>
        <v>3450839.1527534225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3450839.1527534225</v>
      </c>
      <c r="J302" s="455">
        <f t="array" ref="J302">IFERROR(INDEX('Retirement Calculator'!K:K,MATCH('Lorri 401b'!N302,'Retirement Calculator'!A:A,0),0),0)</f>
        <v>20282.026119384056</v>
      </c>
      <c r="K302" s="455">
        <f t="shared" ca="1" si="27"/>
        <v>14293.988027641828</v>
      </c>
      <c r="L302" s="455">
        <f t="shared" ca="1" si="28"/>
        <v>3444851.1146616805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3444851.1146616805</v>
      </c>
      <c r="J303" s="455">
        <f t="array" ref="J303">IFERROR(INDEX('Retirement Calculator'!K:K,MATCH('Lorri 401b'!N303,'Retirement Calculator'!A:A,0),0),0)</f>
        <v>20282.026119384056</v>
      </c>
      <c r="K303" s="455">
        <f t="shared" ca="1" si="27"/>
        <v>14269.037868926234</v>
      </c>
      <c r="L303" s="455">
        <f t="shared" ca="1" si="28"/>
        <v>3438838.1264112229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3438838.1264112229</v>
      </c>
      <c r="J304" s="455">
        <f t="array" ref="J304">IFERROR(INDEX('Retirement Calculator'!K:K,MATCH('Lorri 401b'!N304,'Retirement Calculator'!A:A,0),0),0)</f>
        <v>20282.026119384056</v>
      </c>
      <c r="K304" s="455">
        <f t="shared" ca="1" si="27"/>
        <v>14243.983751215996</v>
      </c>
      <c r="L304" s="455">
        <f t="shared" ca="1" si="28"/>
        <v>3432800.0840430548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3432800.0840430548</v>
      </c>
      <c r="J305" s="455">
        <f t="array" ref="J305">IFERROR(INDEX('Retirement Calculator'!K:K,MATCH('Lorri 401b'!N305,'Retirement Calculator'!A:A,0),0),0)</f>
        <v>20282.026119384056</v>
      </c>
      <c r="K305" s="455">
        <f t="shared" ca="1" si="27"/>
        <v>14218.82524134863</v>
      </c>
      <c r="L305" s="455">
        <f t="shared" ca="1" si="28"/>
        <v>3426736.8831650196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3426736.8831650196</v>
      </c>
      <c r="J306" s="455">
        <f t="array" ref="J306">IFERROR(INDEX('Retirement Calculator'!K:K,MATCH('Lorri 401b'!N306,'Retirement Calculator'!A:A,0),0),0)</f>
        <v>20282.026119384056</v>
      </c>
      <c r="K306" s="455">
        <f t="shared" ca="1" si="27"/>
        <v>14193.561904356813</v>
      </c>
      <c r="L306" s="455">
        <f t="shared" ca="1" si="28"/>
        <v>3420648.4189499924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3420648.4189499924</v>
      </c>
      <c r="J307" s="455">
        <f t="array" ref="J307">IFERROR(INDEX('Retirement Calculator'!K:K,MATCH('Lorri 401b'!N307,'Retirement Calculator'!A:A,0),0),0)</f>
        <v>20282.026119384056</v>
      </c>
      <c r="K307" s="455">
        <f t="shared" ca="1" si="27"/>
        <v>14168.19330346087</v>
      </c>
      <c r="L307" s="455">
        <f t="shared" ca="1" si="28"/>
        <v>3414534.5861340691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3414534.5861340691</v>
      </c>
      <c r="J308" s="455">
        <f t="array" ref="J308">IFERROR(INDEX('Retirement Calculator'!K:K,MATCH('Lorri 401b'!N308,'Retirement Calculator'!A:A,0),0),0)</f>
        <v>20282.026119384056</v>
      </c>
      <c r="K308" s="455">
        <f t="shared" ca="1" si="27"/>
        <v>14142.719000061188</v>
      </c>
      <c r="L308" s="455">
        <f t="shared" ca="1" si="28"/>
        <v>3408395.2790147462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3408395.2790147462</v>
      </c>
      <c r="J309" s="455">
        <f t="array" ref="J309">IFERROR(INDEX('Retirement Calculator'!K:K,MATCH('Lorri 401b'!N309,'Retirement Calculator'!A:A,0),0),0)</f>
        <v>20282.026119384056</v>
      </c>
      <c r="K309" s="455">
        <f t="shared" ca="1" si="27"/>
        <v>14117.138553730676</v>
      </c>
      <c r="L309" s="455">
        <f t="shared" ca="1" si="28"/>
        <v>3402230.3914490929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3402230.3914490929</v>
      </c>
      <c r="J310" s="455">
        <f t="array" ref="J310">IFERROR(INDEX('Retirement Calculator'!K:K,MATCH('Lorri 401b'!N310,'Retirement Calculator'!A:A,0),0),0)</f>
        <v>20282.026119384056</v>
      </c>
      <c r="K310" s="455">
        <f t="shared" ca="1" si="27"/>
        <v>14091.451522207122</v>
      </c>
      <c r="L310" s="455">
        <f t="shared" ca="1" si="28"/>
        <v>3396039.8168519163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3396039.8168519163</v>
      </c>
      <c r="J311" s="455">
        <f t="array" ref="J311">IFERROR(INDEX('Retirement Calculator'!K:K,MATCH('Lorri 401b'!N311,'Retirement Calculator'!A:A,0),0),0)</f>
        <v>20282.026119384056</v>
      </c>
      <c r="K311" s="455">
        <f t="shared" ca="1" si="27"/>
        <v>14065.65746138555</v>
      </c>
      <c r="L311" s="455">
        <f t="shared" ca="1" si="28"/>
        <v>3389823.448193918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3389823.448193918</v>
      </c>
      <c r="J312" s="455">
        <f t="array" ref="J312">IFERROR(INDEX('Retirement Calculator'!K:K,MATCH('Lorri 401b'!N312,'Retirement Calculator'!A:A,0),0),0)</f>
        <v>20282.026119384056</v>
      </c>
      <c r="K312" s="455">
        <f t="shared" ca="1" si="27"/>
        <v>14039.755925310557</v>
      </c>
      <c r="L312" s="455">
        <f t="shared" ca="1" si="28"/>
        <v>3383581.1779998448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3383581.1779998448</v>
      </c>
      <c r="J313" s="455">
        <f t="array" ref="J313">IFERROR(INDEX('Retirement Calculator'!K:K,MATCH('Lorri 401b'!N313,'Retirement Calculator'!A:A,0),0),0)</f>
        <v>20282.026119384056</v>
      </c>
      <c r="K313" s="455">
        <f t="shared" ca="1" si="27"/>
        <v>14013.746466168586</v>
      </c>
      <c r="L313" s="455">
        <f t="shared" ca="1" si="28"/>
        <v>3377312.8983466295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3377312.8983466295</v>
      </c>
      <c r="J314" s="455">
        <f t="array" ref="J314">IFERROR(INDEX('Retirement Calculator'!K:K,MATCH('Lorri 401b'!N314,'Retirement Calculator'!A:A,0),0),0)</f>
        <v>20282.026119384056</v>
      </c>
      <c r="K314" s="455">
        <f t="shared" ca="1" si="27"/>
        <v>13987.628634280189</v>
      </c>
      <c r="L314" s="455">
        <f t="shared" ca="1" si="28"/>
        <v>3371018.5008615255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3371018.5008615255</v>
      </c>
      <c r="J315" s="455">
        <f t="array" ref="J315">IFERROR(INDEX('Retirement Calculator'!K:K,MATCH('Lorri 401b'!N315,'Retirement Calculator'!A:A,0),0),0)</f>
        <v>20282.026119384056</v>
      </c>
      <c r="K315" s="455">
        <f t="shared" ca="1" si="27"/>
        <v>13961.401978092255</v>
      </c>
      <c r="L315" s="455">
        <f t="shared" ca="1" si="28"/>
        <v>3364697.8767202338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3364697.8767202338</v>
      </c>
      <c r="J316" s="455">
        <f t="array" ref="J316">IFERROR(INDEX('Retirement Calculator'!K:K,MATCH('Lorri 401b'!N316,'Retirement Calculator'!A:A,0),0),0)</f>
        <v>20282.026119384056</v>
      </c>
      <c r="K316" s="455">
        <f t="shared" ca="1" si="27"/>
        <v>13935.066044170208</v>
      </c>
      <c r="L316" s="455">
        <f t="shared" ca="1" si="28"/>
        <v>3358350.9166450202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3358350.9166450202</v>
      </c>
      <c r="J317" s="455">
        <f t="array" ref="J317">IFERROR(INDEX('Retirement Calculator'!K:K,MATCH('Lorri 401b'!N317,'Retirement Calculator'!A:A,0),0),0)</f>
        <v>20282.026119384056</v>
      </c>
      <c r="K317" s="455">
        <f t="shared" ca="1" si="27"/>
        <v>13908.620377190151</v>
      </c>
      <c r="L317" s="455">
        <f t="shared" ca="1" si="28"/>
        <v>3351977.5109028262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3351977.5109028262</v>
      </c>
      <c r="J318" s="455">
        <f t="array" ref="J318">IFERROR(INDEX('Retirement Calculator'!K:K,MATCH('Lorri 401b'!N318,'Retirement Calculator'!A:A,0),0),0)</f>
        <v>20282.026119384056</v>
      </c>
      <c r="K318" s="455">
        <f t="shared" ca="1" si="27"/>
        <v>13882.064519931009</v>
      </c>
      <c r="L318" s="455">
        <f t="shared" ca="1" si="28"/>
        <v>3345577.5493033733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3345577.5493033733</v>
      </c>
      <c r="J319" s="455">
        <f t="array" ref="J319">IFERROR(INDEX('Retirement Calculator'!K:K,MATCH('Lorri 401b'!N319,'Retirement Calculator'!A:A,0),0),0)</f>
        <v>20282.026119384056</v>
      </c>
      <c r="K319" s="455">
        <f t="shared" ca="1" si="27"/>
        <v>13855.398013266622</v>
      </c>
      <c r="L319" s="455">
        <f t="shared" ca="1" si="28"/>
        <v>3339150.9211972561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3339150.9211972561</v>
      </c>
      <c r="J320" s="455">
        <f t="array" ref="J320">IFERROR(INDEX('Retirement Calculator'!K:K,MATCH('Lorri 401b'!N320,'Retirement Calculator'!A:A,0),0),0)</f>
        <v>20282.026119384056</v>
      </c>
      <c r="K320" s="455">
        <f t="shared" ca="1" si="27"/>
        <v>13828.620396157799</v>
      </c>
      <c r="L320" s="455">
        <f t="shared" ca="1" si="28"/>
        <v>3332697.5154740298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3332697.5154740298</v>
      </c>
      <c r="J321" s="455">
        <f t="array" ref="J321">IFERROR(INDEX('Retirement Calculator'!K:K,MATCH('Lorri 401b'!N321,'Retirement Calculator'!A:A,0),0),0)</f>
        <v>20282.026119384056</v>
      </c>
      <c r="K321" s="455">
        <f t="shared" ca="1" si="27"/>
        <v>13801.731205644355</v>
      </c>
      <c r="L321" s="455">
        <f t="shared" ca="1" si="28"/>
        <v>3326217.2205602904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3326217.2205602904</v>
      </c>
      <c r="J322" s="455">
        <f t="array" ref="J322">IFERROR(INDEX('Retirement Calculator'!K:K,MATCH('Lorri 401b'!N322,'Retirement Calculator'!A:A,0),0),0)</f>
        <v>20282.026119384056</v>
      </c>
      <c r="K322" s="455">
        <f t="shared" ca="1" si="27"/>
        <v>13774.72997683711</v>
      </c>
      <c r="L322" s="455">
        <f t="shared" ca="1" si="28"/>
        <v>3319709.9244177435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3319709.9244177435</v>
      </c>
      <c r="J323" s="455">
        <f t="array" ref="J323">IFERROR(INDEX('Retirement Calculator'!K:K,MATCH('Lorri 401b'!N323,'Retirement Calculator'!A:A,0),0),0)</f>
        <v>20282.026119384056</v>
      </c>
      <c r="K323" s="455">
        <f t="shared" ca="1" si="27"/>
        <v>13747.616242909831</v>
      </c>
      <c r="L323" s="455">
        <f t="shared" ca="1" si="28"/>
        <v>3313175.5145412693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3313175.5145412693</v>
      </c>
      <c r="J324" s="455">
        <f t="array" ref="J324">IFERROR(INDEX('Retirement Calculator'!K:K,MATCH('Lorri 401b'!N324,'Retirement Calculator'!A:A,0),0),0)</f>
        <v>20282.026119384056</v>
      </c>
      <c r="K324" s="455">
        <f t="shared" ca="1" si="27"/>
        <v>13720.389535091186</v>
      </c>
      <c r="L324" s="455">
        <f t="shared" ca="1" si="28"/>
        <v>3306613.8779569766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3306613.8779569766</v>
      </c>
      <c r="J325" s="455">
        <f t="array" ref="J325">IFERROR(INDEX('Retirement Calculator'!K:K,MATCH('Lorri 401b'!N325,'Retirement Calculator'!A:A,0),0),0)</f>
        <v>20282.026119384056</v>
      </c>
      <c r="K325" s="455">
        <f t="shared" ca="1" si="27"/>
        <v>13693.049382656634</v>
      </c>
      <c r="L325" s="455">
        <f t="shared" ca="1" si="28"/>
        <v>3300024.9012202495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3300024.9012202495</v>
      </c>
      <c r="J326" s="455">
        <f t="array" ref="J326">IFERROR(INDEX('Retirement Calculator'!K:K,MATCH('Lorri 401b'!N326,'Retirement Calculator'!A:A,0),0),0)</f>
        <v>20282.026119384056</v>
      </c>
      <c r="K326" s="455">
        <f t="shared" ca="1" si="27"/>
        <v>13665.595312920273</v>
      </c>
      <c r="L326" s="455">
        <f t="shared" ca="1" si="28"/>
        <v>3293408.4704137859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3293408.4704137859</v>
      </c>
      <c r="J327" s="455">
        <f t="array" ref="J327">IFERROR(INDEX('Retirement Calculator'!K:K,MATCH('Lorri 401b'!N327,'Retirement Calculator'!A:A,0),0),0)</f>
        <v>20282.026119384056</v>
      </c>
      <c r="K327" s="455">
        <f t="shared" ca="1" si="27"/>
        <v>13638.026851226674</v>
      </c>
      <c r="L327" s="455">
        <f t="shared" ca="1" si="28"/>
        <v>3286764.4711456285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3286764.4711456285</v>
      </c>
      <c r="J328" s="455">
        <f t="array" ref="J328">IFERROR(INDEX('Retirement Calculator'!K:K,MATCH('Lorri 401b'!N328,'Retirement Calculator'!A:A,0),0),0)</f>
        <v>20282.026119384056</v>
      </c>
      <c r="K328" s="455">
        <f t="shared" ca="1" si="27"/>
        <v>13610.343520942684</v>
      </c>
      <c r="L328" s="455">
        <f t="shared" ca="1" si="28"/>
        <v>3280092.7885471871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3280092.7885471871</v>
      </c>
      <c r="J329" s="455">
        <f t="array" ref="J329">IFERROR(INDEX('Retirement Calculator'!K:K,MATCH('Lorri 401b'!N329,'Retirement Calculator'!A:A,0),0),0)</f>
        <v>20282.026119384056</v>
      </c>
      <c r="K329" s="455">
        <f t="shared" ca="1" si="27"/>
        <v>13582.544843449179</v>
      </c>
      <c r="L329" s="455">
        <f t="shared" ca="1" si="28"/>
        <v>3273393.3072712524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3273393.3072712524</v>
      </c>
      <c r="J330" s="455">
        <f t="array" ref="J330">IFERROR(INDEX('Retirement Calculator'!K:K,MATCH('Lorri 401b'!N330,'Retirement Calculator'!A:A,0),0),0)</f>
        <v>20282.026119384056</v>
      </c>
      <c r="K330" s="455">
        <f t="shared" ca="1" si="27"/>
        <v>13554.630338132785</v>
      </c>
      <c r="L330" s="455">
        <f t="shared" ca="1" si="28"/>
        <v>3266665.9114900013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3266665.9114900013</v>
      </c>
      <c r="J331" s="455">
        <f t="array" ref="J331">IFERROR(INDEX('Retirement Calculator'!K:K,MATCH('Lorri 401b'!N331,'Retirement Calculator'!A:A,0),0),0)</f>
        <v>20282.026119384056</v>
      </c>
      <c r="K331" s="455">
        <f t="shared" ca="1" si="27"/>
        <v>13526.599522377572</v>
      </c>
      <c r="L331" s="455">
        <f t="shared" ca="1" si="28"/>
        <v>3259910.4848929946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3259910.4848929946</v>
      </c>
      <c r="J332" s="455">
        <f t="array" ref="J332">IFERROR(INDEX('Retirement Calculator'!K:K,MATCH('Lorri 401b'!N332,'Retirement Calculator'!A:A,0),0),0)</f>
        <v>20282.026119384056</v>
      </c>
      <c r="K332" s="455">
        <f t="shared" ca="1" si="27"/>
        <v>13498.451911556711</v>
      </c>
      <c r="L332" s="455">
        <f t="shared" ca="1" si="28"/>
        <v>3253126.9106851672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3253126.9106851672</v>
      </c>
      <c r="J333" s="455">
        <f t="array" ref="J333">IFERROR(INDEX('Retirement Calculator'!K:K,MATCH('Lorri 401b'!N333,'Retirement Calculator'!A:A,0),0),0)</f>
        <v>20282.026119384056</v>
      </c>
      <c r="K333" s="455">
        <f t="shared" ca="1" si="27"/>
        <v>13470.187019024097</v>
      </c>
      <c r="L333" s="455">
        <f t="shared" ca="1" si="28"/>
        <v>3246315.0715848072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3246315.0715848072</v>
      </c>
      <c r="J334" s="455">
        <f t="array" ref="J334">IFERROR(INDEX('Retirement Calculator'!K:K,MATCH('Lorri 401b'!N334,'Retirement Calculator'!A:A,0),0),0)</f>
        <v>20282.026119384056</v>
      </c>
      <c r="K334" s="455">
        <f t="shared" ca="1" si="27"/>
        <v>13441.804356105929</v>
      </c>
      <c r="L334" s="455">
        <f t="shared" ca="1" si="28"/>
        <v>3239474.8498215294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3239474.8498215294</v>
      </c>
      <c r="J335" s="455">
        <f t="array" ref="J335">IFERROR(INDEX('Retirement Calculator'!K:K,MATCH('Lorri 401b'!N335,'Retirement Calculator'!A:A,0),0),0)</f>
        <v>20282.026119384056</v>
      </c>
      <c r="K335" s="455">
        <f t="shared" ca="1" si="27"/>
        <v>13413.303432092272</v>
      </c>
      <c r="L335" s="455">
        <f t="shared" ca="1" si="28"/>
        <v>3232606.1271342374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3232606.1271342374</v>
      </c>
      <c r="J336" s="455">
        <f t="array" ref="J336">IFERROR(INDEX('Retirement Calculator'!K:K,MATCH('Lorri 401b'!N336,'Retirement Calculator'!A:A,0),0),0)</f>
        <v>20282.026119384056</v>
      </c>
      <c r="K336" s="455">
        <f t="shared" ca="1" si="27"/>
        <v>13384.683754228556</v>
      </c>
      <c r="L336" s="455">
        <f t="shared" ca="1" si="28"/>
        <v>3225708.784769082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3225708.784769082</v>
      </c>
      <c r="J337" s="455">
        <f t="array" ref="J337">IFERROR(INDEX('Retirement Calculator'!K:K,MATCH('Lorri 401b'!N337,'Retirement Calculator'!A:A,0),0),0)</f>
        <v>20282.026119384056</v>
      </c>
      <c r="K337" s="455">
        <f t="shared" ca="1" si="27"/>
        <v>13355.944827707075</v>
      </c>
      <c r="L337" s="455">
        <f t="shared" ca="1" si="28"/>
        <v>3218782.703477405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3218782.703477405</v>
      </c>
      <c r="J338" s="455">
        <f t="array" ref="J338">IFERROR(INDEX('Retirement Calculator'!K:K,MATCH('Lorri 401b'!N338,'Retirement Calculator'!A:A,0),0),0)</f>
        <v>20282.026119384056</v>
      </c>
      <c r="K338" s="455">
        <f t="shared" ca="1" si="27"/>
        <v>13327.08615565842</v>
      </c>
      <c r="L338" s="455">
        <f t="shared" ca="1" si="28"/>
        <v>3211827.7635136796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3211827.7635136796</v>
      </c>
      <c r="J339" s="455">
        <f t="array" ref="J339">IFERROR(INDEX('Retirement Calculator'!K:K,MATCH('Lorri 401b'!N339,'Retirement Calculator'!A:A,0),0),0)</f>
        <v>20282.026119384056</v>
      </c>
      <c r="K339" s="455">
        <f t="shared" ca="1" si="27"/>
        <v>13298.107239142899</v>
      </c>
      <c r="L339" s="455">
        <f t="shared" ca="1" si="28"/>
        <v>3204843.8446334386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3204843.8446334386</v>
      </c>
      <c r="J340" s="455">
        <f t="array" ref="J340">IFERROR(INDEX('Retirement Calculator'!K:K,MATCH('Lorri 401b'!N340,'Retirement Calculator'!A:A,0),0),0)</f>
        <v>20282.026119384056</v>
      </c>
      <c r="K340" s="455">
        <f t="shared" ca="1" si="27"/>
        <v>13269.007577141894</v>
      </c>
      <c r="L340" s="455">
        <f t="shared" ca="1" si="28"/>
        <v>3197830.8260911964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3197830.8260911964</v>
      </c>
      <c r="J341" s="455">
        <f t="array" ref="J341">IFERROR(INDEX('Retirement Calculator'!K:K,MATCH('Lorri 401b'!N341,'Retirement Calculator'!A:A,0),0),0)</f>
        <v>20282.026119384056</v>
      </c>
      <c r="K341" s="455">
        <f t="shared" ca="1" si="27"/>
        <v>13239.786666549218</v>
      </c>
      <c r="L341" s="455">
        <f t="shared" ca="1" si="28"/>
        <v>3190788.5866383617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3190788.5866383617</v>
      </c>
      <c r="J342" s="455">
        <f t="array" ref="J342">IFERROR(INDEX('Retirement Calculator'!K:K,MATCH('Lorri 401b'!N342,'Retirement Calculator'!A:A,0),0),0)</f>
        <v>20282.026119384056</v>
      </c>
      <c r="K342" s="455">
        <f t="shared" ca="1" si="27"/>
        <v>13210.444002162407</v>
      </c>
      <c r="L342" s="455">
        <f t="shared" ca="1" si="28"/>
        <v>3183717.0045211399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3183717.0045211399</v>
      </c>
      <c r="J343" s="455">
        <f t="array" ref="J343">IFERROR(INDEX('Retirement Calculator'!K:K,MATCH('Lorri 401b'!N343,'Retirement Calculator'!A:A,0),0),0)</f>
        <v>20282.026119384056</v>
      </c>
      <c r="K343" s="455">
        <f t="shared" ca="1" si="27"/>
        <v>13180.979076673982</v>
      </c>
      <c r="L343" s="455">
        <f t="shared" ca="1" si="28"/>
        <v>3176615.9574784301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3176615.9574784301</v>
      </c>
      <c r="J344" s="455">
        <f t="array" ref="J344">IFERROR(INDEX('Retirement Calculator'!K:K,MATCH('Lorri 401b'!N344,'Retirement Calculator'!A:A,0),0),0)</f>
        <v>20282.026119384056</v>
      </c>
      <c r="K344" s="455">
        <f t="shared" ca="1" si="27"/>
        <v>13151.391380662692</v>
      </c>
      <c r="L344" s="455">
        <f t="shared" ca="1" si="28"/>
        <v>3169485.3227397087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3169485.3227397087</v>
      </c>
      <c r="J345" s="455">
        <f t="array" ref="J345">IFERROR(INDEX('Retirement Calculator'!K:K,MATCH('Lorri 401b'!N345,'Retirement Calculator'!A:A,0),0),0)</f>
        <v>20282.026119384056</v>
      </c>
      <c r="K345" s="455">
        <f t="shared" ca="1" si="27"/>
        <v>13121.680402584687</v>
      </c>
      <c r="L345" s="455">
        <f t="shared" ca="1" si="28"/>
        <v>3162324.9770229096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3162324.9770229096</v>
      </c>
      <c r="J346" s="455">
        <f t="array" ref="J346">IFERROR(INDEX('Retirement Calculator'!K:K,MATCH('Lorri 401b'!N346,'Retirement Calculator'!A:A,0),0),0)</f>
        <v>20282.026119384056</v>
      </c>
      <c r="K346" s="455">
        <f t="shared" ca="1" si="27"/>
        <v>13091.84562876469</v>
      </c>
      <c r="L346" s="455">
        <f t="shared" ca="1" si="28"/>
        <v>3155134.7965322901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3155134.7965322901</v>
      </c>
      <c r="J347" s="455">
        <f t="array" ref="J347">IFERROR(INDEX('Retirement Calculator'!K:K,MATCH('Lorri 401b'!N347,'Retirement Calculator'!A:A,0),0),0)</f>
        <v>20282.026119384056</v>
      </c>
      <c r="K347" s="455">
        <f t="shared" ca="1" si="27"/>
        <v>13061.886543387109</v>
      </c>
      <c r="L347" s="455">
        <f t="shared" ca="1" si="28"/>
        <v>3147914.6569562932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3147914.6569562932</v>
      </c>
      <c r="J348" s="455">
        <f t="array" ref="J348">IFERROR(INDEX('Retirement Calculator'!K:K,MATCH('Lorri 401b'!N348,'Retirement Calculator'!A:A,0),0),0)</f>
        <v>20282.026119384056</v>
      </c>
      <c r="K348" s="455">
        <f t="shared" ca="1" si="27"/>
        <v>13031.802628487121</v>
      </c>
      <c r="L348" s="455">
        <f t="shared" ca="1" si="28"/>
        <v>3140664.4334653965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3140664.4334653965</v>
      </c>
      <c r="J349" s="455">
        <f t="array" ref="J349">IFERROR(INDEX('Retirement Calculator'!K:K,MATCH('Lorri 401b'!N349,'Retirement Calculator'!A:A,0),0),0)</f>
        <v>20282.026119384056</v>
      </c>
      <c r="K349" s="455">
        <f t="shared" ca="1" si="27"/>
        <v>13001.593363941718</v>
      </c>
      <c r="L349" s="455">
        <f t="shared" ca="1" si="28"/>
        <v>3133384.0007099542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3133384.0007099542</v>
      </c>
      <c r="J350" s="455">
        <f t="array" ref="J350">IFERROR(INDEX('Retirement Calculator'!K:K,MATCH('Lorri 401b'!N350,'Retirement Calculator'!A:A,0),0),0)</f>
        <v>20282.026119384056</v>
      </c>
      <c r="K350" s="455">
        <f t="shared" ca="1" si="27"/>
        <v>12971.258227460708</v>
      </c>
      <c r="L350" s="455">
        <f t="shared" ca="1" si="28"/>
        <v>3126073.2328180308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3126073.2328180308</v>
      </c>
      <c r="J351" s="455">
        <f t="array" ref="J351">IFERROR(INDEX('Retirement Calculator'!K:K,MATCH('Lorri 401b'!N351,'Retirement Calculator'!A:A,0),0),0)</f>
        <v>20282.026119384056</v>
      </c>
      <c r="K351" s="455">
        <f t="shared" ca="1" si="27"/>
        <v>12940.796694577695</v>
      </c>
      <c r="L351" s="455">
        <f t="shared" ca="1" si="28"/>
        <v>3118732.0033932244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3118732.0033932244</v>
      </c>
      <c r="J352" s="455">
        <f t="array" ref="J352">IFERROR(INDEX('Retirement Calculator'!K:K,MATCH('Lorri 401b'!N352,'Retirement Calculator'!A:A,0),0),0)</f>
        <v>20282.026119384056</v>
      </c>
      <c r="K352" s="455">
        <f t="shared" ca="1" si="27"/>
        <v>12910.208238641002</v>
      </c>
      <c r="L352" s="455">
        <f t="shared" ca="1" si="28"/>
        <v>3111360.1855124813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3111360.1855124813</v>
      </c>
      <c r="J353" s="455">
        <f t="array" ref="J353">IFERROR(INDEX('Retirement Calculator'!K:K,MATCH('Lorri 401b'!N353,'Retirement Calculator'!A:A,0),0),0)</f>
        <v>20282.026119384056</v>
      </c>
      <c r="K353" s="455">
        <f t="shared" ca="1" si="27"/>
        <v>12879.492330804573</v>
      </c>
      <c r="L353" s="455">
        <f t="shared" ca="1" si="28"/>
        <v>3103957.6517239017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3103957.6517239017</v>
      </c>
      <c r="J354" s="455">
        <f t="array" ref="J354">IFERROR(INDEX('Retirement Calculator'!K:K,MATCH('Lorri 401b'!N354,'Retirement Calculator'!A:A,0),0),0)</f>
        <v>20282.026119384056</v>
      </c>
      <c r="K354" s="455">
        <f t="shared" ca="1" si="27"/>
        <v>12848.648440018824</v>
      </c>
      <c r="L354" s="455">
        <f t="shared" ca="1" si="28"/>
        <v>3096524.2740445365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3096524.2740445365</v>
      </c>
      <c r="J355" s="455">
        <f t="array" ref="J355">IFERROR(INDEX('Retirement Calculator'!K:K,MATCH('Lorri 401b'!N355,'Retirement Calculator'!A:A,0),0),0)</f>
        <v>20282.026119384056</v>
      </c>
      <c r="K355" s="455">
        <f t="shared" ca="1" si="27"/>
        <v>12817.676033021469</v>
      </c>
      <c r="L355" s="455">
        <f t="shared" ca="1" si="28"/>
        <v>3089059.923958174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3089059.923958174</v>
      </c>
      <c r="J356" s="455">
        <f t="array" ref="J356">IFERROR(INDEX('Retirement Calculator'!K:K,MATCH('Lorri 401b'!N356,'Retirement Calculator'!A:A,0),0),0)</f>
        <v>20282.026119384056</v>
      </c>
      <c r="K356" s="455">
        <f t="shared" ca="1" si="27"/>
        <v>12786.574574328291</v>
      </c>
      <c r="L356" s="455">
        <f t="shared" ca="1" si="28"/>
        <v>3081564.4724131185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3081564.4724131185</v>
      </c>
      <c r="J357" s="455">
        <f t="array" ref="J357">IFERROR(INDEX('Retirement Calculator'!K:K,MATCH('Lorri 401b'!N357,'Retirement Calculator'!A:A,0),0),0)</f>
        <v>20282.026119384056</v>
      </c>
      <c r="K357" s="455">
        <f t="shared" ca="1" si="27"/>
        <v>12755.343526223893</v>
      </c>
      <c r="L357" s="455">
        <f t="shared" ca="1" si="28"/>
        <v>3074037.7898199582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3074037.7898199582</v>
      </c>
      <c r="J358" s="455">
        <f t="array" ref="J358">IFERROR(INDEX('Retirement Calculator'!K:K,MATCH('Lorri 401b'!N358,'Retirement Calculator'!A:A,0),0),0)</f>
        <v>20282.026119384056</v>
      </c>
      <c r="K358" s="455">
        <f t="shared" ca="1" si="27"/>
        <v>12723.982348752392</v>
      </c>
      <c r="L358" s="455">
        <f t="shared" ca="1" si="28"/>
        <v>3066479.7460493264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3066479.7460493264</v>
      </c>
      <c r="J359" s="455">
        <f t="array" ref="J359">IFERROR(INDEX('Retirement Calculator'!K:K,MATCH('Lorri 401b'!N359,'Retirement Calculator'!A:A,0),0),0)</f>
        <v>20282.026119384056</v>
      </c>
      <c r="K359" s="455">
        <f t="shared" ca="1" si="27"/>
        <v>12692.490499708094</v>
      </c>
      <c r="L359" s="455">
        <f t="shared" ca="1" si="28"/>
        <v>3058890.2104296503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3058890.2104296503</v>
      </c>
      <c r="J360" s="455">
        <f t="array" ref="J360">IFERROR(INDEX('Retirement Calculator'!K:K,MATCH('Lorri 401b'!N360,'Retirement Calculator'!A:A,0),0),0)</f>
        <v>20282.026119384056</v>
      </c>
      <c r="K360" s="455">
        <f t="shared" ca="1" si="27"/>
        <v>12660.867434626109</v>
      </c>
      <c r="L360" s="455">
        <f t="shared" ca="1" si="28"/>
        <v>3051269.0517448923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3051269.0517448923</v>
      </c>
      <c r="J361" s="455">
        <f t="array" ref="J361">IFERROR(INDEX('Retirement Calculator'!K:K,MATCH('Lorri 401b'!N361,'Retirement Calculator'!A:A,0),0),0)</f>
        <v>20282.026119384056</v>
      </c>
      <c r="K361" s="455">
        <f t="shared" ca="1" si="27"/>
        <v>12629.112606772951</v>
      </c>
      <c r="L361" s="455">
        <f t="shared" ca="1" si="28"/>
        <v>3043616.1382322814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3043616.1382322814</v>
      </c>
      <c r="J362" s="455">
        <f t="array" ref="J362">IFERROR(INDEX('Retirement Calculator'!K:K,MATCH('Lorri 401b'!N362,'Retirement Calculator'!A:A,0),0),0)</f>
        <v>20282.026119384056</v>
      </c>
      <c r="K362" s="455">
        <f t="shared" ca="1" si="27"/>
        <v>12597.225467137072</v>
      </c>
      <c r="L362" s="455">
        <f t="shared" ca="1" si="28"/>
        <v>3035931.3375800345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3035931.3375800345</v>
      </c>
      <c r="J363" s="455">
        <f t="array" ref="J363">IFERROR(INDEX('Retirement Calculator'!K:K,MATCH('Lorri 401b'!N363,'Retirement Calculator'!A:A,0),0),0)</f>
        <v>20282.026119384056</v>
      </c>
      <c r="K363" s="455">
        <f t="shared" ca="1" si="27"/>
        <v>12565.205464419378</v>
      </c>
      <c r="L363" s="455">
        <f t="shared" ca="1" si="28"/>
        <v>3028214.51692507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3028214.51692507</v>
      </c>
      <c r="J364" s="455">
        <f t="array" ref="J364">IFERROR(INDEX('Retirement Calculator'!K:K,MATCH('Lorri 401b'!N364,'Retirement Calculator'!A:A,0),0),0)</f>
        <v>20282.026119384056</v>
      </c>
      <c r="K364" s="455">
        <f t="shared" ca="1" si="27"/>
        <v>12533.052045023691</v>
      </c>
      <c r="L364" s="455">
        <f t="shared" ca="1" si="28"/>
        <v>3020465.5428507095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3020465.5428507095</v>
      </c>
      <c r="J365" s="455">
        <f t="array" ref="J365">IFERROR(INDEX('Retirement Calculator'!K:K,MATCH('Lorri 401b'!N365,'Retirement Calculator'!A:A,0),0),0)</f>
        <v>20282.026119384056</v>
      </c>
      <c r="K365" s="455">
        <f t="shared" ca="1" si="27"/>
        <v>12500.76465304719</v>
      </c>
      <c r="L365" s="455">
        <f t="shared" ca="1" si="28"/>
        <v>3012684.2813843726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3012684.2813843726</v>
      </c>
      <c r="J366" s="455">
        <f t="array" ref="J366">IFERROR(INDEX('Retirement Calculator'!K:K,MATCH('Lorri 401b'!N366,'Retirement Calculator'!A:A,0),0),0)</f>
        <v>20282.026119384056</v>
      </c>
      <c r="K366" s="455">
        <f t="shared" ca="1" si="27"/>
        <v>12468.342730270786</v>
      </c>
      <c r="L366" s="455">
        <f t="shared" ca="1" si="28"/>
        <v>3004870.5979952593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3004870.5979952593</v>
      </c>
      <c r="J367" s="455">
        <f t="array" ref="J367">IFERROR(INDEX('Retirement Calculator'!K:K,MATCH('Lorri 401b'!N367,'Retirement Calculator'!A:A,0),0),0)</f>
        <v>20282.026119384056</v>
      </c>
      <c r="K367" s="455">
        <f t="shared" ca="1" si="27"/>
        <v>12435.785716149481</v>
      </c>
      <c r="L367" s="455">
        <f t="shared" ca="1" si="28"/>
        <v>2997024.3575920248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2997024.3575920248</v>
      </c>
      <c r="J368" s="455">
        <f t="array" ref="J368">IFERROR(INDEX('Retirement Calculator'!K:K,MATCH('Lorri 401b'!N368,'Retirement Calculator'!A:A,0),0),0)</f>
        <v>20282.026119384056</v>
      </c>
      <c r="K368" s="455">
        <f t="shared" ca="1" si="27"/>
        <v>12403.093047802669</v>
      </c>
      <c r="L368" s="455">
        <f t="shared" ca="1" si="28"/>
        <v>2989145.4245204437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2989145.4245204437</v>
      </c>
      <c r="J369" s="455">
        <f t="array" ref="J369">IFERROR(INDEX('Retirement Calculator'!K:K,MATCH('Lorri 401b'!N369,'Retirement Calculator'!A:A,0),0),0)</f>
        <v>20282.026119384056</v>
      </c>
      <c r="K369" s="455">
        <f t="shared" ca="1" si="27"/>
        <v>12370.264160004415</v>
      </c>
      <c r="L369" s="455">
        <f t="shared" ca="1" si="28"/>
        <v>2981233.6625610641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2981233.6625610641</v>
      </c>
      <c r="J370" s="455">
        <f t="array" ref="J370">IFERROR(INDEX('Retirement Calculator'!K:K,MATCH('Lorri 401b'!N370,'Retirement Calculator'!A:A,0),0),0)</f>
        <v>20282.026119384056</v>
      </c>
      <c r="K370" s="455">
        <f t="shared" ca="1" si="27"/>
        <v>12337.298485173667</v>
      </c>
      <c r="L370" s="455">
        <f t="shared" ca="1" si="28"/>
        <v>2973288.934926854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2973288.934926854</v>
      </c>
      <c r="J371" s="455">
        <f t="array" ref="J371">IFERROR(INDEX('Retirement Calculator'!K:K,MATCH('Lorri 401b'!N371,'Retirement Calculator'!A:A,0),0),0)</f>
        <v>20282.026119384056</v>
      </c>
      <c r="K371" s="455">
        <f t="shared" ca="1" si="27"/>
        <v>12304.195453364458</v>
      </c>
      <c r="L371" s="455">
        <f t="shared" ca="1" si="28"/>
        <v>2965311.1042608344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2965311.1042608344</v>
      </c>
      <c r="J372" s="455">
        <f t="array" ref="J372">IFERROR(INDEX('Retirement Calculator'!K:K,MATCH('Lorri 401b'!N372,'Retirement Calculator'!A:A,0),0),0)</f>
        <v>20282.026119384056</v>
      </c>
      <c r="K372" s="455">
        <f t="shared" ca="1" si="27"/>
        <v>12270.954492256044</v>
      </c>
      <c r="L372" s="455">
        <f t="shared" ca="1" si="28"/>
        <v>2957300.0326337065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2957300.0326337065</v>
      </c>
      <c r="J373" s="455">
        <f t="array" ref="J373">IFERROR(INDEX('Retirement Calculator'!K:K,MATCH('Lorri 401b'!N373,'Retirement Calculator'!A:A,0),0),0)</f>
        <v>20282.026119384056</v>
      </c>
      <c r="K373" s="455">
        <f t="shared" ca="1" si="27"/>
        <v>12237.57502714301</v>
      </c>
      <c r="L373" s="455">
        <f t="shared" ca="1" si="28"/>
        <v>2949255.5815414656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2949255.5815414656</v>
      </c>
      <c r="J374" s="455">
        <f t="array" ref="J374">IFERROR(INDEX('Retirement Calculator'!K:K,MATCH('Lorri 401b'!N374,'Retirement Calculator'!A:A,0),0),0)</f>
        <v>20282.026119384056</v>
      </c>
      <c r="K374" s="455">
        <f t="shared" ca="1" si="27"/>
        <v>12204.056480925339</v>
      </c>
      <c r="L374" s="455">
        <f t="shared" ca="1" si="28"/>
        <v>2941177.6119030071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2941177.6119030071</v>
      </c>
      <c r="J375" s="455">
        <f t="array" ref="J375">IFERROR(INDEX('Retirement Calculator'!K:K,MATCH('Lorri 401b'!N375,'Retirement Calculator'!A:A,0),0),0)</f>
        <v>20282.026119384056</v>
      </c>
      <c r="K375" s="455">
        <f t="shared" ca="1" si="27"/>
        <v>12170.39827409843</v>
      </c>
      <c r="L375" s="455">
        <f t="shared" ca="1" si="28"/>
        <v>2933065.9840577217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2933065.9840577217</v>
      </c>
      <c r="J376" s="455">
        <f t="array" ref="J376">IFERROR(INDEX('Retirement Calculator'!K:K,MATCH('Lorri 401b'!N376,'Retirement Calculator'!A:A,0),0),0)</f>
        <v>20282.026119384056</v>
      </c>
      <c r="K376" s="455">
        <f t="shared" ca="1" si="27"/>
        <v>12136.599824743074</v>
      </c>
      <c r="L376" s="455">
        <f t="shared" ca="1" si="28"/>
        <v>2924920.5577630806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2924920.5577630806</v>
      </c>
      <c r="J377" s="455">
        <f t="array" ref="J377">IFERROR(INDEX('Retirement Calculator'!K:K,MATCH('Lorri 401b'!N377,'Retirement Calculator'!A:A,0),0),0)</f>
        <v>20282.026119384056</v>
      </c>
      <c r="K377" s="455">
        <f t="shared" ca="1" si="27"/>
        <v>12102.660548515403</v>
      </c>
      <c r="L377" s="455">
        <f t="shared" ca="1" si="28"/>
        <v>2916741.1921922122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2916741.1921922122</v>
      </c>
      <c r="J378" s="455">
        <f t="array" ref="J378">IFERROR(INDEX('Retirement Calculator'!K:K,MATCH('Lorri 401b'!N378,'Retirement Calculator'!A:A,0),0),0)</f>
        <v>20282.026119384056</v>
      </c>
      <c r="K378" s="455">
        <f t="shared" ca="1" si="27"/>
        <v>12068.579858636784</v>
      </c>
      <c r="L378" s="455">
        <f t="shared" ca="1" si="28"/>
        <v>2908527.7459314652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2908527.7459314652</v>
      </c>
      <c r="J379" s="455">
        <f t="array" ref="J379">IFERROR(INDEX('Retirement Calculator'!K:K,MATCH('Lorri 401b'!N379,'Retirement Calculator'!A:A,0),0),0)</f>
        <v>20282.026119384056</v>
      </c>
      <c r="K379" s="455">
        <f t="shared" ca="1" si="27"/>
        <v>12034.357165883672</v>
      </c>
      <c r="L379" s="455">
        <f t="shared" ca="1" si="28"/>
        <v>2900280.076977965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2900280.076977965</v>
      </c>
      <c r="J380" s="455">
        <f t="array" ref="J380">IFERROR(INDEX('Retirement Calculator'!K:K,MATCH('Lorri 401b'!N380,'Retirement Calculator'!A:A,0),0),0)</f>
        <v>20282.026119384056</v>
      </c>
      <c r="K380" s="455">
        <f t="shared" ca="1" si="27"/>
        <v>11999.991878577421</v>
      </c>
      <c r="L380" s="455">
        <f t="shared" ca="1" si="28"/>
        <v>2891998.0427371585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2891998.0427371585</v>
      </c>
      <c r="J381" s="455">
        <f t="array" ref="J381">IFERROR(INDEX('Retirement Calculator'!K:K,MATCH('Lorri 401b'!N381,'Retirement Calculator'!A:A,0),0),0)</f>
        <v>20282.026119384056</v>
      </c>
      <c r="K381" s="455">
        <f t="shared" ca="1" si="27"/>
        <v>11965.48340257406</v>
      </c>
      <c r="L381" s="455">
        <f t="shared" ca="1" si="28"/>
        <v>2883681.5000203485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2883681.5000203485</v>
      </c>
      <c r="J382" s="455">
        <f t="array" ref="J382">IFERROR(INDEX('Retirement Calculator'!K:K,MATCH('Lorri 401b'!N382,'Retirement Calculator'!A:A,0),0),0)</f>
        <v>20282.026119384056</v>
      </c>
      <c r="K382" s="455">
        <f t="shared" ca="1" si="27"/>
        <v>11930.831141254019</v>
      </c>
      <c r="L382" s="455">
        <f t="shared" ca="1" si="28"/>
        <v>2875330.3050422184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2875330.3050422184</v>
      </c>
      <c r="J383" s="455">
        <f t="array" ref="J383">IFERROR(INDEX('Retirement Calculator'!K:K,MATCH('Lorri 401b'!N383,'Retirement Calculator'!A:A,0),0),0)</f>
        <v>20282.026119384056</v>
      </c>
      <c r="K383" s="455">
        <f t="shared" ca="1" si="27"/>
        <v>11896.034495511811</v>
      </c>
      <c r="L383" s="455">
        <f t="shared" ca="1" si="28"/>
        <v>2866944.3134183465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2866944.3134183465</v>
      </c>
      <c r="J384" s="455">
        <f t="array" ref="J384">IFERROR(INDEX('Retirement Calculator'!K:K,MATCH('Lorri 401b'!N384,'Retirement Calculator'!A:A,0),0),0)</f>
        <v>20282.026119384056</v>
      </c>
      <c r="K384" s="455">
        <f t="shared" ca="1" si="27"/>
        <v>11861.092863745676</v>
      </c>
      <c r="L384" s="455">
        <f t="shared" ca="1" si="28"/>
        <v>2858523.380162708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2858523.380162708</v>
      </c>
      <c r="J385" s="455">
        <f t="array" ref="J385">IFERROR(INDEX('Retirement Calculator'!K:K,MATCH('Lorri 401b'!N385,'Retirement Calculator'!A:A,0),0),0)</f>
        <v>20282.026119384056</v>
      </c>
      <c r="K385" s="455">
        <f t="shared" ca="1" si="27"/>
        <v>11826.005641847183</v>
      </c>
      <c r="L385" s="455">
        <f t="shared" ca="1" si="28"/>
        <v>2850067.3596851714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2850067.3596851714</v>
      </c>
      <c r="J386" s="455">
        <f t="array" ref="J386">IFERROR(INDEX('Retirement Calculator'!K:K,MATCH('Lorri 401b'!N386,'Retirement Calculator'!A:A,0),0),0)</f>
        <v>20282.026119384056</v>
      </c>
      <c r="K386" s="455">
        <f t="shared" ca="1" si="27"/>
        <v>11790.772223190781</v>
      </c>
      <c r="L386" s="455">
        <f t="shared" ca="1" si="28"/>
        <v>2841576.1057889783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2841576.1057889783</v>
      </c>
      <c r="J387" s="455">
        <f t="array" ref="J387">IFERROR(INDEX('Retirement Calculator'!K:K,MATCH('Lorri 401b'!N387,'Retirement Calculator'!A:A,0),0),0)</f>
        <v>20282.026119384056</v>
      </c>
      <c r="K387" s="455">
        <f t="shared" ca="1" si="27"/>
        <v>11755.391998623309</v>
      </c>
      <c r="L387" s="455">
        <f t="shared" ca="1" si="28"/>
        <v>2833049.4716682178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2833049.4716682178</v>
      </c>
      <c r="J388" s="455">
        <f t="array" ref="J388">IFERROR(INDEX('Retirement Calculator'!K:K,MATCH('Lorri 401b'!N388,'Retirement Calculator'!A:A,0),0),0)</f>
        <v>20282.026119384056</v>
      </c>
      <c r="K388" s="455">
        <f t="shared" ca="1" si="27"/>
        <v>11719.864356453474</v>
      </c>
      <c r="L388" s="455">
        <f t="shared" ca="1" si="28"/>
        <v>2824487.3099052873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2824487.3099052873</v>
      </c>
      <c r="J389" s="455">
        <f t="array" ref="J389">IFERROR(INDEX('Retirement Calculator'!K:K,MATCH('Lorri 401b'!N389,'Retirement Calculator'!A:A,0),0),0)</f>
        <v>20282.026119384056</v>
      </c>
      <c r="K389" s="455">
        <f t="shared" ca="1" si="27"/>
        <v>11684.188682441263</v>
      </c>
      <c r="L389" s="455">
        <f t="shared" ca="1" si="28"/>
        <v>2815889.4724683445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2815889.4724683445</v>
      </c>
      <c r="J390" s="455">
        <f t="array" ref="J390">IFERROR(INDEX('Retirement Calculator'!K:K,MATCH('Lorri 401b'!N390,'Retirement Calculator'!A:A,0),0),0)</f>
        <v>20282.026119384056</v>
      </c>
      <c r="K390" s="455">
        <f t="shared" ca="1" si="27"/>
        <v>11648.364359787336</v>
      </c>
      <c r="L390" s="455">
        <f t="shared" ca="1" si="28"/>
        <v>2807255.8107087477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2807255.8107087477</v>
      </c>
      <c r="J391" s="455">
        <f t="array" ref="J391">IFERROR(INDEX('Retirement Calculator'!K:K,MATCH('Lorri 401b'!N391,'Retirement Calculator'!A:A,0),0),0)</f>
        <v>20282.026119384056</v>
      </c>
      <c r="K391" s="455">
        <f t="shared" ca="1" si="27"/>
        <v>11612.390769122349</v>
      </c>
      <c r="L391" s="455">
        <f t="shared" ca="1" si="28"/>
        <v>2798586.1753584859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2798586.1753584859</v>
      </c>
      <c r="J392" s="455">
        <f t="array" ref="J392">IFERROR(INDEX('Retirement Calculator'!K:K,MATCH('Lorri 401b'!N392,'Retirement Calculator'!A:A,0),0),0)</f>
        <v>20282.026119384056</v>
      </c>
      <c r="K392" s="455">
        <f t="shared" ca="1" si="27"/>
        <v>11576.267288496258</v>
      </c>
      <c r="L392" s="455">
        <f t="shared" ca="1" si="28"/>
        <v>2789880.4165275982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2789880.4165275982</v>
      </c>
      <c r="J393" s="455">
        <f t="array" ref="J393">IFERROR(INDEX('Retirement Calculator'!K:K,MATCH('Lorri 401b'!N393,'Retirement Calculator'!A:A,0),0),0)</f>
        <v>20282.026119384056</v>
      </c>
      <c r="K393" s="455">
        <f t="shared" ca="1" si="27"/>
        <v>11539.993293367559</v>
      </c>
      <c r="L393" s="455">
        <f t="shared" ca="1" si="28"/>
        <v>2781138.3837015815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2781138.3837015815</v>
      </c>
      <c r="J394" s="455">
        <f t="array" ref="J394">IFERROR(INDEX('Retirement Calculator'!K:K,MATCH('Lorri 401b'!N394,'Retirement Calculator'!A:A,0),0),0)</f>
        <v>20282.026119384056</v>
      </c>
      <c r="K394" s="455">
        <f t="shared" ca="1" si="27"/>
        <v>11503.56815659249</v>
      </c>
      <c r="L394" s="455">
        <f t="shared" ca="1" si="28"/>
        <v>2772359.9257387901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2772359.9257387901</v>
      </c>
      <c r="J395" s="455">
        <f t="array" ref="J395">IFERROR(INDEX('Retirement Calculator'!K:K,MATCH('Lorri 401b'!N395,'Retirement Calculator'!A:A,0),0),0)</f>
        <v>20282.026119384056</v>
      </c>
      <c r="K395" s="455">
        <f t="shared" ca="1" si="27"/>
        <v>11466.991248414191</v>
      </c>
      <c r="L395" s="455">
        <f t="shared" ca="1" si="28"/>
        <v>2763544.8908678205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2763544.8908678205</v>
      </c>
      <c r="J396" s="455">
        <f t="array" ref="J396">IFERROR(INDEX('Retirement Calculator'!K:K,MATCH('Lorri 401b'!N396,'Retirement Calculator'!A:A,0),0),0)</f>
        <v>20282.026119384056</v>
      </c>
      <c r="K396" s="455">
        <f t="shared" ca="1" si="27"/>
        <v>11430.261936451818</v>
      </c>
      <c r="L396" s="455">
        <f t="shared" ca="1" si="28"/>
        <v>2754693.1266848883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2754693.1266848883</v>
      </c>
      <c r="J397" s="455">
        <f t="array" ref="J397">IFERROR(INDEX('Retirement Calculator'!K:K,MATCH('Lorri 401b'!N397,'Retirement Calculator'!A:A,0),0),0)</f>
        <v>20282.026119384056</v>
      </c>
      <c r="K397" s="455">
        <f t="shared" ca="1" si="27"/>
        <v>11393.379585689601</v>
      </c>
      <c r="L397" s="455">
        <f t="shared" ca="1" si="28"/>
        <v>2745804.4801511937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2745804.4801511937</v>
      </c>
      <c r="J398" s="455">
        <f t="array" ref="J398">IFERROR(INDEX('Retirement Calculator'!K:K,MATCH('Lorri 401b'!N398,'Retirement Calculator'!A:A,0),0),0)</f>
        <v>20282.026119384056</v>
      </c>
      <c r="K398" s="455">
        <f t="shared" ca="1" si="27"/>
        <v>11356.343558465873</v>
      </c>
      <c r="L398" s="455">
        <f t="shared" ca="1" si="28"/>
        <v>2736878.7975902758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2736878.7975902758</v>
      </c>
      <c r="J399" s="455">
        <f t="array" ref="J399">IFERROR(INDEX('Retirement Calculator'!K:K,MATCH('Lorri 401b'!N399,'Retirement Calculator'!A:A,0),0),0)</f>
        <v>20282.026119384056</v>
      </c>
      <c r="K399" s="455">
        <f t="shared" ca="1" si="27"/>
        <v>11319.153214462049</v>
      </c>
      <c r="L399" s="455">
        <f t="shared" ca="1" si="28"/>
        <v>2727915.9246853539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2727915.9246853539</v>
      </c>
      <c r="J400" s="455">
        <f t="array" ref="J400">IFERROR(INDEX('Retirement Calculator'!K:K,MATCH('Lorri 401b'!N400,'Retirement Calculator'!A:A,0),0),0)</f>
        <v>20282.026119384056</v>
      </c>
      <c r="K400" s="455">
        <f t="shared" ca="1" si="27"/>
        <v>11281.807910691541</v>
      </c>
      <c r="L400" s="455">
        <f t="shared" ca="1" si="28"/>
        <v>2718915.7064766614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2718915.7064766614</v>
      </c>
      <c r="J401" s="455">
        <f t="array" ref="J401">IFERROR(INDEX('Retirement Calculator'!K:K,MATCH('Lorri 401b'!N401,'Retirement Calculator'!A:A,0),0),0)</f>
        <v>20282.026119384056</v>
      </c>
      <c r="K401" s="455">
        <f t="shared" ca="1" si="27"/>
        <v>11244.307001488656</v>
      </c>
      <c r="L401" s="455">
        <f t="shared" ca="1" si="28"/>
        <v>2709877.9873587661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2709877.9873587661</v>
      </c>
      <c r="J402" s="455">
        <f t="array" ref="J402">IFERROR(INDEX('Retirement Calculator'!K:K,MATCH('Lorri 401b'!N402,'Retirement Calculator'!A:A,0),0),0)</f>
        <v>20282.026119384056</v>
      </c>
      <c r="K402" s="455">
        <f t="shared" ca="1" si="27"/>
        <v>11206.649838497426</v>
      </c>
      <c r="L402" s="455">
        <f t="shared" ca="1" si="28"/>
        <v>2700802.6110778796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2700802.6110778796</v>
      </c>
      <c r="J403" s="455">
        <f t="array" ref="J403">IFERROR(INDEX('Retirement Calculator'!K:K,MATCH('Lorri 401b'!N403,'Retirement Calculator'!A:A,0),0),0)</f>
        <v>20282.026119384056</v>
      </c>
      <c r="K403" s="455">
        <f t="shared" ca="1" si="27"/>
        <v>11168.835770660398</v>
      </c>
      <c r="L403" s="455">
        <f t="shared" ca="1" si="28"/>
        <v>2691689.4207291561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2691689.4207291561</v>
      </c>
      <c r="J404" s="455">
        <f t="array" ref="J404">IFERROR(INDEX('Retirement Calculator'!K:K,MATCH('Lorri 401b'!N404,'Retirement Calculator'!A:A,0),0),0)</f>
        <v>20282.026119384056</v>
      </c>
      <c r="K404" s="455">
        <f t="shared" ca="1" si="27"/>
        <v>11130.864144207384</v>
      </c>
      <c r="L404" s="455">
        <f t="shared" ca="1" si="28"/>
        <v>2682538.2587539796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2682538.2587539796</v>
      </c>
      <c r="J405" s="455">
        <f t="array" ref="J405">IFERROR(INDEX('Retirement Calculator'!K:K,MATCH('Lorri 401b'!N405,'Retirement Calculator'!A:A,0),0),0)</f>
        <v>20282.026119384056</v>
      </c>
      <c r="K405" s="455">
        <f t="shared" ca="1" si="27"/>
        <v>11092.734302644149</v>
      </c>
      <c r="L405" s="455">
        <f t="shared" ca="1" si="28"/>
        <v>2673348.9669372397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2673348.9669372397</v>
      </c>
      <c r="J406" s="455">
        <f t="array" ref="J406">IFERROR(INDEX('Retirement Calculator'!K:K,MATCH('Lorri 401b'!N406,'Retirement Calculator'!A:A,0),0),0)</f>
        <v>20282.026119384056</v>
      </c>
      <c r="K406" s="455">
        <f t="shared" ca="1" si="27"/>
        <v>11054.445586741065</v>
      </c>
      <c r="L406" s="455">
        <f t="shared" ca="1" si="28"/>
        <v>2664121.3864045967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2664121.3864045967</v>
      </c>
      <c r="J407" s="455">
        <f t="array" ref="J407">IFERROR(INDEX('Retirement Calculator'!K:K,MATCH('Lorri 401b'!N407,'Retirement Calculator'!A:A,0),0),0)</f>
        <v>20282.026119384056</v>
      </c>
      <c r="K407" s="455">
        <f t="shared" ca="1" si="27"/>
        <v>11015.99733452172</v>
      </c>
      <c r="L407" s="455">
        <f t="shared" ca="1" si="28"/>
        <v>2654855.3576197345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2654855.3576197345</v>
      </c>
      <c r="J408" s="455">
        <f t="array" ref="J408">IFERROR(INDEX('Retirement Calculator'!K:K,MATCH('Lorri 401b'!N408,'Retirement Calculator'!A:A,0),0),0)</f>
        <v>20282.026119384056</v>
      </c>
      <c r="K408" s="455">
        <f t="shared" ca="1" si="27"/>
        <v>10977.38888125146</v>
      </c>
      <c r="L408" s="455">
        <f t="shared" ca="1" si="28"/>
        <v>2645550.7203816022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2645550.7203816022</v>
      </c>
      <c r="J409" s="455">
        <f t="array" ref="J409">IFERROR(INDEX('Retirement Calculator'!K:K,MATCH('Lorri 401b'!N409,'Retirement Calculator'!A:A,0),0),0)</f>
        <v>20282.026119384056</v>
      </c>
      <c r="K409" s="455">
        <f t="shared" ca="1" si="27"/>
        <v>10938.61955942591</v>
      </c>
      <c r="L409" s="455">
        <f t="shared" ca="1" si="28"/>
        <v>2636207.3138216441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2636207.3138216441</v>
      </c>
      <c r="J410" s="455">
        <f t="array" ref="J410">IFERROR(INDEX('Retirement Calculator'!K:K,MATCH('Lorri 401b'!N410,'Retirement Calculator'!A:A,0),0),0)</f>
        <v>20282.026119384056</v>
      </c>
      <c r="K410" s="455">
        <f t="shared" ca="1" si="27"/>
        <v>10899.688698759417</v>
      </c>
      <c r="L410" s="455">
        <f t="shared" ca="1" si="28"/>
        <v>2626824.9764010194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2626824.9764010194</v>
      </c>
      <c r="J411" s="455">
        <f t="array" ref="J411">IFERROR(INDEX('Retirement Calculator'!K:K,MATCH('Lorri 401b'!N411,'Retirement Calculator'!A:A,0),0),0)</f>
        <v>20282.026119384056</v>
      </c>
      <c r="K411" s="455">
        <f t="shared" ca="1" si="27"/>
        <v>10860.595626173481</v>
      </c>
      <c r="L411" s="455">
        <f t="shared" ca="1" si="28"/>
        <v>2617403.5459078089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2617403.5459078089</v>
      </c>
      <c r="J412" s="455">
        <f t="array" ref="J412">IFERROR(INDEX('Retirement Calculator'!K:K,MATCH('Lorri 401b'!N412,'Retirement Calculator'!A:A,0),0),0)</f>
        <v>20282.026119384056</v>
      </c>
      <c r="K412" s="455">
        <f t="shared" ca="1" si="27"/>
        <v>10821.339665785104</v>
      </c>
      <c r="L412" s="455">
        <f t="shared" ca="1" si="28"/>
        <v>2607942.8594542099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2607942.8594542099</v>
      </c>
      <c r="J413" s="455">
        <f t="array" ref="J413">IFERROR(INDEX('Retirement Calculator'!K:K,MATCH('Lorri 401b'!N413,'Retirement Calculator'!A:A,0),0),0)</f>
        <v>20282.026119384056</v>
      </c>
      <c r="K413" s="455">
        <f t="shared" ca="1" si="27"/>
        <v>10781.920138895108</v>
      </c>
      <c r="L413" s="455">
        <f t="shared" ca="1" si="28"/>
        <v>2598442.753473721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2598442.753473721</v>
      </c>
      <c r="J414" s="455">
        <f t="array" ref="J414">IFERROR(INDEX('Retirement Calculator'!K:K,MATCH('Lorri 401b'!N414,'Retirement Calculator'!A:A,0),0),0)</f>
        <v>20282.026119384056</v>
      </c>
      <c r="K414" s="455">
        <f t="shared" ca="1" si="27"/>
        <v>10742.336363976405</v>
      </c>
      <c r="L414" s="455">
        <f t="shared" ca="1" si="28"/>
        <v>2588903.0637183134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2588903.0637183134</v>
      </c>
      <c r="J415" s="455">
        <f t="array" ref="J415">IFERROR(INDEX('Retirement Calculator'!K:K,MATCH('Lorri 401b'!N415,'Retirement Calculator'!A:A,0),0),0)</f>
        <v>20282.026119384056</v>
      </c>
      <c r="K415" s="455">
        <f t="shared" ca="1" si="27"/>
        <v>10702.587656662206</v>
      </c>
      <c r="L415" s="455">
        <f t="shared" ca="1" si="28"/>
        <v>2579323.6252555917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2579323.6252555917</v>
      </c>
      <c r="J416" s="455">
        <f t="array" ref="J416">IFERROR(INDEX('Retirement Calculator'!K:K,MATCH('Lorri 401b'!N416,'Retirement Calculator'!A:A,0),0),0)</f>
        <v>20282.026119384056</v>
      </c>
      <c r="K416" s="455">
        <f t="shared" ca="1" si="27"/>
        <v>10662.673329734198</v>
      </c>
      <c r="L416" s="455">
        <f t="shared" ca="1" si="28"/>
        <v>2569704.272465942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2569704.272465942</v>
      </c>
      <c r="J417" s="455">
        <f t="array" ref="J417">IFERROR(INDEX('Retirement Calculator'!K:K,MATCH('Lorri 401b'!N417,'Retirement Calculator'!A:A,0),0),0)</f>
        <v>20282.026119384056</v>
      </c>
      <c r="K417" s="455">
        <f t="shared" ca="1" si="27"/>
        <v>10622.592693110659</v>
      </c>
      <c r="L417" s="455">
        <f t="shared" ca="1" si="28"/>
        <v>2560044.8390396684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2560044.8390396684</v>
      </c>
      <c r="J418" s="455">
        <f t="array" ref="J418">IFERROR(INDEX('Retirement Calculator'!K:K,MATCH('Lorri 401b'!N418,'Retirement Calculator'!A:A,0),0),0)</f>
        <v>20282.026119384056</v>
      </c>
      <c r="K418" s="455">
        <f t="shared" ca="1" si="27"/>
        <v>10582.345053834519</v>
      </c>
      <c r="L418" s="455">
        <f t="shared" ca="1" si="28"/>
        <v>2550345.1579741188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2550345.1579741188</v>
      </c>
      <c r="J419" s="455">
        <f t="array" ref="J419">IFERROR(INDEX('Retirement Calculator'!K:K,MATCH('Lorri 401b'!N419,'Retirement Calculator'!A:A,0),0),0)</f>
        <v>20282.026119384056</v>
      </c>
      <c r="K419" s="455">
        <f t="shared" ca="1" si="27"/>
        <v>10541.929716061395</v>
      </c>
      <c r="L419" s="455">
        <f t="shared" ca="1" si="28"/>
        <v>2540605.0615707962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2540605.0615707962</v>
      </c>
      <c r="J420" s="455">
        <f t="array" ref="J420">IFERROR(INDEX('Retirement Calculator'!K:K,MATCH('Lorri 401b'!N420,'Retirement Calculator'!A:A,0),0),0)</f>
        <v>20282.026119384056</v>
      </c>
      <c r="K420" s="455">
        <f t="shared" ca="1" si="27"/>
        <v>10501.345981047551</v>
      </c>
      <c r="L420" s="455">
        <f t="shared" ca="1" si="28"/>
        <v>2530824.3814324597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2530824.3814324597</v>
      </c>
      <c r="J421" s="455">
        <f t="array" ref="J421">IFERROR(INDEX('Retirement Calculator'!K:K,MATCH('Lorri 401b'!N421,'Retirement Calculator'!A:A,0),0),0)</f>
        <v>20282.026119384056</v>
      </c>
      <c r="K421" s="455">
        <f t="shared" ca="1" si="27"/>
        <v>10460.593147137815</v>
      </c>
      <c r="L421" s="455">
        <f t="shared" ca="1" si="28"/>
        <v>2521002.9484602134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2521002.9484602134</v>
      </c>
      <c r="J422" s="455">
        <f t="array" ref="J422">IFERROR(INDEX('Retirement Calculator'!K:K,MATCH('Lorri 401b'!N422,'Retirement Calculator'!A:A,0),0),0)</f>
        <v>20282.026119384056</v>
      </c>
      <c r="K422" s="455">
        <f t="shared" ca="1" si="27"/>
        <v>10419.670509753456</v>
      </c>
      <c r="L422" s="455">
        <f t="shared" ca="1" si="28"/>
        <v>2511140.5928505827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2511140.5928505827</v>
      </c>
      <c r="J423" s="455">
        <f t="array" ref="J423">IFERROR(INDEX('Retirement Calculator'!K:K,MATCH('Lorri 401b'!N423,'Retirement Calculator'!A:A,0),0),0)</f>
        <v>20282.026119384056</v>
      </c>
      <c r="K423" s="455">
        <f t="shared" ca="1" si="27"/>
        <v>10378.577361379994</v>
      </c>
      <c r="L423" s="455">
        <f t="shared" ca="1" si="28"/>
        <v>2501237.1440925789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2501237.1440925789</v>
      </c>
      <c r="J424" s="455">
        <f t="array" ref="J424">IFERROR(INDEX('Retirement Calculator'!K:K,MATCH('Lorri 401b'!N424,'Retirement Calculator'!A:A,0),0),0)</f>
        <v>20282.026119384056</v>
      </c>
      <c r="K424" s="455">
        <f t="shared" ca="1" si="27"/>
        <v>10337.312991554978</v>
      </c>
      <c r="L424" s="455">
        <f t="shared" ca="1" si="28"/>
        <v>2491292.4309647498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2491292.4309647498</v>
      </c>
      <c r="J425" s="455">
        <f t="array" ref="J425">IFERROR(INDEX('Retirement Calculator'!K:K,MATCH('Lorri 401b'!N425,'Retirement Calculator'!A:A,0),0),0)</f>
        <v>20282.026119384056</v>
      </c>
      <c r="K425" s="455">
        <f t="shared" ca="1" si="27"/>
        <v>10295.87668685569</v>
      </c>
      <c r="L425" s="455">
        <f t="shared" ca="1" si="28"/>
        <v>2481306.2815322215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2481306.2815322215</v>
      </c>
      <c r="J426" s="455">
        <f t="array" ref="J426">IFERROR(INDEX('Retirement Calculator'!K:K,MATCH('Lorri 401b'!N426,'Retirement Calculator'!A:A,0),0),0)</f>
        <v>20282.026119384056</v>
      </c>
      <c r="K426" s="455">
        <f t="shared" ca="1" si="27"/>
        <v>10254.267730886822</v>
      </c>
      <c r="L426" s="455">
        <f t="shared" ca="1" si="28"/>
        <v>2471278.5231437245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2471278.5231437245</v>
      </c>
      <c r="J427" s="455">
        <f t="array" ref="J427">IFERROR(INDEX('Retirement Calculator'!K:K,MATCH('Lorri 401b'!N427,'Retirement Calculator'!A:A,0),0),0)</f>
        <v>20282.026119384056</v>
      </c>
      <c r="K427" s="455">
        <f t="shared" ca="1" si="27"/>
        <v>10212.485404268085</v>
      </c>
      <c r="L427" s="455">
        <f t="shared" ca="1" si="28"/>
        <v>2461208.9824286085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2461208.9824286085</v>
      </c>
      <c r="J428" s="455">
        <f t="array" ref="J428">IFERROR(INDEX('Retirement Calculator'!K:K,MATCH('Lorri 401b'!N428,'Retirement Calculator'!A:A,0),0),0)</f>
        <v>20282.026119384056</v>
      </c>
      <c r="K428" s="455">
        <f t="shared" ca="1" si="27"/>
        <v>10170.528984621769</v>
      </c>
      <c r="L428" s="455">
        <f t="shared" ca="1" si="28"/>
        <v>2451097.4852938461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2451097.4852938461</v>
      </c>
      <c r="J429" s="455">
        <f t="array" ref="J429">IFERROR(INDEX('Retirement Calculator'!K:K,MATCH('Lorri 401b'!N429,'Retirement Calculator'!A:A,0),0),0)</f>
        <v>20282.026119384056</v>
      </c>
      <c r="K429" s="455">
        <f t="shared" ca="1" si="27"/>
        <v>10128.397746560258</v>
      </c>
      <c r="L429" s="455">
        <f t="shared" ca="1" si="28"/>
        <v>2440943.8569210223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2440943.8569210223</v>
      </c>
      <c r="J430" s="455">
        <f t="array" ref="J430">IFERROR(INDEX('Retirement Calculator'!K:K,MATCH('Lorri 401b'!N430,'Retirement Calculator'!A:A,0),0),0)</f>
        <v>20282.026119384056</v>
      </c>
      <c r="K430" s="455">
        <f t="shared" ca="1" si="27"/>
        <v>10086.090961673493</v>
      </c>
      <c r="L430" s="455">
        <f t="shared" ca="1" si="28"/>
        <v>2430747.9217633116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2430747.9217633116</v>
      </c>
      <c r="J431" s="455">
        <f t="array" ref="J431">IFERROR(INDEX('Retirement Calculator'!K:K,MATCH('Lorri 401b'!N431,'Retirement Calculator'!A:A,0),0),0)</f>
        <v>20282.026119384056</v>
      </c>
      <c r="K431" s="455">
        <f t="shared" ca="1" si="27"/>
        <v>10043.607898516366</v>
      </c>
      <c r="L431" s="455">
        <f t="shared" ca="1" si="28"/>
        <v>2420509.5035424442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2420509.5035424442</v>
      </c>
      <c r="J432" s="455">
        <f t="array" ref="J432">IFERROR(INDEX('Retirement Calculator'!K:K,MATCH('Lorri 401b'!N432,'Retirement Calculator'!A:A,0),0),0)</f>
        <v>20282.026119384056</v>
      </c>
      <c r="K432" s="455">
        <f t="shared" ca="1" si="27"/>
        <v>10000.947822596085</v>
      </c>
      <c r="L432" s="455">
        <f t="shared" ca="1" si="28"/>
        <v>2410228.4252456562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2410228.4252456562</v>
      </c>
      <c r="J433" s="455">
        <f t="array" ref="J433">IFERROR(INDEX('Retirement Calculator'!K:K,MATCH('Lorri 401b'!N433,'Retirement Calculator'!A:A,0),0),0)</f>
        <v>20282.026119384056</v>
      </c>
      <c r="K433" s="455">
        <f t="shared" ca="1" si="27"/>
        <v>9958.1099963594679</v>
      </c>
      <c r="L433" s="455">
        <f t="shared" ca="1" si="28"/>
        <v>2399904.5091226315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2399904.5091226315</v>
      </c>
      <c r="J434" s="455">
        <f t="array" ref="J434">IFERROR(INDEX('Retirement Calculator'!K:K,MATCH('Lorri 401b'!N434,'Retirement Calculator'!A:A,0),0),0)</f>
        <v>20282.026119384056</v>
      </c>
      <c r="K434" s="455">
        <f t="shared" ca="1" si="27"/>
        <v>9915.0936791801978</v>
      </c>
      <c r="L434" s="455">
        <f t="shared" ca="1" si="28"/>
        <v>2389537.5766824279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2389537.5766824279</v>
      </c>
      <c r="J435" s="455">
        <f t="array" ref="J435">IFERROR(INDEX('Retirement Calculator'!K:K,MATCH('Lorri 401b'!N435,'Retirement Calculator'!A:A,0),0),0)</f>
        <v>20282.026119384056</v>
      </c>
      <c r="K435" s="455">
        <f t="shared" ca="1" si="27"/>
        <v>9871.8981273460158</v>
      </c>
      <c r="L435" s="455">
        <f t="shared" ca="1" si="28"/>
        <v>2379127.4486903897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2379127.4486903897</v>
      </c>
      <c r="J436" s="455">
        <f t="array" ref="J436">IFERROR(INDEX('Retirement Calculator'!K:K,MATCH('Lorri 401b'!N436,'Retirement Calculator'!A:A,0),0),0)</f>
        <v>20282.026119384056</v>
      </c>
      <c r="K436" s="455">
        <f t="shared" ca="1" si="27"/>
        <v>9828.5225940458567</v>
      </c>
      <c r="L436" s="455">
        <f t="shared" ca="1" si="28"/>
        <v>2368673.9451650516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2368673.9451650516</v>
      </c>
      <c r="J437" s="455">
        <f t="array" ref="J437">IFERROR(INDEX('Retirement Calculator'!K:K,MATCH('Lorri 401b'!N437,'Retirement Calculator'!A:A,0),0),0)</f>
        <v>20282.026119384056</v>
      </c>
      <c r="K437" s="455">
        <f t="shared" ca="1" si="27"/>
        <v>9784.9663293569483</v>
      </c>
      <c r="L437" s="455">
        <f t="shared" ca="1" si="28"/>
        <v>2358176.8853750248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2358176.8853750248</v>
      </c>
      <c r="J438" s="455">
        <f t="array" ref="J438">IFERROR(INDEX('Retirement Calculator'!K:K,MATCH('Lorri 401b'!N438,'Retirement Calculator'!A:A,0),0),0)</f>
        <v>20282.026119384056</v>
      </c>
      <c r="K438" s="455">
        <f t="shared" ca="1" si="27"/>
        <v>9741.2285802318365</v>
      </c>
      <c r="L438" s="455">
        <f t="shared" ca="1" si="28"/>
        <v>2347636.0878358725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2347636.0878358725</v>
      </c>
      <c r="J439" s="455">
        <f t="array" ref="J439">IFERROR(INDEX('Retirement Calculator'!K:K,MATCH('Lorri 401b'!N439,'Retirement Calculator'!A:A,0),0),0)</f>
        <v>20282.026119384056</v>
      </c>
      <c r="K439" s="455">
        <f t="shared" ca="1" si="27"/>
        <v>9697.3085904853688</v>
      </c>
      <c r="L439" s="455">
        <f t="shared" ca="1" si="28"/>
        <v>2337051.3703069738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2337051.3703069738</v>
      </c>
      <c r="J440" s="455">
        <f t="array" ref="J440">IFERROR(INDEX('Retirement Calculator'!K:K,MATCH('Lorri 401b'!N440,'Retirement Calculator'!A:A,0),0),0)</f>
        <v>20282.026119384056</v>
      </c>
      <c r="K440" s="455">
        <f t="shared" ca="1" si="27"/>
        <v>9653.2056007816245</v>
      </c>
      <c r="L440" s="455">
        <f t="shared" ca="1" si="28"/>
        <v>2326422.5497883717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2326422.5497883717</v>
      </c>
      <c r="J441" s="455">
        <f t="array" ref="J441">IFERROR(INDEX('Retirement Calculator'!K:K,MATCH('Lorri 401b'!N441,'Retirement Calculator'!A:A,0),0),0)</f>
        <v>20282.026119384056</v>
      </c>
      <c r="K441" s="455">
        <f t="shared" ca="1" si="27"/>
        <v>9608.9188486207822</v>
      </c>
      <c r="L441" s="455">
        <f t="shared" ca="1" si="28"/>
        <v>2315749.4425176084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2315749.4425176084</v>
      </c>
      <c r="J442" s="455">
        <f t="array" ref="J442">IFERROR(INDEX('Retirement Calculator'!K:K,MATCH('Lorri 401b'!N442,'Retirement Calculator'!A:A,0),0),0)</f>
        <v>20282.026119384056</v>
      </c>
      <c r="K442" s="455">
        <f t="shared" ca="1" si="27"/>
        <v>9564.4475683259352</v>
      </c>
      <c r="L442" s="455">
        <f t="shared" ca="1" si="28"/>
        <v>2305031.8639665502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2305031.8639665502</v>
      </c>
      <c r="J443" s="455">
        <f t="array" ref="J443">IFERROR(INDEX('Retirement Calculator'!K:K,MATCH('Lorri 401b'!N443,'Retirement Calculator'!A:A,0),0),0)</f>
        <v>20282.026119384056</v>
      </c>
      <c r="K443" s="455">
        <f t="shared" ca="1" si="27"/>
        <v>9519.7909910298586</v>
      </c>
      <c r="L443" s="455">
        <f t="shared" ca="1" si="28"/>
        <v>2294269.6288381959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2294269.6288381959</v>
      </c>
      <c r="J444" s="455">
        <f t="array" ref="J444">IFERROR(INDEX('Retirement Calculator'!K:K,MATCH('Lorri 401b'!N444,'Retirement Calculator'!A:A,0),0),0)</f>
        <v>20282.026119384056</v>
      </c>
      <c r="K444" s="455">
        <f t="shared" ca="1" si="27"/>
        <v>9474.948344661716</v>
      </c>
      <c r="L444" s="455">
        <f t="shared" ca="1" si="28"/>
        <v>2283462.5510634738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2283462.5510634738</v>
      </c>
      <c r="J445" s="455">
        <f t="array" ref="J445">IFERROR(INDEX('Retirement Calculator'!K:K,MATCH('Lorri 401b'!N445,'Retirement Calculator'!A:A,0),0),0)</f>
        <v>20282.026119384056</v>
      </c>
      <c r="K445" s="455">
        <f t="shared" ca="1" si="27"/>
        <v>9429.9188539337083</v>
      </c>
      <c r="L445" s="455">
        <f t="shared" ca="1" si="28"/>
        <v>2272610.4437980237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2272610.4437980237</v>
      </c>
      <c r="J446" s="455">
        <f t="array" ref="J446">IFERROR(INDEX('Retirement Calculator'!K:K,MATCH('Lorri 401b'!N446,'Retirement Calculator'!A:A,0),0),0)</f>
        <v>20282.026119384056</v>
      </c>
      <c r="K446" s="455">
        <f t="shared" ca="1" si="27"/>
        <v>9384.7017403276659</v>
      </c>
      <c r="L446" s="455">
        <f t="shared" ca="1" si="28"/>
        <v>2261713.1194189675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2261713.1194189675</v>
      </c>
      <c r="J447" s="455">
        <f t="array" ref="J447">IFERROR(INDEX('Retirement Calculator'!K:K,MATCH('Lorri 401b'!N447,'Retirement Calculator'!A:A,0),0),0)</f>
        <v>20282.026119384056</v>
      </c>
      <c r="K447" s="455">
        <f t="shared" ca="1" si="27"/>
        <v>9339.2962220815971</v>
      </c>
      <c r="L447" s="455">
        <f t="shared" ca="1" si="28"/>
        <v>2250770.3895216649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2250770.3895216649</v>
      </c>
      <c r="J448" s="455">
        <f t="array" ref="J448">IFERROR(INDEX('Retirement Calculator'!K:K,MATCH('Lorri 401b'!N448,'Retirement Calculator'!A:A,0),0),0)</f>
        <v>20282.026119384056</v>
      </c>
      <c r="K448" s="455">
        <f t="shared" ca="1" si="27"/>
        <v>9293.7015141761713</v>
      </c>
      <c r="L448" s="455">
        <f t="shared" ca="1" si="28"/>
        <v>2239782.064916457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2239782.064916457</v>
      </c>
      <c r="J449" s="455">
        <f t="array" ref="J449">IFERROR(INDEX('Retirement Calculator'!K:K,MATCH('Lorri 401b'!N449,'Retirement Calculator'!A:A,0),0),0)</f>
        <v>20282.026119384056</v>
      </c>
      <c r="K449" s="455">
        <f t="shared" ca="1" si="27"/>
        <v>9247.9168283211384</v>
      </c>
      <c r="L449" s="455">
        <f t="shared" ca="1" si="28"/>
        <v>2228747.9556253944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2228747.9556253944</v>
      </c>
      <c r="J450" s="455">
        <f t="array" ref="J450">IFERROR(INDEX('Retirement Calculator'!K:K,MATCH('Lorri 401b'!N450,'Retirement Calculator'!A:A,0),0),0)</f>
        <v>20282.026119384056</v>
      </c>
      <c r="K450" s="455">
        <f t="shared" ca="1" si="27"/>
        <v>9201.9413729417101</v>
      </c>
      <c r="L450" s="455">
        <f t="shared" ca="1" si="28"/>
        <v>2217667.8708789521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2217667.8708789521</v>
      </c>
      <c r="J451" s="455">
        <f t="array" ref="J451">IFERROR(INDEX('Retirement Calculator'!K:K,MATCH('Lorri 401b'!N451,'Retirement Calculator'!A:A,0),0),0)</f>
        <v>20282.026119384056</v>
      </c>
      <c r="K451" s="455">
        <f t="shared" ca="1" si="27"/>
        <v>9155.7743531648666</v>
      </c>
      <c r="L451" s="455">
        <f t="shared" ca="1" si="28"/>
        <v>2206541.6191127328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2206541.6191127328</v>
      </c>
      <c r="J452" s="455">
        <f t="array" ref="J452">IFERROR(INDEX('Retirement Calculator'!K:K,MATCH('Lorri 401b'!N452,'Retirement Calculator'!A:A,0),0),0)</f>
        <v>20282.026119384056</v>
      </c>
      <c r="K452" s="455">
        <f t="shared" ca="1" si="27"/>
        <v>9109.4149708056193</v>
      </c>
      <c r="L452" s="455">
        <f t="shared" ca="1" si="28"/>
        <v>2195369.0079641542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2195369.0079641542</v>
      </c>
      <c r="J453" s="455">
        <f t="array" ref="J453">IFERROR(INDEX('Retirement Calculator'!K:K,MATCH('Lorri 401b'!N453,'Retirement Calculator'!A:A,0),0),0)</f>
        <v>20282.026119384056</v>
      </c>
      <c r="K453" s="455">
        <f t="shared" ca="1" si="27"/>
        <v>9062.8624243532086</v>
      </c>
      <c r="L453" s="455">
        <f t="shared" ca="1" si="28"/>
        <v>2184149.8442691234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2184149.8442691234</v>
      </c>
      <c r="J454" s="455">
        <f t="array" ref="J454">IFERROR(INDEX('Retirement Calculator'!K:K,MATCH('Lorri 401b'!N454,'Retirement Calculator'!A:A,0),0),0)</f>
        <v>20282.026119384056</v>
      </c>
      <c r="K454" s="455">
        <f t="shared" ca="1" si="27"/>
        <v>9016.1159089572466</v>
      </c>
      <c r="L454" s="455">
        <f t="shared" ca="1" si="28"/>
        <v>2172883.9340586965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2172883.9340586965</v>
      </c>
      <c r="J455" s="455">
        <f t="array" ref="J455">IFERROR(INDEX('Retirement Calculator'!K:K,MATCH('Lorri 401b'!N455,'Retirement Calculator'!A:A,0),0),0)</f>
        <v>20282.026119384056</v>
      </c>
      <c r="K455" s="455">
        <f t="shared" ca="1" si="27"/>
        <v>8969.1746164138021</v>
      </c>
      <c r="L455" s="455">
        <f t="shared" ca="1" si="28"/>
        <v>2161571.0825557262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2161571.0825557262</v>
      </c>
      <c r="J456" s="455">
        <f t="array" ref="J456">IFERROR(INDEX('Retirement Calculator'!K:K,MATCH('Lorri 401b'!N456,'Retirement Calculator'!A:A,0),0),0)</f>
        <v>20282.026119384056</v>
      </c>
      <c r="K456" s="455">
        <f t="shared" ca="1" si="27"/>
        <v>8922.0377351514253</v>
      </c>
      <c r="L456" s="455">
        <f t="shared" ca="1" si="28"/>
        <v>2150211.0941714938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2150211.0941714938</v>
      </c>
      <c r="J457" s="455">
        <f t="array" ref="J457">IFERROR(INDEX('Retirement Calculator'!K:K,MATCH('Lorri 401b'!N457,'Retirement Calculator'!A:A,0),0),0)</f>
        <v>20282.026119384056</v>
      </c>
      <c r="K457" s="455">
        <f t="shared" ca="1" si="27"/>
        <v>8874.7044502171248</v>
      </c>
      <c r="L457" s="455">
        <f t="shared" ca="1" si="28"/>
        <v>2138803.7725023269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2138803.7725023269</v>
      </c>
      <c r="J458" s="455">
        <f t="array" ref="J458">IFERROR(INDEX('Retirement Calculator'!K:K,MATCH('Lorri 401b'!N458,'Retirement Calculator'!A:A,0),0),0)</f>
        <v>20282.026119384056</v>
      </c>
      <c r="K458" s="455">
        <f t="shared" ca="1" si="27"/>
        <v>8827.1739432622617</v>
      </c>
      <c r="L458" s="455">
        <f t="shared" ca="1" si="28"/>
        <v>2127348.920326205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2127348.920326205</v>
      </c>
      <c r="J459" s="455">
        <f t="array" ref="J459">IFERROR(INDEX('Retirement Calculator'!K:K,MATCH('Lorri 401b'!N459,'Retirement Calculator'!A:A,0),0),0)</f>
        <v>20282.026119384056</v>
      </c>
      <c r="K459" s="455">
        <f t="shared" ca="1" si="27"/>
        <v>8779.4453925284215</v>
      </c>
      <c r="L459" s="455">
        <f t="shared" ca="1" si="28"/>
        <v>2115846.3395993495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2115846.3395993495</v>
      </c>
      <c r="J460" s="455">
        <f t="array" ref="J460">IFERROR(INDEX('Retirement Calculator'!K:K,MATCH('Lorri 401b'!N460,'Retirement Calculator'!A:A,0),0),0)</f>
        <v>20282.026119384056</v>
      </c>
      <c r="K460" s="455">
        <f t="shared" ca="1" si="27"/>
        <v>8731.5179728331896</v>
      </c>
      <c r="L460" s="455">
        <f t="shared" ca="1" si="28"/>
        <v>2104295.8314527986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2104295.8314527986</v>
      </c>
      <c r="J461" s="455">
        <f t="array" ref="J461">IFERROR(INDEX('Retirement Calculator'!K:K,MATCH('Lorri 401b'!N461,'Retirement Calculator'!A:A,0),0),0)</f>
        <v>20282.026119384056</v>
      </c>
      <c r="K461" s="455">
        <f t="shared" ca="1" si="27"/>
        <v>8683.3908555558937</v>
      </c>
      <c r="L461" s="455">
        <f t="shared" ca="1" si="28"/>
        <v>2092697.1961889705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2092697.1961889705</v>
      </c>
      <c r="J462" s="455">
        <f t="array" ref="J462">IFERROR(INDEX('Retirement Calculator'!K:K,MATCH('Lorri 401b'!N462,'Retirement Calculator'!A:A,0),0),0)</f>
        <v>20282.026119384056</v>
      </c>
      <c r="K462" s="455">
        <f t="shared" ca="1" si="27"/>
        <v>8635.0632086232781</v>
      </c>
      <c r="L462" s="455">
        <f t="shared" ca="1" si="28"/>
        <v>2081050.2332782098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2081050.2332782098</v>
      </c>
      <c r="J463" s="455">
        <f t="array" ref="J463">IFERROR(INDEX('Retirement Calculator'!K:K,MATCH('Lorri 401b'!N463,'Retirement Calculator'!A:A,0),0),0)</f>
        <v>20282.026119384056</v>
      </c>
      <c r="K463" s="455">
        <f t="shared" ca="1" si="27"/>
        <v>8586.5341964951076</v>
      </c>
      <c r="L463" s="455">
        <f t="shared" ca="1" si="28"/>
        <v>2069354.7413553209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2069354.7413553209</v>
      </c>
      <c r="J464" s="455">
        <f t="array" ref="J464">IFERROR(INDEX('Retirement Calculator'!K:K,MATCH('Lorri 401b'!N464,'Retirement Calculator'!A:A,0),0),0)</f>
        <v>20282.026119384056</v>
      </c>
      <c r="K464" s="455">
        <f t="shared" ca="1" si="27"/>
        <v>8537.8029801497378</v>
      </c>
      <c r="L464" s="455">
        <f t="shared" ca="1" si="28"/>
        <v>2057610.5182160866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2057610.5182160866</v>
      </c>
      <c r="J465" s="455">
        <f t="array" ref="J465">IFERROR(INDEX('Retirement Calculator'!K:K,MATCH('Lorri 401b'!N465,'Retirement Calculator'!A:A,0),0),0)</f>
        <v>20282.026119384056</v>
      </c>
      <c r="K465" s="455">
        <f t="shared" ca="1" si="27"/>
        <v>8488.8687170695939</v>
      </c>
      <c r="L465" s="455">
        <f t="shared" ca="1" si="28"/>
        <v>2045817.3608137721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2045817.3608137721</v>
      </c>
      <c r="J466" s="455">
        <f t="array" ref="J466">IFERROR(INDEX('Retirement Calculator'!K:K,MATCH('Lorri 401b'!N466,'Retirement Calculator'!A:A,0),0),0)</f>
        <v>20282.026119384056</v>
      </c>
      <c r="K466" s="455">
        <f t="shared" ca="1" si="27"/>
        <v>8439.7305612266173</v>
      </c>
      <c r="L466" s="455">
        <f t="shared" ca="1" si="28"/>
        <v>2033975.0652556147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2033975.0652556147</v>
      </c>
      <c r="J467" s="455">
        <f t="array" ref="J467">IFERROR(INDEX('Retirement Calculator'!K:K,MATCH('Lorri 401b'!N467,'Retirement Calculator'!A:A,0),0),0)</f>
        <v>20282.026119384056</v>
      </c>
      <c r="K467" s="455">
        <f t="shared" ca="1" si="27"/>
        <v>8390.3876630676277</v>
      </c>
      <c r="L467" s="455">
        <f t="shared" ca="1" si="28"/>
        <v>2022083.4267992983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2022083.4267992983</v>
      </c>
      <c r="J468" s="455">
        <f t="array" ref="J468">IFERROR(INDEX('Retirement Calculator'!K:K,MATCH('Lorri 401b'!N468,'Retirement Calculator'!A:A,0),0),0)</f>
        <v>20282.026119384056</v>
      </c>
      <c r="K468" s="455">
        <f t="shared" ca="1" si="27"/>
        <v>8340.8391694996426</v>
      </c>
      <c r="L468" s="455">
        <f t="shared" ca="1" si="28"/>
        <v>2010142.239849414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2010142.239849414</v>
      </c>
      <c r="J469" s="455">
        <f t="array" ref="J469">IFERROR(INDEX('Retirement Calculator'!K:K,MATCH('Lorri 401b'!N469,'Retirement Calculator'!A:A,0),0),0)</f>
        <v>20282.026119384056</v>
      </c>
      <c r="K469" s="455">
        <f t="shared" ca="1" si="27"/>
        <v>8291.0842238751247</v>
      </c>
      <c r="L469" s="455">
        <f t="shared" ca="1" si="28"/>
        <v>1998151.2979539051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1998151.2979539051</v>
      </c>
      <c r="J470" s="455">
        <f t="array" ref="J470">IFERROR(INDEX('Retirement Calculator'!K:K,MATCH('Lorri 401b'!N470,'Retirement Calculator'!A:A,0),0),0)</f>
        <v>20282.026119384056</v>
      </c>
      <c r="K470" s="455">
        <f t="shared" ca="1" si="27"/>
        <v>8241.1219659771723</v>
      </c>
      <c r="L470" s="455">
        <f t="shared" ca="1" si="28"/>
        <v>1986110.3938004982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1986110.3938004982</v>
      </c>
      <c r="J471" s="455">
        <f t="array" ref="J471">IFERROR(INDEX('Retirement Calculator'!K:K,MATCH('Lorri 401b'!N471,'Retirement Calculator'!A:A,0),0),0)</f>
        <v>20282.026119384056</v>
      </c>
      <c r="K471" s="455">
        <f t="shared" ca="1" si="27"/>
        <v>8190.9515320046421</v>
      </c>
      <c r="L471" s="455">
        <f t="shared" ca="1" si="28"/>
        <v>1974019.3192131189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1974019.3192131189</v>
      </c>
      <c r="J472" s="455">
        <f t="array" ref="J472">IFERROR(INDEX('Retirement Calculator'!K:K,MATCH('Lorri 401b'!N472,'Retirement Calculator'!A:A,0),0),0)</f>
        <v>20282.026119384056</v>
      </c>
      <c r="K472" s="455">
        <f t="shared" ca="1" si="27"/>
        <v>8140.5720545572285</v>
      </c>
      <c r="L472" s="455">
        <f t="shared" ca="1" si="28"/>
        <v>1961877.8651482922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1961877.8651482922</v>
      </c>
      <c r="J473" s="455">
        <f t="array" ref="J473">IFERROR(INDEX('Retirement Calculator'!K:K,MATCH('Lorri 401b'!N473,'Retirement Calculator'!A:A,0),0),0)</f>
        <v>20282.026119384056</v>
      </c>
      <c r="K473" s="455">
        <f t="shared" ca="1" si="27"/>
        <v>8089.9826626204504</v>
      </c>
      <c r="L473" s="455">
        <f t="shared" ca="1" si="28"/>
        <v>1949685.8216915287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1949685.8216915287</v>
      </c>
      <c r="J474" s="455">
        <f t="array" ref="J474">IFERROR(INDEX('Retirement Calculator'!K:K,MATCH('Lorri 401b'!N474,'Retirement Calculator'!A:A,0),0),0)</f>
        <v>20282.026119384056</v>
      </c>
      <c r="K474" s="455">
        <f t="shared" ca="1" si="27"/>
        <v>8039.1824815506034</v>
      </c>
      <c r="L474" s="455">
        <f t="shared" ca="1" si="28"/>
        <v>1937442.9780536953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1937442.9780536953</v>
      </c>
      <c r="J475" s="455">
        <f t="array" ref="J475">IFERROR(INDEX('Retirement Calculator'!K:K,MATCH('Lorri 401b'!N475,'Retirement Calculator'!A:A,0),0),0)</f>
        <v>20282.026119384056</v>
      </c>
      <c r="K475" s="455">
        <f t="shared" ca="1" si="27"/>
        <v>7988.1706330596307</v>
      </c>
      <c r="L475" s="455">
        <f t="shared" ca="1" si="28"/>
        <v>1925149.122567371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1925149.122567371</v>
      </c>
      <c r="J476" s="455">
        <f t="array" ref="J476">IFERROR(INDEX('Retirement Calculator'!K:K,MATCH('Lorri 401b'!N476,'Retirement Calculator'!A:A,0),0),0)</f>
        <v>20282.026119384056</v>
      </c>
      <c r="K476" s="455">
        <f t="shared" ca="1" si="27"/>
        <v>7936.9462351999455</v>
      </c>
      <c r="L476" s="455">
        <f t="shared" ca="1" si="28"/>
        <v>1912804.0426831869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1912804.0426831869</v>
      </c>
      <c r="J477" s="455">
        <f t="array" ref="J477">IFERROR(INDEX('Retirement Calculator'!K:K,MATCH('Lorri 401b'!N477,'Retirement Calculator'!A:A,0),0),0)</f>
        <v>20282.026119384056</v>
      </c>
      <c r="K477" s="455">
        <f t="shared" ca="1" si="27"/>
        <v>7885.5084023491791</v>
      </c>
      <c r="L477" s="455">
        <f t="shared" ca="1" si="28"/>
        <v>1900407.5249661522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1900407.5249661522</v>
      </c>
      <c r="J478" s="455">
        <f t="array" ref="J478">IFERROR(INDEX('Retirement Calculator'!K:K,MATCH('Lorri 401b'!N478,'Retirement Calculator'!A:A,0),0),0)</f>
        <v>20282.026119384056</v>
      </c>
      <c r="K478" s="455">
        <f t="shared" ca="1" si="27"/>
        <v>7833.8562451948665</v>
      </c>
      <c r="L478" s="455">
        <f t="shared" ca="1" si="28"/>
        <v>1887959.355091963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1887959.355091963</v>
      </c>
      <c r="J479" s="455">
        <f t="array" ref="J479">IFERROR(INDEX('Retirement Calculator'!K:K,MATCH('Lorri 401b'!N479,'Retirement Calculator'!A:A,0),0),0)</f>
        <v>20282.026119384056</v>
      </c>
      <c r="K479" s="455">
        <f t="shared" ca="1" si="27"/>
        <v>7781.9888707190794</v>
      </c>
      <c r="L479" s="455">
        <f t="shared" ca="1" si="28"/>
        <v>1875459.317843298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1875459.317843298</v>
      </c>
      <c r="J480" s="455">
        <f t="array" ref="J480">IFERROR(INDEX('Retirement Calculator'!K:K,MATCH('Lorri 401b'!N480,'Retirement Calculator'!A:A,0),0),0)</f>
        <v>20282.026119384056</v>
      </c>
      <c r="K480" s="455">
        <f t="shared" ca="1" si="27"/>
        <v>7729.9053821829748</v>
      </c>
      <c r="L480" s="455">
        <f t="shared" ca="1" si="28"/>
        <v>1862907.1971060969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1862907.1971060969</v>
      </c>
      <c r="J481" s="455">
        <f t="array" ref="J481">IFERROR(INDEX('Retirement Calculator'!K:K,MATCH('Lorri 401b'!N481,'Retirement Calculator'!A:A,0),0),0)</f>
        <v>20282.026119384056</v>
      </c>
      <c r="K481" s="455">
        <f t="shared" ca="1" si="27"/>
        <v>7677.6048791113026</v>
      </c>
      <c r="L481" s="455">
        <f t="shared" ca="1" si="28"/>
        <v>1850302.7758658242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1850302.7758658242</v>
      </c>
      <c r="J482" s="455">
        <f t="array" ref="J482">IFERROR(INDEX('Retirement Calculator'!K:K,MATCH('Lorri 401b'!N482,'Retirement Calculator'!A:A,0),0),0)</f>
        <v>20282.026119384056</v>
      </c>
      <c r="K482" s="455">
        <f t="shared" ca="1" si="27"/>
        <v>7625.0864572768342</v>
      </c>
      <c r="L482" s="455">
        <f t="shared" ca="1" si="28"/>
        <v>1837645.8362037172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1837645.8362037172</v>
      </c>
      <c r="J483" s="455">
        <f t="array" ref="J483">IFERROR(INDEX('Retirement Calculator'!K:K,MATCH('Lorri 401b'!N483,'Retirement Calculator'!A:A,0),0),0)</f>
        <v>20282.026119384056</v>
      </c>
      <c r="K483" s="455">
        <f t="shared" ca="1" si="27"/>
        <v>7572.3492086847218</v>
      </c>
      <c r="L483" s="455">
        <f t="shared" ca="1" si="28"/>
        <v>1824936.1592930178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1824936.1592930178</v>
      </c>
      <c r="J484" s="455">
        <f t="array" ref="J484">IFERROR(INDEX('Retirement Calculator'!K:K,MATCH('Lorri 401b'!N484,'Retirement Calculator'!A:A,0),0),0)</f>
        <v>20282.026119384056</v>
      </c>
      <c r="K484" s="455">
        <f t="shared" ca="1" si="27"/>
        <v>7519.3922215568073</v>
      </c>
      <c r="L484" s="455">
        <f t="shared" ca="1" si="28"/>
        <v>1812173.5253951906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1812173.5253951906</v>
      </c>
      <c r="J485" s="455">
        <f t="array" ref="J485">IFERROR(INDEX('Retirement Calculator'!K:K,MATCH('Lorri 401b'!N485,'Retirement Calculator'!A:A,0),0),0)</f>
        <v>20282.026119384056</v>
      </c>
      <c r="K485" s="455">
        <f t="shared" ca="1" si="27"/>
        <v>7466.214580315861</v>
      </c>
      <c r="L485" s="455">
        <f t="shared" ca="1" si="28"/>
        <v>1799357.7138561225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1799357.7138561225</v>
      </c>
      <c r="J486" s="455">
        <f t="array" ref="J486">IFERROR(INDEX('Retirement Calculator'!K:K,MATCH('Lorri 401b'!N486,'Retirement Calculator'!A:A,0),0),0)</f>
        <v>20282.026119384056</v>
      </c>
      <c r="K486" s="455">
        <f t="shared" ca="1" si="27"/>
        <v>7412.8153655697442</v>
      </c>
      <c r="L486" s="455">
        <f t="shared" ca="1" si="28"/>
        <v>1786488.5031023081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1786488.5031023081</v>
      </c>
      <c r="J487" s="455">
        <f t="array" ref="J487">IFERROR(INDEX('Retirement Calculator'!K:K,MATCH('Lorri 401b'!N487,'Retirement Calculator'!A:A,0),0),0)</f>
        <v>20282.026119384056</v>
      </c>
      <c r="K487" s="455">
        <f t="shared" ca="1" si="27"/>
        <v>7359.1936540955176</v>
      </c>
      <c r="L487" s="455">
        <f t="shared" ca="1" si="28"/>
        <v>1773565.6706370197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1773565.6706370197</v>
      </c>
      <c r="J488" s="455">
        <f t="array" ref="J488">IFERROR(INDEX('Retirement Calculator'!K:K,MATCH('Lorri 401b'!N488,'Retirement Calculator'!A:A,0),0),0)</f>
        <v>20282.026119384056</v>
      </c>
      <c r="K488" s="455">
        <f t="shared" ca="1" si="27"/>
        <v>7305.3485188234827</v>
      </c>
      <c r="L488" s="455">
        <f t="shared" ca="1" si="28"/>
        <v>1760588.9930364592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1760588.9930364592</v>
      </c>
      <c r="J489" s="455">
        <f t="array" ref="J489">IFERROR(INDEX('Retirement Calculator'!K:K,MATCH('Lorri 401b'!N489,'Retirement Calculator'!A:A,0),0),0)</f>
        <v>20282.026119384056</v>
      </c>
      <c r="K489" s="455">
        <f t="shared" ca="1" si="27"/>
        <v>7251.2790288211463</v>
      </c>
      <c r="L489" s="455">
        <f t="shared" ca="1" si="28"/>
        <v>1747558.2459458963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1747558.2459458963</v>
      </c>
      <c r="J490" s="455">
        <f t="array" ref="J490">IFERROR(INDEX('Retirement Calculator'!K:K,MATCH('Lorri 401b'!N490,'Retirement Calculator'!A:A,0),0),0)</f>
        <v>20282.026119384056</v>
      </c>
      <c r="K490" s="455">
        <f t="shared" ca="1" si="27"/>
        <v>7196.984249277134</v>
      </c>
      <c r="L490" s="455">
        <f t="shared" ca="1" si="28"/>
        <v>1734473.2040757893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1734473.2040757893</v>
      </c>
      <c r="J491" s="455">
        <f t="array" ref="J491">IFERROR(INDEX('Retirement Calculator'!K:K,MATCH('Lorri 401b'!N491,'Retirement Calculator'!A:A,0),0),0)</f>
        <v>20282.026119384056</v>
      </c>
      <c r="K491" s="455">
        <f t="shared" ca="1" si="27"/>
        <v>7142.4632414850221</v>
      </c>
      <c r="L491" s="455">
        <f t="shared" ca="1" si="28"/>
        <v>1721333.6411978903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1721333.6411978903</v>
      </c>
      <c r="J492" s="455">
        <f t="array" ref="J492">IFERROR(INDEX('Retirement Calculator'!K:K,MATCH('Lorri 401b'!N492,'Retirement Calculator'!A:A,0),0),0)</f>
        <v>20282.026119384056</v>
      </c>
      <c r="K492" s="455">
        <f t="shared" ca="1" si="27"/>
        <v>7087.7150628271083</v>
      </c>
      <c r="L492" s="455">
        <f t="shared" ca="1" si="28"/>
        <v>1708139.3301413334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1708139.3301413334</v>
      </c>
      <c r="J493" s="455">
        <f t="array" ref="J493">IFERROR(INDEX('Retirement Calculator'!K:K,MATCH('Lorri 401b'!N493,'Retirement Calculator'!A:A,0),0),0)</f>
        <v>20282.026119384056</v>
      </c>
      <c r="K493" s="455">
        <f t="shared" ca="1" si="27"/>
        <v>7032.7387667581224</v>
      </c>
      <c r="L493" s="455">
        <f t="shared" ca="1" si="28"/>
        <v>1694890.0427887077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1694890.0427887077</v>
      </c>
      <c r="J494" s="455">
        <f t="array" ref="J494">IFERROR(INDEX('Retirement Calculator'!K:K,MATCH('Lorri 401b'!N494,'Retirement Calculator'!A:A,0),0),0)</f>
        <v>20282.026119384056</v>
      </c>
      <c r="K494" s="455">
        <f t="shared" ca="1" si="27"/>
        <v>6977.5334027888484</v>
      </c>
      <c r="L494" s="455">
        <f t="shared" ca="1" si="28"/>
        <v>1681585.5500721126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1681585.5500721126</v>
      </c>
      <c r="J495" s="455">
        <f t="array" ref="J495">IFERROR(INDEX('Retirement Calculator'!K:K,MATCH('Lorri 401b'!N495,'Retirement Calculator'!A:A,0),0),0)</f>
        <v>20282.026119384056</v>
      </c>
      <c r="K495" s="455">
        <f t="shared" ca="1" si="27"/>
        <v>6922.0980164697021</v>
      </c>
      <c r="L495" s="455">
        <f t="shared" ca="1" si="28"/>
        <v>1668225.6219691983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1668225.6219691983</v>
      </c>
      <c r="J496" s="455">
        <f t="array" ref="J496">IFERROR(INDEX('Retirement Calculator'!K:K,MATCH('Lorri 401b'!N496,'Retirement Calculator'!A:A,0),0),0)</f>
        <v>20282.026119384056</v>
      </c>
      <c r="K496" s="455">
        <f t="shared" ca="1" si="27"/>
        <v>6866.4316493742263</v>
      </c>
      <c r="L496" s="455">
        <f t="shared" ca="1" si="28"/>
        <v>1654810.0274991887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1654810.0274991887</v>
      </c>
      <c r="J497" s="455">
        <f t="array" ref="J497">IFERROR(INDEX('Retirement Calculator'!K:K,MATCH('Lorri 401b'!N497,'Retirement Calculator'!A:A,0),0),0)</f>
        <v>20282.026119384056</v>
      </c>
      <c r="K497" s="455">
        <f t="shared" ca="1" si="27"/>
        <v>6810.533339082519</v>
      </c>
      <c r="L497" s="455">
        <f t="shared" ca="1" si="28"/>
        <v>1641338.5347188872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1641338.5347188872</v>
      </c>
      <c r="J498" s="455">
        <f t="array" ref="J498">IFERROR(INDEX('Retirement Calculator'!K:K,MATCH('Lorri 401b'!N498,'Retirement Calculator'!A:A,0),0),0)</f>
        <v>20282.026119384056</v>
      </c>
      <c r="K498" s="455">
        <f t="shared" ca="1" si="27"/>
        <v>6754.4021191645961</v>
      </c>
      <c r="L498" s="455">
        <f t="shared" ca="1" si="28"/>
        <v>1627810.9107186678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1627810.9107186678</v>
      </c>
      <c r="J499" s="455">
        <f t="array" ref="J499">IFERROR(INDEX('Retirement Calculator'!K:K,MATCH('Lorri 401b'!N499,'Retirement Calculator'!A:A,0),0),0)</f>
        <v>20282.026119384056</v>
      </c>
      <c r="K499" s="455">
        <f t="shared" ca="1" si="27"/>
        <v>6698.0370191636821</v>
      </c>
      <c r="L499" s="455">
        <f t="shared" ca="1" si="28"/>
        <v>1614226.9216184474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1614226.9216184474</v>
      </c>
      <c r="J500" s="455">
        <f t="array" ref="J500">IFERROR(INDEX('Retirement Calculator'!K:K,MATCH('Lorri 401b'!N500,'Retirement Calculator'!A:A,0),0),0)</f>
        <v>20282.026119384056</v>
      </c>
      <c r="K500" s="455">
        <f t="shared" ca="1" si="27"/>
        <v>6641.4370645794306</v>
      </c>
      <c r="L500" s="455">
        <f t="shared" ca="1" si="28"/>
        <v>1600586.3325636429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1600586.3325636429</v>
      </c>
      <c r="J501" s="455">
        <f t="array" ref="J501">IFERROR(INDEX('Retirement Calculator'!K:K,MATCH('Lorri 401b'!N501,'Retirement Calculator'!A:A,0),0),0)</f>
        <v>20282.026119384056</v>
      </c>
      <c r="K501" s="455">
        <f t="shared" ca="1" si="27"/>
        <v>6584.6012768510782</v>
      </c>
      <c r="L501" s="455">
        <f t="shared" ca="1" si="28"/>
        <v>1586888.9077211099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1586888.9077211099</v>
      </c>
      <c r="J502" s="455">
        <f t="array" ref="J502">IFERROR(INDEX('Retirement Calculator'!K:K,MATCH('Lorri 401b'!N502,'Retirement Calculator'!A:A,0),0),0)</f>
        <v>20282.026119384056</v>
      </c>
      <c r="K502" s="455">
        <f t="shared" ca="1" si="27"/>
        <v>6527.5286733405246</v>
      </c>
      <c r="L502" s="455">
        <f t="shared" ca="1" si="28"/>
        <v>1573134.4102750665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1573134.4102750665</v>
      </c>
      <c r="J503" s="455">
        <f t="array" ref="J503">IFERROR(INDEX('Retirement Calculator'!K:K,MATCH('Lorri 401b'!N503,'Retirement Calculator'!A:A,0),0),0)</f>
        <v>20282.026119384056</v>
      </c>
      <c r="K503" s="455">
        <f t="shared" ca="1" si="27"/>
        <v>6470.2182673153438</v>
      </c>
      <c r="L503" s="455">
        <f t="shared" ca="1" si="28"/>
        <v>1559322.6024229978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1559322.6024229978</v>
      </c>
      <c r="J504" s="455">
        <f t="array" ref="J504">IFERROR(INDEX('Retirement Calculator'!K:K,MATCH('Lorri 401b'!N504,'Retirement Calculator'!A:A,0),0),0)</f>
        <v>20282.026119384056</v>
      </c>
      <c r="K504" s="455">
        <f t="shared" ca="1" si="27"/>
        <v>6412.6690679317244</v>
      </c>
      <c r="L504" s="455">
        <f t="shared" ca="1" si="28"/>
        <v>1545453.2453715457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1545453.2453715457</v>
      </c>
      <c r="J505" s="455">
        <f t="array" ref="J505">IFERROR(INDEX('Retirement Calculator'!K:K,MATCH('Lorri 401b'!N505,'Retirement Calculator'!A:A,0),0),0)</f>
        <v>20282.026119384056</v>
      </c>
      <c r="K505" s="455">
        <f t="shared" ca="1" si="27"/>
        <v>6354.88008021734</v>
      </c>
      <c r="L505" s="455">
        <f t="shared" ca="1" si="28"/>
        <v>1531526.0993323789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1531526.0993323789</v>
      </c>
      <c r="J506" s="455">
        <f t="array" ref="J506">IFERROR(INDEX('Retirement Calculator'!K:K,MATCH('Lorri 401b'!N506,'Retirement Calculator'!A:A,0),0),0)</f>
        <v>20282.026119384056</v>
      </c>
      <c r="K506" s="455">
        <f t="shared" ca="1" si="27"/>
        <v>6296.8503050541458</v>
      </c>
      <c r="L506" s="455">
        <f t="shared" ca="1" si="28"/>
        <v>1517540.9235180491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1517540.9235180491</v>
      </c>
      <c r="J507" s="455">
        <f t="array" ref="J507">IFERROR(INDEX('Retirement Calculator'!K:K,MATCH('Lorri 401b'!N507,'Retirement Calculator'!A:A,0),0),0)</f>
        <v>20282.026119384056</v>
      </c>
      <c r="K507" s="455">
        <f t="shared" ca="1" si="27"/>
        <v>6238.5787391611047</v>
      </c>
      <c r="L507" s="455">
        <f t="shared" ca="1" si="28"/>
        <v>1503497.4761378262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1503497.4761378262</v>
      </c>
      <c r="J508" s="455">
        <f t="array" ref="J508">IFERROR(INDEX('Retirement Calculator'!K:K,MATCH('Lorri 401b'!N508,'Retirement Calculator'!A:A,0),0),0)</f>
        <v>20282.026119384056</v>
      </c>
      <c r="K508" s="455">
        <f t="shared" ca="1" si="27"/>
        <v>6180.0643750768422</v>
      </c>
      <c r="L508" s="455">
        <f t="shared" ca="1" si="28"/>
        <v>1489395.5143935191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1489395.5143935191</v>
      </c>
      <c r="J509" s="455">
        <f t="array" ref="J509">IFERROR(INDEX('Retirement Calculator'!K:K,MATCH('Lorri 401b'!N509,'Retirement Calculator'!A:A,0),0),0)</f>
        <v>20282.026119384056</v>
      </c>
      <c r="K509" s="455">
        <f t="shared" ca="1" si="27"/>
        <v>6121.3062011422298</v>
      </c>
      <c r="L509" s="455">
        <f t="shared" ca="1" si="28"/>
        <v>1475234.7944752774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1475234.7944752774</v>
      </c>
      <c r="J510" s="455">
        <f t="array" ref="J510">IFERROR(INDEX('Retirement Calculator'!K:K,MATCH('Lorri 401b'!N510,'Retirement Calculator'!A:A,0),0),0)</f>
        <v>20282.026119384056</v>
      </c>
      <c r="K510" s="455">
        <f t="shared" ca="1" si="27"/>
        <v>6062.3032014828896</v>
      </c>
      <c r="L510" s="455">
        <f t="shared" ca="1" si="28"/>
        <v>1461015.0715573763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1461015.0715573763</v>
      </c>
      <c r="J511" s="455">
        <f t="array" ref="J511">IFERROR(INDEX('Retirement Calculator'!K:K,MATCH('Lorri 401b'!N511,'Retirement Calculator'!A:A,0),0),0)</f>
        <v>20282.026119384056</v>
      </c>
      <c r="K511" s="455">
        <f t="shared" ca="1" si="27"/>
        <v>6003.054355991635</v>
      </c>
      <c r="L511" s="455">
        <f t="shared" ca="1" si="28"/>
        <v>1446736.0997939839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1446736.0997939839</v>
      </c>
      <c r="J512" s="455">
        <f t="array" ref="J512">IFERROR(INDEX('Retirement Calculator'!K:K,MATCH('Lorri 401b'!N512,'Retirement Calculator'!A:A,0),0),0)</f>
        <v>20282.026119384056</v>
      </c>
      <c r="K512" s="455">
        <f t="shared" ca="1" si="27"/>
        <v>5943.5586403108327</v>
      </c>
      <c r="L512" s="455">
        <f t="shared" ca="1" si="28"/>
        <v>1432397.6323149106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1432397.6323149106</v>
      </c>
      <c r="J513" s="455">
        <f t="array" ref="J513">IFERROR(INDEX('Retirement Calculator'!K:K,MATCH('Lorri 401b'!N513,'Retirement Calculator'!A:A,0),0),0)</f>
        <v>20282.026119384056</v>
      </c>
      <c r="K513" s="455">
        <f t="shared" ca="1" si="27"/>
        <v>5883.8150258146943</v>
      </c>
      <c r="L513" s="455">
        <f t="shared" ca="1" si="28"/>
        <v>1417999.4212213415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1417999.4212213415</v>
      </c>
      <c r="J514" s="455">
        <f t="array" ref="J514">IFERROR(INDEX('Retirement Calculator'!K:K,MATCH('Lorri 401b'!N514,'Retirement Calculator'!A:A,0),0),0)</f>
        <v>20282.026119384056</v>
      </c>
      <c r="K514" s="455">
        <f t="shared" ca="1" si="27"/>
        <v>5823.8224795914894</v>
      </c>
      <c r="L514" s="455">
        <f t="shared" ca="1" si="28"/>
        <v>1403541.217581549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1403541.217581549</v>
      </c>
      <c r="J515" s="455">
        <f t="array" ref="J515">IFERROR(INDEX('Retirement Calculator'!K:K,MATCH('Lorri 401b'!N515,'Retirement Calculator'!A:A,0),0),0)</f>
        <v>20282.026119384056</v>
      </c>
      <c r="K515" s="455">
        <f t="shared" ca="1" si="27"/>
        <v>5763.5799644256876</v>
      </c>
      <c r="L515" s="455">
        <f t="shared" ca="1" si="28"/>
        <v>1389022.7714265906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1389022.7714265906</v>
      </c>
      <c r="J516" s="455">
        <f t="array" ref="J516">IFERROR(INDEX('Retirement Calculator'!K:K,MATCH('Lorri 401b'!N516,'Retirement Calculator'!A:A,0),0),0)</f>
        <v>20282.026119384056</v>
      </c>
      <c r="K516" s="455">
        <f t="shared" ca="1" si="27"/>
        <v>5703.0864387800275</v>
      </c>
      <c r="L516" s="455">
        <f t="shared" ca="1" si="28"/>
        <v>1374443.8317459866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1374443.8317459866</v>
      </c>
      <c r="J517" s="455">
        <f t="array" ref="J517">IFERROR(INDEX('Retirement Calculator'!K:K,MATCH('Lorri 401b'!N517,'Retirement Calculator'!A:A,0),0),0)</f>
        <v>20282.026119384056</v>
      </c>
      <c r="K517" s="455">
        <f t="shared" ca="1" si="27"/>
        <v>5642.3408567775105</v>
      </c>
      <c r="L517" s="455">
        <f t="shared" ca="1" si="28"/>
        <v>1359804.1464833801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1359804.1464833801</v>
      </c>
      <c r="J518" s="455">
        <f t="array" ref="J518">IFERROR(INDEX('Retirement Calculator'!K:K,MATCH('Lorri 401b'!N518,'Retirement Calculator'!A:A,0),0),0)</f>
        <v>20282.026119384056</v>
      </c>
      <c r="K518" s="455">
        <f t="shared" ref="K518:K772" ca="1" si="53">IPMT(M518/12,1,12,-I518+J518,,0)</f>
        <v>5581.342168183317</v>
      </c>
      <c r="L518" s="455">
        <f t="shared" ref="L518:L772" ca="1" si="54">I518-J518+K518</f>
        <v>1345103.4625321794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1345103.4625321794</v>
      </c>
      <c r="J519" s="455">
        <f t="array" ref="J519">IFERROR(INDEX('Retirement Calculator'!K:K,MATCH('Lorri 401b'!N519,'Retirement Calculator'!A:A,0),0),0)</f>
        <v>20282.026119384056</v>
      </c>
      <c r="K519" s="455">
        <f t="shared" ca="1" si="53"/>
        <v>5520.0893183866474</v>
      </c>
      <c r="L519" s="455">
        <f t="shared" ca="1" si="54"/>
        <v>1330341.5257311822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1330341.5257311822</v>
      </c>
      <c r="J520" s="455">
        <f t="array" ref="J520">IFERROR(INDEX('Retirement Calculator'!K:K,MATCH('Lorri 401b'!N520,'Retirement Calculator'!A:A,0),0),0)</f>
        <v>20282.026119384056</v>
      </c>
      <c r="K520" s="455">
        <f t="shared" ca="1" si="53"/>
        <v>5458.581248382492</v>
      </c>
      <c r="L520" s="455">
        <f t="shared" ca="1" si="54"/>
        <v>1315518.0808601808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1315518.0808601808</v>
      </c>
      <c r="J521" s="455">
        <f t="array" ref="J521">IFERROR(INDEX('Retirement Calculator'!K:K,MATCH('Lorri 401b'!N521,'Retirement Calculator'!A:A,0),0),0)</f>
        <v>20282.026119384056</v>
      </c>
      <c r="K521" s="455">
        <f t="shared" ca="1" si="53"/>
        <v>5396.8168947533195</v>
      </c>
      <c r="L521" s="455">
        <f t="shared" ca="1" si="54"/>
        <v>1300632.8716355502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1300632.8716355502</v>
      </c>
      <c r="J522" s="455">
        <f t="array" ref="J522">IFERROR(INDEX('Retirement Calculator'!K:K,MATCH('Lorri 401b'!N522,'Retirement Calculator'!A:A,0),0),0)</f>
        <v>20282.026119384056</v>
      </c>
      <c r="K522" s="455">
        <f t="shared" ca="1" si="53"/>
        <v>5334.795189650692</v>
      </c>
      <c r="L522" s="455">
        <f t="shared" ca="1" si="54"/>
        <v>1285685.6407058169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1285685.6407058169</v>
      </c>
      <c r="J523" s="455">
        <f t="array" ref="J523">IFERROR(INDEX('Retirement Calculator'!K:K,MATCH('Lorri 401b'!N523,'Retirement Calculator'!A:A,0),0),0)</f>
        <v>20282.026119384056</v>
      </c>
      <c r="K523" s="455">
        <f t="shared" ca="1" si="53"/>
        <v>5272.5150607768037</v>
      </c>
      <c r="L523" s="455">
        <f t="shared" ca="1" si="54"/>
        <v>1270676.1296472098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1270676.1296472098</v>
      </c>
      <c r="J524" s="455">
        <f t="array" ref="J524">IFERROR(INDEX('Retirement Calculator'!K:K,MATCH('Lorri 401b'!N524,'Retirement Calculator'!A:A,0),0),0)</f>
        <v>20282.026119384056</v>
      </c>
      <c r="K524" s="455">
        <f t="shared" ca="1" si="53"/>
        <v>5209.9754313659405</v>
      </c>
      <c r="L524" s="455">
        <f t="shared" ca="1" si="54"/>
        <v>1255604.0789591917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1255604.0789591917</v>
      </c>
      <c r="J525" s="455">
        <f t="array" ref="J525">IFERROR(INDEX('Retirement Calculator'!K:K,MATCH('Lorri 401b'!N525,'Retirement Calculator'!A:A,0),0),0)</f>
        <v>20282.026119384056</v>
      </c>
      <c r="K525" s="455">
        <f t="shared" ca="1" si="53"/>
        <v>5147.1752201658655</v>
      </c>
      <c r="L525" s="455">
        <f t="shared" ca="1" si="54"/>
        <v>1240469.2280599736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1240469.2280599736</v>
      </c>
      <c r="J526" s="455">
        <f t="array" ref="J526">IFERROR(INDEX('Retirement Calculator'!K:K,MATCH('Lorri 401b'!N526,'Retirement Calculator'!A:A,0),0),0)</f>
        <v>20282.026119384056</v>
      </c>
      <c r="K526" s="455">
        <f t="shared" ca="1" si="53"/>
        <v>5084.1133414191236</v>
      </c>
      <c r="L526" s="455">
        <f t="shared" ca="1" si="54"/>
        <v>1225271.3152820086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1225271.3152820086</v>
      </c>
      <c r="J527" s="455">
        <f t="array" ref="J527">IFERROR(INDEX('Retirement Calculator'!K:K,MATCH('Lorri 401b'!N527,'Retirement Calculator'!A:A,0),0),0)</f>
        <v>20282.026119384056</v>
      </c>
      <c r="K527" s="455">
        <f t="shared" ca="1" si="53"/>
        <v>5020.788704844269</v>
      </c>
      <c r="L527" s="455">
        <f t="shared" ca="1" si="54"/>
        <v>1210010.0778674688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1210010.0778674688</v>
      </c>
      <c r="J528" s="455">
        <f t="array" ref="J528">IFERROR(INDEX('Retirement Calculator'!K:K,MATCH('Lorri 401b'!N528,'Retirement Calculator'!A:A,0),0),0)</f>
        <v>20282.026119384056</v>
      </c>
      <c r="K528" s="455">
        <f t="shared" ca="1" si="53"/>
        <v>4957.2002156170201</v>
      </c>
      <c r="L528" s="455">
        <f t="shared" ca="1" si="54"/>
        <v>1194685.2519637018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1194685.2519637018</v>
      </c>
      <c r="J529" s="455">
        <f t="array" ref="J529">IFERROR(INDEX('Retirement Calculator'!K:K,MATCH('Lorri 401b'!N529,'Retirement Calculator'!A:A,0),0),0)</f>
        <v>20282.026119384056</v>
      </c>
      <c r="K529" s="455">
        <f t="shared" ca="1" si="53"/>
        <v>4893.3467743513238</v>
      </c>
      <c r="L529" s="455">
        <f t="shared" ca="1" si="54"/>
        <v>1179296.5726186691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1179296.5726186691</v>
      </c>
      <c r="J530" s="455">
        <f t="array" ref="J530">IFERROR(INDEX('Retirement Calculator'!K:K,MATCH('Lorri 401b'!N530,'Retirement Calculator'!A:A,0),0),0)</f>
        <v>20282.026119384056</v>
      </c>
      <c r="K530" s="455">
        <f t="shared" ca="1" si="53"/>
        <v>4829.2272770803547</v>
      </c>
      <c r="L530" s="455">
        <f t="shared" ca="1" si="54"/>
        <v>1163843.7737763654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1163843.7737763654</v>
      </c>
      <c r="J531" s="455">
        <f t="array" ref="J531">IFERROR(INDEX('Retirement Calculator'!K:K,MATCH('Lorri 401b'!N531,'Retirement Calculator'!A:A,0),0),0)</f>
        <v>20282.026119384056</v>
      </c>
      <c r="K531" s="455">
        <f t="shared" ca="1" si="53"/>
        <v>4764.8406152374228</v>
      </c>
      <c r="L531" s="455">
        <f t="shared" ca="1" si="54"/>
        <v>1148326.5882722188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1148326.5882722188</v>
      </c>
      <c r="J532" s="455">
        <f t="array" ref="J532">IFERROR(INDEX('Retirement Calculator'!K:K,MATCH('Lorri 401b'!N532,'Retirement Calculator'!A:A,0),0),0)</f>
        <v>20282.026119384056</v>
      </c>
      <c r="K532" s="455">
        <f t="shared" ca="1" si="53"/>
        <v>4700.1856756368115</v>
      </c>
      <c r="L532" s="455">
        <f t="shared" ca="1" si="54"/>
        <v>1132744.7478284717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1132744.7478284717</v>
      </c>
      <c r="J533" s="455">
        <f t="array" ref="J533">IFERROR(INDEX('Retirement Calculator'!K:K,MATCH('Lorri 401b'!N533,'Retirement Calculator'!A:A,0),0),0)</f>
        <v>20282.026119384056</v>
      </c>
      <c r="K533" s="455">
        <f t="shared" ca="1" si="53"/>
        <v>4635.2613404545318</v>
      </c>
      <c r="L533" s="455">
        <f t="shared" ca="1" si="54"/>
        <v>1117097.9830495422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1117097.9830495422</v>
      </c>
      <c r="J534" s="455">
        <f t="array" ref="J534">IFERROR(INDEX('Retirement Calculator'!K:K,MATCH('Lorri 401b'!N534,'Retirement Calculator'!A:A,0),0),0)</f>
        <v>20282.026119384056</v>
      </c>
      <c r="K534" s="455">
        <f t="shared" ca="1" si="53"/>
        <v>4570.0664872089928</v>
      </c>
      <c r="L534" s="455">
        <f t="shared" ca="1" si="54"/>
        <v>1101386.0234173671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1101386.0234173671</v>
      </c>
      <c r="J535" s="455">
        <f t="array" ref="J535">IFERROR(INDEX('Retirement Calculator'!K:K,MATCH('Lorri 401b'!N535,'Retirement Calculator'!A:A,0),0),0)</f>
        <v>20282.026119384056</v>
      </c>
      <c r="K535" s="455">
        <f t="shared" ca="1" si="53"/>
        <v>4504.5999887415965</v>
      </c>
      <c r="L535" s="455">
        <f t="shared" ca="1" si="54"/>
        <v>1085608.5972867247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1085608.5972867247</v>
      </c>
      <c r="J536" s="455">
        <f t="array" ref="J536">IFERROR(INDEX('Retirement Calculator'!K:K,MATCH('Lorri 401b'!N536,'Retirement Calculator'!A:A,0),0),0)</f>
        <v>20282.026119384056</v>
      </c>
      <c r="K536" s="455">
        <f t="shared" ca="1" si="53"/>
        <v>4438.8607131972531</v>
      </c>
      <c r="L536" s="455">
        <f t="shared" ca="1" si="54"/>
        <v>1069765.4318805379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1069765.4318805379</v>
      </c>
      <c r="J537" s="455">
        <f t="array" ref="J537">IFERROR(INDEX('Retirement Calculator'!K:K,MATCH('Lorri 401b'!N537,'Retirement Calculator'!A:A,0),0),0)</f>
        <v>20282.026119384056</v>
      </c>
      <c r="K537" s="455">
        <f t="shared" ca="1" si="53"/>
        <v>4372.8475240048083</v>
      </c>
      <c r="L537" s="455">
        <f t="shared" ca="1" si="54"/>
        <v>1053856.2532851587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1053856.2532851587</v>
      </c>
      <c r="J538" s="455">
        <f t="array" ref="J538">IFERROR(INDEX('Retirement Calculator'!K:K,MATCH('Lorri 401b'!N538,'Retirement Calculator'!A:A,0),0),0)</f>
        <v>20282.026119384056</v>
      </c>
      <c r="K538" s="455">
        <f t="shared" ca="1" si="53"/>
        <v>4306.5592798573944</v>
      </c>
      <c r="L538" s="455">
        <f t="shared" ca="1" si="54"/>
        <v>1037880.786445632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1037880.786445632</v>
      </c>
      <c r="J539" s="455">
        <f t="array" ref="J539">IFERROR(INDEX('Retirement Calculator'!K:K,MATCH('Lorri 401b'!N539,'Retirement Calculator'!A:A,0),0),0)</f>
        <v>20282.026119384056</v>
      </c>
      <c r="K539" s="455">
        <f t="shared" ca="1" si="53"/>
        <v>4239.9948346926994</v>
      </c>
      <c r="L539" s="455">
        <f t="shared" ca="1" si="54"/>
        <v>1021838.7551609406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1021838.7551609406</v>
      </c>
      <c r="J540" s="455">
        <f t="array" ref="J540">IFERROR(INDEX('Retirement Calculator'!K:K,MATCH('Lorri 401b'!N540,'Retirement Calculator'!A:A,0),0),0)</f>
        <v>20282.026119384056</v>
      </c>
      <c r="K540" s="455">
        <f t="shared" ca="1" si="53"/>
        <v>4173.1530376731516</v>
      </c>
      <c r="L540" s="455">
        <f t="shared" ca="1" si="54"/>
        <v>1005729.8820792296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1005729.8820792296</v>
      </c>
      <c r="J541" s="455">
        <f t="array" ref="J541">IFERROR(INDEX('Retirement Calculator'!K:K,MATCH('Lorri 401b'!N541,'Retirement Calculator'!A:A,0),0),0)</f>
        <v>20282.026119384056</v>
      </c>
      <c r="K541" s="455">
        <f t="shared" ca="1" si="53"/>
        <v>4106.0327331660228</v>
      </c>
      <c r="L541" s="455">
        <f t="shared" ca="1" si="54"/>
        <v>989553.88869301148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989553.88869301148</v>
      </c>
      <c r="J542" s="455">
        <f t="array" ref="J542">IFERROR(INDEX('Retirement Calculator'!K:K,MATCH('Lorri 401b'!N542,'Retirement Calculator'!A:A,0),0),0)</f>
        <v>20282.026119384056</v>
      </c>
      <c r="K542" s="455">
        <f t="shared" ca="1" si="53"/>
        <v>4038.6327607234475</v>
      </c>
      <c r="L542" s="455">
        <f t="shared" ca="1" si="54"/>
        <v>973310.49533435085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973310.49533435085</v>
      </c>
      <c r="J543" s="455">
        <f t="array" ref="J543">IFERROR(INDEX('Retirement Calculator'!K:K,MATCH('Lorri 401b'!N543,'Retirement Calculator'!A:A,0),0),0)</f>
        <v>20282.026119384056</v>
      </c>
      <c r="K543" s="455">
        <f t="shared" ca="1" si="53"/>
        <v>3970.9519550623609</v>
      </c>
      <c r="L543" s="455">
        <f t="shared" ca="1" si="54"/>
        <v>956999.42117002909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956999.42117002909</v>
      </c>
      <c r="J544" s="455">
        <f t="array" ref="J544">IFERROR(INDEX('Retirement Calculator'!K:K,MATCH('Lorri 401b'!N544,'Retirement Calculator'!A:A,0),0),0)</f>
        <v>20282.026119384056</v>
      </c>
      <c r="K544" s="455">
        <f t="shared" ca="1" si="53"/>
        <v>3902.9891460443541</v>
      </c>
      <c r="L544" s="455">
        <f t="shared" ca="1" si="54"/>
        <v>940620.38419668935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940620.38419668935</v>
      </c>
      <c r="J545" s="455">
        <f t="array" ref="J545">IFERROR(INDEX('Retirement Calculator'!K:K,MATCH('Lorri 401b'!N545,'Retirement Calculator'!A:A,0),0),0)</f>
        <v>20282.026119384056</v>
      </c>
      <c r="K545" s="455">
        <f t="shared" ca="1" si="53"/>
        <v>3834.7431586554389</v>
      </c>
      <c r="L545" s="455">
        <f t="shared" ca="1" si="54"/>
        <v>924173.10123596073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924173.10123596073</v>
      </c>
      <c r="J546" s="455">
        <f t="array" ref="J546">IFERROR(INDEX('Retirement Calculator'!K:K,MATCH('Lorri 401b'!N546,'Retirement Calculator'!A:A,0),0),0)</f>
        <v>20282.026119384056</v>
      </c>
      <c r="K546" s="455">
        <f t="shared" ca="1" si="53"/>
        <v>3766.212812985736</v>
      </c>
      <c r="L546" s="455">
        <f t="shared" ca="1" si="54"/>
        <v>907657.28792956239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907657.28792956239</v>
      </c>
      <c r="J547" s="455">
        <f t="array" ref="J547">IFERROR(INDEX('Retirement Calculator'!K:K,MATCH('Lorri 401b'!N547,'Retirement Calculator'!A:A,0),0),0)</f>
        <v>20282.026119384056</v>
      </c>
      <c r="K547" s="455">
        <f t="shared" ca="1" si="53"/>
        <v>3697.3969242090766</v>
      </c>
      <c r="L547" s="455">
        <f t="shared" ca="1" si="54"/>
        <v>891072.65873438737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891072.65873438737</v>
      </c>
      <c r="J548" s="455">
        <f t="array" ref="J548">IFERROR(INDEX('Retirement Calculator'!K:K,MATCH('Lorri 401b'!N548,'Retirement Calculator'!A:A,0),0),0)</f>
        <v>20282.026119384056</v>
      </c>
      <c r="K548" s="455">
        <f t="shared" ca="1" si="53"/>
        <v>3628.2943025625132</v>
      </c>
      <c r="L548" s="455">
        <f t="shared" ca="1" si="54"/>
        <v>874418.92691756575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874418.92691756575</v>
      </c>
      <c r="J549" s="455">
        <f t="array" ref="J549">IFERROR(INDEX('Retirement Calculator'!K:K,MATCH('Lorri 401b'!N549,'Retirement Calculator'!A:A,0),0),0)</f>
        <v>20282.026119384056</v>
      </c>
      <c r="K549" s="455">
        <f t="shared" ca="1" si="53"/>
        <v>3558.903753325757</v>
      </c>
      <c r="L549" s="455">
        <f t="shared" ca="1" si="54"/>
        <v>857695.80455150746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857695.80455150746</v>
      </c>
      <c r="J550" s="455">
        <f t="array" ref="J550">IFERROR(INDEX('Retirement Calculator'!K:K,MATCH('Lorri 401b'!N550,'Retirement Calculator'!A:A,0),0),0)</f>
        <v>20282.026119384056</v>
      </c>
      <c r="K550" s="455">
        <f t="shared" ca="1" si="53"/>
        <v>3489.224076800514</v>
      </c>
      <c r="L550" s="455">
        <f t="shared" ca="1" si="54"/>
        <v>840903.00250892388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840903.00250892388</v>
      </c>
      <c r="J551" s="455">
        <f t="array" ref="J551">IFERROR(INDEX('Retirement Calculator'!K:K,MATCH('Lorri 401b'!N551,'Retirement Calculator'!A:A,0),0),0)</f>
        <v>20282.026119384056</v>
      </c>
      <c r="K551" s="455">
        <f t="shared" ca="1" si="53"/>
        <v>3419.2540682897488</v>
      </c>
      <c r="L551" s="455">
        <f t="shared" ca="1" si="54"/>
        <v>824040.23045782954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824040.23045782954</v>
      </c>
      <c r="J552" s="455">
        <f t="array" ref="J552">IFERROR(INDEX('Retirement Calculator'!K:K,MATCH('Lorri 401b'!N552,'Retirement Calculator'!A:A,0),0),0)</f>
        <v>20282.026119384056</v>
      </c>
      <c r="K552" s="455">
        <f t="shared" ca="1" si="53"/>
        <v>3348.992518076856</v>
      </c>
      <c r="L552" s="455">
        <f t="shared" ca="1" si="54"/>
        <v>807107.19685652235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807107.19685652235</v>
      </c>
      <c r="J553" s="455">
        <f t="array" ref="J553">IFERROR(INDEX('Retirement Calculator'!K:K,MATCH('Lorri 401b'!N553,'Retirement Calculator'!A:A,0),0),0)</f>
        <v>20282.026119384056</v>
      </c>
      <c r="K553" s="455">
        <f t="shared" ca="1" si="53"/>
        <v>3278.4382114047426</v>
      </c>
      <c r="L553" s="455">
        <f t="shared" ca="1" si="54"/>
        <v>790103.60894854297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790103.60894854297</v>
      </c>
      <c r="J554" s="455">
        <f t="array" ref="J554">IFERROR(INDEX('Retirement Calculator'!K:K,MATCH('Lorri 401b'!N554,'Retirement Calculator'!A:A,0),0),0)</f>
        <v>20282.026119384056</v>
      </c>
      <c r="K554" s="455">
        <f t="shared" ca="1" si="53"/>
        <v>3207.5899284548286</v>
      </c>
      <c r="L554" s="455">
        <f t="shared" ca="1" si="54"/>
        <v>773029.17275761371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773029.17275761371</v>
      </c>
      <c r="J555" s="455">
        <f t="array" ref="J555">IFERROR(INDEX('Retirement Calculator'!K:K,MATCH('Lorri 401b'!N555,'Retirement Calculator'!A:A,0),0),0)</f>
        <v>20282.026119384056</v>
      </c>
      <c r="K555" s="455">
        <f t="shared" ca="1" si="53"/>
        <v>3136.4464443259567</v>
      </c>
      <c r="L555" s="455">
        <f t="shared" ca="1" si="54"/>
        <v>755883.59308255557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755883.59308255557</v>
      </c>
      <c r="J556" s="455">
        <f t="array" ref="J556">IFERROR(INDEX('Retirement Calculator'!K:K,MATCH('Lorri 401b'!N556,'Retirement Calculator'!A:A,0),0),0)</f>
        <v>20282.026119384056</v>
      </c>
      <c r="K556" s="455">
        <f t="shared" ca="1" si="53"/>
        <v>3065.0065290132143</v>
      </c>
      <c r="L556" s="455">
        <f t="shared" ca="1" si="54"/>
        <v>738666.57349218463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738666.57349218463</v>
      </c>
      <c r="J557" s="455">
        <f t="array" ref="J557">IFERROR(INDEX('Retirement Calculator'!K:K,MATCH('Lorri 401b'!N557,'Retirement Calculator'!A:A,0),0),0)</f>
        <v>20282.026119384056</v>
      </c>
      <c r="K557" s="455">
        <f t="shared" ca="1" si="53"/>
        <v>2993.268947386669</v>
      </c>
      <c r="L557" s="455">
        <f t="shared" ca="1" si="54"/>
        <v>721377.81632018718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721377.81632018718</v>
      </c>
      <c r="J558" s="455">
        <f t="array" ref="J558">IFERROR(INDEX('Retirement Calculator'!K:K,MATCH('Lorri 401b'!N558,'Retirement Calculator'!A:A,0),0),0)</f>
        <v>20282.026119384056</v>
      </c>
      <c r="K558" s="455">
        <f t="shared" ca="1" si="53"/>
        <v>2921.2324591700126</v>
      </c>
      <c r="L558" s="455">
        <f t="shared" ca="1" si="54"/>
        <v>704017.02265997312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704017.02265997312</v>
      </c>
      <c r="J559" s="455">
        <f t="array" ref="J559">IFERROR(INDEX('Retirement Calculator'!K:K,MATCH('Lorri 401b'!N559,'Retirement Calculator'!A:A,0),0),0)</f>
        <v>20282.026119384056</v>
      </c>
      <c r="K559" s="455">
        <f t="shared" ca="1" si="53"/>
        <v>2848.8958189191208</v>
      </c>
      <c r="L559" s="455">
        <f t="shared" ca="1" si="54"/>
        <v>686583.8923595082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686583.8923595082</v>
      </c>
      <c r="J560" s="455">
        <f t="array" ref="J560">IFERROR(INDEX('Retirement Calculator'!K:K,MATCH('Lorri 401b'!N560,'Retirement Calculator'!A:A,0),0),0)</f>
        <v>20282.026119384056</v>
      </c>
      <c r="K560" s="455">
        <f t="shared" ca="1" si="53"/>
        <v>2776.257776000517</v>
      </c>
      <c r="L560" s="455">
        <f t="shared" ca="1" si="54"/>
        <v>669078.12401612464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669078.12401612464</v>
      </c>
      <c r="J561" s="455">
        <f t="array" ref="J561">IFERROR(INDEX('Retirement Calculator'!K:K,MATCH('Lorri 401b'!N561,'Retirement Calculator'!A:A,0),0),0)</f>
        <v>20282.026119384056</v>
      </c>
      <c r="K561" s="455">
        <f t="shared" ca="1" si="53"/>
        <v>2703.3170745697521</v>
      </c>
      <c r="L561" s="455">
        <f t="shared" ca="1" si="54"/>
        <v>651499.4149713103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651499.4149713103</v>
      </c>
      <c r="J562" s="455">
        <f t="array" ref="J562">IFERROR(INDEX('Retirement Calculator'!K:K,MATCH('Lorri 401b'!N562,'Retirement Calculator'!A:A,0),0),0)</f>
        <v>20282.026119384056</v>
      </c>
      <c r="K562" s="455">
        <f t="shared" ca="1" si="53"/>
        <v>2630.0724535496925</v>
      </c>
      <c r="L562" s="455">
        <f t="shared" ca="1" si="54"/>
        <v>633847.46130547591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633847.46130547591</v>
      </c>
      <c r="J563" s="455">
        <f t="array" ref="J563">IFERROR(INDEX('Retirement Calculator'!K:K,MATCH('Lorri 401b'!N563,'Retirement Calculator'!A:A,0),0),0)</f>
        <v>20282.026119384056</v>
      </c>
      <c r="K563" s="455">
        <f t="shared" ca="1" si="53"/>
        <v>2556.5226466087161</v>
      </c>
      <c r="L563" s="455">
        <f t="shared" ca="1" si="54"/>
        <v>616121.95783270057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616121.95783270057</v>
      </c>
      <c r="J564" s="455">
        <f t="array" ref="J564">IFERROR(INDEX('Retirement Calculator'!K:K,MATCH('Lorri 401b'!N564,'Retirement Calculator'!A:A,0),0),0)</f>
        <v>20282.026119384056</v>
      </c>
      <c r="K564" s="455">
        <f t="shared" ca="1" si="53"/>
        <v>2482.6663821388188</v>
      </c>
      <c r="L564" s="455">
        <f t="shared" ca="1" si="54"/>
        <v>598322.59809545532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598322.59809545532</v>
      </c>
      <c r="J565" s="455">
        <f t="array" ref="J565">IFERROR(INDEX('Retirement Calculator'!K:K,MATCH('Lorri 401b'!N565,'Retirement Calculator'!A:A,0),0),0)</f>
        <v>20282.026119384056</v>
      </c>
      <c r="K565" s="455">
        <f t="shared" ca="1" si="53"/>
        <v>2408.5023832336301</v>
      </c>
      <c r="L565" s="455">
        <f t="shared" ca="1" si="54"/>
        <v>580449.07435930485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580449.07435930485</v>
      </c>
      <c r="J566" s="455">
        <f t="array" ref="J566">IFERROR(INDEX('Retirement Calculator'!K:K,MATCH('Lorri 401b'!N566,'Retirement Calculator'!A:A,0),0),0)</f>
        <v>20282.026119384056</v>
      </c>
      <c r="K566" s="455">
        <f t="shared" ca="1" si="53"/>
        <v>2334.0293676663364</v>
      </c>
      <c r="L566" s="455">
        <f t="shared" ca="1" si="54"/>
        <v>562501.0776075871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562501.0776075871</v>
      </c>
      <c r="J567" s="455">
        <f t="array" ref="J567">IFERROR(INDEX('Retirement Calculator'!K:K,MATCH('Lorri 401b'!N567,'Retirement Calculator'!A:A,0),0),0)</f>
        <v>20282.026119384056</v>
      </c>
      <c r="K567" s="455">
        <f t="shared" ca="1" si="53"/>
        <v>2259.2460478675125</v>
      </c>
      <c r="L567" s="455">
        <f t="shared" ca="1" si="54"/>
        <v>544478.29753607046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544478.29753607046</v>
      </c>
      <c r="J568" s="455">
        <f t="array" ref="J568">IFERROR(INDEX('Retirement Calculator'!K:K,MATCH('Lorri 401b'!N568,'Retirement Calculator'!A:A,0),0),0)</f>
        <v>20282.026119384056</v>
      </c>
      <c r="K568" s="455">
        <f t="shared" ca="1" si="53"/>
        <v>2184.1511309028601</v>
      </c>
      <c r="L568" s="455">
        <f t="shared" ca="1" si="54"/>
        <v>526380.42254758929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526380.42254758929</v>
      </c>
      <c r="J569" s="455">
        <f t="array" ref="J569">IFERROR(INDEX('Retirement Calculator'!K:K,MATCH('Lorri 401b'!N569,'Retirement Calculator'!A:A,0),0),0)</f>
        <v>20282.026119384056</v>
      </c>
      <c r="K569" s="455">
        <f t="shared" ca="1" si="53"/>
        <v>2108.743318450855</v>
      </c>
      <c r="L569" s="455">
        <f t="shared" ca="1" si="54"/>
        <v>508207.13974665612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508207.13974665612</v>
      </c>
      <c r="J570" s="455">
        <f t="array" ref="J570">IFERROR(INDEX('Retirement Calculator'!K:K,MATCH('Lorri 401b'!N570,'Retirement Calculator'!A:A,0),0),0)</f>
        <v>20282.026119384056</v>
      </c>
      <c r="K570" s="455">
        <f t="shared" ca="1" si="53"/>
        <v>2033.0213067803004</v>
      </c>
      <c r="L570" s="455">
        <f t="shared" ca="1" si="54"/>
        <v>489958.13493405236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489958.13493405236</v>
      </c>
      <c r="J571" s="455">
        <f t="array" ref="J571">IFERROR(INDEX('Retirement Calculator'!K:K,MATCH('Lorri 401b'!N571,'Retirement Calculator'!A:A,0),0),0)</f>
        <v>20282.026119384056</v>
      </c>
      <c r="K571" s="455">
        <f t="shared" ca="1" si="53"/>
        <v>1956.9837867277847</v>
      </c>
      <c r="L571" s="455">
        <f t="shared" ca="1" si="54"/>
        <v>471633.09260139609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471633.09260139609</v>
      </c>
      <c r="J572" s="455">
        <f t="array" ref="J572">IFERROR(INDEX('Retirement Calculator'!K:K,MATCH('Lorri 401b'!N572,'Retirement Calculator'!A:A,0),0),0)</f>
        <v>20282.026119384056</v>
      </c>
      <c r="K572" s="455">
        <f t="shared" ca="1" si="53"/>
        <v>1880.6294436750502</v>
      </c>
      <c r="L572" s="455">
        <f t="shared" ca="1" si="54"/>
        <v>453231.69592568709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453231.69592568709</v>
      </c>
      <c r="J573" s="455">
        <f t="array" ref="J573">IFERROR(INDEX('Retirement Calculator'!K:K,MATCH('Lorri 401b'!N573,'Retirement Calculator'!A:A,0),0),0)</f>
        <v>20282.026119384056</v>
      </c>
      <c r="K573" s="455">
        <f t="shared" ca="1" si="53"/>
        <v>1803.9569575262628</v>
      </c>
      <c r="L573" s="455">
        <f t="shared" ca="1" si="54"/>
        <v>434753.62676382932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434753.62676382932</v>
      </c>
      <c r="J574" s="455">
        <f t="array" ref="J574">IFERROR(INDEX('Retirement Calculator'!K:K,MATCH('Lorri 401b'!N574,'Retirement Calculator'!A:A,0),0),0)</f>
        <v>20282.026119384056</v>
      </c>
      <c r="K574" s="455">
        <f t="shared" ca="1" si="53"/>
        <v>1726.9650026851887</v>
      </c>
      <c r="L574" s="455">
        <f t="shared" ca="1" si="54"/>
        <v>416198.56564713048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416198.56564713048</v>
      </c>
      <c r="J575" s="455">
        <f t="array" ref="J575">IFERROR(INDEX('Retirement Calculator'!K:K,MATCH('Lorri 401b'!N575,'Retirement Calculator'!A:A,0),0),0)</f>
        <v>20282.026119384056</v>
      </c>
      <c r="K575" s="455">
        <f t="shared" ca="1" si="53"/>
        <v>1649.6522480322767</v>
      </c>
      <c r="L575" s="455">
        <f t="shared" ca="1" si="54"/>
        <v>397566.19177577872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397566.19177577872</v>
      </c>
      <c r="J576" s="455">
        <f t="array" ref="J576">IFERROR(INDEX('Retirement Calculator'!K:K,MATCH('Lorri 401b'!N576,'Retirement Calculator'!A:A,0),0),0)</f>
        <v>20282.026119384056</v>
      </c>
      <c r="K576" s="455">
        <f t="shared" ca="1" si="53"/>
        <v>1572.0173569016445</v>
      </c>
      <c r="L576" s="455">
        <f t="shared" ca="1" si="54"/>
        <v>378856.18301329634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378856.18301329634</v>
      </c>
      <c r="J577" s="455">
        <f t="array" ref="J577">IFERROR(INDEX('Retirement Calculator'!K:K,MATCH('Lorri 401b'!N577,'Retirement Calculator'!A:A,0),0),0)</f>
        <v>20282.026119384056</v>
      </c>
      <c r="K577" s="455">
        <f t="shared" ca="1" si="53"/>
        <v>1494.0589870579679</v>
      </c>
      <c r="L577" s="455">
        <f t="shared" ca="1" si="54"/>
        <v>360068.21588097024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360068.21588097024</v>
      </c>
      <c r="J578" s="455">
        <f t="array" ref="J578">IFERROR(INDEX('Retirement Calculator'!K:K,MATCH('Lorri 401b'!N578,'Retirement Calculator'!A:A,0),0),0)</f>
        <v>20282.026119384056</v>
      </c>
      <c r="K578" s="455">
        <f t="shared" ca="1" si="53"/>
        <v>1415.7757906732759</v>
      </c>
      <c r="L578" s="455">
        <f t="shared" ca="1" si="54"/>
        <v>341201.96555225947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341201.96555225947</v>
      </c>
      <c r="J579" s="455">
        <f t="array" ref="J579">IFERROR(INDEX('Retirement Calculator'!K:K,MATCH('Lorri 401b'!N579,'Retirement Calculator'!A:A,0),0),0)</f>
        <v>20282.026119384056</v>
      </c>
      <c r="K579" s="455">
        <f t="shared" ca="1" si="53"/>
        <v>1337.1664143036476</v>
      </c>
      <c r="L579" s="455">
        <f t="shared" ca="1" si="54"/>
        <v>322257.10584717907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322257.10584717907</v>
      </c>
      <c r="J580" s="455">
        <f t="array" ref="J580">IFERROR(INDEX('Retirement Calculator'!K:K,MATCH('Lorri 401b'!N580,'Retirement Calculator'!A:A,0),0),0)</f>
        <v>20282.026119384056</v>
      </c>
      <c r="K580" s="455">
        <f t="shared" ca="1" si="53"/>
        <v>1258.2294988658127</v>
      </c>
      <c r="L580" s="455">
        <f t="shared" ca="1" si="54"/>
        <v>303233.30922666087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303233.30922666087</v>
      </c>
      <c r="J581" s="455">
        <f t="array" ref="J581">IFERROR(INDEX('Retirement Calculator'!K:K,MATCH('Lorri 401b'!N581,'Retirement Calculator'!A:A,0),0),0)</f>
        <v>20282.026119384056</v>
      </c>
      <c r="K581" s="455">
        <f t="shared" ca="1" si="53"/>
        <v>1178.9636796136535</v>
      </c>
      <c r="L581" s="455">
        <f t="shared" ca="1" si="54"/>
        <v>284130.24678689049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284130.24678689049</v>
      </c>
      <c r="J582" s="455">
        <f t="array" ref="J582">IFERROR(INDEX('Retirement Calculator'!K:K,MATCH('Lorri 401b'!N582,'Retirement Calculator'!A:A,0),0),0)</f>
        <v>20282.026119384056</v>
      </c>
      <c r="K582" s="455">
        <f t="shared" ca="1" si="53"/>
        <v>1099.3675861146103</v>
      </c>
      <c r="L582" s="455">
        <f t="shared" ca="1" si="54"/>
        <v>264947.58825362107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264947.58825362107</v>
      </c>
      <c r="J583" s="455">
        <f t="array" ref="J583">IFERROR(INDEX('Retirement Calculator'!K:K,MATCH('Lorri 401b'!N583,'Retirement Calculator'!A:A,0),0),0)</f>
        <v>20282.026119384056</v>
      </c>
      <c r="K583" s="455">
        <f t="shared" ca="1" si="53"/>
        <v>1019.4398422259876</v>
      </c>
      <c r="L583" s="455">
        <f t="shared" ca="1" si="54"/>
        <v>245685.00197646301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245685.00197646301</v>
      </c>
      <c r="J584" s="455">
        <f t="array" ref="J584">IFERROR(INDEX('Retirement Calculator'!K:K,MATCH('Lorri 401b'!N584,'Retirement Calculator'!A:A,0),0),0)</f>
        <v>20282.026119384056</v>
      </c>
      <c r="K584" s="455">
        <f t="shared" ca="1" si="53"/>
        <v>939.17906607116231</v>
      </c>
      <c r="L584" s="455">
        <f t="shared" ca="1" si="54"/>
        <v>226342.15492315014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226342.15492315014</v>
      </c>
      <c r="J585" s="455">
        <f t="array" ref="J585">IFERROR(INDEX('Retirement Calculator'!K:K,MATCH('Lorri 401b'!N585,'Retirement Calculator'!A:A,0),0),0)</f>
        <v>20282.026119384056</v>
      </c>
      <c r="K585" s="455">
        <f t="shared" ca="1" si="53"/>
        <v>858.58387001569201</v>
      </c>
      <c r="L585" s="455">
        <f t="shared" ca="1" si="54"/>
        <v>206918.71267378179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206918.71267378179</v>
      </c>
      <c r="J586" s="455">
        <f t="array" ref="J586">IFERROR(INDEX('Retirement Calculator'!K:K,MATCH('Lorri 401b'!N586,'Retirement Calculator'!A:A,0),0),0)</f>
        <v>20282.026119384056</v>
      </c>
      <c r="K586" s="455">
        <f t="shared" ca="1" si="53"/>
        <v>777.65286064332395</v>
      </c>
      <c r="L586" s="455">
        <f t="shared" ca="1" si="54"/>
        <v>187414.33941504106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187414.33941504106</v>
      </c>
      <c r="J587" s="455">
        <f t="array" ref="J587">IFERROR(INDEX('Retirement Calculator'!K:K,MATCH('Lorri 401b'!N587,'Retirement Calculator'!A:A,0),0),0)</f>
        <v>20282.026119384056</v>
      </c>
      <c r="K587" s="455">
        <f t="shared" ca="1" si="53"/>
        <v>696.38463873190415</v>
      </c>
      <c r="L587" s="455">
        <f t="shared" ca="1" si="54"/>
        <v>167828.69793438888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167828.69793438888</v>
      </c>
      <c r="J588" s="455">
        <f t="array" ref="J588">IFERROR(INDEX('Retirement Calculator'!K:K,MATCH('Lorri 401b'!N588,'Retirement Calculator'!A:A,0),0),0)</f>
        <v>20282.026119384056</v>
      </c>
      <c r="K588" s="455">
        <f t="shared" ca="1" si="53"/>
        <v>614.77779922918683</v>
      </c>
      <c r="L588" s="455">
        <f t="shared" ca="1" si="54"/>
        <v>148161.44961423404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148161.44961423404</v>
      </c>
      <c r="J589" s="455">
        <f t="array" ref="J589">IFERROR(INDEX('Retirement Calculator'!K:K,MATCH('Lorri 401b'!N589,'Retirement Calculator'!A:A,0),0),0)</f>
        <v>20282.026119384056</v>
      </c>
      <c r="K589" s="455">
        <f t="shared" ca="1" si="53"/>
        <v>532.83093122854154</v>
      </c>
      <c r="L589" s="455">
        <f t="shared" ca="1" si="54"/>
        <v>128412.25442607852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128412.25442607852</v>
      </c>
      <c r="J590" s="455">
        <f t="array" ref="J590">IFERROR(INDEX('Retirement Calculator'!K:K,MATCH('Lorri 401b'!N590,'Retirement Calculator'!A:A,0),0),0)</f>
        <v>20282.026119384056</v>
      </c>
      <c r="K590" s="455">
        <f t="shared" ca="1" si="53"/>
        <v>450.54261794456033</v>
      </c>
      <c r="L590" s="455">
        <f t="shared" ca="1" si="54"/>
        <v>108580.77092463903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108580.77092463903</v>
      </c>
      <c r="J591" s="455">
        <f t="array" ref="J591">IFERROR(INDEX('Retirement Calculator'!K:K,MATCH('Lorri 401b'!N591,'Retirement Calculator'!A:A,0),0),0)</f>
        <v>20282.026119384056</v>
      </c>
      <c r="K591" s="455">
        <f t="shared" ca="1" si="53"/>
        <v>367.91143668856239</v>
      </c>
      <c r="L591" s="455">
        <f t="shared" ca="1" si="54"/>
        <v>88666.656241943536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88666.656241943536</v>
      </c>
      <c r="J592" s="455">
        <f t="array" ref="J592">IFERROR(INDEX('Retirement Calculator'!K:K,MATCH('Lorri 401b'!N592,'Retirement Calculator'!A:A,0),0),0)</f>
        <v>20282.026119384056</v>
      </c>
      <c r="K592" s="455">
        <f t="shared" ca="1" si="53"/>
        <v>284.93595884399781</v>
      </c>
      <c r="L592" s="455">
        <f t="shared" ca="1" si="54"/>
        <v>68669.566081403478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68669.566081403478</v>
      </c>
      <c r="J593" s="455">
        <f t="array" ref="J593">IFERROR(INDEX('Retirement Calculator'!K:K,MATCH('Lorri 401b'!N593,'Retirement Calculator'!A:A,0),0),0)</f>
        <v>20282.026119384056</v>
      </c>
      <c r="K593" s="455">
        <f t="shared" ca="1" si="53"/>
        <v>201.6147498417476</v>
      </c>
      <c r="L593" s="455">
        <f t="shared" ca="1" si="54"/>
        <v>48589.154711861171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48589.154711861171</v>
      </c>
      <c r="J594" s="455">
        <f t="array" ref="J594">IFERROR(INDEX('Retirement Calculator'!K:K,MATCH('Lorri 401b'!N594,'Retirement Calculator'!A:A,0),0),0)</f>
        <v>20282.026119384056</v>
      </c>
      <c r="K594" s="455">
        <f t="shared" ca="1" si="53"/>
        <v>117.94636913532132</v>
      </c>
      <c r="L594" s="455">
        <f t="shared" ca="1" si="54"/>
        <v>28425.074961612438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28425.074961612438</v>
      </c>
      <c r="J595" s="455">
        <f t="array" ref="J595">IFERROR(INDEX('Retirement Calculator'!K:K,MATCH('Lorri 401b'!N595,'Retirement Calculator'!A:A,0),0),0)</f>
        <v>20282.026119384056</v>
      </c>
      <c r="K595" s="455">
        <f t="shared" ca="1" si="53"/>
        <v>33.92937017595159</v>
      </c>
      <c r="L595" s="455">
        <f t="shared" ca="1" si="54"/>
        <v>8176.9782124043331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8176.9782124043331</v>
      </c>
      <c r="J596" s="455">
        <f t="array" ref="J596">IFERROR(INDEX('Retirement Calculator'!K:K,MATCH('Lorri 401b'!N596,'Retirement Calculator'!A:A,0),0),0)</f>
        <v>20282.026119384056</v>
      </c>
      <c r="K596" s="455">
        <f t="shared" ca="1" si="53"/>
        <v>-50.437699612415507</v>
      </c>
      <c r="L596" s="455">
        <f t="shared" ca="1" si="54"/>
        <v>-12155.485606592138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-12155.485606592138</v>
      </c>
      <c r="J597" s="455">
        <f t="array" ref="J597">IFERROR(INDEX('Retirement Calculator'!K:K,MATCH('Lorri 401b'!N597,'Retirement Calculator'!A:A,0),0),0)</f>
        <v>20282.026119384056</v>
      </c>
      <c r="K597" s="455">
        <f t="shared" ca="1" si="53"/>
        <v>-135.15629885823415</v>
      </c>
      <c r="L597" s="455">
        <f t="shared" ca="1" si="54"/>
        <v>-32572.668024834427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-32572.668024834427</v>
      </c>
      <c r="J598" s="455">
        <f t="array" ref="J598">IFERROR(INDEX('Retirement Calculator'!K:K,MATCH('Lorri 401b'!N598,'Retirement Calculator'!A:A,0),0),0)</f>
        <v>20282.026119384056</v>
      </c>
      <c r="K598" s="455">
        <f t="shared" ca="1" si="53"/>
        <v>-220.227892267577</v>
      </c>
      <c r="L598" s="455">
        <f t="shared" ca="1" si="54"/>
        <v>-53074.922036486059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-53074.922036486059</v>
      </c>
      <c r="J599" s="455">
        <f t="array" ref="J599">IFERROR(INDEX('Retirement Calculator'!K:K,MATCH('Lorri 401b'!N599,'Retirement Calculator'!A:A,0),0),0)</f>
        <v>20282.026119384056</v>
      </c>
      <c r="K599" s="455">
        <f t="shared" ca="1" si="53"/>
        <v>-305.65395064945881</v>
      </c>
      <c r="L599" s="455">
        <f t="shared" ca="1" si="54"/>
        <v>-73662.602106519567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-73662.602106519567</v>
      </c>
      <c r="J600" s="455">
        <f t="array" ref="J600">IFERROR(INDEX('Retirement Calculator'!K:K,MATCH('Lorri 401b'!N600,'Retirement Calculator'!A:A,0),0),0)</f>
        <v>20282.026119384056</v>
      </c>
      <c r="K600" s="455">
        <f t="shared" ca="1" si="53"/>
        <v>-391.43595094126511</v>
      </c>
      <c r="L600" s="455">
        <f t="shared" ca="1" si="54"/>
        <v>-94336.064176844884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-94336.064176844884</v>
      </c>
      <c r="J601" s="455">
        <f t="array" ref="J601">IFERROR(INDEX('Retirement Calculator'!K:K,MATCH('Lorri 401b'!N601,'Retirement Calculator'!A:A,0),0),0)</f>
        <v>20282.026119384056</v>
      </c>
      <c r="K601" s="455">
        <f t="shared" ca="1" si="53"/>
        <v>-477.57537623428721</v>
      </c>
      <c r="L601" s="455">
        <f t="shared" ca="1" si="54"/>
        <v>-115095.66567246323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-115095.66567246323</v>
      </c>
      <c r="J602" s="455">
        <f t="array" ref="J602">IFERROR(INDEX('Retirement Calculator'!K:K,MATCH('Lorri 401b'!N602,'Retirement Calculator'!A:A,0),0),0)</f>
        <v>20282.026119384056</v>
      </c>
      <c r="K602" s="455">
        <f t="shared" ca="1" si="53"/>
        <v>-564.07371579936375</v>
      </c>
      <c r="L602" s="455">
        <f t="shared" ca="1" si="54"/>
        <v>-135941.76550764666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-135941.76550764666</v>
      </c>
      <c r="J603" s="455">
        <f t="array" ref="J603">IFERROR(INDEX('Retirement Calculator'!K:K,MATCH('Lorri 401b'!N603,'Retirement Calculator'!A:A,0),0),0)</f>
        <v>20282.026119384056</v>
      </c>
      <c r="K603" s="455">
        <f t="shared" ca="1" si="53"/>
        <v>-650.93246511262794</v>
      </c>
      <c r="L603" s="455">
        <f t="shared" ca="1" si="54"/>
        <v>-156874.72409214333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-156874.72409214333</v>
      </c>
      <c r="J604" s="455">
        <f t="array" ref="J604">IFERROR(INDEX('Retirement Calculator'!K:K,MATCH('Lorri 401b'!N604,'Retirement Calculator'!A:A,0),0),0)</f>
        <v>20282.026119384056</v>
      </c>
      <c r="K604" s="455">
        <f t="shared" ca="1" si="53"/>
        <v>-738.15312588136419</v>
      </c>
      <c r="L604" s="455">
        <f t="shared" ca="1" si="54"/>
        <v>-177894.90333740876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-177894.90333740876</v>
      </c>
      <c r="J605" s="455">
        <f t="array" ref="J605">IFERROR(INDEX('Retirement Calculator'!K:K,MATCH('Lorri 401b'!N605,'Retirement Calculator'!A:A,0),0),0)</f>
        <v>20282.026119384056</v>
      </c>
      <c r="K605" s="455">
        <f t="shared" ca="1" si="53"/>
        <v>-825.73720606997006</v>
      </c>
      <c r="L605" s="455">
        <f t="shared" ca="1" si="54"/>
        <v>-199002.66666286279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-199002.66666286279</v>
      </c>
      <c r="J606" s="455">
        <f t="array" ref="J606">IFERROR(INDEX('Retirement Calculator'!K:K,MATCH('Lorri 401b'!N606,'Retirement Calculator'!A:A,0),0),0)</f>
        <v>20282.026119384056</v>
      </c>
      <c r="K606" s="455">
        <f t="shared" ca="1" si="53"/>
        <v>-913.68621992602846</v>
      </c>
      <c r="L606" s="455">
        <f t="shared" ca="1" si="54"/>
        <v>-220198.37900217288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-220198.37900217288</v>
      </c>
      <c r="J607" s="455">
        <f t="array" ref="J607">IFERROR(INDEX('Retirement Calculator'!K:K,MATCH('Lorri 401b'!N607,'Retirement Calculator'!A:A,0),0),0)</f>
        <v>20282.026119384056</v>
      </c>
      <c r="K607" s="455">
        <f t="shared" ca="1" si="53"/>
        <v>-1002.0016880064873</v>
      </c>
      <c r="L607" s="455">
        <f t="shared" ca="1" si="54"/>
        <v>-241482.40680956343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-241482.40680956343</v>
      </c>
      <c r="J608" s="455">
        <f t="array" ref="J608">IFERROR(INDEX('Retirement Calculator'!K:K,MATCH('Lorri 401b'!N608,'Retirement Calculator'!A:A,0),0),0)</f>
        <v>20282.026119384056</v>
      </c>
      <c r="K608" s="455">
        <f t="shared" ca="1" si="53"/>
        <v>-1090.685137203948</v>
      </c>
      <c r="L608" s="455">
        <f t="shared" ca="1" si="54"/>
        <v>-262855.11806615145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-262855.11806615145</v>
      </c>
      <c r="J609" s="455">
        <f t="array" ref="J609">IFERROR(INDEX('Retirement Calculator'!K:K,MATCH('Lorri 401b'!N609,'Retirement Calculator'!A:A,0),0),0)</f>
        <v>20282.026119384056</v>
      </c>
      <c r="K609" s="455">
        <f t="shared" ca="1" si="53"/>
        <v>-1179.7381007730646</v>
      </c>
      <c r="L609" s="455">
        <f t="shared" ca="1" si="54"/>
        <v>-284316.88228630857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-284316.88228630857</v>
      </c>
      <c r="J610" s="455">
        <f t="array" ref="J610">IFERROR(INDEX('Retirement Calculator'!K:K,MATCH('Lorri 401b'!N610,'Retirement Calculator'!A:A,0),0),0)</f>
        <v>20282.026119384056</v>
      </c>
      <c r="K610" s="455">
        <f t="shared" ca="1" si="53"/>
        <v>-1269.1621183570526</v>
      </c>
      <c r="L610" s="455">
        <f t="shared" ca="1" si="54"/>
        <v>-305868.07052404963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-305868.07052404963</v>
      </c>
      <c r="J611" s="455">
        <f t="array" ref="J611">IFERROR(INDEX('Retirement Calculator'!K:K,MATCH('Lorri 401b'!N611,'Retirement Calculator'!A:A,0),0),0)</f>
        <v>20282.026119384056</v>
      </c>
      <c r="K611" s="455">
        <f t="shared" ca="1" si="53"/>
        <v>-1358.9587360143069</v>
      </c>
      <c r="L611" s="455">
        <f t="shared" ca="1" si="54"/>
        <v>-327509.05537944799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-327509.05537944799</v>
      </c>
      <c r="J612" s="455">
        <f t="array" ref="J612">IFERROR(INDEX('Retirement Calculator'!K:K,MATCH('Lorri 401b'!N612,'Retirement Calculator'!A:A,0),0),0)</f>
        <v>20282.026119384056</v>
      </c>
      <c r="K612" s="455">
        <f t="shared" ca="1" si="53"/>
        <v>-1449.1295062451334</v>
      </c>
      <c r="L612" s="455">
        <f t="shared" ca="1" si="54"/>
        <v>-349240.21100507717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-349240.21100507717</v>
      </c>
      <c r="J613" s="455">
        <f t="array" ref="J613">IFERROR(INDEX('Retirement Calculator'!K:K,MATCH('Lorri 401b'!N613,'Retirement Calculator'!A:A,0),0),0)</f>
        <v>20282.026119384056</v>
      </c>
      <c r="K613" s="455">
        <f t="shared" ca="1" si="53"/>
        <v>-1539.6759880185884</v>
      </c>
      <c r="L613" s="455">
        <f t="shared" ca="1" si="54"/>
        <v>-371061.91311247979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-371061.91311247979</v>
      </c>
      <c r="J614" s="455">
        <f t="array" ref="J614">IFERROR(INDEX('Retirement Calculator'!K:K,MATCH('Lorri 401b'!N614,'Retirement Calculator'!A:A,0),0),0)</f>
        <v>20282.026119384056</v>
      </c>
      <c r="K614" s="455">
        <f t="shared" ca="1" si="53"/>
        <v>-1630.5997467994325</v>
      </c>
      <c r="L614" s="455">
        <f t="shared" ca="1" si="54"/>
        <v>-392974.53897866327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-392974.53897866327</v>
      </c>
      <c r="J615" s="455">
        <f t="array" ref="J615">IFERROR(INDEX('Retirement Calculator'!K:K,MATCH('Lorri 401b'!N615,'Retirement Calculator'!A:A,0),0),0)</f>
        <v>20282.026119384056</v>
      </c>
      <c r="K615" s="455">
        <f t="shared" ca="1" si="53"/>
        <v>-1721.902354575197</v>
      </c>
      <c r="L615" s="455">
        <f t="shared" ca="1" si="54"/>
        <v>-414978.46745262248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-414978.46745262248</v>
      </c>
      <c r="J616" s="455">
        <f t="array" ref="J616">IFERROR(INDEX('Retirement Calculator'!K:K,MATCH('Lorri 401b'!N616,'Retirement Calculator'!A:A,0),0),0)</f>
        <v>20282.026119384056</v>
      </c>
      <c r="K616" s="455">
        <f t="shared" ca="1" si="53"/>
        <v>-1813.5853898833604</v>
      </c>
      <c r="L616" s="455">
        <f t="shared" ca="1" si="54"/>
        <v>-437074.0789618899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-437074.0789618899</v>
      </c>
      <c r="J617" s="455">
        <f t="array" ref="J617">IFERROR(INDEX('Retirement Calculator'!K:K,MATCH('Lorri 401b'!N617,'Retirement Calculator'!A:A,0),0),0)</f>
        <v>20282.026119384056</v>
      </c>
      <c r="K617" s="455">
        <f t="shared" ca="1" si="53"/>
        <v>-1905.6504378386417</v>
      </c>
      <c r="L617" s="455">
        <f t="shared" ca="1" si="54"/>
        <v>-459261.75551911257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-459261.75551911257</v>
      </c>
      <c r="J618" s="455">
        <f t="array" ref="J618">IFERROR(INDEX('Retirement Calculator'!K:K,MATCH('Lorri 401b'!N618,'Retirement Calculator'!A:A,0),0),0)</f>
        <v>20282.026119384056</v>
      </c>
      <c r="K618" s="455">
        <f t="shared" ca="1" si="53"/>
        <v>-1998.0990901604023</v>
      </c>
      <c r="L618" s="455">
        <f t="shared" ca="1" si="54"/>
        <v>-481541.88072865701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-481541.88072865701</v>
      </c>
      <c r="J619" s="455">
        <f t="array" ref="J619">IFERROR(INDEX('Retirement Calculator'!K:K,MATCH('Lorri 401b'!N619,'Retirement Calculator'!A:A,0),0),0)</f>
        <v>20282.026119384056</v>
      </c>
      <c r="K619" s="455">
        <f t="shared" ca="1" si="53"/>
        <v>-2090.9329452001712</v>
      </c>
      <c r="L619" s="455">
        <f t="shared" ca="1" si="54"/>
        <v>-503914.83979324123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-503914.83979324123</v>
      </c>
      <c r="J620" s="455">
        <f t="array" ref="J620">IFERROR(INDEX('Retirement Calculator'!K:K,MATCH('Lorri 401b'!N620,'Retirement Calculator'!A:A,0),0),0)</f>
        <v>20282.026119384056</v>
      </c>
      <c r="K620" s="455">
        <f t="shared" ca="1" si="53"/>
        <v>-2184.1536079692723</v>
      </c>
      <c r="L620" s="455">
        <f t="shared" ca="1" si="54"/>
        <v>-526381.01952059451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-526381.01952059451</v>
      </c>
      <c r="J621" s="455">
        <f t="array" ref="J621">IFERROR(INDEX('Retirement Calculator'!K:K,MATCH('Lorri 401b'!N621,'Retirement Calculator'!A:A,0),0),0)</f>
        <v>20282.026119384056</v>
      </c>
      <c r="K621" s="455">
        <f t="shared" ca="1" si="53"/>
        <v>-2277.7626901665776</v>
      </c>
      <c r="L621" s="455">
        <f t="shared" ca="1" si="54"/>
        <v>-548940.8083301452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-548940.8083301452</v>
      </c>
      <c r="J622" s="455">
        <f t="array" ref="J622">IFERROR(INDEX('Retirement Calculator'!K:K,MATCH('Lorri 401b'!N622,'Retirement Calculator'!A:A,0),0),0)</f>
        <v>20282.026119384056</v>
      </c>
      <c r="K622" s="455">
        <f t="shared" ca="1" si="53"/>
        <v>-2371.761810206372</v>
      </c>
      <c r="L622" s="455">
        <f t="shared" ca="1" si="54"/>
        <v>-571594.59625973564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-571594.59625973564</v>
      </c>
      <c r="J623" s="455">
        <f t="array" ref="J623">IFERROR(INDEX('Retirement Calculator'!K:K,MATCH('Lorri 401b'!N623,'Retirement Calculator'!A:A,0),0),0)</f>
        <v>20282.026119384056</v>
      </c>
      <c r="K623" s="455">
        <f t="shared" ca="1" si="53"/>
        <v>-2466.1525932463323</v>
      </c>
      <c r="L623" s="455">
        <f t="shared" ca="1" si="54"/>
        <v>-594342.77497236605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-594342.77497236605</v>
      </c>
      <c r="J624" s="455">
        <f t="array" ref="J624">IFERROR(INDEX('Retirement Calculator'!K:K,MATCH('Lorri 401b'!N624,'Retirement Calculator'!A:A,0),0),0)</f>
        <v>20282.026119384056</v>
      </c>
      <c r="K624" s="455">
        <f t="shared" ca="1" si="53"/>
        <v>-2560.9366712156257</v>
      </c>
      <c r="L624" s="455">
        <f t="shared" ca="1" si="54"/>
        <v>-617185.73776296573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-617185.73776296573</v>
      </c>
      <c r="J625" s="455">
        <f t="array" ref="J625">IFERROR(INDEX('Retirement Calculator'!K:K,MATCH('Lorri 401b'!N625,'Retirement Calculator'!A:A,0),0),0)</f>
        <v>20282.026119384056</v>
      </c>
      <c r="K625" s="455">
        <f t="shared" ca="1" si="53"/>
        <v>-2656.1156828431244</v>
      </c>
      <c r="L625" s="455">
        <f t="shared" ca="1" si="54"/>
        <v>-640123.87956519297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-640123.87956519297</v>
      </c>
      <c r="J626" s="455">
        <f t="array" ref="J626">IFERROR(INDEX('Retirement Calculator'!K:K,MATCH('Lorri 401b'!N626,'Retirement Calculator'!A:A,0),0),0)</f>
        <v>20282.026119384056</v>
      </c>
      <c r="K626" s="455">
        <f t="shared" ca="1" si="53"/>
        <v>-2751.6912736857375</v>
      </c>
      <c r="L626" s="455">
        <f t="shared" ca="1" si="54"/>
        <v>-663157.59695826285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-663157.59695826285</v>
      </c>
      <c r="J627" s="455">
        <f t="array" ref="J627">IFERROR(INDEX('Retirement Calculator'!K:K,MATCH('Lorri 401b'!N627,'Retirement Calculator'!A:A,0),0),0)</f>
        <v>20282.026119384056</v>
      </c>
      <c r="K627" s="455">
        <f t="shared" ca="1" si="53"/>
        <v>-2847.6650961568621</v>
      </c>
      <c r="L627" s="455">
        <f t="shared" ca="1" si="54"/>
        <v>-686287.28817380383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-686287.28817380383</v>
      </c>
      <c r="J628" s="455">
        <f t="array" ref="J628">IFERROR(INDEX('Retirement Calculator'!K:K,MATCH('Lorri 401b'!N628,'Retirement Calculator'!A:A,0),0),0)</f>
        <v>20282.026119384056</v>
      </c>
      <c r="K628" s="455">
        <f t="shared" ca="1" si="53"/>
        <v>-2944.0388095549497</v>
      </c>
      <c r="L628" s="455">
        <f t="shared" ca="1" si="54"/>
        <v>-709513.35310274293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-709513.35310274293</v>
      </c>
      <c r="J629" s="455">
        <f t="array" ref="J629">IFERROR(INDEX('Retirement Calculator'!K:K,MATCH('Lorri 401b'!N629,'Retirement Calculator'!A:A,0),0),0)</f>
        <v>20282.026119384056</v>
      </c>
      <c r="K629" s="455">
        <f t="shared" ca="1" si="53"/>
        <v>-3040.814080092196</v>
      </c>
      <c r="L629" s="455">
        <f t="shared" ca="1" si="54"/>
        <v>-732836.19330221927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-732836.19330221927</v>
      </c>
      <c r="J630" s="455">
        <f t="array" ref="J630">IFERROR(INDEX('Retirement Calculator'!K:K,MATCH('Lorri 401b'!N630,'Retirement Calculator'!A:A,0),0),0)</f>
        <v>20282.026119384056</v>
      </c>
      <c r="K630" s="455">
        <f t="shared" ca="1" si="53"/>
        <v>-3137.9925809233473</v>
      </c>
      <c r="L630" s="455">
        <f t="shared" ca="1" si="54"/>
        <v>-756256.21200252674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-756256.21200252674</v>
      </c>
      <c r="J631" s="455">
        <f t="array" ref="J631">IFERROR(INDEX('Retirement Calculator'!K:K,MATCH('Lorri 401b'!N631,'Retirement Calculator'!A:A,0),0),0)</f>
        <v>20282.026119384056</v>
      </c>
      <c r="K631" s="455">
        <f t="shared" ca="1" si="53"/>
        <v>-3235.5759921746285</v>
      </c>
      <c r="L631" s="455">
        <f t="shared" ca="1" si="54"/>
        <v>-779773.81411408552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-779773.81411408552</v>
      </c>
      <c r="J632" s="455">
        <f t="array" ref="J632">IFERROR(INDEX('Retirement Calculator'!K:K,MATCH('Lorri 401b'!N632,'Retirement Calculator'!A:A,0),0),0)</f>
        <v>20282.026119384056</v>
      </c>
      <c r="K632" s="455">
        <f t="shared" ca="1" si="53"/>
        <v>-3333.5660009727899</v>
      </c>
      <c r="L632" s="455">
        <f t="shared" ca="1" si="54"/>
        <v>-803389.40623444237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-803389.40623444237</v>
      </c>
      <c r="J633" s="455">
        <f t="array" ref="J633">IFERROR(INDEX('Retirement Calculator'!K:K,MATCH('Lorri 401b'!N633,'Retirement Calculator'!A:A,0),0),0)</f>
        <v>20282.026119384056</v>
      </c>
      <c r="K633" s="455">
        <f t="shared" ca="1" si="53"/>
        <v>-3431.9643014742769</v>
      </c>
      <c r="L633" s="455">
        <f t="shared" ca="1" si="54"/>
        <v>-827103.39665530075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-827103.39665530075</v>
      </c>
      <c r="J634" s="455">
        <f t="array" ref="J634">IFERROR(INDEX('Retirement Calculator'!K:K,MATCH('Lorri 401b'!N634,'Retirement Calculator'!A:A,0),0),0)</f>
        <v>20282.026119384056</v>
      </c>
      <c r="K634" s="455">
        <f t="shared" ca="1" si="53"/>
        <v>-3530.7725948945194</v>
      </c>
      <c r="L634" s="455">
        <f t="shared" ca="1" si="54"/>
        <v>-850916.19536957936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-850916.19536957936</v>
      </c>
      <c r="J635" s="455">
        <f t="array" ref="J635">IFERROR(INDEX('Retirement Calculator'!K:K,MATCH('Lorri 401b'!N635,'Retirement Calculator'!A:A,0),0),0)</f>
        <v>20282.026119384056</v>
      </c>
      <c r="K635" s="455">
        <f t="shared" ca="1" si="53"/>
        <v>-3629.9925895373476</v>
      </c>
      <c r="L635" s="455">
        <f t="shared" ca="1" si="54"/>
        <v>-874828.21407850087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-874828.21407850087</v>
      </c>
      <c r="J636" s="455">
        <f t="array" ref="J636">IFERROR(INDEX('Retirement Calculator'!K:K,MATCH('Lorri 401b'!N636,'Retirement Calculator'!A:A,0),0),0)</f>
        <v>20282.026119384056</v>
      </c>
      <c r="K636" s="455">
        <f t="shared" ca="1" si="53"/>
        <v>-3729.6260008245204</v>
      </c>
      <c r="L636" s="455">
        <f t="shared" ca="1" si="54"/>
        <v>-898839.86619870947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-898839.86619870947</v>
      </c>
      <c r="J637" s="455">
        <f t="array" ref="J637">IFERROR(INDEX('Retirement Calculator'!K:K,MATCH('Lorri 401b'!N637,'Retirement Calculator'!A:A,0),0),0)</f>
        <v>20282.026119384056</v>
      </c>
      <c r="K637" s="455">
        <f t="shared" ca="1" si="53"/>
        <v>-3829.67455132539</v>
      </c>
      <c r="L637" s="455">
        <f t="shared" ca="1" si="54"/>
        <v>-922951.56686941895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-922951.56686941895</v>
      </c>
      <c r="J638" s="455">
        <f t="array" ref="J638">IFERROR(INDEX('Retirement Calculator'!K:K,MATCH('Lorri 401b'!N638,'Retirement Calculator'!A:A,0),0),0)</f>
        <v>20282.026119384056</v>
      </c>
      <c r="K638" s="455">
        <f t="shared" ca="1" si="53"/>
        <v>-3930.1399707866794</v>
      </c>
      <c r="L638" s="455">
        <f t="shared" ca="1" si="54"/>
        <v>-947163.73295958969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-947163.73295958969</v>
      </c>
      <c r="J639" s="455">
        <f t="array" ref="J639">IFERROR(INDEX('Retirement Calculator'!K:K,MATCH('Lorri 401b'!N639,'Retirement Calculator'!A:A,0),0),0)</f>
        <v>20282.026119384056</v>
      </c>
      <c r="K639" s="455">
        <f t="shared" ca="1" si="53"/>
        <v>-4031.0239961623911</v>
      </c>
      <c r="L639" s="455">
        <f t="shared" ca="1" si="54"/>
        <v>-971476.78307513613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-971476.78307513613</v>
      </c>
      <c r="J640" s="455">
        <f t="array" ref="J640">IFERROR(INDEX('Retirement Calculator'!K:K,MATCH('Lorri 401b'!N640,'Retirement Calculator'!A:A,0),0),0)</f>
        <v>20282.026119384056</v>
      </c>
      <c r="K640" s="455">
        <f t="shared" ca="1" si="53"/>
        <v>-4132.3283716438345</v>
      </c>
      <c r="L640" s="455">
        <f t="shared" ca="1" si="54"/>
        <v>-995891.13756616402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-995891.13756616402</v>
      </c>
      <c r="J641" s="455">
        <f t="array" ref="J641">IFERROR(INDEX('Retirement Calculator'!K:K,MATCH('Lorri 401b'!N641,'Retirement Calculator'!A:A,0),0),0)</f>
        <v>20282.026119384056</v>
      </c>
      <c r="K641" s="455">
        <f t="shared" ca="1" si="53"/>
        <v>-4234.0548486897842</v>
      </c>
      <c r="L641" s="455">
        <f t="shared" ca="1" si="54"/>
        <v>-1020407.2185342379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-1020407.2185342379</v>
      </c>
      <c r="J642" s="455">
        <f t="array" ref="J642">IFERROR(INDEX('Retirement Calculator'!K:K,MATCH('Lorri 401b'!N642,'Retirement Calculator'!A:A,0),0),0)</f>
        <v>20282.026119384056</v>
      </c>
      <c r="K642" s="455">
        <f t="shared" ca="1" si="53"/>
        <v>-4336.2051860567581</v>
      </c>
      <c r="L642" s="455">
        <f t="shared" ca="1" si="54"/>
        <v>-1045025.4498396788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-1045025.4498396788</v>
      </c>
      <c r="J643" s="455">
        <f t="array" ref="J643">IFERROR(INDEX('Retirement Calculator'!K:K,MATCH('Lorri 401b'!N643,'Retirement Calculator'!A:A,0),0),0)</f>
        <v>20282.026119384056</v>
      </c>
      <c r="K643" s="455">
        <f t="shared" ca="1" si="53"/>
        <v>-4438.7811498294286</v>
      </c>
      <c r="L643" s="455">
        <f t="shared" ca="1" si="54"/>
        <v>-1069746.2571088923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-1069746.2571088923</v>
      </c>
      <c r="J644" s="455">
        <f t="array" ref="J644">IFERROR(INDEX('Retirement Calculator'!K:K,MATCH('Lorri 401b'!N644,'Retirement Calculator'!A:A,0),0),0)</f>
        <v>20282.026119384056</v>
      </c>
      <c r="K644" s="455">
        <f t="shared" ca="1" si="53"/>
        <v>-4541.7845134511508</v>
      </c>
      <c r="L644" s="455">
        <f t="shared" ca="1" si="54"/>
        <v>-1094570.0677417275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-1094570.0677417275</v>
      </c>
      <c r="J645" s="455">
        <f t="array" ref="J645">IFERROR(INDEX('Retirement Calculator'!K:K,MATCH('Lorri 401b'!N645,'Retirement Calculator'!A:A,0),0),0)</f>
        <v>20282.026119384056</v>
      </c>
      <c r="K645" s="455">
        <f t="shared" ca="1" si="53"/>
        <v>-4645.2170577546312</v>
      </c>
      <c r="L645" s="455">
        <f t="shared" ca="1" si="54"/>
        <v>-1119497.310918866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-1119497.310918866</v>
      </c>
      <c r="J646" s="455">
        <f t="array" ref="J646">IFERROR(INDEX('Retirement Calculator'!K:K,MATCH('Lorri 401b'!N646,'Retirement Calculator'!A:A,0),0),0)</f>
        <v>20282.026119384056</v>
      </c>
      <c r="K646" s="455">
        <f t="shared" ca="1" si="53"/>
        <v>-4749.0805709927081</v>
      </c>
      <c r="L646" s="455">
        <f t="shared" ca="1" si="54"/>
        <v>-1144528.4176092427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-1144528.4176092427</v>
      </c>
      <c r="J647" s="455">
        <f t="array" ref="J647">IFERROR(INDEX('Retirement Calculator'!K:K,MATCH('Lorri 401b'!N647,'Retirement Calculator'!A:A,0),0),0)</f>
        <v>20282.026119384056</v>
      </c>
      <c r="K647" s="455">
        <f t="shared" ca="1" si="53"/>
        <v>-4853.3768488692776</v>
      </c>
      <c r="L647" s="455">
        <f t="shared" ca="1" si="54"/>
        <v>-1169663.820577496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-1169663.820577496</v>
      </c>
      <c r="J648" s="455">
        <f t="array" ref="J648">IFERROR(INDEX('Retirement Calculator'!K:K,MATCH('Lorri 401b'!N648,'Retirement Calculator'!A:A,0),0),0)</f>
        <v>20282.026119384056</v>
      </c>
      <c r="K648" s="455">
        <f t="shared" ca="1" si="53"/>
        <v>-4958.1076945703335</v>
      </c>
      <c r="L648" s="455">
        <f t="shared" ca="1" si="54"/>
        <v>-1194903.9543914504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-1194903.9543914504</v>
      </c>
      <c r="J649" s="455">
        <f t="array" ref="J649">IFERROR(INDEX('Retirement Calculator'!K:K,MATCH('Lorri 401b'!N649,'Retirement Calculator'!A:A,0),0),0)</f>
        <v>20282.026119384056</v>
      </c>
      <c r="K649" s="455">
        <f t="shared" ca="1" si="53"/>
        <v>-5063.2749187951431</v>
      </c>
      <c r="L649" s="455">
        <f t="shared" ca="1" si="54"/>
        <v>-1220249.2554296295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-1220249.2554296295</v>
      </c>
      <c r="J650" s="455">
        <f t="array" ref="J650">IFERROR(INDEX('Retirement Calculator'!K:K,MATCH('Lorri 401b'!N650,'Retirement Calculator'!A:A,0),0),0)</f>
        <v>20282.026119384056</v>
      </c>
      <c r="K650" s="455">
        <f t="shared" ca="1" si="53"/>
        <v>-5168.8803397875563</v>
      </c>
      <c r="L650" s="455">
        <f t="shared" ca="1" si="54"/>
        <v>-1245700.161888801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-1245700.161888801</v>
      </c>
      <c r="J651" s="455">
        <f t="array" ref="J651">IFERROR(INDEX('Retirement Calculator'!K:K,MATCH('Lorri 401b'!N651,'Retirement Calculator'!A:A,0),0),0)</f>
        <v>20282.026119384056</v>
      </c>
      <c r="K651" s="455">
        <f t="shared" ca="1" si="53"/>
        <v>-5274.9257833674374</v>
      </c>
      <c r="L651" s="455">
        <f t="shared" ca="1" si="54"/>
        <v>-1271257.1137915524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-1271257.1137915524</v>
      </c>
      <c r="J652" s="455">
        <f t="array" ref="J652">IFERROR(INDEX('Retirement Calculator'!K:K,MATCH('Lorri 401b'!N652,'Retirement Calculator'!A:A,0),0),0)</f>
        <v>20282.026119384056</v>
      </c>
      <c r="K652" s="455">
        <f t="shared" ca="1" si="53"/>
        <v>-5381.4130829622345</v>
      </c>
      <c r="L652" s="455">
        <f t="shared" ca="1" si="54"/>
        <v>-1296920.5529938985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-1296920.5529938985</v>
      </c>
      <c r="J653" s="455">
        <f t="array" ref="J653">IFERROR(INDEX('Retirement Calculator'!K:K,MATCH('Lorri 401b'!N653,'Retirement Calculator'!A:A,0),0),0)</f>
        <v>20282.026119384056</v>
      </c>
      <c r="K653" s="455">
        <f t="shared" ca="1" si="53"/>
        <v>-5488.3440796386767</v>
      </c>
      <c r="L653" s="455">
        <f t="shared" ca="1" si="54"/>
        <v>-1322690.9231929211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-1322690.9231929211</v>
      </c>
      <c r="J654" s="455">
        <f t="array" ref="J654">IFERROR(INDEX('Retirement Calculator'!K:K,MATCH('Lorri 401b'!N654,'Retirement Calculator'!A:A,0),0),0)</f>
        <v>20282.026119384056</v>
      </c>
      <c r="K654" s="455">
        <f t="shared" ca="1" si="53"/>
        <v>-5595.7206221346041</v>
      </c>
      <c r="L654" s="455">
        <f t="shared" ca="1" si="54"/>
        <v>-1348568.6699344397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-1348568.6699344397</v>
      </c>
      <c r="J655" s="455">
        <f t="array" ref="J655">IFERROR(INDEX('Retirement Calculator'!K:K,MATCH('Lorri 401b'!N655,'Retirement Calculator'!A:A,0),0),0)</f>
        <v>20282.026119384056</v>
      </c>
      <c r="K655" s="455">
        <f t="shared" ca="1" si="53"/>
        <v>-5703.5445668909324</v>
      </c>
      <c r="L655" s="455">
        <f t="shared" ca="1" si="54"/>
        <v>-1374554.2406207146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-1374554.2406207146</v>
      </c>
      <c r="J656" s="455">
        <f t="array" ref="J656">IFERROR(INDEX('Retirement Calculator'!K:K,MATCH('Lorri 401b'!N656,'Retirement Calculator'!A:A,0),0),0)</f>
        <v>20282.026119384056</v>
      </c>
      <c r="K656" s="455">
        <f t="shared" ca="1" si="53"/>
        <v>-5811.8177780837441</v>
      </c>
      <c r="L656" s="455">
        <f t="shared" ca="1" si="54"/>
        <v>-1400648.0845181823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-1400648.0845181823</v>
      </c>
      <c r="J657" s="455">
        <f t="array" ref="J657">IFERROR(INDEX('Retirement Calculator'!K:K,MATCH('Lorri 401b'!N657,'Retirement Calculator'!A:A,0),0),0)</f>
        <v>20282.026119384056</v>
      </c>
      <c r="K657" s="455">
        <f t="shared" ca="1" si="53"/>
        <v>-5920.5421276565266</v>
      </c>
      <c r="L657" s="455">
        <f t="shared" ca="1" si="54"/>
        <v>-1426850.6527652228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-1426850.6527652228</v>
      </c>
      <c r="J658" s="455">
        <f t="array" ref="J658">IFERROR(INDEX('Retirement Calculator'!K:K,MATCH('Lorri 401b'!N658,'Retirement Calculator'!A:A,0),0),0)</f>
        <v>20282.026119384056</v>
      </c>
      <c r="K658" s="455">
        <f t="shared" ca="1" si="53"/>
        <v>-6029.7194953525286</v>
      </c>
      <c r="L658" s="455">
        <f t="shared" ca="1" si="54"/>
        <v>-1453162.3983799594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-1453162.3983799594</v>
      </c>
      <c r="J659" s="455">
        <f t="array" ref="J659">IFERROR(INDEX('Retirement Calculator'!K:K,MATCH('Lorri 401b'!N659,'Retirement Calculator'!A:A,0),0),0)</f>
        <v>20282.026119384056</v>
      </c>
      <c r="K659" s="455">
        <f t="shared" ca="1" si="53"/>
        <v>-6139.351768747264</v>
      </c>
      <c r="L659" s="455">
        <f t="shared" ca="1" si="54"/>
        <v>-1479583.7762680906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-1479583.7762680906</v>
      </c>
      <c r="J660" s="455">
        <f t="array" ref="J660">IFERROR(INDEX('Retirement Calculator'!K:K,MATCH('Lorri 401b'!N660,'Retirement Calculator'!A:A,0),0),0)</f>
        <v>20282.026119384056</v>
      </c>
      <c r="K660" s="455">
        <f t="shared" ca="1" si="53"/>
        <v>-6249.4408432811442</v>
      </c>
      <c r="L660" s="455">
        <f t="shared" ca="1" si="54"/>
        <v>-1506115.2432307557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-1506115.2432307557</v>
      </c>
      <c r="J661" s="455">
        <f t="array" ref="J661">IFERROR(INDEX('Retirement Calculator'!K:K,MATCH('Lorri 401b'!N661,'Retirement Calculator'!A:A,0),0),0)</f>
        <v>20282.026119384056</v>
      </c>
      <c r="K661" s="455">
        <f t="shared" ca="1" si="53"/>
        <v>-6359.9886222922487</v>
      </c>
      <c r="L661" s="455">
        <f t="shared" ca="1" si="54"/>
        <v>-1532757.2579724318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-1532757.2579724318</v>
      </c>
      <c r="J662" s="455">
        <f t="array" ref="J662">IFERROR(INDEX('Retirement Calculator'!K:K,MATCH('Lorri 401b'!N662,'Retirement Calculator'!A:A,0),0),0)</f>
        <v>20282.026119384056</v>
      </c>
      <c r="K662" s="455">
        <f t="shared" ca="1" si="53"/>
        <v>-6470.9970170492325</v>
      </c>
      <c r="L662" s="455">
        <f t="shared" ca="1" si="54"/>
        <v>-1559510.281108865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-1559510.281108865</v>
      </c>
      <c r="J663" s="455">
        <f t="array" ref="J663">IFERROR(INDEX('Retirement Calculator'!K:K,MATCH('Lorri 401b'!N663,'Retirement Calculator'!A:A,0),0),0)</f>
        <v>20282.026119384056</v>
      </c>
      <c r="K663" s="455">
        <f t="shared" ca="1" si="53"/>
        <v>-6582.4679467843707</v>
      </c>
      <c r="L663" s="455">
        <f t="shared" ca="1" si="54"/>
        <v>-1586374.7751750334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-1586374.7751750334</v>
      </c>
      <c r="J664" s="455">
        <f t="array" ref="J664">IFERROR(INDEX('Retirement Calculator'!K:K,MATCH('Lorri 401b'!N664,'Retirement Calculator'!A:A,0),0),0)</f>
        <v>20282.026119384056</v>
      </c>
      <c r="K664" s="455">
        <f t="shared" ca="1" si="53"/>
        <v>-6694.4033387267391</v>
      </c>
      <c r="L664" s="455">
        <f t="shared" ca="1" si="54"/>
        <v>-1613351.2046331442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-1613351.2046331442</v>
      </c>
      <c r="J665" s="455">
        <f t="array" ref="J665">IFERROR(INDEX('Retirement Calculator'!K:K,MATCH('Lorri 401b'!N665,'Retirement Calculator'!A:A,0),0),0)</f>
        <v>20282.026119384056</v>
      </c>
      <c r="K665" s="455">
        <f t="shared" ca="1" si="53"/>
        <v>-6806.8051281355338</v>
      </c>
      <c r="L665" s="455">
        <f t="shared" ca="1" si="54"/>
        <v>-1640440.0358806637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-1640440.0358806637</v>
      </c>
      <c r="J666" s="455">
        <f t="array" ref="J666">IFERROR(INDEX('Retirement Calculator'!K:K,MATCH('Lorri 401b'!N666,'Retirement Calculator'!A:A,0),0),0)</f>
        <v>20282.026119384056</v>
      </c>
      <c r="K666" s="455">
        <f t="shared" ca="1" si="53"/>
        <v>-6919.6752583335319</v>
      </c>
      <c r="L666" s="455">
        <f t="shared" ca="1" si="54"/>
        <v>-1667641.7372583812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-1667641.7372583812</v>
      </c>
      <c r="J667" s="455">
        <f t="array" ref="J667">IFERROR(INDEX('Retirement Calculator'!K:K,MATCH('Lorri 401b'!N667,'Retirement Calculator'!A:A,0),0),0)</f>
        <v>20282.026119384056</v>
      </c>
      <c r="K667" s="455">
        <f t="shared" ca="1" si="53"/>
        <v>-7033.0156807406875</v>
      </c>
      <c r="L667" s="455">
        <f t="shared" ca="1" si="54"/>
        <v>-1694956.7790585058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-1694956.7790585058</v>
      </c>
      <c r="J668" s="455">
        <f t="array" ref="J668">IFERROR(INDEX('Retirement Calculator'!K:K,MATCH('Lorri 401b'!N668,'Retirement Calculator'!A:A,0),0),0)</f>
        <v>20282.026119384056</v>
      </c>
      <c r="K668" s="455">
        <f t="shared" ca="1" si="53"/>
        <v>-7146.8283549078742</v>
      </c>
      <c r="L668" s="455">
        <f t="shared" ca="1" si="54"/>
        <v>-1722385.6335327977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-1722385.6335327977</v>
      </c>
      <c r="J669" s="455">
        <f t="array" ref="J669">IFERROR(INDEX('Retirement Calculator'!K:K,MATCH('Lorri 401b'!N669,'Retirement Calculator'!A:A,0),0),0)</f>
        <v>20282.026119384056</v>
      </c>
      <c r="K669" s="455">
        <f t="shared" ca="1" si="53"/>
        <v>-7261.1152485507564</v>
      </c>
      <c r="L669" s="455">
        <f t="shared" ca="1" si="54"/>
        <v>-1749928.7749007323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-1749928.7749007323</v>
      </c>
      <c r="J670" s="455">
        <f t="array" ref="J670">IFERROR(INDEX('Retirement Calculator'!K:K,MATCH('Lorri 401b'!N670,'Retirement Calculator'!A:A,0),0),0)</f>
        <v>20282.026119384056</v>
      </c>
      <c r="K670" s="455">
        <f t="shared" ca="1" si="53"/>
        <v>-7375.8783375838175</v>
      </c>
      <c r="L670" s="455">
        <f t="shared" ca="1" si="54"/>
        <v>-1777586.6793577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-1777586.6793577</v>
      </c>
      <c r="J671" s="455">
        <f t="array" ref="J671">IFERROR(INDEX('Retirement Calculator'!K:K,MATCH('Lorri 401b'!N671,'Retirement Calculator'!A:A,0),0),0)</f>
        <v>20282.026119384056</v>
      </c>
      <c r="K671" s="455">
        <f t="shared" ca="1" si="53"/>
        <v>-7491.119606154517</v>
      </c>
      <c r="L671" s="455">
        <f t="shared" ca="1" si="54"/>
        <v>-1805359.8250832385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-1805359.8250832385</v>
      </c>
      <c r="J672" s="455">
        <f t="array" ref="J672">IFERROR(INDEX('Retirement Calculator'!K:K,MATCH('Lorri 401b'!N672,'Retirement Calculator'!A:A,0),0),0)</f>
        <v>20282.026119384056</v>
      </c>
      <c r="K672" s="455">
        <f t="shared" ca="1" si="53"/>
        <v>-7606.8410466775949</v>
      </c>
      <c r="L672" s="455">
        <f t="shared" ca="1" si="54"/>
        <v>-1833248.6922493002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-1833248.6922493002</v>
      </c>
      <c r="J673" s="455">
        <f t="array" ref="J673">IFERROR(INDEX('Retirement Calculator'!K:K,MATCH('Lorri 401b'!N673,'Retirement Calculator'!A:A,0),0),0)</f>
        <v>20282.026119384056</v>
      </c>
      <c r="K673" s="455">
        <f t="shared" ca="1" si="53"/>
        <v>-7723.044659869518</v>
      </c>
      <c r="L673" s="455">
        <f t="shared" ca="1" si="54"/>
        <v>-1861253.7630285537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-1861253.7630285537</v>
      </c>
      <c r="J674" s="455">
        <f t="array" ref="J674">IFERROR(INDEX('Retirement Calculator'!K:K,MATCH('Lorri 401b'!N674,'Retirement Calculator'!A:A,0),0),0)</f>
        <v>20282.026119384056</v>
      </c>
      <c r="K674" s="455">
        <f t="shared" ca="1" si="53"/>
        <v>-7839.7324547830731</v>
      </c>
      <c r="L674" s="455">
        <f t="shared" ca="1" si="54"/>
        <v>-1889375.5216027207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-1889375.5216027207</v>
      </c>
      <c r="J675" s="455">
        <f t="array" ref="J675">IFERROR(INDEX('Retirement Calculator'!K:K,MATCH('Lorri 401b'!N675,'Retirement Calculator'!A:A,0),0),0)</f>
        <v>20282.026119384056</v>
      </c>
      <c r="K675" s="455">
        <f t="shared" ca="1" si="53"/>
        <v>-7956.9064488421036</v>
      </c>
      <c r="L675" s="455">
        <f t="shared" ca="1" si="54"/>
        <v>-1917614.4541709467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-1917614.4541709467</v>
      </c>
      <c r="J676" s="455">
        <f t="array" ref="J676">IFERROR(INDEX('Retirement Calculator'!K:K,MATCH('Lorri 401b'!N676,'Retirement Calculator'!A:A,0),0),0)</f>
        <v>20282.026119384056</v>
      </c>
      <c r="K676" s="455">
        <f t="shared" ca="1" si="53"/>
        <v>-8074.5686678763768</v>
      </c>
      <c r="L676" s="455">
        <f t="shared" ca="1" si="54"/>
        <v>-1945971.048958207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-1945971.048958207</v>
      </c>
      <c r="J677" s="455">
        <f t="array" ref="J677">IFERROR(INDEX('Retirement Calculator'!K:K,MATCH('Lorri 401b'!N677,'Retirement Calculator'!A:A,0),0),0)</f>
        <v>20282.026119384056</v>
      </c>
      <c r="K677" s="455">
        <f t="shared" ca="1" si="53"/>
        <v>-8192.7211461566294</v>
      </c>
      <c r="L677" s="455">
        <f t="shared" ca="1" si="54"/>
        <v>-1974445.7962237475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-1974445.7962237475</v>
      </c>
      <c r="J678" s="455">
        <f t="array" ref="J678">IFERROR(INDEX('Retirement Calculator'!K:K,MATCH('Lorri 401b'!N678,'Retirement Calculator'!A:A,0),0),0)</f>
        <v>20282.026119384056</v>
      </c>
      <c r="K678" s="455">
        <f t="shared" ca="1" si="53"/>
        <v>-8311.3659264297148</v>
      </c>
      <c r="L678" s="455">
        <f t="shared" ca="1" si="54"/>
        <v>-2003039.1882695612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-2003039.1882695612</v>
      </c>
      <c r="J679" s="455">
        <f t="array" ref="J679">IFERROR(INDEX('Retirement Calculator'!K:K,MATCH('Lorri 401b'!N679,'Retirement Calculator'!A:A,0),0),0)</f>
        <v>20282.026119384056</v>
      </c>
      <c r="K679" s="455">
        <f t="shared" ca="1" si="53"/>
        <v>-8430.5050599539372</v>
      </c>
      <c r="L679" s="455">
        <f t="shared" ca="1" si="54"/>
        <v>-2031751.7194488992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-2031751.7194488992</v>
      </c>
      <c r="J680" s="455">
        <f t="array" ref="J680">IFERROR(INDEX('Retirement Calculator'!K:K,MATCH('Lorri 401b'!N680,'Retirement Calculator'!A:A,0),0),0)</f>
        <v>20282.026119384056</v>
      </c>
      <c r="K680" s="455">
        <f t="shared" ca="1" si="53"/>
        <v>-8550.1406065345127</v>
      </c>
      <c r="L680" s="455">
        <f t="shared" ca="1" si="54"/>
        <v>-2060583.8861748176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-2060583.8861748176</v>
      </c>
      <c r="J681" s="455">
        <f t="array" ref="J681">IFERROR(INDEX('Retirement Calculator'!K:K,MATCH('Lorri 401b'!N681,'Retirement Calculator'!A:A,0),0),0)</f>
        <v>20282.026119384056</v>
      </c>
      <c r="K681" s="455">
        <f t="shared" ca="1" si="53"/>
        <v>-8670.2746345591731</v>
      </c>
      <c r="L681" s="455">
        <f t="shared" ca="1" si="54"/>
        <v>-2089536.1869287607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-2089536.1869287607</v>
      </c>
      <c r="J682" s="455">
        <f t="array" ref="J682">IFERROR(INDEX('Retirement Calculator'!K:K,MATCH('Lorri 401b'!N682,'Retirement Calculator'!A:A,0),0),0)</f>
        <v>20282.026119384056</v>
      </c>
      <c r="K682" s="455">
        <f t="shared" ca="1" si="53"/>
        <v>-8790.9092210339368</v>
      </c>
      <c r="L682" s="455">
        <f t="shared" ca="1" si="54"/>
        <v>-2118609.1222691787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-2118609.1222691787</v>
      </c>
      <c r="J683" s="455">
        <f t="array" ref="J683">IFERROR(INDEX('Retirement Calculator'!K:K,MATCH('Lorri 401b'!N683,'Retirement Calculator'!A:A,0),0),0)</f>
        <v>20282.026119384056</v>
      </c>
      <c r="K683" s="455">
        <f t="shared" ca="1" si="53"/>
        <v>-8912.0464516190113</v>
      </c>
      <c r="L683" s="455">
        <f t="shared" ca="1" si="54"/>
        <v>-2147803.1948401816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-2147803.1948401816</v>
      </c>
      <c r="J684" s="455">
        <f t="array" ref="J684">IFERROR(INDEX('Retirement Calculator'!K:K,MATCH('Lorri 401b'!N684,'Retirement Calculator'!A:A,0),0),0)</f>
        <v>20282.026119384056</v>
      </c>
      <c r="K684" s="455">
        <f t="shared" ca="1" si="53"/>
        <v>-9033.6884206648574</v>
      </c>
      <c r="L684" s="455">
        <f t="shared" ca="1" si="54"/>
        <v>-2177118.9093802306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-2177118.9093802306</v>
      </c>
      <c r="J685" s="455">
        <f t="array" ref="J685">IFERROR(INDEX('Retirement Calculator'!K:K,MATCH('Lorri 401b'!N685,'Retirement Calculator'!A:A,0),0),0)</f>
        <v>20282.026119384056</v>
      </c>
      <c r="K685" s="455">
        <f t="shared" ca="1" si="53"/>
        <v>-9155.8372312483934</v>
      </c>
      <c r="L685" s="455">
        <f t="shared" ca="1" si="54"/>
        <v>-2206556.7727308632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-2206556.7727308632</v>
      </c>
      <c r="J686" s="455">
        <f t="array" ref="J686">IFERROR(INDEX('Retirement Calculator'!K:K,MATCH('Lorri 401b'!N686,'Retirement Calculator'!A:A,0),0),0)</f>
        <v>20282.026119384056</v>
      </c>
      <c r="K686" s="455">
        <f t="shared" ca="1" si="53"/>
        <v>-9278.494995209363</v>
      </c>
      <c r="L686" s="455">
        <f t="shared" ca="1" si="54"/>
        <v>-2236117.2938454566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-2236117.2938454566</v>
      </c>
      <c r="J687" s="455">
        <f t="array" ref="J687">IFERROR(INDEX('Retirement Calculator'!K:K,MATCH('Lorri 401b'!N687,'Retirement Calculator'!A:A,0),0),0)</f>
        <v>20282.026119384056</v>
      </c>
      <c r="K687" s="455">
        <f t="shared" ca="1" si="53"/>
        <v>-9401.6638331868362</v>
      </c>
      <c r="L687" s="455">
        <f t="shared" ca="1" si="54"/>
        <v>-2265800.9837980275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-2265800.9837980275</v>
      </c>
      <c r="J688" s="455">
        <f t="array" ref="J688">IFERROR(INDEX('Retirement Calculator'!K:K,MATCH('Lorri 401b'!N688,'Retirement Calculator'!A:A,0),0),0)</f>
        <v>20282.026119384056</v>
      </c>
      <c r="K688" s="455">
        <f t="shared" ca="1" si="53"/>
        <v>-9525.3458746558808</v>
      </c>
      <c r="L688" s="455">
        <f t="shared" ca="1" si="54"/>
        <v>-2295608.3557920675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-2295608.3557920675</v>
      </c>
      <c r="J689" s="455">
        <f t="array" ref="J689">IFERROR(INDEX('Retirement Calculator'!K:K,MATCH('Lorri 401b'!N689,'Retirement Calculator'!A:A,0),0),0)</f>
        <v>20282.026119384056</v>
      </c>
      <c r="K689" s="455">
        <f t="shared" ca="1" si="53"/>
        <v>-9649.5432579643802</v>
      </c>
      <c r="L689" s="455">
        <f t="shared" ca="1" si="54"/>
        <v>-2325539.9251694158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-2325539.9251694158</v>
      </c>
      <c r="J690" s="455">
        <f t="array" ref="J690">IFERROR(INDEX('Retirement Calculator'!K:K,MATCH('Lorri 401b'!N690,'Retirement Calculator'!A:A,0),0),0)</f>
        <v>20282.026119384056</v>
      </c>
      <c r="K690" s="455">
        <f t="shared" ca="1" si="53"/>
        <v>-9774.258130369999</v>
      </c>
      <c r="L690" s="455">
        <f t="shared" ca="1" si="54"/>
        <v>-2355596.2094191699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-2355596.2094191699</v>
      </c>
      <c r="J691" s="455">
        <f t="array" ref="J691">IFERROR(INDEX('Retirement Calculator'!K:K,MATCH('Lorri 401b'!N691,'Retirement Calculator'!A:A,0),0),0)</f>
        <v>20282.026119384056</v>
      </c>
      <c r="K691" s="455">
        <f t="shared" ca="1" si="53"/>
        <v>-9899.4926480773083</v>
      </c>
      <c r="L691" s="455">
        <f t="shared" ca="1" si="54"/>
        <v>-2385777.7281866311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-2385777.7281866311</v>
      </c>
      <c r="J692" s="455">
        <f t="array" ref="J692">IFERROR(INDEX('Retirement Calculator'!K:K,MATCH('Lorri 401b'!N692,'Retirement Calculator'!A:A,0),0),0)</f>
        <v>20282.026119384056</v>
      </c>
      <c r="K692" s="455">
        <f t="shared" ca="1" si="53"/>
        <v>-10025.248976275063</v>
      </c>
      <c r="L692" s="455">
        <f t="shared" ca="1" si="54"/>
        <v>-2416085.00328229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-2416085.00328229</v>
      </c>
      <c r="J693" s="455">
        <f t="array" ref="J693">IFERROR(INDEX('Retirement Calculator'!K:K,MATCH('Lorri 401b'!N693,'Retirement Calculator'!A:A,0),0),0)</f>
        <v>20282.026119384056</v>
      </c>
      <c r="K693" s="455">
        <f t="shared" ca="1" si="53"/>
        <v>-10151.529289173641</v>
      </c>
      <c r="L693" s="455">
        <f t="shared" ca="1" si="54"/>
        <v>-2446518.5586908474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-2446518.5586908474</v>
      </c>
      <c r="J694" s="455">
        <f t="array" ref="J694">IFERROR(INDEX('Retirement Calculator'!K:K,MATCH('Lorri 401b'!N694,'Retirement Calculator'!A:A,0),0),0)</f>
        <v>20282.026119384056</v>
      </c>
      <c r="K694" s="455">
        <f t="shared" ca="1" si="53"/>
        <v>-10278.335770042631</v>
      </c>
      <c r="L694" s="455">
        <f t="shared" ca="1" si="54"/>
        <v>-2477078.920580274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-2477078.920580274</v>
      </c>
      <c r="J695" s="455">
        <f t="array" ref="J695">IFERROR(INDEX('Retirement Calculator'!K:K,MATCH('Lorri 401b'!N695,'Retirement Calculator'!A:A,0),0),0)</f>
        <v>20282.026119384056</v>
      </c>
      <c r="K695" s="455">
        <f t="shared" ca="1" si="53"/>
        <v>-10405.670611248575</v>
      </c>
      <c r="L695" s="455">
        <f t="shared" ca="1" si="54"/>
        <v>-2507766.6173109063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-2507766.6173109063</v>
      </c>
      <c r="J696" s="455">
        <f t="array" ref="J696">IFERROR(INDEX('Retirement Calculator'!K:K,MATCH('Lorri 401b'!N696,'Retirement Calculator'!A:A,0),0),0)</f>
        <v>20282.026119384056</v>
      </c>
      <c r="K696" s="455">
        <f t="shared" ca="1" si="53"/>
        <v>-10533.536014292877</v>
      </c>
      <c r="L696" s="455">
        <f t="shared" ca="1" si="54"/>
        <v>-2538582.1794445831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-2538582.1794445831</v>
      </c>
      <c r="J697" s="455">
        <f t="array" ref="J697">IFERROR(INDEX('Retirement Calculator'!K:K,MATCH('Lorri 401b'!N697,'Retirement Calculator'!A:A,0),0),0)</f>
        <v>20282.026119384056</v>
      </c>
      <c r="K697" s="455">
        <f t="shared" ca="1" si="53"/>
        <v>-10661.934189849862</v>
      </c>
      <c r="L697" s="455">
        <f t="shared" ca="1" si="54"/>
        <v>-2569526.1397538171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-2569526.1397538171</v>
      </c>
      <c r="J698" s="455">
        <f t="array" ref="J698">IFERROR(INDEX('Retirement Calculator'!K:K,MATCH('Lorri 401b'!N698,'Retirement Calculator'!A:A,0),0),0)</f>
        <v>20282.026119384056</v>
      </c>
      <c r="K698" s="455">
        <f t="shared" ca="1" si="53"/>
        <v>-10790.867357805004</v>
      </c>
      <c r="L698" s="455">
        <f t="shared" ca="1" si="54"/>
        <v>-2600599.033231006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-2600599.033231006</v>
      </c>
      <c r="J699" s="455">
        <f t="array" ref="J699">IFERROR(INDEX('Retirement Calculator'!K:K,MATCH('Lorri 401b'!N699,'Retirement Calculator'!A:A,0),0),0)</f>
        <v>20282.026119384056</v>
      </c>
      <c r="K699" s="455">
        <f t="shared" ca="1" si="53"/>
        <v>-10920.337747293292</v>
      </c>
      <c r="L699" s="455">
        <f t="shared" ca="1" si="54"/>
        <v>-2631801.3970976835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-2631801.3970976835</v>
      </c>
      <c r="J700" s="455">
        <f t="array" ref="J700">IFERROR(INDEX('Retirement Calculator'!K:K,MATCH('Lorri 401b'!N700,'Retirement Calculator'!A:A,0),0),0)</f>
        <v>20282.026119384056</v>
      </c>
      <c r="K700" s="455">
        <f t="shared" ca="1" si="53"/>
        <v>-11050.347596737782</v>
      </c>
      <c r="L700" s="455">
        <f t="shared" ca="1" si="54"/>
        <v>-2663133.7708138051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-2663133.7708138051</v>
      </c>
      <c r="J701" s="455">
        <f t="array" ref="J701">IFERROR(INDEX('Retirement Calculator'!K:K,MATCH('Lorri 401b'!N701,'Retirement Calculator'!A:A,0),0),0)</f>
        <v>20282.026119384056</v>
      </c>
      <c r="K701" s="455">
        <f t="shared" ca="1" si="53"/>
        <v>-11180.899153888287</v>
      </c>
      <c r="L701" s="455">
        <f t="shared" ca="1" si="54"/>
        <v>-2694596.6960870773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-2694596.6960870773</v>
      </c>
      <c r="J702" s="455">
        <f t="array" ref="J702">IFERROR(INDEX('Retirement Calculator'!K:K,MATCH('Lorri 401b'!N702,'Retirement Calculator'!A:A,0),0),0)</f>
        <v>20282.026119384056</v>
      </c>
      <c r="K702" s="455">
        <f t="shared" ca="1" si="53"/>
        <v>-11311.994675860255</v>
      </c>
      <c r="L702" s="455">
        <f t="shared" ca="1" si="54"/>
        <v>-2726190.7168823215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-2726190.7168823215</v>
      </c>
      <c r="J703" s="455">
        <f t="array" ref="J703">IFERROR(INDEX('Retirement Calculator'!K:K,MATCH('Lorri 401b'!N703,'Retirement Calculator'!A:A,0),0),0)</f>
        <v>20282.026119384056</v>
      </c>
      <c r="K703" s="455">
        <f t="shared" ca="1" si="53"/>
        <v>-11443.636429173774</v>
      </c>
      <c r="L703" s="455">
        <f t="shared" ca="1" si="54"/>
        <v>-2757916.3794308794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-2757916.3794308794</v>
      </c>
      <c r="J704" s="455">
        <f t="array" ref="J704">IFERROR(INDEX('Retirement Calculator'!K:K,MATCH('Lorri 401b'!N704,'Retirement Calculator'!A:A,0),0),0)</f>
        <v>20282.026119384056</v>
      </c>
      <c r="K704" s="455">
        <f t="shared" ca="1" si="53"/>
        <v>-11575.826689792764</v>
      </c>
      <c r="L704" s="455">
        <f t="shared" ca="1" si="54"/>
        <v>-2789774.2322400562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-2789774.2322400562</v>
      </c>
      <c r="J705" s="455">
        <f t="array" ref="J705">IFERROR(INDEX('Retirement Calculator'!K:K,MATCH('Lorri 401b'!N705,'Retirement Calculator'!A:A,0),0),0)</f>
        <v>20282.026119384056</v>
      </c>
      <c r="K705" s="455">
        <f t="shared" ca="1" si="53"/>
        <v>-11708.567743164334</v>
      </c>
      <c r="L705" s="455">
        <f t="shared" ca="1" si="54"/>
        <v>-2821764.8261026046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-2821764.8261026046</v>
      </c>
      <c r="J706" s="455">
        <f t="array" ref="J706">IFERROR(INDEX('Retirement Calculator'!K:K,MATCH('Lorri 401b'!N706,'Retirement Calculator'!A:A,0),0),0)</f>
        <v>20282.026119384056</v>
      </c>
      <c r="K706" s="455">
        <f t="shared" ca="1" si="53"/>
        <v>-11841.861884258285</v>
      </c>
      <c r="L706" s="455">
        <f t="shared" ca="1" si="54"/>
        <v>-2853888.7141062468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-2853888.7141062468</v>
      </c>
      <c r="J707" s="455">
        <f t="array" ref="J707">IFERROR(INDEX('Retirement Calculator'!K:K,MATCH('Lorri 401b'!N707,'Retirement Calculator'!A:A,0),0),0)</f>
        <v>20282.026119384056</v>
      </c>
      <c r="K707" s="455">
        <f t="shared" ca="1" si="53"/>
        <v>-11975.711417606795</v>
      </c>
      <c r="L707" s="455">
        <f t="shared" ca="1" si="54"/>
        <v>-2886146.4516432374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-2886146.4516432374</v>
      </c>
      <c r="J708" s="455">
        <f t="array" ref="J708">IFERROR(INDEX('Retirement Calculator'!K:K,MATCH('Lorri 401b'!N708,'Retirement Calculator'!A:A,0),0),0)</f>
        <v>20282.026119384056</v>
      </c>
      <c r="K708" s="455">
        <f t="shared" ca="1" si="53"/>
        <v>-12110.118657344256</v>
      </c>
      <c r="L708" s="455">
        <f t="shared" ca="1" si="54"/>
        <v>-2918538.5964199658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-2918538.5964199658</v>
      </c>
      <c r="J709" s="455">
        <f t="array" ref="J709">IFERROR(INDEX('Retirement Calculator'!K:K,MATCH('Lorri 401b'!N709,'Retirement Calculator'!A:A,0),0),0)</f>
        <v>20282.026119384056</v>
      </c>
      <c r="K709" s="455">
        <f t="shared" ca="1" si="53"/>
        <v>-12245.085927247292</v>
      </c>
      <c r="L709" s="455">
        <f t="shared" ca="1" si="54"/>
        <v>-2951065.7084665969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-2951065.7084665969</v>
      </c>
      <c r="J710" s="455">
        <f t="array" ref="J710">IFERROR(INDEX('Retirement Calculator'!K:K,MATCH('Lorri 401b'!N710,'Retirement Calculator'!A:A,0),0),0)</f>
        <v>20282.026119384056</v>
      </c>
      <c r="K710" s="455">
        <f t="shared" ca="1" si="53"/>
        <v>-12380.615560774921</v>
      </c>
      <c r="L710" s="455">
        <f t="shared" ca="1" si="54"/>
        <v>-2983728.3501467556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-2983728.3501467556</v>
      </c>
      <c r="J711" s="455">
        <f t="array" ref="J711">IFERROR(INDEX('Retirement Calculator'!K:K,MATCH('Lorri 401b'!N711,'Retirement Calculator'!A:A,0),0),0)</f>
        <v>20282.026119384056</v>
      </c>
      <c r="K711" s="455">
        <f t="shared" ca="1" si="53"/>
        <v>-12516.709901108914</v>
      </c>
      <c r="L711" s="455">
        <f t="shared" ca="1" si="54"/>
        <v>-3016527.0861672484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-3016527.0861672484</v>
      </c>
      <c r="J712" s="455">
        <f t="array" ref="J712">IFERROR(INDEX('Retirement Calculator'!K:K,MATCH('Lorri 401b'!N712,'Retirement Calculator'!A:A,0),0),0)</f>
        <v>20282.026119384056</v>
      </c>
      <c r="K712" s="455">
        <f t="shared" ca="1" si="53"/>
        <v>-12653.371301194302</v>
      </c>
      <c r="L712" s="455">
        <f t="shared" ca="1" si="54"/>
        <v>-3049462.4835878266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-3049462.4835878266</v>
      </c>
      <c r="J713" s="455">
        <f t="array" ref="J713">IFERROR(INDEX('Retirement Calculator'!K:K,MATCH('Lorri 401b'!N713,'Retirement Calculator'!A:A,0),0),0)</f>
        <v>20282.026119384056</v>
      </c>
      <c r="K713" s="455">
        <f t="shared" ca="1" si="53"/>
        <v>-12790.602123780043</v>
      </c>
      <c r="L713" s="455">
        <f t="shared" ca="1" si="54"/>
        <v>-3082535.1118309908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-3082535.1118309908</v>
      </c>
      <c r="J714" s="455">
        <f t="array" ref="J714">IFERROR(INDEX('Retirement Calculator'!K:K,MATCH('Lorri 401b'!N714,'Retirement Calculator'!A:A,0),0),0)</f>
        <v>20282.026119384056</v>
      </c>
      <c r="K714" s="455">
        <f t="shared" ca="1" si="53"/>
        <v>-12928.404741459895</v>
      </c>
      <c r="L714" s="455">
        <f t="shared" ca="1" si="54"/>
        <v>-3115745.5426918347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-3115745.5426918347</v>
      </c>
      <c r="J715" s="455">
        <f t="array" ref="J715">IFERROR(INDEX('Retirement Calculator'!K:K,MATCH('Lorri 401b'!N715,'Retirement Calculator'!A:A,0),0),0)</f>
        <v>20282.026119384056</v>
      </c>
      <c r="K715" s="455">
        <f t="shared" ca="1" si="53"/>
        <v>-13066.781536713412</v>
      </c>
      <c r="L715" s="455">
        <f t="shared" ca="1" si="54"/>
        <v>-3149094.350347932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-3149094.350347932</v>
      </c>
      <c r="J716" s="455">
        <f t="array" ref="J716">IFERROR(INDEX('Retirement Calculator'!K:K,MATCH('Lorri 401b'!N716,'Retirement Calculator'!A:A,0),0),0)</f>
        <v>20282.026119384056</v>
      </c>
      <c r="K716" s="455">
        <f t="shared" ca="1" si="53"/>
        <v>-13205.734901947149</v>
      </c>
      <c r="L716" s="455">
        <f t="shared" ca="1" si="54"/>
        <v>-3182582.1113692629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-3182582.1113692629</v>
      </c>
      <c r="J717" s="455">
        <f t="array" ref="J717">IFERROR(INDEX('Retirement Calculator'!K:K,MATCH('Lorri 401b'!N717,'Retirement Calculator'!A:A,0),0),0)</f>
        <v>20282.026119384056</v>
      </c>
      <c r="K717" s="455">
        <f t="shared" ca="1" si="53"/>
        <v>-13345.267239536028</v>
      </c>
      <c r="L717" s="455">
        <f t="shared" ca="1" si="54"/>
        <v>-3216209.4047281831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-3216209.4047281831</v>
      </c>
      <c r="J718" s="455">
        <f t="array" ref="J718">IFERROR(INDEX('Retirement Calculator'!K:K,MATCH('Lorri 401b'!N718,'Retirement Calculator'!A:A,0),0),0)</f>
        <v>20282.026119384056</v>
      </c>
      <c r="K718" s="455">
        <f t="shared" ca="1" si="53"/>
        <v>-13485.380961864863</v>
      </c>
      <c r="L718" s="455">
        <f t="shared" ca="1" si="54"/>
        <v>-3249976.8118094318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-3249976.8118094318</v>
      </c>
      <c r="J719" s="455">
        <f t="array" ref="J719">IFERROR(INDEX('Retirement Calculator'!K:K,MATCH('Lorri 401b'!N719,'Retirement Calculator'!A:A,0),0),0)</f>
        <v>20282.026119384056</v>
      </c>
      <c r="K719" s="455">
        <f t="shared" ca="1" si="53"/>
        <v>-13626.078491370068</v>
      </c>
      <c r="L719" s="455">
        <f t="shared" ca="1" si="54"/>
        <v>-3283884.9164201859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-3283884.9164201859</v>
      </c>
      <c r="J720" s="455">
        <f t="array" ref="J720">IFERROR(INDEX('Retirement Calculator'!K:K,MATCH('Lorri 401b'!N720,'Retirement Calculator'!A:A,0),0),0)</f>
        <v>20282.026119384056</v>
      </c>
      <c r="K720" s="455">
        <f t="shared" ca="1" si="53"/>
        <v>-13767.362260581544</v>
      </c>
      <c r="L720" s="455">
        <f t="shared" ca="1" si="54"/>
        <v>-3317934.3048001514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-3317934.3048001514</v>
      </c>
      <c r="J721" s="455">
        <f t="array" ref="J721">IFERROR(INDEX('Retirement Calculator'!K:K,MATCH('Lorri 401b'!N721,'Retirement Calculator'!A:A,0),0),0)</f>
        <v>20282.026119384056</v>
      </c>
      <c r="K721" s="455">
        <f t="shared" ca="1" si="53"/>
        <v>-13909.234712164731</v>
      </c>
      <c r="L721" s="455">
        <f t="shared" ca="1" si="54"/>
        <v>-3352125.5656317002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-3352125.5656317002</v>
      </c>
      <c r="J722" s="455">
        <f t="array" ref="J722">IFERROR(INDEX('Retirement Calculator'!K:K,MATCH('Lorri 401b'!N722,'Retirement Calculator'!A:A,0),0),0)</f>
        <v>20282.026119384056</v>
      </c>
      <c r="K722" s="455">
        <f t="shared" ca="1" si="53"/>
        <v>-14051.69829896285</v>
      </c>
      <c r="L722" s="455">
        <f t="shared" ca="1" si="54"/>
        <v>-3386459.290050047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-3386459.290050047</v>
      </c>
      <c r="J723" s="455">
        <f t="array" ref="J723">IFERROR(INDEX('Retirement Calculator'!K:K,MATCH('Lorri 401b'!N723,'Retirement Calculator'!A:A,0),0),0)</f>
        <v>20282.026119384056</v>
      </c>
      <c r="K723" s="455">
        <f t="shared" ca="1" si="53"/>
        <v>-14194.755484039295</v>
      </c>
      <c r="L723" s="455">
        <f t="shared" ca="1" si="54"/>
        <v>-3420936.0716534704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-3420936.0716534704</v>
      </c>
      <c r="J724" s="455">
        <f t="array" ref="J724">IFERROR(INDEX('Retirement Calculator'!K:K,MATCH('Lorri 401b'!N724,'Retirement Calculator'!A:A,0),0),0)</f>
        <v>20282.026119384056</v>
      </c>
      <c r="K724" s="455">
        <f t="shared" ca="1" si="53"/>
        <v>-14338.408740720226</v>
      </c>
      <c r="L724" s="455">
        <f t="shared" ca="1" si="54"/>
        <v>-3455556.5065135746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-3455556.5065135746</v>
      </c>
      <c r="J725" s="455">
        <f t="array" ref="J725">IFERROR(INDEX('Retirement Calculator'!K:K,MATCH('Lorri 401b'!N725,'Retirement Calculator'!A:A,0),0),0)</f>
        <v>20282.026119384056</v>
      </c>
      <c r="K725" s="455">
        <f t="shared" ca="1" si="53"/>
        <v>-14482.660552637328</v>
      </c>
      <c r="L725" s="455">
        <f t="shared" ca="1" si="54"/>
        <v>-3490321.1931855958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-3490321.1931855958</v>
      </c>
      <c r="J726" s="455">
        <f t="array" ref="J726">IFERROR(INDEX('Retirement Calculator'!K:K,MATCH('Lorri 401b'!N726,'Retirement Calculator'!A:A,0),0),0)</f>
        <v>20282.026119384056</v>
      </c>
      <c r="K726" s="455">
        <f t="shared" ca="1" si="53"/>
        <v>-14627.513413770748</v>
      </c>
      <c r="L726" s="455">
        <f t="shared" ca="1" si="54"/>
        <v>-3525230.7327187504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-3525230.7327187504</v>
      </c>
      <c r="J727" s="455">
        <f t="array" ref="J727">IFERROR(INDEX('Retirement Calculator'!K:K,MATCH('Lorri 401b'!N727,'Retirement Calculator'!A:A,0),0),0)</f>
        <v>20282.026119384056</v>
      </c>
      <c r="K727" s="455">
        <f t="shared" ca="1" si="53"/>
        <v>-14772.969828492227</v>
      </c>
      <c r="L727" s="455">
        <f t="shared" ca="1" si="54"/>
        <v>-3560285.7286666264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-3560285.7286666264</v>
      </c>
      <c r="J728" s="455">
        <f t="array" ref="J728">IFERROR(INDEX('Retirement Calculator'!K:K,MATCH('Lorri 401b'!N728,'Retirement Calculator'!A:A,0),0),0)</f>
        <v>20282.026119384056</v>
      </c>
      <c r="K728" s="455">
        <f t="shared" ca="1" si="53"/>
        <v>-14919.032311608375</v>
      </c>
      <c r="L728" s="455">
        <f t="shared" ca="1" si="54"/>
        <v>-3595486.7870976189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-3595486.7870976189</v>
      </c>
      <c r="J729" s="455">
        <f t="array" ref="J729">IFERROR(INDEX('Retirement Calculator'!K:K,MATCH('Lorri 401b'!N729,'Retirement Calculator'!A:A,0),0),0)</f>
        <v>20282.026119384056</v>
      </c>
      <c r="K729" s="455">
        <f t="shared" ca="1" si="53"/>
        <v>-15065.703388404176</v>
      </c>
      <c r="L729" s="455">
        <f t="shared" ca="1" si="54"/>
        <v>-3630834.516605407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-3630834.516605407</v>
      </c>
      <c r="J730" s="455">
        <f t="array" ref="J730">IFERROR(INDEX('Retirement Calculator'!K:K,MATCH('Lorri 401b'!N730,'Retirement Calculator'!A:A,0),0),0)</f>
        <v>20282.026119384056</v>
      </c>
      <c r="K730" s="455">
        <f t="shared" ca="1" si="53"/>
        <v>-15212.985594686628</v>
      </c>
      <c r="L730" s="455">
        <f t="shared" ca="1" si="54"/>
        <v>-3666329.5283194776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-3666329.5283194776</v>
      </c>
      <c r="J731" s="455">
        <f t="array" ref="J731">IFERROR(INDEX('Retirement Calculator'!K:K,MATCH('Lorri 401b'!N731,'Retirement Calculator'!A:A,0),0),0)</f>
        <v>20282.026119384056</v>
      </c>
      <c r="K731" s="455">
        <f t="shared" ca="1" si="53"/>
        <v>-15360.881476828592</v>
      </c>
      <c r="L731" s="455">
        <f t="shared" ca="1" si="54"/>
        <v>-3701972.4359156899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-3701972.4359156899</v>
      </c>
      <c r="J732" s="455">
        <f t="array" ref="J732">IFERROR(INDEX('Retirement Calculator'!K:K,MATCH('Lorri 401b'!N732,'Retirement Calculator'!A:A,0),0),0)</f>
        <v>20282.026119384056</v>
      </c>
      <c r="K732" s="455">
        <f t="shared" ca="1" si="53"/>
        <v>-15509.393591812808</v>
      </c>
      <c r="L732" s="455">
        <f t="shared" ca="1" si="54"/>
        <v>-3737763.8556268867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-3737763.8556268867</v>
      </c>
      <c r="J733" s="455">
        <f t="array" ref="J733">IFERROR(INDEX('Retirement Calculator'!K:K,MATCH('Lorri 401b'!N733,'Retirement Calculator'!A:A,0),0),0)</f>
        <v>20282.026119384056</v>
      </c>
      <c r="K733" s="455">
        <f t="shared" ca="1" si="53"/>
        <v>-15658.524507276126</v>
      </c>
      <c r="L733" s="455">
        <f t="shared" ca="1" si="54"/>
        <v>-3773704.4062535469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-3773704.4062535469</v>
      </c>
      <c r="J734" s="455">
        <f t="array" ref="J734">IFERROR(INDEX('Retirement Calculator'!K:K,MATCH('Lorri 401b'!N734,'Retirement Calculator'!A:A,0),0),0)</f>
        <v>20282.026119384056</v>
      </c>
      <c r="K734" s="455">
        <f t="shared" ca="1" si="53"/>
        <v>-15808.27680155388</v>
      </c>
      <c r="L734" s="455">
        <f t="shared" ca="1" si="54"/>
        <v>-3809794.7091744849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-3809794.7091744849</v>
      </c>
      <c r="J735" s="455">
        <f t="array" ref="J735">IFERROR(INDEX('Retirement Calculator'!K:K,MATCH('Lorri 401b'!N735,'Retirement Calculator'!A:A,0),0),0)</f>
        <v>20282.026119384056</v>
      </c>
      <c r="K735" s="455">
        <f t="shared" ca="1" si="53"/>
        <v>-15958.653063724454</v>
      </c>
      <c r="L735" s="455">
        <f t="shared" ca="1" si="54"/>
        <v>-3846035.3883575932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-3846035.3883575932</v>
      </c>
      <c r="J736" s="455">
        <f t="array" ref="J736">IFERROR(INDEX('Retirement Calculator'!K:K,MATCH('Lorri 401b'!N736,'Retirement Calculator'!A:A,0),0),0)</f>
        <v>20282.026119384056</v>
      </c>
      <c r="K736" s="455">
        <f t="shared" ca="1" si="53"/>
        <v>-16109.655893654073</v>
      </c>
      <c r="L736" s="455">
        <f t="shared" ca="1" si="54"/>
        <v>-3882427.0703706313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-3882427.0703706313</v>
      </c>
      <c r="J737" s="455">
        <f t="array" ref="J737">IFERROR(INDEX('Retirement Calculator'!K:K,MATCH('Lorri 401b'!N737,'Retirement Calculator'!A:A,0),0),0)</f>
        <v>20282.026119384056</v>
      </c>
      <c r="K737" s="455">
        <f t="shared" ca="1" si="53"/>
        <v>-16261.287902041729</v>
      </c>
      <c r="L737" s="455">
        <f t="shared" ca="1" si="54"/>
        <v>-3918970.3843920571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-3918970.3843920571</v>
      </c>
      <c r="J738" s="455">
        <f t="array" ref="J738">IFERROR(INDEX('Retirement Calculator'!K:K,MATCH('Lorri 401b'!N738,'Retirement Calculator'!A:A,0),0),0)</f>
        <v>20282.026119384056</v>
      </c>
      <c r="K738" s="455">
        <f t="shared" ca="1" si="53"/>
        <v>-16413.551710464337</v>
      </c>
      <c r="L738" s="455">
        <f t="shared" ca="1" si="54"/>
        <v>-3955665.9622219056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-3955665.9622219056</v>
      </c>
      <c r="J739" s="455">
        <f t="array" ref="J739">IFERROR(INDEX('Retirement Calculator'!K:K,MATCH('Lorri 401b'!N739,'Retirement Calculator'!A:A,0),0),0)</f>
        <v>20282.026119384056</v>
      </c>
      <c r="K739" s="455">
        <f t="shared" ca="1" si="53"/>
        <v>-16566.449951422041</v>
      </c>
      <c r="L739" s="455">
        <f t="shared" ca="1" si="54"/>
        <v>-3992514.4382927115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-3992514.4382927115</v>
      </c>
      <c r="J740" s="455">
        <f t="array" ref="J740">IFERROR(INDEX('Retirement Calculator'!K:K,MATCH('Lorri 401b'!N740,'Retirement Calculator'!A:A,0),0),0)</f>
        <v>20282.026119384056</v>
      </c>
      <c r="K740" s="455">
        <f t="shared" ca="1" si="53"/>
        <v>-16719.985268383731</v>
      </c>
      <c r="L740" s="455">
        <f t="shared" ca="1" si="54"/>
        <v>-4029516.4496804792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-4029516.4496804792</v>
      </c>
      <c r="J741" s="455">
        <f t="array" ref="J741">IFERROR(INDEX('Retirement Calculator'!K:K,MATCH('Lorri 401b'!N741,'Retirement Calculator'!A:A,0),0),0)</f>
        <v>20282.026119384056</v>
      </c>
      <c r="K741" s="455">
        <f t="shared" ca="1" si="53"/>
        <v>-16874.160315832763</v>
      </c>
      <c r="L741" s="455">
        <f t="shared" ca="1" si="54"/>
        <v>-4066672.6361156958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-4066672.6361156958</v>
      </c>
      <c r="J742" s="455">
        <f t="array" ref="J742">IFERROR(INDEX('Retirement Calculator'!K:K,MATCH('Lorri 401b'!N742,'Retirement Calculator'!A:A,0),0),0)</f>
        <v>20282.026119384056</v>
      </c>
      <c r="K742" s="455">
        <f t="shared" ca="1" si="53"/>
        <v>-17028.977759312831</v>
      </c>
      <c r="L742" s="455">
        <f t="shared" ca="1" si="54"/>
        <v>-4103983.6399943926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-4103983.6399943926</v>
      </c>
      <c r="J743" s="455">
        <f t="array" ref="J743">IFERROR(INDEX('Retirement Calculator'!K:K,MATCH('Lorri 401b'!N743,'Retirement Calculator'!A:A,0),0),0)</f>
        <v>20282.026119384056</v>
      </c>
      <c r="K743" s="455">
        <f t="shared" ca="1" si="53"/>
        <v>-17184.440275474066</v>
      </c>
      <c r="L743" s="455">
        <f t="shared" ca="1" si="54"/>
        <v>-4141450.1063892506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-4141450.1063892506</v>
      </c>
      <c r="J744" s="455">
        <f t="array" ref="J744">IFERROR(INDEX('Retirement Calculator'!K:K,MATCH('Lorri 401b'!N744,'Retirement Calculator'!A:A,0),0),0)</f>
        <v>20282.026119384056</v>
      </c>
      <c r="K744" s="455">
        <f t="shared" ca="1" si="53"/>
        <v>-17340.550552119312</v>
      </c>
      <c r="L744" s="455">
        <f t="shared" ca="1" si="54"/>
        <v>-4179072.6830607541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-4179072.6830607541</v>
      </c>
      <c r="J745" s="455">
        <f t="array" ref="J745">IFERROR(INDEX('Retirement Calculator'!K:K,MATCH('Lorri 401b'!N745,'Retirement Calculator'!A:A,0),0),0)</f>
        <v>20282.026119384056</v>
      </c>
      <c r="K745" s="455">
        <f t="shared" ca="1" si="53"/>
        <v>-17497.311288250574</v>
      </c>
      <c r="L745" s="455">
        <f t="shared" ca="1" si="54"/>
        <v>-4216852.0204683887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-4216852.0204683887</v>
      </c>
      <c r="J746" s="455">
        <f t="array" ref="J746">IFERROR(INDEX('Retirement Calculator'!K:K,MATCH('Lorri 401b'!N746,'Retirement Calculator'!A:A,0),0),0)</f>
        <v>20282.026119384056</v>
      </c>
      <c r="K746" s="455">
        <f t="shared" ca="1" si="53"/>
        <v>-17654.725194115719</v>
      </c>
      <c r="L746" s="455">
        <f t="shared" ca="1" si="54"/>
        <v>-4254788.7717818888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-4254788.7717818888</v>
      </c>
      <c r="J747" s="455">
        <f t="array" ref="J747">IFERROR(INDEX('Retirement Calculator'!K:K,MATCH('Lorri 401b'!N747,'Retirement Calculator'!A:A,0),0),0)</f>
        <v>20282.026119384056</v>
      </c>
      <c r="K747" s="455">
        <f t="shared" ca="1" si="53"/>
        <v>-17812.794991255301</v>
      </c>
      <c r="L747" s="455">
        <f t="shared" ca="1" si="54"/>
        <v>-4292883.5928925285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-4292883.5928925285</v>
      </c>
      <c r="J748" s="455">
        <f t="array" ref="J748">IFERROR(INDEX('Retirement Calculator'!K:K,MATCH('Lorri 401b'!N748,'Retirement Calculator'!A:A,0),0),0)</f>
        <v>20282.026119384056</v>
      </c>
      <c r="K748" s="455">
        <f t="shared" ca="1" si="53"/>
        <v>-17971.523412549635</v>
      </c>
      <c r="L748" s="455">
        <f t="shared" ca="1" si="54"/>
        <v>-4331137.1424244624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-4331137.1424244624</v>
      </c>
      <c r="J749" s="455">
        <f t="array" ref="J749">IFERROR(INDEX('Retirement Calculator'!K:K,MATCH('Lorri 401b'!N749,'Retirement Calculator'!A:A,0),0),0)</f>
        <v>20282.026119384056</v>
      </c>
      <c r="K749" s="455">
        <f t="shared" ca="1" si="53"/>
        <v>-18130.913202266027</v>
      </c>
      <c r="L749" s="455">
        <f t="shared" ca="1" si="54"/>
        <v>-4369550.0817461126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-4369550.0817461126</v>
      </c>
      <c r="J750" s="455">
        <f t="array" ref="J750">IFERROR(INDEX('Retirement Calculator'!K:K,MATCH('Lorri 401b'!N750,'Retirement Calculator'!A:A,0),0),0)</f>
        <v>20282.026119384056</v>
      </c>
      <c r="K750" s="455">
        <f t="shared" ca="1" si="53"/>
        <v>-18290.967116106236</v>
      </c>
      <c r="L750" s="455">
        <f t="shared" ca="1" si="54"/>
        <v>-4408123.0749816028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-4408123.0749816028</v>
      </c>
      <c r="J751" s="455">
        <f t="array" ref="J751">IFERROR(INDEX('Retirement Calculator'!K:K,MATCH('Lorri 401b'!N751,'Retirement Calculator'!A:A,0),0),0)</f>
        <v>20282.026119384056</v>
      </c>
      <c r="K751" s="455">
        <f t="shared" ca="1" si="53"/>
        <v>-18451.68792125411</v>
      </c>
      <c r="L751" s="455">
        <f t="shared" ca="1" si="54"/>
        <v>-4446856.7890222408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-4446856.7890222408</v>
      </c>
      <c r="J752" s="455">
        <f t="array" ref="J752">IFERROR(INDEX('Retirement Calculator'!K:K,MATCH('Lorri 401b'!N752,'Retirement Calculator'!A:A,0),0),0)</f>
        <v>20282.026119384056</v>
      </c>
      <c r="K752" s="455">
        <f t="shared" ca="1" si="53"/>
        <v>-18613.078396423436</v>
      </c>
      <c r="L752" s="455">
        <f t="shared" ca="1" si="54"/>
        <v>-4485751.8935380485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-4485751.8935380485</v>
      </c>
      <c r="J753" s="455">
        <f t="array" ref="J753">IFERROR(INDEX('Retirement Calculator'!K:K,MATCH('Lorri 401b'!N753,'Retirement Calculator'!A:A,0),0),0)</f>
        <v>20282.026119384056</v>
      </c>
      <c r="K753" s="455">
        <f t="shared" ca="1" si="53"/>
        <v>-18775.141331905968</v>
      </c>
      <c r="L753" s="455">
        <f t="shared" ca="1" si="54"/>
        <v>-4524809.0609893389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-4524809.0609893389</v>
      </c>
      <c r="J754" s="455">
        <f t="array" ref="J754">IFERROR(INDEX('Retirement Calculator'!K:K,MATCH('Lorri 401b'!N754,'Retirement Calculator'!A:A,0),0),0)</f>
        <v>20282.026119384056</v>
      </c>
      <c r="K754" s="455">
        <f t="shared" ca="1" si="53"/>
        <v>-18937.879529619677</v>
      </c>
      <c r="L754" s="455">
        <f t="shared" ca="1" si="54"/>
        <v>-4564028.9666383425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-4564028.9666383425</v>
      </c>
      <c r="J755" s="455">
        <f t="array" ref="J755">IFERROR(INDEX('Retirement Calculator'!K:K,MATCH('Lorri 401b'!N755,'Retirement Calculator'!A:A,0),0),0)</f>
        <v>20282.026119384056</v>
      </c>
      <c r="K755" s="455">
        <f t="shared" ca="1" si="53"/>
        <v>-19101.295803157194</v>
      </c>
      <c r="L755" s="455">
        <f t="shared" ca="1" si="54"/>
        <v>-4603412.2885608841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-4603412.2885608841</v>
      </c>
      <c r="J756" s="455">
        <f t="array" ref="J756">IFERROR(INDEX('Retirement Calculator'!K:K,MATCH('Lorri 401b'!N756,'Retirement Calculator'!A:A,0),0),0)</f>
        <v>20282.026119384056</v>
      </c>
      <c r="K756" s="455">
        <f t="shared" ca="1" si="53"/>
        <v>-19265.39297783445</v>
      </c>
      <c r="L756" s="455">
        <f t="shared" ca="1" si="54"/>
        <v>-4642959.7076581027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-4642959.7076581027</v>
      </c>
      <c r="J757" s="455">
        <f t="array" ref="J757">IFERROR(INDEX('Retirement Calculator'!K:K,MATCH('Lorri 401b'!N757,'Retirement Calculator'!A:A,0),0),0)</f>
        <v>20282.026119384056</v>
      </c>
      <c r="K757" s="455">
        <f t="shared" ca="1" si="53"/>
        <v>-19430.173890739527</v>
      </c>
      <c r="L757" s="455">
        <f t="shared" ca="1" si="54"/>
        <v>-4682671.9076682264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-4682671.9076682264</v>
      </c>
      <c r="J758" s="455">
        <f t="array" ref="J758">IFERROR(INDEX('Retirement Calculator'!K:K,MATCH('Lorri 401b'!N758,'Retirement Calculator'!A:A,0),0),0)</f>
        <v>20282.026119384056</v>
      </c>
      <c r="K758" s="455">
        <f t="shared" ca="1" si="53"/>
        <v>-19595.641390781711</v>
      </c>
      <c r="L758" s="455">
        <f t="shared" ca="1" si="54"/>
        <v>-4722549.5751783922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-4722549.5751783922</v>
      </c>
      <c r="J759" s="455">
        <f t="array" ref="J759">IFERROR(INDEX('Retirement Calculator'!K:K,MATCH('Lorri 401b'!N759,'Retirement Calculator'!A:A,0),0),0)</f>
        <v>20282.026119384056</v>
      </c>
      <c r="K759" s="455">
        <f t="shared" ca="1" si="53"/>
        <v>-19761.798338740733</v>
      </c>
      <c r="L759" s="455">
        <f t="shared" ca="1" si="54"/>
        <v>-4762593.3996365173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-4762593.3996365173</v>
      </c>
      <c r="J760" s="455">
        <f t="array" ref="J760">IFERROR(INDEX('Retirement Calculator'!K:K,MATCH('Lorri 401b'!N760,'Retirement Calculator'!A:A,0),0),0)</f>
        <v>20282.026119384056</v>
      </c>
      <c r="K760" s="455">
        <f t="shared" ca="1" si="53"/>
        <v>-19928.647607316256</v>
      </c>
      <c r="L760" s="455">
        <f t="shared" ca="1" si="54"/>
        <v>-4802804.0733632175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-4802804.0733632175</v>
      </c>
      <c r="J761" s="455">
        <f t="array" ref="J761">IFERROR(INDEX('Retirement Calculator'!K:K,MATCH('Lorri 401b'!N761,'Retirement Calculator'!A:A,0),0),0)</f>
        <v>20282.026119384056</v>
      </c>
      <c r="K761" s="455">
        <f t="shared" ca="1" si="53"/>
        <v>-20096.192081177505</v>
      </c>
      <c r="L761" s="455">
        <f t="shared" ca="1" si="54"/>
        <v>-4843182.2915637791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-4843182.2915637791</v>
      </c>
      <c r="J762" s="455">
        <f t="array" ref="J762">IFERROR(INDEX('Retirement Calculator'!K:K,MATCH('Lorri 401b'!N762,'Retirement Calculator'!A:A,0),0),0)</f>
        <v>20282.026119384056</v>
      </c>
      <c r="K762" s="455">
        <f t="shared" ca="1" si="53"/>
        <v>-20264.434657013178</v>
      </c>
      <c r="L762" s="455">
        <f t="shared" ca="1" si="54"/>
        <v>-4883728.7523401761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-4883728.7523401761</v>
      </c>
      <c r="J763" s="455">
        <f t="array" ref="J763">IFERROR(INDEX('Retirement Calculator'!K:K,MATCH('Lorri 401b'!N763,'Retirement Calculator'!A:A,0),0),0)</f>
        <v>20282.026119384056</v>
      </c>
      <c r="K763" s="455">
        <f t="shared" ca="1" si="53"/>
        <v>-20433.378243581501</v>
      </c>
      <c r="L763" s="455">
        <f t="shared" ca="1" si="54"/>
        <v>-4924444.1567031415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-4924444.1567031415</v>
      </c>
      <c r="J764" s="455">
        <f t="array" ref="J764">IFERROR(INDEX('Retirement Calculator'!K:K,MATCH('Lorri 401b'!N764,'Retirement Calculator'!A:A,0),0),0)</f>
        <v>20282.026119384056</v>
      </c>
      <c r="K764" s="455">
        <f t="shared" ca="1" si="53"/>
        <v>-20603.025761760524</v>
      </c>
      <c r="L764" s="455">
        <f t="shared" ca="1" si="54"/>
        <v>-4965329.2085842863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-4965329.2085842863</v>
      </c>
      <c r="J765" s="455">
        <f t="array" ref="J765">IFERROR(INDEX('Retirement Calculator'!K:K,MATCH('Lorri 401b'!N765,'Retirement Calculator'!A:A,0),0),0)</f>
        <v>20282.026119384056</v>
      </c>
      <c r="K765" s="455">
        <f t="shared" ca="1" si="53"/>
        <v>-20773.380144598625</v>
      </c>
      <c r="L765" s="455">
        <f t="shared" ca="1" si="54"/>
        <v>-5006384.6148482691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-5006384.6148482691</v>
      </c>
      <c r="J766" s="455">
        <f t="array" ref="J766">IFERROR(INDEX('Retirement Calculator'!K:K,MATCH('Lorri 401b'!N766,'Retirement Calculator'!A:A,0),0),0)</f>
        <v>20282.026119384056</v>
      </c>
      <c r="K766" s="455">
        <f t="shared" ca="1" si="53"/>
        <v>-20944.444337365221</v>
      </c>
      <c r="L766" s="455">
        <f t="shared" ca="1" si="54"/>
        <v>-5047611.0853050184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-5047611.0853050184</v>
      </c>
      <c r="J767" s="455">
        <f t="array" ref="J767">IFERROR(INDEX('Retirement Calculator'!K:K,MATCH('Lorri 401b'!N767,'Retirement Calculator'!A:A,0),0),0)</f>
        <v>20282.026119384056</v>
      </c>
      <c r="K767" s="455">
        <f t="shared" ca="1" si="53"/>
        <v>-21116.221297601674</v>
      </c>
      <c r="L767" s="455">
        <f t="shared" ca="1" si="54"/>
        <v>-5089009.3327220036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-5089009.3327220036</v>
      </c>
      <c r="J768" s="455">
        <f t="array" ref="J768">IFERROR(INDEX('Retirement Calculator'!K:K,MATCH('Lorri 401b'!N768,'Retirement Calculator'!A:A,0),0),0)</f>
        <v>20282.026119384056</v>
      </c>
      <c r="K768" s="455">
        <f t="shared" ca="1" si="53"/>
        <v>-21288.713995172449</v>
      </c>
      <c r="L768" s="455">
        <f t="shared" ca="1" si="54"/>
        <v>-5130580.0728365602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-5130580.0728365602</v>
      </c>
      <c r="J769" s="455">
        <f t="array" ref="J769">IFERROR(INDEX('Retirement Calculator'!K:K,MATCH('Lorri 401b'!N769,'Retirement Calculator'!A:A,0),0),0)</f>
        <v>20282.026119384056</v>
      </c>
      <c r="K769" s="455">
        <f t="shared" ca="1" si="53"/>
        <v>-21461.925412316436</v>
      </c>
      <c r="L769" s="455">
        <f t="shared" ca="1" si="54"/>
        <v>-5172324.024368261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-5172324.024368261</v>
      </c>
      <c r="J770" s="455">
        <f t="array" ref="J770">IFERROR(INDEX('Retirement Calculator'!K:K,MATCH('Lorri 401b'!N770,'Retirement Calculator'!A:A,0),0),0)</f>
        <v>20282.026119384056</v>
      </c>
      <c r="K770" s="455">
        <f t="shared" ca="1" si="53"/>
        <v>-21635.858543698519</v>
      </c>
      <c r="L770" s="455">
        <f t="shared" ca="1" si="54"/>
        <v>-5214241.9090313436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-5214241.9090313436</v>
      </c>
      <c r="J771" s="455">
        <f t="array" ref="J771">IFERROR(INDEX('Retirement Calculator'!K:K,MATCH('Lorri 401b'!N771,'Retirement Calculator'!A:A,0),0),0)</f>
        <v>20282.026119384056</v>
      </c>
      <c r="K771" s="455">
        <f t="shared" ca="1" si="53"/>
        <v>-21810.516396461364</v>
      </c>
      <c r="L771" s="455">
        <f t="shared" ca="1" si="54"/>
        <v>-5256334.4515471887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-5256334.4515471887</v>
      </c>
      <c r="J772" s="455">
        <f t="array" ref="J772">IFERROR(INDEX('Retirement Calculator'!K:K,MATCH('Lorri 401b'!N772,'Retirement Calculator'!A:A,0),0),0)</f>
        <v>20282.026119384056</v>
      </c>
      <c r="K772" s="455">
        <f t="shared" ca="1" si="53"/>
        <v>-21985.901990277387</v>
      </c>
      <c r="L772" s="455">
        <f t="shared" ca="1" si="54"/>
        <v>-5298602.3796568504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-5298602.3796568504</v>
      </c>
      <c r="J773" s="455">
        <f t="array" ref="J773">IFERROR(INDEX('Retirement Calculator'!K:K,MATCH('Lorri 401b'!N773,'Retirement Calculator'!A:A,0),0),0)</f>
        <v>20282.026119384056</v>
      </c>
      <c r="K773" s="455">
        <f t="shared" ref="K773:K1027" ca="1" si="79">IPMT(M773/12,1,12,-I773+J773,,0)</f>
        <v>-22162.018357400975</v>
      </c>
      <c r="L773" s="455">
        <f t="shared" ref="L773:L1027" ca="1" si="80">I773-J773+K773</f>
        <v>-5341046.4241336351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-5341046.4241336351</v>
      </c>
      <c r="J774" s="455">
        <f t="array" ref="J774">IFERROR(INDEX('Retirement Calculator'!K:K,MATCH('Lorri 401b'!N774,'Retirement Calculator'!A:A,0),0),0)</f>
        <v>20282.026119384056</v>
      </c>
      <c r="K774" s="455">
        <f t="shared" ca="1" si="79"/>
        <v>-22338.868542720913</v>
      </c>
      <c r="L774" s="455">
        <f t="shared" ca="1" si="80"/>
        <v>-5383667.3187957397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-5383667.3187957397</v>
      </c>
      <c r="J775" s="455">
        <f t="array" ref="J775">IFERROR(INDEX('Retirement Calculator'!K:K,MATCH('Lorri 401b'!N775,'Retirement Calculator'!A:A,0),0),0)</f>
        <v>20282.026119384056</v>
      </c>
      <c r="K775" s="455">
        <f t="shared" ca="1" si="79"/>
        <v>-22516.455603813014</v>
      </c>
      <c r="L775" s="455">
        <f t="shared" ca="1" si="80"/>
        <v>-5426465.8005189365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-5426465.8005189365</v>
      </c>
      <c r="J776" s="455">
        <f t="array" ref="J776">IFERROR(INDEX('Retirement Calculator'!K:K,MATCH('Lorri 401b'!N776,'Retirement Calculator'!A:A,0),0),0)</f>
        <v>20282.026119384056</v>
      </c>
      <c r="K776" s="455">
        <f t="shared" ca="1" si="79"/>
        <v>-22694.782610993003</v>
      </c>
      <c r="L776" s="455">
        <f t="shared" ca="1" si="80"/>
        <v>-5469442.6092493134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-5469442.6092493134</v>
      </c>
      <c r="J777" s="455">
        <f t="array" ref="J777">IFERROR(INDEX('Retirement Calculator'!K:K,MATCH('Lorri 401b'!N777,'Retirement Calculator'!A:A,0),0),0)</f>
        <v>20282.026119384056</v>
      </c>
      <c r="K777" s="455">
        <f t="shared" ca="1" si="79"/>
        <v>-22873.852647369571</v>
      </c>
      <c r="L777" s="455">
        <f t="shared" ca="1" si="80"/>
        <v>-5512598.4880160671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-5512598.4880160671</v>
      </c>
      <c r="J778" s="455">
        <f t="array" ref="J778">IFERROR(INDEX('Retirement Calculator'!K:K,MATCH('Lorri 401b'!N778,'Retirement Calculator'!A:A,0),0),0)</f>
        <v>20282.026119384056</v>
      </c>
      <c r="K778" s="455">
        <f t="shared" ca="1" si="79"/>
        <v>-23053.668808897713</v>
      </c>
      <c r="L778" s="455">
        <f t="shared" ca="1" si="80"/>
        <v>-5555934.182944349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-5555934.182944349</v>
      </c>
      <c r="J779" s="455">
        <f t="array" ref="J779">IFERROR(INDEX('Retirement Calculator'!K:K,MATCH('Lorri 401b'!N779,'Retirement Calculator'!A:A,0),0),0)</f>
        <v>20282.026119384056</v>
      </c>
      <c r="K779" s="455">
        <f t="shared" ca="1" si="79"/>
        <v>-23234.234204432221</v>
      </c>
      <c r="L779" s="455">
        <f t="shared" ca="1" si="80"/>
        <v>-5599450.443268165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-5599450.443268165</v>
      </c>
      <c r="J780" s="455">
        <f t="array" ref="J780">IFERROR(INDEX('Retirement Calculator'!K:K,MATCH('Lorri 401b'!N780,'Retirement Calculator'!A:A,0),0),0)</f>
        <v>20282.026119384056</v>
      </c>
      <c r="K780" s="455">
        <f t="shared" ca="1" si="79"/>
        <v>-23415.551955781455</v>
      </c>
      <c r="L780" s="455">
        <f t="shared" ca="1" si="80"/>
        <v>-5643148.0213433309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-5643148.0213433309</v>
      </c>
      <c r="J781" s="455">
        <f t="array" ref="J781">IFERROR(INDEX('Retirement Calculator'!K:K,MATCH('Lorri 401b'!N781,'Retirement Calculator'!A:A,0),0),0)</f>
        <v>20282.026119384056</v>
      </c>
      <c r="K781" s="455">
        <f t="shared" ca="1" si="79"/>
        <v>-23597.62519776131</v>
      </c>
      <c r="L781" s="455">
        <f t="shared" ca="1" si="80"/>
        <v>-5687027.6726604765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-5687027.6726604765</v>
      </c>
      <c r="J782" s="455">
        <f t="array" ref="J782">IFERROR(INDEX('Retirement Calculator'!K:K,MATCH('Lorri 401b'!N782,'Retirement Calculator'!A:A,0),0),0)</f>
        <v>20282.026119384056</v>
      </c>
      <c r="K782" s="455">
        <f t="shared" ca="1" si="79"/>
        <v>-23780.457078249419</v>
      </c>
      <c r="L782" s="455">
        <f t="shared" ca="1" si="80"/>
        <v>-5731090.1558581097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-5731090.1558581097</v>
      </c>
      <c r="J783" s="455">
        <f t="array" ref="J783">IFERROR(INDEX('Retirement Calculator'!K:K,MATCH('Lorri 401b'!N783,'Retirement Calculator'!A:A,0),0),0)</f>
        <v>20282.026119384056</v>
      </c>
      <c r="K783" s="455">
        <f t="shared" ca="1" si="79"/>
        <v>-23964.050758239558</v>
      </c>
      <c r="L783" s="455">
        <f t="shared" ca="1" si="80"/>
        <v>-5775336.2327357335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-5775336.2327357335</v>
      </c>
      <c r="J784" s="455">
        <f t="array" ref="J784">IFERROR(INDEX('Retirement Calculator'!K:K,MATCH('Lorri 401b'!N784,'Retirement Calculator'!A:A,0),0),0)</f>
        <v>20282.026119384056</v>
      </c>
      <c r="K784" s="455">
        <f t="shared" ca="1" si="79"/>
        <v>-24148.409411896322</v>
      </c>
      <c r="L784" s="455">
        <f t="shared" ca="1" si="80"/>
        <v>-5819766.6682670135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-5819766.6682670135</v>
      </c>
      <c r="J785" s="455">
        <f t="array" ref="J785">IFERROR(INDEX('Retirement Calculator'!K:K,MATCH('Lorri 401b'!N785,'Retirement Calculator'!A:A,0),0),0)</f>
        <v>20282.026119384056</v>
      </c>
      <c r="K785" s="455">
        <f t="shared" ca="1" si="79"/>
        <v>-24333.536226609991</v>
      </c>
      <c r="L785" s="455">
        <f t="shared" ca="1" si="80"/>
        <v>-5864382.2306130072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-5864382.2306130072</v>
      </c>
      <c r="J786" s="455">
        <f t="array" ref="J786">IFERROR(INDEX('Retirement Calculator'!K:K,MATCH('Lorri 401b'!N786,'Retirement Calculator'!A:A,0),0),0)</f>
        <v>20282.026119384056</v>
      </c>
      <c r="K786" s="455">
        <f t="shared" ca="1" si="79"/>
        <v>-24519.434403051629</v>
      </c>
      <c r="L786" s="455">
        <f t="shared" ca="1" si="80"/>
        <v>-5909183.6911354428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-5909183.6911354428</v>
      </c>
      <c r="J787" s="455">
        <f t="array" ref="J787">IFERROR(INDEX('Retirement Calculator'!K:K,MATCH('Lorri 401b'!N787,'Retirement Calculator'!A:A,0),0),0)</f>
        <v>20282.026119384056</v>
      </c>
      <c r="K787" s="455">
        <f t="shared" ca="1" si="79"/>
        <v>-24706.107155228445</v>
      </c>
      <c r="L787" s="455">
        <f t="shared" ca="1" si="80"/>
        <v>-5954171.8244100548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-5954171.8244100548</v>
      </c>
      <c r="J788" s="455">
        <f t="array" ref="J788">IFERROR(INDEX('Retirement Calculator'!K:K,MATCH('Lorri 401b'!N788,'Retirement Calculator'!A:A,0),0),0)</f>
        <v>20282.026119384056</v>
      </c>
      <c r="K788" s="455">
        <f t="shared" ca="1" si="79"/>
        <v>-24893.557710539328</v>
      </c>
      <c r="L788" s="455">
        <f t="shared" ca="1" si="80"/>
        <v>-5999347.4082399784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-5999347.4082399784</v>
      </c>
      <c r="J789" s="455">
        <f t="array" ref="J789">IFERROR(INDEX('Retirement Calculator'!K:K,MATCH('Lorri 401b'!N789,'Retirement Calculator'!A:A,0),0),0)</f>
        <v>20282.026119384056</v>
      </c>
      <c r="K789" s="455">
        <f t="shared" ca="1" si="79"/>
        <v>-25081.789309830678</v>
      </c>
      <c r="L789" s="455">
        <f t="shared" ca="1" si="80"/>
        <v>-6044711.2236691928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-6044711.2236691928</v>
      </c>
      <c r="J790" s="455">
        <f t="array" ref="J790">IFERROR(INDEX('Retirement Calculator'!K:K,MATCH('Lorri 401b'!N790,'Retirement Calculator'!A:A,0),0),0)</f>
        <v>20282.026119384056</v>
      </c>
      <c r="K790" s="455">
        <f t="shared" ca="1" si="79"/>
        <v>-25270.805207452402</v>
      </c>
      <c r="L790" s="455">
        <f t="shared" ca="1" si="80"/>
        <v>-6090264.0549960295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-6090264.0549960295</v>
      </c>
      <c r="J791" s="455">
        <f t="array" ref="J791">IFERROR(INDEX('Retirement Calculator'!K:K,MATCH('Lorri 401b'!N791,'Retirement Calculator'!A:A,0),0),0)</f>
        <v>20282.026119384056</v>
      </c>
      <c r="K791" s="455">
        <f t="shared" ca="1" si="79"/>
        <v>-25460.608671314221</v>
      </c>
      <c r="L791" s="455">
        <f t="shared" ca="1" si="80"/>
        <v>-6136006.6897867275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-6136006.6897867275</v>
      </c>
      <c r="J792" s="455">
        <f t="array" ref="J792">IFERROR(INDEX('Retirement Calculator'!K:K,MATCH('Lorri 401b'!N792,'Retirement Calculator'!A:A,0),0),0)</f>
        <v>20282.026119384056</v>
      </c>
      <c r="K792" s="455">
        <f t="shared" ca="1" si="79"/>
        <v>-25651.20298294213</v>
      </c>
      <c r="L792" s="455">
        <f t="shared" ca="1" si="80"/>
        <v>-6181939.9188890541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-6181939.9188890541</v>
      </c>
      <c r="J793" s="455">
        <f t="array" ref="J793">IFERROR(INDEX('Retirement Calculator'!K:K,MATCH('Lorri 401b'!N793,'Retirement Calculator'!A:A,0),0),0)</f>
        <v>20282.026119384056</v>
      </c>
      <c r="K793" s="455">
        <f t="shared" ca="1" si="79"/>
        <v>-25842.591437535157</v>
      </c>
      <c r="L793" s="455">
        <f t="shared" ca="1" si="80"/>
        <v>-6228064.5364459734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-6228064.5364459734</v>
      </c>
      <c r="J794" s="455">
        <f t="array" ref="J794">IFERROR(INDEX('Retirement Calculator'!K:K,MATCH('Lorri 401b'!N794,'Retirement Calculator'!A:A,0),0),0)</f>
        <v>20282.026119384056</v>
      </c>
      <c r="K794" s="455">
        <f t="shared" ca="1" si="79"/>
        <v>-26034.777344022321</v>
      </c>
      <c r="L794" s="455">
        <f t="shared" ca="1" si="80"/>
        <v>-6274381.3399093794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-6274381.3399093794</v>
      </c>
      <c r="J795" s="455">
        <f t="array" ref="J795">IFERROR(INDEX('Retirement Calculator'!K:K,MATCH('Lorri 401b'!N795,'Retirement Calculator'!A:A,0),0),0)</f>
        <v>20282.026119384056</v>
      </c>
      <c r="K795" s="455">
        <f t="shared" ca="1" si="79"/>
        <v>-26227.764025119846</v>
      </c>
      <c r="L795" s="455">
        <f t="shared" ca="1" si="80"/>
        <v>-6320891.1300538834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-6320891.1300538834</v>
      </c>
      <c r="J796" s="455">
        <f t="array" ref="J796">IFERROR(INDEX('Retirement Calculator'!K:K,MATCH('Lorri 401b'!N796,'Retirement Calculator'!A:A,0),0),0)</f>
        <v>20282.026119384056</v>
      </c>
      <c r="K796" s="455">
        <f t="shared" ca="1" si="79"/>
        <v>-26421.554817388613</v>
      </c>
      <c r="L796" s="455">
        <f t="shared" ca="1" si="80"/>
        <v>-6367594.7109906562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-6367594.7109906562</v>
      </c>
      <c r="J797" s="455">
        <f t="array" ref="J797">IFERROR(INDEX('Retirement Calculator'!K:K,MATCH('Lorri 401b'!N797,'Retirement Calculator'!A:A,0),0),0)</f>
        <v>20282.026119384056</v>
      </c>
      <c r="K797" s="455">
        <f t="shared" ca="1" si="79"/>
        <v>-26616.153071291832</v>
      </c>
      <c r="L797" s="455">
        <f t="shared" ca="1" si="80"/>
        <v>-6414492.8901813319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-6414492.8901813319</v>
      </c>
      <c r="J798" s="455">
        <f t="array" ref="J798">IFERROR(INDEX('Retirement Calculator'!K:K,MATCH('Lorri 401b'!N798,'Retirement Calculator'!A:A,0),0),0)</f>
        <v>20282.026119384056</v>
      </c>
      <c r="K798" s="455">
        <f t="shared" ca="1" si="79"/>
        <v>-26811.562151252983</v>
      </c>
      <c r="L798" s="455">
        <f t="shared" ca="1" si="80"/>
        <v>-6461586.4784519691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-6461586.4784519691</v>
      </c>
      <c r="J799" s="455">
        <f t="array" ref="J799">IFERROR(INDEX('Retirement Calculator'!K:K,MATCH('Lorri 401b'!N799,'Retirement Calculator'!A:A,0),0),0)</f>
        <v>20282.026119384056</v>
      </c>
      <c r="K799" s="455">
        <f t="shared" ca="1" si="79"/>
        <v>-27007.785435713969</v>
      </c>
      <c r="L799" s="455">
        <f t="shared" ca="1" si="80"/>
        <v>-6508876.2900070669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-6508876.2900070669</v>
      </c>
      <c r="J800" s="455">
        <f t="array" ref="J800">IFERROR(INDEX('Retirement Calculator'!K:K,MATCH('Lorri 401b'!N800,'Retirement Calculator'!A:A,0),0),0)</f>
        <v>20282.026119384056</v>
      </c>
      <c r="K800" s="455">
        <f t="shared" ca="1" si="79"/>
        <v>-27204.826317193543</v>
      </c>
      <c r="L800" s="455">
        <f t="shared" ca="1" si="80"/>
        <v>-6556363.1424436448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-6556363.1424436448</v>
      </c>
      <c r="J801" s="455">
        <f t="array" ref="J801">IFERROR(INDEX('Retirement Calculator'!K:K,MATCH('Lorri 401b'!N801,'Retirement Calculator'!A:A,0),0),0)</f>
        <v>20282.026119384056</v>
      </c>
      <c r="K801" s="455">
        <f t="shared" ca="1" si="79"/>
        <v>-27402.688202345951</v>
      </c>
      <c r="L801" s="455">
        <f t="shared" ca="1" si="80"/>
        <v>-6604047.8567653745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-6604047.8567653745</v>
      </c>
      <c r="J802" s="455">
        <f t="array" ref="J802">IFERROR(INDEX('Retirement Calculator'!K:K,MATCH('Lorri 401b'!N802,'Retirement Calculator'!A:A,0),0),0)</f>
        <v>20282.026119384056</v>
      </c>
      <c r="K802" s="455">
        <f t="shared" ca="1" si="79"/>
        <v>-27601.374512019825</v>
      </c>
      <c r="L802" s="455">
        <f t="shared" ca="1" si="80"/>
        <v>-6651931.2573967781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-6651931.2573967781</v>
      </c>
      <c r="J803" s="455">
        <f t="array" ref="J803">IFERROR(INDEX('Retirement Calculator'!K:K,MATCH('Lorri 401b'!N803,'Retirement Calculator'!A:A,0),0),0)</f>
        <v>20282.026119384056</v>
      </c>
      <c r="K803" s="455">
        <f t="shared" ca="1" si="79"/>
        <v>-27800.888681317341</v>
      </c>
      <c r="L803" s="455">
        <f t="shared" ca="1" si="80"/>
        <v>-6700014.1721974798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-6700014.1721974798</v>
      </c>
      <c r="J804" s="455">
        <f t="array" ref="J804">IFERROR(INDEX('Retirement Calculator'!K:K,MATCH('Lorri 401b'!N804,'Retirement Calculator'!A:A,0),0),0)</f>
        <v>20282.026119384056</v>
      </c>
      <c r="K804" s="455">
        <f t="shared" ca="1" si="79"/>
        <v>-28001.234159653599</v>
      </c>
      <c r="L804" s="455">
        <f t="shared" ca="1" si="80"/>
        <v>-6748297.4324765177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-6748297.4324765177</v>
      </c>
      <c r="J805" s="455">
        <f t="array" ref="J805">IFERROR(INDEX('Retirement Calculator'!K:K,MATCH('Lorri 401b'!N805,'Retirement Calculator'!A:A,0),0),0)</f>
        <v>20282.026119384056</v>
      </c>
      <c r="K805" s="455">
        <f t="shared" ca="1" si="79"/>
        <v>-28202.414410816258</v>
      </c>
      <c r="L805" s="455">
        <f t="shared" ca="1" si="80"/>
        <v>-6796781.8730067182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-6796781.8730067182</v>
      </c>
      <c r="J806" s="455">
        <f t="array" ref="J806">IFERROR(INDEX('Retirement Calculator'!K:K,MATCH('Lorri 401b'!N806,'Retirement Calculator'!A:A,0),0),0)</f>
        <v>20282.026119384056</v>
      </c>
      <c r="K806" s="455">
        <f t="shared" ca="1" si="79"/>
        <v>-28404.432913025426</v>
      </c>
      <c r="L806" s="455">
        <f t="shared" ca="1" si="80"/>
        <v>-6845468.3320391281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-6845468.3320391281</v>
      </c>
      <c r="J807" s="455">
        <f t="array" ref="J807">IFERROR(INDEX('Retirement Calculator'!K:K,MATCH('Lorri 401b'!N807,'Retirement Calculator'!A:A,0),0),0)</f>
        <v>20282.026119384056</v>
      </c>
      <c r="K807" s="455">
        <f t="shared" ca="1" si="79"/>
        <v>-28607.293158993798</v>
      </c>
      <c r="L807" s="455">
        <f t="shared" ca="1" si="80"/>
        <v>-6894357.6513175061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-6894357.6513175061</v>
      </c>
      <c r="J808" s="455">
        <f t="array" ref="J808">IFERROR(INDEX('Retirement Calculator'!K:K,MATCH('Lorri 401b'!N808,'Retirement Calculator'!A:A,0),0),0)</f>
        <v>20282.026119384056</v>
      </c>
      <c r="K808" s="455">
        <f t="shared" ca="1" si="79"/>
        <v>-28810.998655987045</v>
      </c>
      <c r="L808" s="455">
        <f t="shared" ca="1" si="80"/>
        <v>-6943450.6760928771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-6943450.6760928771</v>
      </c>
      <c r="J809" s="455">
        <f t="array" ref="J809">IFERROR(INDEX('Retirement Calculator'!K:K,MATCH('Lorri 401b'!N809,'Retirement Calculator'!A:A,0),0),0)</f>
        <v>20282.026119384056</v>
      </c>
      <c r="K809" s="455">
        <f t="shared" ca="1" si="79"/>
        <v>-29015.552925884422</v>
      </c>
      <c r="L809" s="455">
        <f t="shared" ca="1" si="80"/>
        <v>-6992748.2551381458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-6992748.2551381458</v>
      </c>
      <c r="J810" s="455">
        <f t="array" ref="J810">IFERROR(INDEX('Retirement Calculator'!K:K,MATCH('Lorri 401b'!N810,'Retirement Calculator'!A:A,0),0),0)</f>
        <v>20282.026119384056</v>
      </c>
      <c r="K810" s="455">
        <f t="shared" ca="1" si="79"/>
        <v>-29220.959505239705</v>
      </c>
      <c r="L810" s="455">
        <f t="shared" ca="1" si="80"/>
        <v>-7042251.2407627692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-7042251.2407627692</v>
      </c>
      <c r="J811" s="455">
        <f t="array" ref="J811">IFERROR(INDEX('Retirement Calculator'!K:K,MATCH('Lorri 401b'!N811,'Retirement Calculator'!A:A,0),0),0)</f>
        <v>20282.026119384056</v>
      </c>
      <c r="K811" s="455">
        <f t="shared" ca="1" si="79"/>
        <v>-29427.221945342306</v>
      </c>
      <c r="L811" s="455">
        <f t="shared" ca="1" si="80"/>
        <v>-7091960.4888274958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-7091960.4888274958</v>
      </c>
      <c r="J812" s="455">
        <f t="array" ref="J812">IFERROR(INDEX('Retirement Calculator'!K:K,MATCH('Lorri 401b'!N812,'Retirement Calculator'!A:A,0),0),0)</f>
        <v>20282.026119384056</v>
      </c>
      <c r="K812" s="455">
        <f t="shared" ca="1" si="79"/>
        <v>-29634.343812278661</v>
      </c>
      <c r="L812" s="455">
        <f t="shared" ca="1" si="80"/>
        <v>-7141876.8587591583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-7141876.8587591583</v>
      </c>
      <c r="J813" s="455">
        <f t="array" ref="J813">IFERROR(INDEX('Retirement Calculator'!K:K,MATCH('Lorri 401b'!N813,'Retirement Calculator'!A:A,0),0),0)</f>
        <v>20282.026119384056</v>
      </c>
      <c r="K813" s="455">
        <f t="shared" ca="1" si="79"/>
        <v>-29842.328686993926</v>
      </c>
      <c r="L813" s="455">
        <f t="shared" ca="1" si="80"/>
        <v>-7192001.2135655358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-7192001.2135655358</v>
      </c>
      <c r="J814" s="455">
        <f t="array" ref="J814">IFERROR(INDEX('Retirement Calculator'!K:K,MATCH('Lorri 401b'!N814,'Retirement Calculator'!A:A,0),0),0)</f>
        <v>20282.026119384056</v>
      </c>
      <c r="K814" s="455">
        <f t="shared" ca="1" si="79"/>
        <v>-30051.180165353828</v>
      </c>
      <c r="L814" s="455">
        <f t="shared" ca="1" si="80"/>
        <v>-7242334.419850274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-7242334.419850274</v>
      </c>
      <c r="J815" s="455">
        <f t="array" ref="J815">IFERROR(INDEX('Retirement Calculator'!K:K,MATCH('Lorri 401b'!N815,'Retirement Calculator'!A:A,0),0),0)</f>
        <v>20282.026119384056</v>
      </c>
      <c r="K815" s="455">
        <f t="shared" ca="1" si="79"/>
        <v>-30260.901858206907</v>
      </c>
      <c r="L815" s="455">
        <f t="shared" ca="1" si="80"/>
        <v>-7292877.3478278648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-7292877.3478278648</v>
      </c>
      <c r="J816" s="455">
        <f t="array" ref="J816">IFERROR(INDEX('Retirement Calculator'!K:K,MATCH('Lorri 401b'!N816,'Retirement Calculator'!A:A,0),0),0)</f>
        <v>20282.026119384056</v>
      </c>
      <c r="K816" s="455">
        <f t="shared" ca="1" si="79"/>
        <v>-30471.497391446868</v>
      </c>
      <c r="L816" s="455">
        <f t="shared" ca="1" si="80"/>
        <v>-7343630.8713386953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-7343630.8713386953</v>
      </c>
      <c r="J817" s="455">
        <f t="array" ref="J817">IFERROR(INDEX('Retirement Calculator'!K:K,MATCH('Lorri 401b'!N817,'Retirement Calculator'!A:A,0),0),0)</f>
        <v>20282.026119384056</v>
      </c>
      <c r="K817" s="455">
        <f t="shared" ca="1" si="79"/>
        <v>-30682.970406075328</v>
      </c>
      <c r="L817" s="455">
        <f t="shared" ca="1" si="80"/>
        <v>-7394595.8678641543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-7394595.8678641543</v>
      </c>
      <c r="J818" s="455">
        <f t="array" ref="J818">IFERROR(INDEX('Retirement Calculator'!K:K,MATCH('Lorri 401b'!N818,'Retirement Calculator'!A:A,0),0),0)</f>
        <v>20282.026119384056</v>
      </c>
      <c r="K818" s="455">
        <f t="shared" ca="1" si="79"/>
        <v>-30895.324558264747</v>
      </c>
      <c r="L818" s="455">
        <f t="shared" ca="1" si="80"/>
        <v>-7445773.2185418028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-7445773.2185418028</v>
      </c>
      <c r="J819" s="455">
        <f t="array" ref="J819">IFERROR(INDEX('Retirement Calculator'!K:K,MATCH('Lorri 401b'!N819,'Retirement Calculator'!A:A,0),0),0)</f>
        <v>20282.026119384056</v>
      </c>
      <c r="K819" s="455">
        <f t="shared" ca="1" si="79"/>
        <v>-31108.563519421612</v>
      </c>
      <c r="L819" s="455">
        <f t="shared" ca="1" si="80"/>
        <v>-7497163.8081806088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-7497163.8081806088</v>
      </c>
      <c r="J820" s="455">
        <f t="array" ref="J820">IFERROR(INDEX('Retirement Calculator'!K:K,MATCH('Lorri 401b'!N820,'Retirement Calculator'!A:A,0),0),0)</f>
        <v>20282.026119384056</v>
      </c>
      <c r="K820" s="455">
        <f t="shared" ca="1" si="79"/>
        <v>-31322.690976249971</v>
      </c>
      <c r="L820" s="455">
        <f t="shared" ca="1" si="80"/>
        <v>-7548768.5252762428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-7548768.5252762428</v>
      </c>
      <c r="J821" s="455">
        <f t="array" ref="J821">IFERROR(INDEX('Retirement Calculator'!K:K,MATCH('Lorri 401b'!N821,'Retirement Calculator'!A:A,0),0),0)</f>
        <v>20282.026119384056</v>
      </c>
      <c r="K821" s="455">
        <f t="shared" ca="1" si="79"/>
        <v>-31537.710630815109</v>
      </c>
      <c r="L821" s="455">
        <f t="shared" ca="1" si="80"/>
        <v>-7600588.2620264422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-7600588.2620264422</v>
      </c>
      <c r="J822" s="455">
        <f t="array" ref="J822">IFERROR(INDEX('Retirement Calculator'!K:K,MATCH('Lorri 401b'!N822,'Retirement Calculator'!A:A,0),0),0)</f>
        <v>20282.026119384056</v>
      </c>
      <c r="K822" s="455">
        <f t="shared" ca="1" si="79"/>
        <v>-31753.626200607614</v>
      </c>
      <c r="L822" s="455">
        <f t="shared" ca="1" si="80"/>
        <v>-7652623.9143464342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-7652623.9143464342</v>
      </c>
      <c r="J823" s="455">
        <f t="array" ref="J823">IFERROR(INDEX('Retirement Calculator'!K:K,MATCH('Lorri 401b'!N823,'Retirement Calculator'!A:A,0),0),0)</f>
        <v>20282.026119384056</v>
      </c>
      <c r="K823" s="455">
        <f t="shared" ca="1" si="79"/>
        <v>-31970.441418607574</v>
      </c>
      <c r="L823" s="455">
        <f t="shared" ca="1" si="80"/>
        <v>-7704876.3818844259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-7704876.3818844259</v>
      </c>
      <c r="J824" s="455">
        <f t="array" ref="J824">IFERROR(INDEX('Retirement Calculator'!K:K,MATCH('Lorri 401b'!N824,'Retirement Calculator'!A:A,0),0),0)</f>
        <v>20282.026119384056</v>
      </c>
      <c r="K824" s="455">
        <f t="shared" ca="1" si="79"/>
        <v>-32188.160033349206</v>
      </c>
      <c r="L824" s="455">
        <f t="shared" ca="1" si="80"/>
        <v>-7757346.5680371588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-7757346.5680371588</v>
      </c>
      <c r="J825" s="455">
        <f t="array" ref="J825">IFERROR(INDEX('Retirement Calculator'!K:K,MATCH('Lorri 401b'!N825,'Retirement Calculator'!A:A,0),0),0)</f>
        <v>20282.026119384056</v>
      </c>
      <c r="K825" s="455">
        <f t="shared" ca="1" si="79"/>
        <v>-32406.785808985594</v>
      </c>
      <c r="L825" s="455">
        <f t="shared" ca="1" si="80"/>
        <v>-7810035.3799655288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-7810035.3799655288</v>
      </c>
      <c r="J826" s="455">
        <f t="array" ref="J826">IFERROR(INDEX('Retirement Calculator'!K:K,MATCH('Lorri 401b'!N826,'Retirement Calculator'!A:A,0),0),0)</f>
        <v>20282.026119384056</v>
      </c>
      <c r="K826" s="455">
        <f t="shared" ca="1" si="79"/>
        <v>-32626.322525353804</v>
      </c>
      <c r="L826" s="455">
        <f t="shared" ca="1" si="80"/>
        <v>-7862943.7286102669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-7862943.7286102669</v>
      </c>
      <c r="J827" s="455">
        <f t="array" ref="J827">IFERROR(INDEX('Retirement Calculator'!K:K,MATCH('Lorri 401b'!N827,'Retirement Calculator'!A:A,0),0),0)</f>
        <v>20282.026119384056</v>
      </c>
      <c r="K827" s="455">
        <f t="shared" ca="1" si="79"/>
        <v>-32846.773978040212</v>
      </c>
      <c r="L827" s="455">
        <f t="shared" ca="1" si="80"/>
        <v>-7916072.5287076915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-7916072.5287076915</v>
      </c>
      <c r="J828" s="455">
        <f t="array" ref="J828">IFERROR(INDEX('Retirement Calculator'!K:K,MATCH('Lorri 401b'!N828,'Retirement Calculator'!A:A,0),0),0)</f>
        <v>20282.026119384056</v>
      </c>
      <c r="K828" s="455">
        <f t="shared" ca="1" si="79"/>
        <v>-33068.143978446147</v>
      </c>
      <c r="L828" s="455">
        <f t="shared" ca="1" si="80"/>
        <v>-7969422.6988055212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-7969422.6988055212</v>
      </c>
      <c r="J829" s="455">
        <f t="array" ref="J829">IFERROR(INDEX('Retirement Calculator'!K:K,MATCH('Lorri 401b'!N829,'Retirement Calculator'!A:A,0),0),0)</f>
        <v>20282.026119384056</v>
      </c>
      <c r="K829" s="455">
        <f t="shared" ca="1" si="79"/>
        <v>-33290.436353853773</v>
      </c>
      <c r="L829" s="455">
        <f t="shared" ca="1" si="80"/>
        <v>-8022995.1612787591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-8022995.1612787591</v>
      </c>
      <c r="J830" s="455">
        <f t="array" ref="J830">IFERROR(INDEX('Retirement Calculator'!K:K,MATCH('Lorri 401b'!N830,'Retirement Calculator'!A:A,0),0),0)</f>
        <v>20282.026119384056</v>
      </c>
      <c r="K830" s="455">
        <f t="shared" ca="1" si="79"/>
        <v>-33513.654947492265</v>
      </c>
      <c r="L830" s="455">
        <f t="shared" ca="1" si="80"/>
        <v>-8076790.8423456354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-8076790.8423456354</v>
      </c>
      <c r="J831" s="455">
        <f t="array" ref="J831">IFERROR(INDEX('Retirement Calculator'!K:K,MATCH('Lorri 401b'!N831,'Retirement Calculator'!A:A,0),0),0)</f>
        <v>20282.026119384056</v>
      </c>
      <c r="K831" s="455">
        <f t="shared" ca="1" si="79"/>
        <v>-33737.803618604245</v>
      </c>
      <c r="L831" s="455">
        <f t="shared" ca="1" si="80"/>
        <v>-8130810.6720836237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-8130810.6720836237</v>
      </c>
      <c r="J832" s="455">
        <f t="array" ref="J832">IFERROR(INDEX('Retirement Calculator'!K:K,MATCH('Lorri 401b'!N832,'Retirement Calculator'!A:A,0),0),0)</f>
        <v>20282.026119384056</v>
      </c>
      <c r="K832" s="455">
        <f t="shared" ca="1" si="79"/>
        <v>-33962.886242512533</v>
      </c>
      <c r="L832" s="455">
        <f t="shared" ca="1" si="80"/>
        <v>-8185055.5844455203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-8185055.5844455203</v>
      </c>
      <c r="J833" s="455">
        <f t="array" ref="J833">IFERROR(INDEX('Retirement Calculator'!K:K,MATCH('Lorri 401b'!N833,'Retirement Calculator'!A:A,0),0),0)</f>
        <v>20282.026119384056</v>
      </c>
      <c r="K833" s="455">
        <f t="shared" ca="1" si="79"/>
        <v>-34188.906710687101</v>
      </c>
      <c r="L833" s="455">
        <f t="shared" ca="1" si="80"/>
        <v>-8239526.5172755914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-8239526.5172755914</v>
      </c>
      <c r="J834" s="455">
        <f t="array" ref="J834">IFERROR(INDEX('Retirement Calculator'!K:K,MATCH('Lorri 401b'!N834,'Retirement Calculator'!A:A,0),0),0)</f>
        <v>20282.026119384056</v>
      </c>
      <c r="K834" s="455">
        <f t="shared" ca="1" si="79"/>
        <v>-34415.868930812394</v>
      </c>
      <c r="L834" s="455">
        <f t="shared" ca="1" si="80"/>
        <v>-8294224.4123257874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-8294224.4123257874</v>
      </c>
      <c r="J835" s="455">
        <f t="array" ref="J835">IFERROR(INDEX('Retirement Calculator'!K:K,MATCH('Lorri 401b'!N835,'Retirement Calculator'!A:A,0),0),0)</f>
        <v>20282.026119384056</v>
      </c>
      <c r="K835" s="455">
        <f t="shared" ca="1" si="79"/>
        <v>-34643.776826854883</v>
      </c>
      <c r="L835" s="455">
        <f t="shared" ca="1" si="80"/>
        <v>-8349150.2152720261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-8349150.2152720261</v>
      </c>
      <c r="J836" s="455">
        <f t="array" ref="J836">IFERROR(INDEX('Retirement Calculator'!K:K,MATCH('Lorri 401b'!N836,'Retirement Calculator'!A:A,0),0),0)</f>
        <v>20282.026119384056</v>
      </c>
      <c r="K836" s="455">
        <f t="shared" ca="1" si="79"/>
        <v>-34872.634339130876</v>
      </c>
      <c r="L836" s="455">
        <f t="shared" ca="1" si="80"/>
        <v>-8404304.8757305406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-8404304.8757305406</v>
      </c>
      <c r="J837" s="455">
        <f t="array" ref="J837">IFERROR(INDEX('Retirement Calculator'!K:K,MATCH('Lorri 401b'!N837,'Retirement Calculator'!A:A,0),0),0)</f>
        <v>20282.026119384056</v>
      </c>
      <c r="K837" s="455">
        <f t="shared" ca="1" si="79"/>
        <v>-35102.445424374688</v>
      </c>
      <c r="L837" s="455">
        <f t="shared" ca="1" si="80"/>
        <v>-8459689.3472742997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-8459689.3472742997</v>
      </c>
      <c r="J838" s="455">
        <f t="array" ref="J838">IFERROR(INDEX('Retirement Calculator'!K:K,MATCH('Lorri 401b'!N838,'Retirement Calculator'!A:A,0),0),0)</f>
        <v>20282.026119384056</v>
      </c>
      <c r="K838" s="455">
        <f t="shared" ca="1" si="79"/>
        <v>-35333.214055807017</v>
      </c>
      <c r="L838" s="455">
        <f t="shared" ca="1" si="80"/>
        <v>-8515304.587449491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-8515304.587449491</v>
      </c>
      <c r="J839" s="455">
        <f t="array" ref="J839">IFERROR(INDEX('Retirement Calculator'!K:K,MATCH('Lorri 401b'!N839,'Retirement Calculator'!A:A,0),0),0)</f>
        <v>20282.026119384056</v>
      </c>
      <c r="K839" s="455">
        <f t="shared" ca="1" si="79"/>
        <v>-35564.944223203653</v>
      </c>
      <c r="L839" s="455">
        <f t="shared" ca="1" si="80"/>
        <v>-8571151.5577920787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-8571151.5577920787</v>
      </c>
      <c r="J840" s="455">
        <f t="array" ref="J840">IFERROR(INDEX('Retirement Calculator'!K:K,MATCH('Lorri 401b'!N840,'Retirement Calculator'!A:A,0),0),0)</f>
        <v>20282.026119384056</v>
      </c>
      <c r="K840" s="455">
        <f t="shared" ca="1" si="79"/>
        <v>-35797.639932964434</v>
      </c>
      <c r="L840" s="455">
        <f t="shared" ca="1" si="80"/>
        <v>-8627231.2238444276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-8627231.2238444276</v>
      </c>
      <c r="J841" s="455">
        <f t="array" ref="J841">IFERROR(INDEX('Retirement Calculator'!K:K,MATCH('Lorri 401b'!N841,'Retirement Calculator'!A:A,0),0),0)</f>
        <v>20282.026119384056</v>
      </c>
      <c r="K841" s="455">
        <f t="shared" ca="1" si="79"/>
        <v>-36031.305208182552</v>
      </c>
      <c r="L841" s="455">
        <f t="shared" ca="1" si="80"/>
        <v>-8683544.5551719945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-8683544.5551719945</v>
      </c>
      <c r="J842" s="455">
        <f t="array" ref="J842">IFERROR(INDEX('Retirement Calculator'!K:K,MATCH('Lorri 401b'!N842,'Retirement Calculator'!A:A,0),0),0)</f>
        <v>20282.026119384056</v>
      </c>
      <c r="K842" s="455">
        <f t="shared" ca="1" si="79"/>
        <v>-36265.944088714081</v>
      </c>
      <c r="L842" s="455">
        <f t="shared" ca="1" si="80"/>
        <v>-8740092.5253800936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-8740092.5253800936</v>
      </c>
      <c r="J843" s="455">
        <f t="array" ref="J843">IFERROR(INDEX('Retirement Calculator'!K:K,MATCH('Lorri 401b'!N843,'Retirement Calculator'!A:A,0),0),0)</f>
        <v>20282.026119384056</v>
      </c>
      <c r="K843" s="455">
        <f t="shared" ca="1" si="79"/>
        <v>-36501.560631247827</v>
      </c>
      <c r="L843" s="455">
        <f t="shared" ca="1" si="80"/>
        <v>-8796876.1121307258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-8796876.1121307258</v>
      </c>
      <c r="J844" s="455">
        <f t="array" ref="J844">IFERROR(INDEX('Retirement Calculator'!K:K,MATCH('Lorri 401b'!N844,'Retirement Calculator'!A:A,0),0),0)</f>
        <v>20282.026119384056</v>
      </c>
      <c r="K844" s="455">
        <f t="shared" ca="1" si="79"/>
        <v>-36738.158909375459</v>
      </c>
      <c r="L844" s="455">
        <f t="shared" ca="1" si="80"/>
        <v>-8853896.2971594855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-8853896.2971594855</v>
      </c>
      <c r="J845" s="455">
        <f t="array" ref="J845">IFERROR(INDEX('Retirement Calculator'!K:K,MATCH('Lorri 401b'!N845,'Retirement Calculator'!A:A,0),0),0)</f>
        <v>20282.026119384056</v>
      </c>
      <c r="K845" s="455">
        <f t="shared" ca="1" si="79"/>
        <v>-36975.743013661959</v>
      </c>
      <c r="L845" s="455">
        <f t="shared" ca="1" si="80"/>
        <v>-8911154.0662925318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-8911154.0662925318</v>
      </c>
      <c r="J846" s="455">
        <f t="array" ref="J846">IFERROR(INDEX('Retirement Calculator'!K:K,MATCH('Lorri 401b'!N846,'Retirement Calculator'!A:A,0),0),0)</f>
        <v>20282.026119384056</v>
      </c>
      <c r="K846" s="455">
        <f t="shared" ca="1" si="79"/>
        <v>-37214.317051716316</v>
      </c>
      <c r="L846" s="455">
        <f t="shared" ca="1" si="80"/>
        <v>-8968650.4094636329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-8968650.4094636329</v>
      </c>
      <c r="J847" s="455">
        <f t="array" ref="J847">IFERROR(INDEX('Retirement Calculator'!K:K,MATCH('Lorri 401b'!N847,'Retirement Calculator'!A:A,0),0),0)</f>
        <v>20282.026119384056</v>
      </c>
      <c r="K847" s="455">
        <f t="shared" ca="1" si="79"/>
        <v>-37453.885148262576</v>
      </c>
      <c r="L847" s="455">
        <f t="shared" ca="1" si="80"/>
        <v>-9026386.3207312804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-9026386.3207312804</v>
      </c>
      <c r="J848" s="455">
        <f t="array" ref="J848">IFERROR(INDEX('Retirement Calculator'!K:K,MATCH('Lorri 401b'!N848,'Retirement Calculator'!A:A,0),0),0)</f>
        <v>20282.026119384056</v>
      </c>
      <c r="K848" s="455">
        <f t="shared" ca="1" si="79"/>
        <v>-37694.451445211103</v>
      </c>
      <c r="L848" s="455">
        <f t="shared" ca="1" si="80"/>
        <v>-9084362.798295876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-9084362.798295876</v>
      </c>
      <c r="J849" s="455">
        <f t="array" ref="J849">IFERROR(INDEX('Retirement Calculator'!K:K,MATCH('Lorri 401b'!N849,'Retirement Calculator'!A:A,0),0),0)</f>
        <v>20282.026119384056</v>
      </c>
      <c r="K849" s="455">
        <f t="shared" ca="1" si="79"/>
        <v>-37936.020101730253</v>
      </c>
      <c r="L849" s="455">
        <f t="shared" ca="1" si="80"/>
        <v>-9142580.8445169907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-9142580.8445169907</v>
      </c>
      <c r="J850" s="455">
        <f t="array" ref="J850">IFERROR(INDEX('Retirement Calculator'!K:K,MATCH('Lorri 401b'!N850,'Retirement Calculator'!A:A,0),0),0)</f>
        <v>20282.026119384056</v>
      </c>
      <c r="K850" s="455">
        <f t="shared" ca="1" si="79"/>
        <v>-38178.595294318235</v>
      </c>
      <c r="L850" s="455">
        <f t="shared" ca="1" si="80"/>
        <v>-9201041.4659306947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-9201041.4659306947</v>
      </c>
      <c r="J851" s="455">
        <f t="array" ref="J851">IFERROR(INDEX('Retirement Calculator'!K:K,MATCH('Lorri 401b'!N851,'Retirement Calculator'!A:A,0),0),0)</f>
        <v>20282.026119384056</v>
      </c>
      <c r="K851" s="455">
        <f t="shared" ca="1" si="79"/>
        <v>-38422.181216875331</v>
      </c>
      <c r="L851" s="455">
        <f t="shared" ca="1" si="80"/>
        <v>-9259745.6732669547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-9259745.6732669547</v>
      </c>
      <c r="J852" s="455">
        <f t="array" ref="J852">IFERROR(INDEX('Retirement Calculator'!K:K,MATCH('Lorri 401b'!N852,'Retirement Calculator'!A:A,0),0),0)</f>
        <v>20282.026119384056</v>
      </c>
      <c r="K852" s="455">
        <f t="shared" ca="1" si="79"/>
        <v>-38666.782080776415</v>
      </c>
      <c r="L852" s="455">
        <f t="shared" ca="1" si="80"/>
        <v>-9318694.4814671166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-9318694.4814671166</v>
      </c>
      <c r="J853" s="455">
        <f t="array" ref="J853">IFERROR(INDEX('Retirement Calculator'!K:K,MATCH('Lorri 401b'!N853,'Retirement Calculator'!A:A,0),0),0)</f>
        <v>20282.026119384056</v>
      </c>
      <c r="K853" s="455">
        <f t="shared" ca="1" si="79"/>
        <v>-38912.402114943754</v>
      </c>
      <c r="L853" s="455">
        <f t="shared" ca="1" si="80"/>
        <v>-9377888.9097014461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-9377888.9097014461</v>
      </c>
      <c r="J854" s="455">
        <f t="array" ref="J854">IFERROR(INDEX('Retirement Calculator'!K:K,MATCH('Lorri 401b'!N854,'Retirement Calculator'!A:A,0),0),0)</f>
        <v>20282.026119384056</v>
      </c>
      <c r="K854" s="455">
        <f t="shared" ca="1" si="79"/>
        <v>-39159.045565920125</v>
      </c>
      <c r="L854" s="455">
        <f t="shared" ca="1" si="80"/>
        <v>-9437329.9813867509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-9437329.9813867509</v>
      </c>
      <c r="J855" s="455">
        <f t="array" ref="J855">IFERROR(INDEX('Retirement Calculator'!K:K,MATCH('Lorri 401b'!N855,'Retirement Calculator'!A:A,0),0),0)</f>
        <v>20282.026119384056</v>
      </c>
      <c r="K855" s="455">
        <f t="shared" ca="1" si="79"/>
        <v>-39406.716697942233</v>
      </c>
      <c r="L855" s="455">
        <f t="shared" ca="1" si="80"/>
        <v>-9497018.7242040783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-9497018.7242040783</v>
      </c>
      <c r="J856" s="455">
        <f t="array" ref="J856">IFERROR(INDEX('Retirement Calculator'!K:K,MATCH('Lorri 401b'!N856,'Retirement Calculator'!A:A,0),0),0)</f>
        <v>20282.026119384056</v>
      </c>
      <c r="K856" s="455">
        <f t="shared" ca="1" si="79"/>
        <v>-39655.419793014429</v>
      </c>
      <c r="L856" s="455">
        <f t="shared" ca="1" si="80"/>
        <v>-9556956.1701164786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-9556956.1701164786</v>
      </c>
      <c r="J857" s="455">
        <f t="array" ref="J857">IFERROR(INDEX('Retirement Calculator'!K:K,MATCH('Lorri 401b'!N857,'Retirement Calculator'!A:A,0),0),0)</f>
        <v>20282.026119384056</v>
      </c>
      <c r="K857" s="455">
        <f t="shared" ca="1" si="79"/>
        <v>-39905.159150982763</v>
      </c>
      <c r="L857" s="455">
        <f t="shared" ca="1" si="80"/>
        <v>-9617143.3553868458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-9617143.3553868458</v>
      </c>
      <c r="J858" s="455">
        <f t="array" ref="J858">IFERROR(INDEX('Retirement Calculator'!K:K,MATCH('Lorri 401b'!N858,'Retirement Calculator'!A:A,0),0),0)</f>
        <v>20282.026119384056</v>
      </c>
      <c r="K858" s="455">
        <f t="shared" ca="1" si="79"/>
        <v>-40155.939089609295</v>
      </c>
      <c r="L858" s="455">
        <f t="shared" ca="1" si="80"/>
        <v>-9677581.32059584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-9677581.32059584</v>
      </c>
      <c r="J859" s="455">
        <f t="array" ref="J859">IFERROR(INDEX('Retirement Calculator'!K:K,MATCH('Lorri 401b'!N859,'Retirement Calculator'!A:A,0),0),0)</f>
        <v>20282.026119384056</v>
      </c>
      <c r="K859" s="455">
        <f t="shared" ca="1" si="79"/>
        <v>-40407.763944646773</v>
      </c>
      <c r="L859" s="455">
        <f t="shared" ca="1" si="80"/>
        <v>-9738271.1106598713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-9738271.1106598713</v>
      </c>
      <c r="J860" s="455">
        <f t="array" ref="J860">IFERROR(INDEX('Retirement Calculator'!K:K,MATCH('Lorri 401b'!N860,'Retirement Calculator'!A:A,0),0),0)</f>
        <v>20282.026119384056</v>
      </c>
      <c r="K860" s="455">
        <f t="shared" ca="1" si="79"/>
        <v>-40660.63806991357</v>
      </c>
      <c r="L860" s="455">
        <f t="shared" ca="1" si="80"/>
        <v>-9799213.774849169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-9799213.774849169</v>
      </c>
      <c r="J861" s="455">
        <f t="array" ref="J861">IFERROR(INDEX('Retirement Calculator'!K:K,MATCH('Lorri 401b'!N861,'Retirement Calculator'!A:A,0),0),0)</f>
        <v>20282.026119384056</v>
      </c>
      <c r="K861" s="455">
        <f t="shared" ca="1" si="79"/>
        <v>-40914.565837368973</v>
      </c>
      <c r="L861" s="455">
        <f t="shared" ca="1" si="80"/>
        <v>-9860410.3668059222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-9860410.3668059222</v>
      </c>
      <c r="J862" s="455">
        <f t="array" ref="J862">IFERROR(INDEX('Retirement Calculator'!K:K,MATCH('Lorri 401b'!N862,'Retirement Calculator'!A:A,0),0),0)</f>
        <v>20282.026119384056</v>
      </c>
      <c r="K862" s="455">
        <f t="shared" ca="1" si="79"/>
        <v>-41169.551637188779</v>
      </c>
      <c r="L862" s="455">
        <f t="shared" ca="1" si="80"/>
        <v>-9921861.9445624966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-9921861.9445624966</v>
      </c>
      <c r="J863" s="455">
        <f t="array" ref="J863">IFERROR(INDEX('Retirement Calculator'!K:K,MATCH('Lorri 401b'!N863,'Retirement Calculator'!A:A,0),0),0)</f>
        <v>20282.026119384056</v>
      </c>
      <c r="K863" s="455">
        <f t="shared" ca="1" si="79"/>
        <v>-41425.599877841174</v>
      </c>
      <c r="L863" s="455">
        <f t="shared" ca="1" si="80"/>
        <v>-9983569.5705597233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-9983569.5705597233</v>
      </c>
      <c r="J864" s="455">
        <f t="array" ref="J864">IFERROR(INDEX('Retirement Calculator'!K:K,MATCH('Lorri 401b'!N864,'Retirement Calculator'!A:A,0),0),0)</f>
        <v>20282.026119384056</v>
      </c>
      <c r="K864" s="455">
        <f t="shared" ca="1" si="79"/>
        <v>-41682.714986162951</v>
      </c>
      <c r="L864" s="455">
        <f t="shared" ca="1" si="80"/>
        <v>-10045534.31166527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-10045534.31166527</v>
      </c>
      <c r="J865" s="455">
        <f t="array" ref="J865">IFERROR(INDEX('Retirement Calculator'!K:K,MATCH('Lorri 401b'!N865,'Retirement Calculator'!A:A,0),0),0)</f>
        <v>20282.026119384056</v>
      </c>
      <c r="K865" s="455">
        <f t="shared" ca="1" si="79"/>
        <v>-41940.90140743606</v>
      </c>
      <c r="L865" s="455">
        <f t="shared" ca="1" si="80"/>
        <v>-10107757.239192091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-10107757.239192091</v>
      </c>
      <c r="J866" s="455">
        <f t="array" ref="J866">IFERROR(INDEX('Retirement Calculator'!K:K,MATCH('Lorri 401b'!N866,'Retirement Calculator'!A:A,0),0),0)</f>
        <v>20282.026119384056</v>
      </c>
      <c r="K866" s="455">
        <f t="shared" ca="1" si="79"/>
        <v>-42200.163605464484</v>
      </c>
      <c r="L866" s="455">
        <f t="shared" ca="1" si="80"/>
        <v>-10170239.42891694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-10170239.42891694</v>
      </c>
      <c r="J867" s="455">
        <f t="array" ref="J867">IFERROR(INDEX('Retirement Calculator'!K:K,MATCH('Lorri 401b'!N867,'Retirement Calculator'!A:A,0),0),0)</f>
        <v>20282.026119384056</v>
      </c>
      <c r="K867" s="455">
        <f t="shared" ca="1" si="79"/>
        <v>-42460.506062651359</v>
      </c>
      <c r="L867" s="455">
        <f t="shared" ca="1" si="80"/>
        <v>-10232981.961098976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-10232981.961098976</v>
      </c>
      <c r="J868" s="455">
        <f t="array" ref="J868">IFERROR(INDEX('Retirement Calculator'!K:K,MATCH('Lorri 401b'!N868,'Retirement Calculator'!A:A,0),0),0)</f>
        <v>20282.026119384056</v>
      </c>
      <c r="K868" s="455">
        <f t="shared" ca="1" si="79"/>
        <v>-42721.933280076504</v>
      </c>
      <c r="L868" s="455">
        <f t="shared" ca="1" si="80"/>
        <v>-10295985.920498438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-10295985.920498438</v>
      </c>
      <c r="J869" s="455">
        <f t="array" ref="J869">IFERROR(INDEX('Retirement Calculator'!K:K,MATCH('Lorri 401b'!N869,'Retirement Calculator'!A:A,0),0),0)</f>
        <v>20282.026119384056</v>
      </c>
      <c r="K869" s="455">
        <f t="shared" ca="1" si="79"/>
        <v>-42984.449777574264</v>
      </c>
      <c r="L869" s="455">
        <f t="shared" ca="1" si="80"/>
        <v>-10359252.396395396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-10359252.396395396</v>
      </c>
      <c r="J870" s="455">
        <f t="array" ref="J870">IFERROR(INDEX('Retirement Calculator'!K:K,MATCH('Lorri 401b'!N870,'Retirement Calculator'!A:A,0),0),0)</f>
        <v>20282.026119384056</v>
      </c>
      <c r="K870" s="455">
        <f t="shared" ca="1" si="79"/>
        <v>-43248.060093811589</v>
      </c>
      <c r="L870" s="455">
        <f t="shared" ca="1" si="80"/>
        <v>-10422782.482608592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-10422782.482608592</v>
      </c>
      <c r="J871" s="455">
        <f t="array" ref="J871">IFERROR(INDEX('Retirement Calculator'!K:K,MATCH('Lorri 401b'!N871,'Retirement Calculator'!A:A,0),0),0)</f>
        <v>20282.026119384056</v>
      </c>
      <c r="K871" s="455">
        <f t="shared" ca="1" si="79"/>
        <v>-43512.768786366571</v>
      </c>
      <c r="L871" s="455">
        <f t="shared" ca="1" si="80"/>
        <v>-10486577.277514344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-10486577.277514344</v>
      </c>
      <c r="J872" s="455">
        <f t="array" ref="J872">IFERROR(INDEX('Retirement Calculator'!K:K,MATCH('Lorri 401b'!N872,'Retirement Calculator'!A:A,0),0),0)</f>
        <v>20282.026119384056</v>
      </c>
      <c r="K872" s="455">
        <f t="shared" ca="1" si="79"/>
        <v>-43778.580431807204</v>
      </c>
      <c r="L872" s="455">
        <f t="shared" ca="1" si="80"/>
        <v>-10550637.884065537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-10550637.884065537</v>
      </c>
      <c r="J873" s="455">
        <f t="array" ref="J873">IFERROR(INDEX('Retirement Calculator'!K:K,MATCH('Lorri 401b'!N873,'Retirement Calculator'!A:A,0),0),0)</f>
        <v>20282.026119384056</v>
      </c>
      <c r="K873" s="455">
        <f t="shared" ca="1" si="79"/>
        <v>-44045.499625770506</v>
      </c>
      <c r="L873" s="455">
        <f t="shared" ca="1" si="80"/>
        <v>-10614965.409810692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-10614965.409810692</v>
      </c>
      <c r="J874" s="455">
        <f t="array" ref="J874">IFERROR(INDEX('Retirement Calculator'!K:K,MATCH('Lorri 401b'!N874,'Retirement Calculator'!A:A,0),0),0)</f>
        <v>20282.026119384056</v>
      </c>
      <c r="K874" s="455">
        <f t="shared" ca="1" si="79"/>
        <v>-44313.530983041986</v>
      </c>
      <c r="L874" s="455">
        <f t="shared" ca="1" si="80"/>
        <v>-10679560.966913119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-10679560.966913119</v>
      </c>
      <c r="J875" s="455">
        <f t="array" ref="J875">IFERROR(INDEX('Retirement Calculator'!K:K,MATCH('Lorri 401b'!N875,'Retirement Calculator'!A:A,0),0),0)</f>
        <v>20282.026119384056</v>
      </c>
      <c r="K875" s="455">
        <f t="shared" ca="1" si="79"/>
        <v>-44582.67913763543</v>
      </c>
      <c r="L875" s="455">
        <f t="shared" ca="1" si="80"/>
        <v>-10744425.67217014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-10744425.67217014</v>
      </c>
      <c r="J876" s="455">
        <f t="array" ref="J876">IFERROR(INDEX('Retirement Calculator'!K:K,MATCH('Lorri 401b'!N876,'Retirement Calculator'!A:A,0),0),0)</f>
        <v>20282.026119384056</v>
      </c>
      <c r="K876" s="455">
        <f t="shared" ca="1" si="79"/>
        <v>-44852.948742873021</v>
      </c>
      <c r="L876" s="455">
        <f t="shared" ca="1" si="80"/>
        <v>-10809560.647032397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-10809560.647032397</v>
      </c>
      <c r="J877" s="455">
        <f t="array" ref="J877">IFERROR(INDEX('Retirement Calculator'!K:K,MATCH('Lorri 401b'!N877,'Retirement Calculator'!A:A,0),0),0)</f>
        <v>20282.026119384056</v>
      </c>
      <c r="K877" s="455">
        <f t="shared" ca="1" si="79"/>
        <v>-45124.34447146576</v>
      </c>
      <c r="L877" s="455">
        <f t="shared" ca="1" si="80"/>
        <v>-10874967.017623248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-10874967.017623248</v>
      </c>
      <c r="J878" s="455">
        <f t="array" ref="J878">IFERROR(INDEX('Retirement Calculator'!K:K,MATCH('Lorri 401b'!N878,'Retirement Calculator'!A:A,0),0),0)</f>
        <v>20282.026119384056</v>
      </c>
      <c r="K878" s="455">
        <f t="shared" ca="1" si="79"/>
        <v>-45396.871015594304</v>
      </c>
      <c r="L878" s="455">
        <f t="shared" ca="1" si="80"/>
        <v>-10940645.914758226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-10940645.914758226</v>
      </c>
      <c r="J879" s="455">
        <f t="array" ref="J879">IFERROR(INDEX('Retirement Calculator'!K:K,MATCH('Lorri 401b'!N879,'Retirement Calculator'!A:A,0),0),0)</f>
        <v>20282.026119384056</v>
      </c>
      <c r="K879" s="455">
        <f t="shared" ca="1" si="79"/>
        <v>-45670.533086990043</v>
      </c>
      <c r="L879" s="455">
        <f t="shared" ca="1" si="80"/>
        <v>-11006598.473964602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-11006598.473964602</v>
      </c>
      <c r="J880" s="455">
        <f t="array" ref="J880">IFERROR(INDEX('Retirement Calculator'!K:K,MATCH('Lorri 401b'!N880,'Retirement Calculator'!A:A,0),0),0)</f>
        <v>20282.026119384056</v>
      </c>
      <c r="K880" s="455">
        <f t="shared" ca="1" si="79"/>
        <v>-45945.335417016613</v>
      </c>
      <c r="L880" s="455">
        <f t="shared" ca="1" si="80"/>
        <v>-11072825.835501004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-11072825.835501004</v>
      </c>
      <c r="J881" s="455">
        <f t="array" ref="J881">IFERROR(INDEX('Retirement Calculator'!K:K,MATCH('Lorri 401b'!N881,'Retirement Calculator'!A:A,0),0),0)</f>
        <v>20282.026119384056</v>
      </c>
      <c r="K881" s="455">
        <f t="shared" ca="1" si="79"/>
        <v>-46221.282756751621</v>
      </c>
      <c r="L881" s="455">
        <f t="shared" ca="1" si="80"/>
        <v>-11139329.14437714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-11139329.14437714</v>
      </c>
      <c r="J882" s="455">
        <f t="array" ref="J882">IFERROR(INDEX('Retirement Calculator'!K:K,MATCH('Lorri 401b'!N882,'Retirement Calculator'!A:A,0),0),0)</f>
        <v>20282.026119384056</v>
      </c>
      <c r="K882" s="455">
        <f t="shared" ca="1" si="79"/>
        <v>-46498.379877068852</v>
      </c>
      <c r="L882" s="455">
        <f t="shared" ca="1" si="80"/>
        <v>-11206109.550373593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-11206109.550373593</v>
      </c>
      <c r="J883" s="455">
        <f t="array" ref="J883">IFERROR(INDEX('Retirement Calculator'!K:K,MATCH('Lorri 401b'!N883,'Retirement Calculator'!A:A,0),0),0)</f>
        <v>20282.026119384056</v>
      </c>
      <c r="K883" s="455">
        <f t="shared" ca="1" si="79"/>
        <v>-46776.631568720739</v>
      </c>
      <c r="L883" s="455">
        <f t="shared" ca="1" si="80"/>
        <v>-11273168.208061699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-11273168.208061699</v>
      </c>
      <c r="J884" s="455">
        <f t="array" ref="J884">IFERROR(INDEX('Retirement Calculator'!K:K,MATCH('Lorri 401b'!N884,'Retirement Calculator'!A:A,0),0),0)</f>
        <v>20282.026119384056</v>
      </c>
      <c r="K884" s="455">
        <f t="shared" ca="1" si="79"/>
        <v>-47056.042642421184</v>
      </c>
      <c r="L884" s="455">
        <f t="shared" ca="1" si="80"/>
        <v>-11340506.276823506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-11340506.276823506</v>
      </c>
      <c r="J885" s="455">
        <f t="array" ref="J885">IFERROR(INDEX('Retirement Calculator'!K:K,MATCH('Lorri 401b'!N885,'Retirement Calculator'!A:A,0),0),0)</f>
        <v>20282.026119384056</v>
      </c>
      <c r="K885" s="455">
        <f t="shared" ca="1" si="79"/>
        <v>-47336.61792892871</v>
      </c>
      <c r="L885" s="455">
        <f t="shared" ca="1" si="80"/>
        <v>-11408124.92087182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-11408124.92087182</v>
      </c>
      <c r="J886" s="455">
        <f t="array" ref="J886">IFERROR(INDEX('Retirement Calculator'!K:K,MATCH('Lorri 401b'!N886,'Retirement Calculator'!A:A,0),0),0)</f>
        <v>20282.026119384056</v>
      </c>
      <c r="K886" s="455">
        <f t="shared" ca="1" si="79"/>
        <v>-47618.362279130022</v>
      </c>
      <c r="L886" s="455">
        <f t="shared" ca="1" si="80"/>
        <v>-11476025.309270335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-11476025.309270335</v>
      </c>
      <c r="J887" s="455">
        <f t="array" ref="J887">IFERROR(INDEX('Retirement Calculator'!K:K,MATCH('Lorri 401b'!N887,'Retirement Calculator'!A:A,0),0),0)</f>
        <v>20282.026119384056</v>
      </c>
      <c r="K887" s="455">
        <f t="shared" ca="1" si="79"/>
        <v>-47901.280564123837</v>
      </c>
      <c r="L887" s="455">
        <f t="shared" ca="1" si="80"/>
        <v>-11544208.615953844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-11544208.615953844</v>
      </c>
      <c r="J888" s="455">
        <f t="array" ref="J888">IFERROR(INDEX('Retirement Calculator'!K:K,MATCH('Lorri 401b'!N888,'Retirement Calculator'!A:A,0),0),0)</f>
        <v>20282.026119384056</v>
      </c>
      <c r="K888" s="455">
        <f t="shared" ca="1" si="79"/>
        <v>-48185.377675305121</v>
      </c>
      <c r="L888" s="455">
        <f t="shared" ca="1" si="80"/>
        <v>-11612676.019748535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-11612676.019748535</v>
      </c>
      <c r="J889" s="455">
        <f t="array" ref="J889">IFERROR(INDEX('Retirement Calculator'!K:K,MATCH('Lorri 401b'!N889,'Retirement Calculator'!A:A,0),0),0)</f>
        <v>20282.026119384056</v>
      </c>
      <c r="K889" s="455">
        <f t="shared" ca="1" si="79"/>
        <v>-48470.658524449667</v>
      </c>
      <c r="L889" s="455">
        <f t="shared" ca="1" si="80"/>
        <v>-11681428.70439237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-11681428.70439237</v>
      </c>
      <c r="J890" s="455">
        <f t="array" ref="J890">IFERROR(INDEX('Retirement Calculator'!K:K,MATCH('Lorri 401b'!N890,'Retirement Calculator'!A:A,0),0),0)</f>
        <v>20282.026119384056</v>
      </c>
      <c r="K890" s="455">
        <f t="shared" ca="1" si="79"/>
        <v>-48757.128043798977</v>
      </c>
      <c r="L890" s="455">
        <f t="shared" ca="1" si="80"/>
        <v>-11750467.858555553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-11750467.858555553</v>
      </c>
      <c r="J891" s="455">
        <f t="array" ref="J891">IFERROR(INDEX('Retirement Calculator'!K:K,MATCH('Lorri 401b'!N891,'Retirement Calculator'!A:A,0),0),0)</f>
        <v>20282.026119384056</v>
      </c>
      <c r="K891" s="455">
        <f t="shared" ca="1" si="79"/>
        <v>-49044.79118614558</v>
      </c>
      <c r="L891" s="455">
        <f t="shared" ca="1" si="80"/>
        <v>-11819794.675861085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-11819794.675861085</v>
      </c>
      <c r="J892" s="455">
        <f t="array" ref="J892">IFERROR(INDEX('Retirement Calculator'!K:K,MATCH('Lorri 401b'!N892,'Retirement Calculator'!A:A,0),0),0)</f>
        <v>20282.026119384056</v>
      </c>
      <c r="K892" s="455">
        <f t="shared" ca="1" si="79"/>
        <v>-49333.652924918621</v>
      </c>
      <c r="L892" s="455">
        <f t="shared" ca="1" si="80"/>
        <v>-11889410.354905389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-11889410.354905389</v>
      </c>
      <c r="J893" s="455">
        <f t="array" ref="J893">IFERROR(INDEX('Retirement Calculator'!K:K,MATCH('Lorri 401b'!N893,'Retirement Calculator'!A:A,0),0),0)</f>
        <v>20282.026119384056</v>
      </c>
      <c r="K893" s="455">
        <f t="shared" ca="1" si="79"/>
        <v>-49623.718254269894</v>
      </c>
      <c r="L893" s="455">
        <f t="shared" ca="1" si="80"/>
        <v>-11959316.099279044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-11959316.099279044</v>
      </c>
      <c r="J894" s="455">
        <f t="array" ref="J894">IFERROR(INDEX('Retirement Calculator'!K:K,MATCH('Lorri 401b'!N894,'Retirement Calculator'!A:A,0),0),0)</f>
        <v>20282.026119384056</v>
      </c>
      <c r="K894" s="455">
        <f t="shared" ca="1" si="79"/>
        <v>-49914.992189160119</v>
      </c>
      <c r="L894" s="455">
        <f t="shared" ca="1" si="80"/>
        <v>-12029513.117587589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-12029513.117587589</v>
      </c>
      <c r="J895" s="455">
        <f t="array" ref="J895">IFERROR(INDEX('Retirement Calculator'!K:K,MATCH('Lorri 401b'!N895,'Retirement Calculator'!A:A,0),0),0)</f>
        <v>20282.026119384056</v>
      </c>
      <c r="K895" s="455">
        <f t="shared" ca="1" si="79"/>
        <v>-50207.479765445722</v>
      </c>
      <c r="L895" s="455">
        <f t="shared" ca="1" si="80"/>
        <v>-12100002.623472419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-12100002.623472419</v>
      </c>
      <c r="J896" s="455">
        <f t="array" ref="J896">IFERROR(INDEX('Retirement Calculator'!K:K,MATCH('Lorri 401b'!N896,'Retirement Calculator'!A:A,0),0),0)</f>
        <v>20282.026119384056</v>
      </c>
      <c r="K896" s="455">
        <f t="shared" ca="1" si="79"/>
        <v>-50501.186039965847</v>
      </c>
      <c r="L896" s="455">
        <f t="shared" ca="1" si="80"/>
        <v>-12170785.835631769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-12170785.835631769</v>
      </c>
      <c r="J897" s="455">
        <f t="array" ref="J897">IFERROR(INDEX('Retirement Calculator'!K:K,MATCH('Lorri 401b'!N897,'Retirement Calculator'!A:A,0),0),0)</f>
        <v>20282.026119384056</v>
      </c>
      <c r="K897" s="455">
        <f t="shared" ca="1" si="79"/>
        <v>-50796.11609062981</v>
      </c>
      <c r="L897" s="455">
        <f t="shared" ca="1" si="80"/>
        <v>-12241863.977841783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-12241863.977841783</v>
      </c>
      <c r="J898" s="455">
        <f t="array" ref="J898">IFERROR(INDEX('Retirement Calculator'!K:K,MATCH('Lorri 401b'!N898,'Retirement Calculator'!A:A,0),0),0)</f>
        <v>20282.026119384056</v>
      </c>
      <c r="K898" s="455">
        <f t="shared" ca="1" si="79"/>
        <v>-51092.275016504864</v>
      </c>
      <c r="L898" s="455">
        <f t="shared" ca="1" si="80"/>
        <v>-12313238.278977674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-12313238.278977674</v>
      </c>
      <c r="J899" s="455">
        <f t="array" ref="J899">IFERROR(INDEX('Retirement Calculator'!K:K,MATCH('Lorri 401b'!N899,'Retirement Calculator'!A:A,0),0),0)</f>
        <v>20282.026119384056</v>
      </c>
      <c r="K899" s="455">
        <f t="shared" ca="1" si="79"/>
        <v>-51389.667937904407</v>
      </c>
      <c r="L899" s="455">
        <f t="shared" ca="1" si="80"/>
        <v>-12384909.973034963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-12384909.973034963</v>
      </c>
      <c r="J900" s="455">
        <f t="array" ref="J900">IFERROR(INDEX('Retirement Calculator'!K:K,MATCH('Lorri 401b'!N900,'Retirement Calculator'!A:A,0),0),0)</f>
        <v>20282.026119384056</v>
      </c>
      <c r="K900" s="455">
        <f t="shared" ca="1" si="79"/>
        <v>-51688.299996476446</v>
      </c>
      <c r="L900" s="455">
        <f t="shared" ca="1" si="80"/>
        <v>-12456880.299150825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-12456880.299150825</v>
      </c>
      <c r="J901" s="455">
        <f t="array" ref="J901">IFERROR(INDEX('Retirement Calculator'!K:K,MATCH('Lorri 401b'!N901,'Retirement Calculator'!A:A,0),0),0)</f>
        <v>20282.026119384056</v>
      </c>
      <c r="K901" s="455">
        <f t="shared" ca="1" si="79"/>
        <v>-51988.17635529254</v>
      </c>
      <c r="L901" s="455">
        <f t="shared" ca="1" si="80"/>
        <v>-12529150.501625502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-12529150.501625502</v>
      </c>
      <c r="J902" s="455">
        <f t="array" ref="J902">IFERROR(INDEX('Retirement Calculator'!K:K,MATCH('Lorri 401b'!N902,'Retirement Calculator'!A:A,0),0),0)</f>
        <v>20282.026119384056</v>
      </c>
      <c r="K902" s="455">
        <f t="shared" ca="1" si="79"/>
        <v>-52289.302198937032</v>
      </c>
      <c r="L902" s="455">
        <f t="shared" ca="1" si="80"/>
        <v>-12601721.829943825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-12601721.829943825</v>
      </c>
      <c r="J903" s="455">
        <f t="array" ref="J903">IFERROR(INDEX('Retirement Calculator'!K:K,MATCH('Lorri 401b'!N903,'Retirement Calculator'!A:A,0),0),0)</f>
        <v>20282.026119384056</v>
      </c>
      <c r="K903" s="455">
        <f t="shared" ca="1" si="79"/>
        <v>-52591.682733596703</v>
      </c>
      <c r="L903" s="455">
        <f t="shared" ca="1" si="80"/>
        <v>-12674595.538796807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-12674595.538796807</v>
      </c>
      <c r="J904" s="455">
        <f t="array" ref="J904">IFERROR(INDEX('Retirement Calculator'!K:K,MATCH('Lorri 401b'!N904,'Retirement Calculator'!A:A,0),0),0)</f>
        <v>20282.026119384056</v>
      </c>
      <c r="K904" s="455">
        <f t="shared" ca="1" si="79"/>
        <v>-52895.323187150796</v>
      </c>
      <c r="L904" s="455">
        <f t="shared" ca="1" si="80"/>
        <v>-12747772.888103342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-12747772.888103342</v>
      </c>
      <c r="J905" s="455">
        <f t="array" ref="J905">IFERROR(INDEX('Retirement Calculator'!K:K,MATCH('Lorri 401b'!N905,'Retirement Calculator'!A:A,0),0),0)</f>
        <v>20282.026119384056</v>
      </c>
      <c r="K905" s="455">
        <f t="shared" ca="1" si="79"/>
        <v>-53200.22880926136</v>
      </c>
      <c r="L905" s="455">
        <f t="shared" ca="1" si="80"/>
        <v>-12821255.143031988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-12821255.143031988</v>
      </c>
      <c r="J906" s="455">
        <f t="array" ref="J906">IFERROR(INDEX('Retirement Calculator'!K:K,MATCH('Lorri 401b'!N906,'Retirement Calculator'!A:A,0),0),0)</f>
        <v>20282.026119384056</v>
      </c>
      <c r="K906" s="455">
        <f t="shared" ca="1" si="79"/>
        <v>-53506.404871464052</v>
      </c>
      <c r="L906" s="455">
        <f t="shared" ca="1" si="80"/>
        <v>-12895043.574022837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-12895043.574022837</v>
      </c>
      <c r="J907" s="455">
        <f t="array" ref="J907">IFERROR(INDEX('Retirement Calculator'!K:K,MATCH('Lorri 401b'!N907,'Retirement Calculator'!A:A,0),0),0)</f>
        <v>20282.026119384056</v>
      </c>
      <c r="K907" s="455">
        <f t="shared" ca="1" si="79"/>
        <v>-53813.856667259257</v>
      </c>
      <c r="L907" s="455">
        <f t="shared" ca="1" si="80"/>
        <v>-12969139.456809482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-12969139.456809482</v>
      </c>
      <c r="J908" s="455">
        <f t="array" ref="J908">IFERROR(INDEX('Retirement Calculator'!K:K,MATCH('Lorri 401b'!N908,'Retirement Calculator'!A:A,0),0),0)</f>
        <v>20282.026119384056</v>
      </c>
      <c r="K908" s="455">
        <f t="shared" ca="1" si="79"/>
        <v>-54122.589512203609</v>
      </c>
      <c r="L908" s="455">
        <f t="shared" ca="1" si="80"/>
        <v>-13043544.072441069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-13043544.072441069</v>
      </c>
      <c r="J909" s="455">
        <f t="array" ref="J909">IFERROR(INDEX('Retirement Calculator'!K:K,MATCH('Lorri 401b'!N909,'Retirement Calculator'!A:A,0),0),0)</f>
        <v>20282.026119384056</v>
      </c>
      <c r="K909" s="455">
        <f t="shared" ca="1" si="79"/>
        <v>-54432.608744001889</v>
      </c>
      <c r="L909" s="455">
        <f t="shared" ca="1" si="80"/>
        <v>-13118258.707304455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-13118258.707304455</v>
      </c>
      <c r="J910" s="455">
        <f t="array" ref="J910">IFERROR(INDEX('Retirement Calculator'!K:K,MATCH('Lorri 401b'!N910,'Retirement Calculator'!A:A,0),0),0)</f>
        <v>20282.026119384056</v>
      </c>
      <c r="K910" s="455">
        <f t="shared" ca="1" si="79"/>
        <v>-54743.919722599334</v>
      </c>
      <c r="L910" s="455">
        <f t="shared" ca="1" si="80"/>
        <v>-13193284.65314644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-13193284.65314644</v>
      </c>
      <c r="J911" s="455">
        <f t="array" ref="J911">IFERROR(INDEX('Retirement Calculator'!K:K,MATCH('Lorri 401b'!N911,'Retirement Calculator'!A:A,0),0),0)</f>
        <v>20282.026119384056</v>
      </c>
      <c r="K911" s="455">
        <f t="shared" ca="1" si="79"/>
        <v>-55056.527830274274</v>
      </c>
      <c r="L911" s="455">
        <f t="shared" ca="1" si="80"/>
        <v>-13268623.2070961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-13268623.2070961</v>
      </c>
      <c r="J912" s="455">
        <f t="array" ref="J912">IFERROR(INDEX('Retirement Calculator'!K:K,MATCH('Lorri 401b'!N912,'Retirement Calculator'!A:A,0),0),0)</f>
        <v>20282.026119384056</v>
      </c>
      <c r="K912" s="455">
        <f t="shared" ca="1" si="79"/>
        <v>-55370.438471731184</v>
      </c>
      <c r="L912" s="455">
        <f t="shared" ca="1" si="80"/>
        <v>-13344275.671687216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-13344275.671687216</v>
      </c>
      <c r="J913" s="455">
        <f t="array" ref="J913">IFERROR(INDEX('Retirement Calculator'!K:K,MATCH('Lorri 401b'!N913,'Retirement Calculator'!A:A,0),0),0)</f>
        <v>20282.026119384056</v>
      </c>
      <c r="K913" s="455">
        <f t="shared" ca="1" si="79"/>
        <v>-55685.657074194169</v>
      </c>
      <c r="L913" s="455">
        <f t="shared" ca="1" si="80"/>
        <v>-13420243.354880795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-13420243.354880795</v>
      </c>
      <c r="J914" s="455">
        <f t="array" ref="J914">IFERROR(INDEX('Retirement Calculator'!K:K,MATCH('Lorri 401b'!N914,'Retirement Calculator'!A:A,0),0),0)</f>
        <v>20282.026119384056</v>
      </c>
      <c r="K914" s="455">
        <f t="shared" ca="1" si="79"/>
        <v>-56002.189087500759</v>
      </c>
      <c r="L914" s="455">
        <f t="shared" ca="1" si="80"/>
        <v>-13496527.570087681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-13496527.570087681</v>
      </c>
      <c r="J915" s="455">
        <f t="array" ref="J915">IFERROR(INDEX('Retirement Calculator'!K:K,MATCH('Lorri 401b'!N915,'Retirement Calculator'!A:A,0),0),0)</f>
        <v>20282.026119384056</v>
      </c>
      <c r="K915" s="455">
        <f t="shared" ca="1" si="79"/>
        <v>-56320.039984196097</v>
      </c>
      <c r="L915" s="455">
        <f t="shared" ca="1" si="80"/>
        <v>-13573129.636191262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-13573129.636191262</v>
      </c>
      <c r="J916" s="455">
        <f t="array" ref="J916">IFERROR(INDEX('Retirement Calculator'!K:K,MATCH('Lorri 401b'!N916,'Retirement Calculator'!A:A,0),0),0)</f>
        <v>20282.026119384056</v>
      </c>
      <c r="K916" s="455">
        <f t="shared" ca="1" si="79"/>
        <v>-56639.215259627694</v>
      </c>
      <c r="L916" s="455">
        <f t="shared" ca="1" si="80"/>
        <v>-13650050.877570275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-13650050.877570275</v>
      </c>
      <c r="J917" s="455">
        <f t="array" ref="J917">IFERROR(INDEX('Retirement Calculator'!K:K,MATCH('Lorri 401b'!N917,'Retirement Calculator'!A:A,0),0),0)</f>
        <v>20282.026119384056</v>
      </c>
      <c r="K917" s="455">
        <f t="shared" ca="1" si="79"/>
        <v>-56959.720432040252</v>
      </c>
      <c r="L917" s="455">
        <f t="shared" ca="1" si="80"/>
        <v>-13727292.624121699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-13727292.624121699</v>
      </c>
      <c r="J918" s="455">
        <f t="array" ref="J918">IFERROR(INDEX('Retirement Calculator'!K:K,MATCH('Lorri 401b'!N918,'Retirement Calculator'!A:A,0),0),0)</f>
        <v>20282.026119384056</v>
      </c>
      <c r="K918" s="455">
        <f t="shared" ca="1" si="79"/>
        <v>-57281.561042671194</v>
      </c>
      <c r="L918" s="455">
        <f t="shared" ca="1" si="80"/>
        <v>-13804856.211283756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-13804856.211283756</v>
      </c>
      <c r="J919" s="455">
        <f t="array" ref="J919">IFERROR(INDEX('Retirement Calculator'!K:K,MATCH('Lorri 401b'!N919,'Retirement Calculator'!A:A,0),0),0)</f>
        <v>20282.026119384056</v>
      </c>
      <c r="K919" s="455">
        <f t="shared" ca="1" si="79"/>
        <v>-57604.742655846414</v>
      </c>
      <c r="L919" s="455">
        <f t="shared" ca="1" si="80"/>
        <v>-13882742.980058989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-13882742.980058989</v>
      </c>
      <c r="J920" s="455">
        <f t="array" ref="J920">IFERROR(INDEX('Retirement Calculator'!K:K,MATCH('Lorri 401b'!N920,'Retirement Calculator'!A:A,0),0),0)</f>
        <v>20282.026119384056</v>
      </c>
      <c r="K920" s="455">
        <f t="shared" ca="1" si="79"/>
        <v>-57929.270859076554</v>
      </c>
      <c r="L920" s="455">
        <f t="shared" ca="1" si="80"/>
        <v>-13960954.277037449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-13960954.277037449</v>
      </c>
      <c r="J921" s="455">
        <f t="array" ref="J921">IFERROR(INDEX('Retirement Calculator'!K:K,MATCH('Lorri 401b'!N921,'Retirement Calculator'!A:A,0),0),0)</f>
        <v>20282.026119384056</v>
      </c>
      <c r="K921" s="455">
        <f t="shared" ca="1" si="79"/>
        <v>-58255.151263153472</v>
      </c>
      <c r="L921" s="455">
        <f t="shared" ca="1" si="80"/>
        <v>-14039491.454419987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-14039491.454419987</v>
      </c>
      <c r="J922" s="455">
        <f t="array" ref="J922">IFERROR(INDEX('Retirement Calculator'!K:K,MATCH('Lorri 401b'!N922,'Retirement Calculator'!A:A,0),0),0)</f>
        <v>20282.026119384056</v>
      </c>
      <c r="K922" s="455">
        <f t="shared" ca="1" si="79"/>
        <v>-58582.389502247381</v>
      </c>
      <c r="L922" s="455">
        <f t="shared" ca="1" si="80"/>
        <v>-14118355.87004162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-14118355.87004162</v>
      </c>
      <c r="J923" s="455">
        <f t="array" ref="J923">IFERROR(INDEX('Retirement Calculator'!K:K,MATCH('Lorri 401b'!N923,'Retirement Calculator'!A:A,0),0),0)</f>
        <v>20282.026119384056</v>
      </c>
      <c r="K923" s="455">
        <f t="shared" ca="1" si="79"/>
        <v>-58910.991234004185</v>
      </c>
      <c r="L923" s="455">
        <f t="shared" ca="1" si="80"/>
        <v>-14197548.887395009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-14197548.887395009</v>
      </c>
      <c r="J924" s="455">
        <f t="array" ref="J924">IFERROR(INDEX('Retirement Calculator'!K:K,MATCH('Lorri 401b'!N924,'Retirement Calculator'!A:A,0),0),0)</f>
        <v>20282.026119384056</v>
      </c>
      <c r="K924" s="455">
        <f t="shared" ca="1" si="79"/>
        <v>-59240.962139643307</v>
      </c>
      <c r="L924" s="455">
        <f t="shared" ca="1" si="80"/>
        <v>-14277071.875654038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-14277071.875654038</v>
      </c>
      <c r="J925" s="455">
        <f t="array" ref="J925">IFERROR(INDEX('Retirement Calculator'!K:K,MATCH('Lorri 401b'!N925,'Retirement Calculator'!A:A,0),0),0)</f>
        <v>20282.026119384056</v>
      </c>
      <c r="K925" s="455">
        <f t="shared" ca="1" si="79"/>
        <v>-59572.307924055931</v>
      </c>
      <c r="L925" s="455">
        <f t="shared" ca="1" si="80"/>
        <v>-14356926.209697479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-14356926.209697479</v>
      </c>
      <c r="J926" s="455">
        <f t="array" ref="J926">IFERROR(INDEX('Retirement Calculator'!K:K,MATCH('Lorri 401b'!N926,'Retirement Calculator'!A:A,0),0),0)</f>
        <v>20282.026119384056</v>
      </c>
      <c r="K926" s="455">
        <f t="shared" ca="1" si="79"/>
        <v>-59905.034315903598</v>
      </c>
      <c r="L926" s="455">
        <f t="shared" ca="1" si="80"/>
        <v>-14437113.270132767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-14437113.270132767</v>
      </c>
      <c r="J927" s="455">
        <f t="array" ref="J927">IFERROR(INDEX('Retirement Calculator'!K:K,MATCH('Lorri 401b'!N927,'Retirement Calculator'!A:A,0),0),0)</f>
        <v>20282.026119384056</v>
      </c>
      <c r="K927" s="455">
        <f t="shared" ca="1" si="79"/>
        <v>-60239.147067717291</v>
      </c>
      <c r="L927" s="455">
        <f t="shared" ca="1" si="80"/>
        <v>-14517634.44331987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-14517634.44331987</v>
      </c>
      <c r="J928" s="455">
        <f t="array" ref="J928">IFERROR(INDEX('Retirement Calculator'!K:K,MATCH('Lorri 401b'!N928,'Retirement Calculator'!A:A,0),0),0)</f>
        <v>20282.026119384056</v>
      </c>
      <c r="K928" s="455">
        <f t="shared" ca="1" si="79"/>
        <v>-60574.651955996895</v>
      </c>
      <c r="L928" s="455">
        <f t="shared" ca="1" si="80"/>
        <v>-14598491.121395253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-14598491.121395253</v>
      </c>
      <c r="J929" s="455">
        <f t="array" ref="J929">IFERROR(INDEX('Retirement Calculator'!K:K,MATCH('Lorri 401b'!N929,'Retirement Calculator'!A:A,0),0),0)</f>
        <v>20282.026119384056</v>
      </c>
      <c r="K929" s="455">
        <f t="shared" ca="1" si="79"/>
        <v>-60911.554781310995</v>
      </c>
      <c r="L929" s="455">
        <f t="shared" ca="1" si="80"/>
        <v>-14679684.702295948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-14679684.702295948</v>
      </c>
      <c r="J930" s="455">
        <f t="array" ref="J930">IFERROR(INDEX('Retirement Calculator'!K:K,MATCH('Lorri 401b'!N930,'Retirement Calculator'!A:A,0),0),0)</f>
        <v>20282.026119384056</v>
      </c>
      <c r="K930" s="455">
        <f t="shared" ca="1" si="79"/>
        <v>-61249.861368397222</v>
      </c>
      <c r="L930" s="455">
        <f t="shared" ca="1" si="80"/>
        <v>-14761216.58978373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-14761216.58978373</v>
      </c>
      <c r="J931" s="455">
        <f t="array" ref="J931">IFERROR(INDEX('Retirement Calculator'!K:K,MATCH('Lorri 401b'!N931,'Retirement Calculator'!A:A,0),0),0)</f>
        <v>20282.026119384056</v>
      </c>
      <c r="K931" s="455">
        <f t="shared" ca="1" si="79"/>
        <v>-61589.577566262982</v>
      </c>
      <c r="L931" s="455">
        <f t="shared" ca="1" si="80"/>
        <v>-14843088.193469377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-14843088.193469377</v>
      </c>
      <c r="J932" s="455">
        <f t="array" ref="J932">IFERROR(INDEX('Retirement Calculator'!K:K,MATCH('Lorri 401b'!N932,'Retirement Calculator'!A:A,0),0),0)</f>
        <v>20282.026119384056</v>
      </c>
      <c r="K932" s="455">
        <f t="shared" ca="1" si="79"/>
        <v>-61930.709248286505</v>
      </c>
      <c r="L932" s="455">
        <f t="shared" ca="1" si="80"/>
        <v>-14925300.928837048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-14925300.928837048</v>
      </c>
      <c r="J933" s="455">
        <f t="array" ref="J933">IFERROR(INDEX('Retirement Calculator'!K:K,MATCH('Lorri 401b'!N933,'Retirement Calculator'!A:A,0),0),0)</f>
        <v>20282.026119384056</v>
      </c>
      <c r="K933" s="455">
        <f t="shared" ca="1" si="79"/>
        <v>-62273.26231231846</v>
      </c>
      <c r="L933" s="455">
        <f t="shared" ca="1" si="80"/>
        <v>-15007856.217268752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-15007856.217268752</v>
      </c>
      <c r="J934" s="455">
        <f t="array" ref="J934">IFERROR(INDEX('Retirement Calculator'!K:K,MATCH('Lorri 401b'!N934,'Retirement Calculator'!A:A,0),0),0)</f>
        <v>20282.026119384056</v>
      </c>
      <c r="K934" s="455">
        <f t="shared" ca="1" si="79"/>
        <v>-62617.2426807839</v>
      </c>
      <c r="L934" s="455">
        <f t="shared" ca="1" si="80"/>
        <v>-15090755.486068921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-15090755.486068921</v>
      </c>
      <c r="J935" s="455">
        <f t="array" ref="J935">IFERROR(INDEX('Retirement Calculator'!K:K,MATCH('Lorri 401b'!N935,'Retirement Calculator'!A:A,0),0),0)</f>
        <v>20282.026119384056</v>
      </c>
      <c r="K935" s="455">
        <f t="shared" ca="1" si="79"/>
        <v>-62962.656300784605</v>
      </c>
      <c r="L935" s="455">
        <f t="shared" ca="1" si="80"/>
        <v>-15174000.168489091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-15174000.168489091</v>
      </c>
      <c r="J936" s="455">
        <f t="array" ref="J936">IFERROR(INDEX('Retirement Calculator'!K:K,MATCH('Lorri 401b'!N936,'Retirement Calculator'!A:A,0),0),0)</f>
        <v>20282.026119384056</v>
      </c>
      <c r="K936" s="455">
        <f t="shared" ca="1" si="79"/>
        <v>-63309.509144201991</v>
      </c>
      <c r="L936" s="455">
        <f t="shared" ca="1" si="80"/>
        <v>-15257591.703752678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-15257591.703752678</v>
      </c>
      <c r="J937" s="455">
        <f t="array" ref="J937">IFERROR(INDEX('Retirement Calculator'!K:K,MATCH('Lorri 401b'!N937,'Retirement Calculator'!A:A,0),0),0)</f>
        <v>20282.026119384056</v>
      </c>
      <c r="K937" s="455">
        <f t="shared" ca="1" si="79"/>
        <v>-63657.807207800251</v>
      </c>
      <c r="L937" s="455">
        <f t="shared" ca="1" si="80"/>
        <v>-15341531.537079863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-15341531.537079863</v>
      </c>
      <c r="J938" s="455">
        <f t="array" ref="J938">IFERROR(INDEX('Retirement Calculator'!K:K,MATCH('Lorri 401b'!N938,'Retirement Calculator'!A:A,0),0),0)</f>
        <v>20282.026119384056</v>
      </c>
      <c r="K938" s="455">
        <f t="shared" ca="1" si="79"/>
        <v>-64007.556513330193</v>
      </c>
      <c r="L938" s="455">
        <f t="shared" ca="1" si="80"/>
        <v>-15425821.119712578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-15425821.119712578</v>
      </c>
      <c r="J939" s="455">
        <f t="array" ref="J939">IFERROR(INDEX('Retirement Calculator'!K:K,MATCH('Lorri 401b'!N939,'Retirement Calculator'!A:A,0),0),0)</f>
        <v>20282.026119384056</v>
      </c>
      <c r="K939" s="455">
        <f t="shared" ca="1" si="79"/>
        <v>-64358.763107633182</v>
      </c>
      <c r="L939" s="455">
        <f t="shared" ca="1" si="80"/>
        <v>-15510461.908939596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-15510461.908939596</v>
      </c>
      <c r="J940" s="455">
        <f t="array" ref="J940">IFERROR(INDEX('Retirement Calculator'!K:K,MATCH('Lorri 401b'!N940,'Retirement Calculator'!A:A,0),0),0)</f>
        <v>20282.026119384056</v>
      </c>
      <c r="K940" s="455">
        <f t="shared" ca="1" si="79"/>
        <v>-64711.433062745753</v>
      </c>
      <c r="L940" s="455">
        <f t="shared" ca="1" si="80"/>
        <v>-15595455.368121726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-15595455.368121726</v>
      </c>
      <c r="J941" s="455">
        <f t="array" ref="J941">IFERROR(INDEX('Retirement Calculator'!K:K,MATCH('Lorri 401b'!N941,'Retirement Calculator'!A:A,0),0),0)</f>
        <v>20282.026119384056</v>
      </c>
      <c r="K941" s="455">
        <f t="shared" ca="1" si="79"/>
        <v>-65065.572476004636</v>
      </c>
      <c r="L941" s="455">
        <f t="shared" ca="1" si="80"/>
        <v>-15680802.966717117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-15680802.966717117</v>
      </c>
      <c r="J942" s="455">
        <f t="array" ref="J942">IFERROR(INDEX('Retirement Calculator'!K:K,MATCH('Lorri 401b'!N942,'Retirement Calculator'!A:A,0),0),0)</f>
        <v>20282.026119384056</v>
      </c>
      <c r="K942" s="455">
        <f t="shared" ca="1" si="79"/>
        <v>-65421.187470152086</v>
      </c>
      <c r="L942" s="455">
        <f t="shared" ca="1" si="80"/>
        <v>-15766506.180306654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-15766506.180306654</v>
      </c>
      <c r="J943" s="455">
        <f t="array" ref="J943">IFERROR(INDEX('Retirement Calculator'!K:K,MATCH('Lorri 401b'!N943,'Retirement Calculator'!A:A,0),0),0)</f>
        <v>20282.026119384056</v>
      </c>
      <c r="K943" s="455">
        <f t="shared" ca="1" si="79"/>
        <v>-65778.284193441825</v>
      </c>
      <c r="L943" s="455">
        <f t="shared" ca="1" si="80"/>
        <v>-15852566.490619481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-15852566.490619481</v>
      </c>
      <c r="J944" s="455">
        <f t="array" ref="J944">IFERROR(INDEX('Retirement Calculator'!K:K,MATCH('Lorri 401b'!N944,'Retirement Calculator'!A:A,0),0),0)</f>
        <v>20282.026119384056</v>
      </c>
      <c r="K944" s="455">
        <f t="shared" ca="1" si="79"/>
        <v>-66136.868819745272</v>
      </c>
      <c r="L944" s="455">
        <f t="shared" ca="1" si="80"/>
        <v>-15938985.385558611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-15938985.385558611</v>
      </c>
      <c r="J945" s="455">
        <f t="array" ref="J945">IFERROR(INDEX('Retirement Calculator'!K:K,MATCH('Lorri 401b'!N945,'Retirement Calculator'!A:A,0),0),0)</f>
        <v>20282.026119384056</v>
      </c>
      <c r="K945" s="455">
        <f t="shared" ca="1" si="79"/>
        <v>-66496.947548658311</v>
      </c>
      <c r="L945" s="455">
        <f t="shared" ca="1" si="80"/>
        <v>-16025764.359226653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-16025764.359226653</v>
      </c>
      <c r="J946" s="455">
        <f t="array" ref="J946">IFERROR(INDEX('Retirement Calculator'!K:K,MATCH('Lorri 401b'!N946,'Retirement Calculator'!A:A,0),0),0)</f>
        <v>20282.026119384056</v>
      </c>
      <c r="K946" s="455">
        <f t="shared" ca="1" si="79"/>
        <v>-66858.526605608495</v>
      </c>
      <c r="L946" s="455">
        <f t="shared" ca="1" si="80"/>
        <v>-16112904.911951646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-16112904.911951646</v>
      </c>
      <c r="J947" s="455">
        <f t="array" ref="J947">IFERROR(INDEX('Retirement Calculator'!K:K,MATCH('Lorri 401b'!N947,'Retirement Calculator'!A:A,0),0),0)</f>
        <v>20282.026119384056</v>
      </c>
      <c r="K947" s="455">
        <f t="shared" ca="1" si="79"/>
        <v>-67221.612241962619</v>
      </c>
      <c r="L947" s="455">
        <f t="shared" ca="1" si="80"/>
        <v>-16200408.550312994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-16200408.550312994</v>
      </c>
      <c r="J948" s="455">
        <f t="array" ref="J948">IFERROR(INDEX('Retirement Calculator'!K:K,MATCH('Lorri 401b'!N948,'Retirement Calculator'!A:A,0),0),0)</f>
        <v>20282.026119384056</v>
      </c>
      <c r="K948" s="455">
        <f t="shared" ca="1" si="79"/>
        <v>-67586.210735134911</v>
      </c>
      <c r="L948" s="455">
        <f t="shared" ca="1" si="80"/>
        <v>-16288276.787167514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-16288276.787167514</v>
      </c>
      <c r="J949" s="455">
        <f t="array" ref="J949">IFERROR(INDEX('Retirement Calculator'!K:K,MATCH('Lorri 401b'!N949,'Retirement Calculator'!A:A,0),0),0)</f>
        <v>20282.026119384056</v>
      </c>
      <c r="K949" s="455">
        <f t="shared" ca="1" si="79"/>
        <v>-67952.328388695416</v>
      </c>
      <c r="L949" s="455">
        <f t="shared" ca="1" si="80"/>
        <v>-16376511.141675593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-16376511.141675593</v>
      </c>
      <c r="J950" s="455">
        <f t="array" ref="J950">IFERROR(INDEX('Retirement Calculator'!K:K,MATCH('Lorri 401b'!N950,'Retirement Calculator'!A:A,0),0),0)</f>
        <v>20282.026119384056</v>
      </c>
      <c r="K950" s="455">
        <f t="shared" ca="1" si="79"/>
        <v>-68319.971532479089</v>
      </c>
      <c r="L950" s="455">
        <f t="shared" ca="1" si="80"/>
        <v>-16465113.139327457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-16465113.139327457</v>
      </c>
      <c r="J951" s="455">
        <f t="array" ref="J951">IFERROR(INDEX('Retirement Calculator'!K:K,MATCH('Lorri 401b'!N951,'Retirement Calculator'!A:A,0),0),0)</f>
        <v>20282.026119384056</v>
      </c>
      <c r="K951" s="455">
        <f t="shared" ca="1" si="79"/>
        <v>-68689.14652269517</v>
      </c>
      <c r="L951" s="455">
        <f t="shared" ca="1" si="80"/>
        <v>-16554084.311969537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-16554084.311969537</v>
      </c>
      <c r="J952" s="455">
        <f t="array" ref="J952">IFERROR(INDEX('Retirement Calculator'!K:K,MATCH('Lorri 401b'!N952,'Retirement Calculator'!A:A,0),0),0)</f>
        <v>20282.026119384056</v>
      </c>
      <c r="K952" s="455">
        <f t="shared" ca="1" si="79"/>
        <v>-69059.859742037181</v>
      </c>
      <c r="L952" s="455">
        <f t="shared" ca="1" si="80"/>
        <v>-16643426.19783096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-16643426.19783096</v>
      </c>
      <c r="J953" s="455">
        <f t="array" ref="J953">IFERROR(INDEX('Retirement Calculator'!K:K,MATCH('Lorri 401b'!N953,'Retirement Calculator'!A:A,0),0),0)</f>
        <v>20282.026119384056</v>
      </c>
      <c r="K953" s="455">
        <f t="shared" ca="1" si="79"/>
        <v>-69432.117599793099</v>
      </c>
      <c r="L953" s="455">
        <f t="shared" ca="1" si="80"/>
        <v>-16733140.341550138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-16733140.341550138</v>
      </c>
      <c r="J954" s="455">
        <f t="array" ref="J954">IFERROR(INDEX('Retirement Calculator'!K:K,MATCH('Lorri 401b'!N954,'Retirement Calculator'!A:A,0),0),0)</f>
        <v>20282.026119384056</v>
      </c>
      <c r="K954" s="455">
        <f t="shared" ca="1" si="79"/>
        <v>-69805.926531956342</v>
      </c>
      <c r="L954" s="455">
        <f t="shared" ca="1" si="80"/>
        <v>-16823228.294201478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-16823228.294201478</v>
      </c>
      <c r="J955" s="455">
        <f t="array" ref="J955">IFERROR(INDEX('Retirement Calculator'!K:K,MATCH('Lorri 401b'!N955,'Retirement Calculator'!A:A,0),0),0)</f>
        <v>20282.026119384056</v>
      </c>
      <c r="K955" s="455">
        <f t="shared" ca="1" si="79"/>
        <v>-70181.293001336933</v>
      </c>
      <c r="L955" s="455">
        <f t="shared" ca="1" si="80"/>
        <v>-16913691.613322198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-16913691.613322198</v>
      </c>
      <c r="J956" s="455">
        <f t="array" ref="J956">IFERROR(INDEX('Retirement Calculator'!K:K,MATCH('Lorri 401b'!N956,'Retirement Calculator'!A:A,0),0),0)</f>
        <v>20282.026119384056</v>
      </c>
      <c r="K956" s="455">
        <f t="shared" ca="1" si="79"/>
        <v>-70558.223497673258</v>
      </c>
      <c r="L956" s="455">
        <f t="shared" ca="1" si="80"/>
        <v>-17004531.862939257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-17004531.862939257</v>
      </c>
      <c r="J957" s="455">
        <f t="array" ref="J957">IFERROR(INDEX('Retirement Calculator'!K:K,MATCH('Lorri 401b'!N957,'Retirement Calculator'!A:A,0),0),0)</f>
        <v>20282.026119384056</v>
      </c>
      <c r="K957" s="455">
        <f t="shared" ca="1" si="79"/>
        <v>-70936.724537744347</v>
      </c>
      <c r="L957" s="455">
        <f t="shared" ca="1" si="80"/>
        <v>-17095750.613596387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-17095750.613596387</v>
      </c>
      <c r="J958" s="455">
        <f t="array" ref="J958">IFERROR(INDEX('Retirement Calculator'!K:K,MATCH('Lorri 401b'!N958,'Retirement Calculator'!A:A,0),0),0)</f>
        <v>20282.026119384056</v>
      </c>
      <c r="K958" s="455">
        <f t="shared" ca="1" si="79"/>
        <v>-71316.802665482377</v>
      </c>
      <c r="L958" s="455">
        <f t="shared" ca="1" si="80"/>
        <v>-17187349.442381255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-17187349.442381255</v>
      </c>
      <c r="J959" s="455">
        <f t="array" ref="J959">IFERROR(INDEX('Retirement Calculator'!K:K,MATCH('Lorri 401b'!N959,'Retirement Calculator'!A:A,0),0),0)</f>
        <v>20282.026119384056</v>
      </c>
      <c r="K959" s="455">
        <f t="shared" ca="1" si="79"/>
        <v>-71698.464452086002</v>
      </c>
      <c r="L959" s="455">
        <f t="shared" ca="1" si="80"/>
        <v>-17279329.932952724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-17279329.932952724</v>
      </c>
      <c r="J960" s="455">
        <f t="array" ref="J960">IFERROR(INDEX('Retirement Calculator'!K:K,MATCH('Lorri 401b'!N960,'Retirement Calculator'!A:A,0),0),0)</f>
        <v>20282.026119384056</v>
      </c>
      <c r="K960" s="455">
        <f t="shared" ca="1" si="79"/>
        <v>-72081.716496133784</v>
      </c>
      <c r="L960" s="455">
        <f t="shared" ca="1" si="80"/>
        <v>-17371693.675568242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-17371693.675568242</v>
      </c>
      <c r="J961" s="455">
        <f t="array" ref="J961">IFERROR(INDEX('Retirement Calculator'!K:K,MATCH('Lorri 401b'!N961,'Retirement Calculator'!A:A,0),0),0)</f>
        <v>20282.026119384056</v>
      </c>
      <c r="K961" s="455">
        <f t="shared" ca="1" si="79"/>
        <v>-72466.565423698441</v>
      </c>
      <c r="L961" s="455">
        <f t="shared" ca="1" si="80"/>
        <v>-17464442.267111324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-17464442.267111324</v>
      </c>
      <c r="J962" s="455">
        <f t="array" ref="J962">IFERROR(INDEX('Retirement Calculator'!K:K,MATCH('Lorri 401b'!N962,'Retirement Calculator'!A:A,0),0),0)</f>
        <v>20282.026119384056</v>
      </c>
      <c r="K962" s="455">
        <f t="shared" ca="1" si="79"/>
        <v>-72853.017888461283</v>
      </c>
      <c r="L962" s="455">
        <f t="shared" ca="1" si="80"/>
        <v>-17557577.311119169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-17557577.311119169</v>
      </c>
      <c r="J963" s="455">
        <f t="array" ref="J963">IFERROR(INDEX('Retirement Calculator'!K:K,MATCH('Lorri 401b'!N963,'Retirement Calculator'!A:A,0),0),0)</f>
        <v>20282.026119384056</v>
      </c>
      <c r="K963" s="455">
        <f t="shared" ca="1" si="79"/>
        <v>-73241.080571827304</v>
      </c>
      <c r="L963" s="455">
        <f t="shared" ca="1" si="80"/>
        <v>-17651100.41781038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-17651100.41781038</v>
      </c>
      <c r="J964" s="455">
        <f t="array" ref="J964">IFERROR(INDEX('Retirement Calculator'!K:K,MATCH('Lorri 401b'!N964,'Retirement Calculator'!A:A,0),0),0)</f>
        <v>20282.026119384056</v>
      </c>
      <c r="K964" s="455">
        <f t="shared" ca="1" si="79"/>
        <v>-73630.760183040693</v>
      </c>
      <c r="L964" s="455">
        <f t="shared" ca="1" si="80"/>
        <v>-17745013.204112805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-17745013.204112805</v>
      </c>
      <c r="J965" s="455">
        <f t="array" ref="J965">IFERROR(INDEX('Retirement Calculator'!K:K,MATCH('Lorri 401b'!N965,'Retirement Calculator'!A:A,0),0),0)</f>
        <v>20282.026119384056</v>
      </c>
      <c r="K965" s="455">
        <f t="shared" ca="1" si="79"/>
        <v>-74022.063459300785</v>
      </c>
      <c r="L965" s="455">
        <f t="shared" ca="1" si="80"/>
        <v>-17839317.29369149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-17839317.29369149</v>
      </c>
      <c r="J966" s="455">
        <f t="array" ref="J966">IFERROR(INDEX('Retirement Calculator'!K:K,MATCH('Lorri 401b'!N966,'Retirement Calculator'!A:A,0),0),0)</f>
        <v>20282.026119384056</v>
      </c>
      <c r="K966" s="455">
        <f t="shared" ca="1" si="79"/>
        <v>-74414.997165878638</v>
      </c>
      <c r="L966" s="455">
        <f t="shared" ca="1" si="80"/>
        <v>-17934014.316976752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-17934014.316976752</v>
      </c>
      <c r="J967" s="455">
        <f t="array" ref="J967">IFERROR(INDEX('Retirement Calculator'!K:K,MATCH('Lorri 401b'!N967,'Retirement Calculator'!A:A,0),0),0)</f>
        <v>20282.026119384056</v>
      </c>
      <c r="K967" s="455">
        <f t="shared" ca="1" si="79"/>
        <v>-74809.56809623391</v>
      </c>
      <c r="L967" s="455">
        <f t="shared" ca="1" si="80"/>
        <v>-18029105.911192372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-18029105.911192372</v>
      </c>
      <c r="J968" s="455">
        <f t="array" ref="J968">IFERROR(INDEX('Retirement Calculator'!K:K,MATCH('Lorri 401b'!N968,'Retirement Calculator'!A:A,0),0),0)</f>
        <v>20282.026119384056</v>
      </c>
      <c r="K968" s="455">
        <f t="shared" ca="1" si="79"/>
        <v>-75205.783072132326</v>
      </c>
      <c r="L968" s="455">
        <f t="shared" ca="1" si="80"/>
        <v>-18124593.72038389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-18124593.72038389</v>
      </c>
      <c r="J969" s="455">
        <f t="array" ref="J969">IFERROR(INDEX('Retirement Calculator'!K:K,MATCH('Lorri 401b'!N969,'Retirement Calculator'!A:A,0),0),0)</f>
        <v>20282.026119384056</v>
      </c>
      <c r="K969" s="455">
        <f t="shared" ca="1" si="79"/>
        <v>-75603.648943763648</v>
      </c>
      <c r="L969" s="455">
        <f t="shared" ca="1" si="80"/>
        <v>-18220479.395447038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-18220479.395447038</v>
      </c>
      <c r="J970" s="455">
        <f t="array" ref="J970">IFERROR(INDEX('Retirement Calculator'!K:K,MATCH('Lorri 401b'!N970,'Retirement Calculator'!A:A,0),0),0)</f>
        <v>20282.026119384056</v>
      </c>
      <c r="K970" s="455">
        <f t="shared" ca="1" si="79"/>
        <v>-76003.1725898601</v>
      </c>
      <c r="L970" s="455">
        <f t="shared" ca="1" si="80"/>
        <v>-18316764.594156284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-18316764.594156284</v>
      </c>
      <c r="J971" s="455">
        <f t="array" ref="J971">IFERROR(INDEX('Retirement Calculator'!K:K,MATCH('Lorri 401b'!N971,'Retirement Calculator'!A:A,0),0),0)</f>
        <v>20282.026119384056</v>
      </c>
      <c r="K971" s="455">
        <f t="shared" ca="1" si="79"/>
        <v>-76404.360917815284</v>
      </c>
      <c r="L971" s="455">
        <f t="shared" ca="1" si="80"/>
        <v>-18413450.981193483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-18413450.981193483</v>
      </c>
      <c r="J972" s="455">
        <f t="array" ref="J972">IFERROR(INDEX('Retirement Calculator'!K:K,MATCH('Lorri 401b'!N972,'Retirement Calculator'!A:A,0),0),0)</f>
        <v>20282.026119384056</v>
      </c>
      <c r="K972" s="455">
        <f t="shared" ca="1" si="79"/>
        <v>-76807.22086380361</v>
      </c>
      <c r="L972" s="455">
        <f t="shared" ca="1" si="80"/>
        <v>-18510540.228176672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-18510540.228176672</v>
      </c>
      <c r="J973" s="455">
        <f t="array" ref="J973">IFERROR(INDEX('Retirement Calculator'!K:K,MATCH('Lorri 401b'!N973,'Retirement Calculator'!A:A,0),0),0)</f>
        <v>20282.026119384056</v>
      </c>
      <c r="K973" s="455">
        <f t="shared" ca="1" si="79"/>
        <v>-77211.759392900232</v>
      </c>
      <c r="L973" s="455">
        <f t="shared" ca="1" si="80"/>
        <v>-18608034.013688955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-18608034.013688955</v>
      </c>
      <c r="J974" s="455">
        <f t="array" ref="J974">IFERROR(INDEX('Retirement Calculator'!K:K,MATCH('Lorri 401b'!N974,'Retirement Calculator'!A:A,0),0),0)</f>
        <v>20282.026119384056</v>
      </c>
      <c r="K974" s="455">
        <f t="shared" ca="1" si="79"/>
        <v>-77617.983499201422</v>
      </c>
      <c r="L974" s="455">
        <f t="shared" ca="1" si="80"/>
        <v>-18705934.023307543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-18705934.023307543</v>
      </c>
      <c r="J975" s="455">
        <f t="array" ref="J975">IFERROR(INDEX('Retirement Calculator'!K:K,MATCH('Lorri 401b'!N975,'Retirement Calculator'!A:A,0),0),0)</f>
        <v>20282.026119384056</v>
      </c>
      <c r="K975" s="455">
        <f t="shared" ca="1" si="79"/>
        <v>-78025.900205945538</v>
      </c>
      <c r="L975" s="455">
        <f t="shared" ca="1" si="80"/>
        <v>-18804241.949632872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-18804241.949632872</v>
      </c>
      <c r="J976" s="455">
        <f t="array" ref="J976">IFERROR(INDEX('Retirement Calculator'!K:K,MATCH('Lorri 401b'!N976,'Retirement Calculator'!A:A,0),0),0)</f>
        <v>20282.026119384056</v>
      </c>
      <c r="K976" s="455">
        <f t="shared" ca="1" si="79"/>
        <v>-78435.516565634403</v>
      </c>
      <c r="L976" s="455">
        <f t="shared" ca="1" si="80"/>
        <v>-18902959.492317893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-18902959.492317893</v>
      </c>
      <c r="J977" s="455">
        <f t="array" ref="J977">IFERROR(INDEX('Retirement Calculator'!K:K,MATCH('Lorri 401b'!N977,'Retirement Calculator'!A:A,0),0),0)</f>
        <v>20282.026119384056</v>
      </c>
      <c r="K977" s="455">
        <f t="shared" ca="1" si="79"/>
        <v>-78846.839660155325</v>
      </c>
      <c r="L977" s="455">
        <f t="shared" ca="1" si="80"/>
        <v>-19002088.358097434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-19002088.358097434</v>
      </c>
      <c r="J978" s="455">
        <f t="array" ref="J978">IFERROR(INDEX('Retirement Calculator'!K:K,MATCH('Lorri 401b'!N978,'Retirement Calculator'!A:A,0),0),0)</f>
        <v>20282.026119384056</v>
      </c>
      <c r="K978" s="455">
        <f t="shared" ca="1" si="79"/>
        <v>-79259.876600903415</v>
      </c>
      <c r="L978" s="455">
        <f t="shared" ca="1" si="80"/>
        <v>-19101630.260817721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-19101630.260817721</v>
      </c>
      <c r="J979" s="455">
        <f t="array" ref="J979">IFERROR(INDEX('Retirement Calculator'!K:K,MATCH('Lorri 401b'!N979,'Retirement Calculator'!A:A,0),0),0)</f>
        <v>20282.026119384056</v>
      </c>
      <c r="K979" s="455">
        <f t="shared" ca="1" si="79"/>
        <v>-79674.634528904615</v>
      </c>
      <c r="L979" s="455">
        <f t="shared" ca="1" si="80"/>
        <v>-19201586.921466012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-19201586.921466012</v>
      </c>
      <c r="J980" s="455">
        <f t="array" ref="J980">IFERROR(INDEX('Retirement Calculator'!K:K,MATCH('Lorri 401b'!N980,'Retirement Calculator'!A:A,0),0),0)</f>
        <v>20282.026119384056</v>
      </c>
      <c r="K980" s="455">
        <f t="shared" ca="1" si="79"/>
        <v>-80091.120614939151</v>
      </c>
      <c r="L980" s="455">
        <f t="shared" ca="1" si="80"/>
        <v>-19301960.068200335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-19301960.068200335</v>
      </c>
      <c r="J981" s="455">
        <f t="array" ref="J981">IFERROR(INDEX('Retirement Calculator'!K:K,MATCH('Lorri 401b'!N981,'Retirement Calculator'!A:A,0),0),0)</f>
        <v>20282.026119384056</v>
      </c>
      <c r="K981" s="455">
        <f t="shared" ca="1" si="79"/>
        <v>-80509.342059665505</v>
      </c>
      <c r="L981" s="455">
        <f t="shared" ca="1" si="80"/>
        <v>-19402751.436379384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-19402751.436379384</v>
      </c>
      <c r="J982" s="455">
        <f t="array" ref="J982">IFERROR(INDEX('Retirement Calculator'!K:K,MATCH('Lorri 401b'!N982,'Retirement Calculator'!A:A,0),0),0)</f>
        <v>20282.026119384056</v>
      </c>
      <c r="K982" s="455">
        <f t="shared" ca="1" si="79"/>
        <v>-80929.306093744875</v>
      </c>
      <c r="L982" s="455">
        <f t="shared" ca="1" si="80"/>
        <v>-19503962.768592514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-19503962.768592514</v>
      </c>
      <c r="J983" s="455">
        <f t="array" ref="J983">IFERROR(INDEX('Retirement Calculator'!K:K,MATCH('Lorri 401b'!N983,'Retirement Calculator'!A:A,0),0),0)</f>
        <v>20282.026119384056</v>
      </c>
      <c r="K983" s="455">
        <f t="shared" ca="1" si="79"/>
        <v>-81351.019977966251</v>
      </c>
      <c r="L983" s="455">
        <f t="shared" ca="1" si="80"/>
        <v>-19605595.814689863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-19605595.814689863</v>
      </c>
      <c r="J984" s="455">
        <f t="array" ref="J984">IFERROR(INDEX('Retirement Calculator'!K:K,MATCH('Lorri 401b'!N984,'Retirement Calculator'!A:A,0),0),0)</f>
        <v>20282.026119384056</v>
      </c>
      <c r="K984" s="455">
        <f t="shared" ca="1" si="79"/>
        <v>-81774.491003371862</v>
      </c>
      <c r="L984" s="455">
        <f t="shared" ca="1" si="80"/>
        <v>-19707652.33181262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-19707652.33181262</v>
      </c>
      <c r="J985" s="455">
        <f t="array" ref="J985">IFERROR(INDEX('Retirement Calculator'!K:K,MATCH('Lorri 401b'!N985,'Retirement Calculator'!A:A,0),0),0)</f>
        <v>20282.026119384056</v>
      </c>
      <c r="K985" s="455">
        <f t="shared" ca="1" si="79"/>
        <v>-82199.72649138335</v>
      </c>
      <c r="L985" s="455">
        <f t="shared" ca="1" si="80"/>
        <v>-19810134.084423389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-19810134.084423389</v>
      </c>
      <c r="J986" s="455">
        <f t="array" ref="J986">IFERROR(INDEX('Retirement Calculator'!K:K,MATCH('Lorri 401b'!N986,'Retirement Calculator'!A:A,0),0),0)</f>
        <v>20282.026119384056</v>
      </c>
      <c r="K986" s="455">
        <f t="shared" ca="1" si="79"/>
        <v>-82626.73379392823</v>
      </c>
      <c r="L986" s="455">
        <f t="shared" ca="1" si="80"/>
        <v>-19913042.844336703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-19913042.844336703</v>
      </c>
      <c r="J987" s="455">
        <f t="array" ref="J987">IFERROR(INDEX('Retirement Calculator'!K:K,MATCH('Lorri 401b'!N987,'Retirement Calculator'!A:A,0),0),0)</f>
        <v>20282.026119384056</v>
      </c>
      <c r="K987" s="455">
        <f t="shared" ca="1" si="79"/>
        <v>-83055.520293567039</v>
      </c>
      <c r="L987" s="455">
        <f t="shared" ca="1" si="80"/>
        <v>-20016380.390749656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-20016380.390749656</v>
      </c>
      <c r="J988" s="455">
        <f t="array" ref="J988">IFERROR(INDEX('Retirement Calculator'!K:K,MATCH('Lorri 401b'!N988,'Retirement Calculator'!A:A,0),0),0)</f>
        <v>20282.026119384056</v>
      </c>
      <c r="K988" s="455">
        <f t="shared" ca="1" si="79"/>
        <v>-83486.093403620995</v>
      </c>
      <c r="L988" s="455">
        <f t="shared" ca="1" si="80"/>
        <v>-20120148.510272663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-20120148.510272663</v>
      </c>
      <c r="J989" s="455">
        <f t="array" ref="J989">IFERROR(INDEX('Retirement Calculator'!K:K,MATCH('Lorri 401b'!N989,'Retirement Calculator'!A:A,0),0),0)</f>
        <v>20282.026119384056</v>
      </c>
      <c r="K989" s="455">
        <f t="shared" ca="1" si="79"/>
        <v>-83918.460568300201</v>
      </c>
      <c r="L989" s="455">
        <f t="shared" ca="1" si="80"/>
        <v>-20224348.996960349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-20224348.996960349</v>
      </c>
      <c r="J990" s="455">
        <f t="array" ref="J990">IFERROR(INDEX('Retirement Calculator'!K:K,MATCH('Lorri 401b'!N990,'Retirement Calculator'!A:A,0),0),0)</f>
        <v>20282.026119384056</v>
      </c>
      <c r="K990" s="455">
        <f t="shared" ca="1" si="79"/>
        <v>-84352.629262832226</v>
      </c>
      <c r="L990" s="455">
        <f t="shared" ca="1" si="80"/>
        <v>-20328983.652342565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-20328983.652342565</v>
      </c>
      <c r="J991" s="455">
        <f t="array" ref="J991">IFERROR(INDEX('Retirement Calculator'!K:K,MATCH('Lorri 401b'!N991,'Retirement Calculator'!A:A,0),0),0)</f>
        <v>20282.026119384056</v>
      </c>
      <c r="K991" s="455">
        <f t="shared" ca="1" si="79"/>
        <v>-84788.606993591457</v>
      </c>
      <c r="L991" s="455">
        <f t="shared" ca="1" si="80"/>
        <v>-20434054.285455544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-20434054.285455544</v>
      </c>
      <c r="J992" s="455">
        <f t="array" ref="J992">IFERROR(INDEX('Retirement Calculator'!K:K,MATCH('Lorri 401b'!N992,'Retirement Calculator'!A:A,0),0),0)</f>
        <v>20282.026119384056</v>
      </c>
      <c r="K992" s="455">
        <f t="shared" ca="1" si="79"/>
        <v>-85226.40129822887</v>
      </c>
      <c r="L992" s="455">
        <f t="shared" ca="1" si="80"/>
        <v>-20539562.712873157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-20539562.712873157</v>
      </c>
      <c r="J993" s="455">
        <f t="array" ref="J993">IFERROR(INDEX('Retirement Calculator'!K:K,MATCH('Lorri 401b'!N993,'Retirement Calculator'!A:A,0),0),0)</f>
        <v>20282.026119384056</v>
      </c>
      <c r="K993" s="455">
        <f t="shared" ca="1" si="79"/>
        <v>-85666.019745802259</v>
      </c>
      <c r="L993" s="455">
        <f t="shared" ca="1" si="80"/>
        <v>-20645510.758738343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-20645510.758738343</v>
      </c>
      <c r="J994" s="455">
        <f t="array" ref="J994">IFERROR(INDEX('Retirement Calculator'!K:K,MATCH('Lorri 401b'!N994,'Retirement Calculator'!A:A,0),0),0)</f>
        <v>20282.026119384056</v>
      </c>
      <c r="K994" s="455">
        <f t="shared" ca="1" si="79"/>
        <v>-86107.469936907204</v>
      </c>
      <c r="L994" s="455">
        <f t="shared" ca="1" si="80"/>
        <v>-20751900.254794635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-20751900.254794635</v>
      </c>
      <c r="J995" s="455">
        <f t="array" ref="J995">IFERROR(INDEX('Retirement Calculator'!K:K,MATCH('Lorri 401b'!N995,'Retirement Calculator'!A:A,0),0),0)</f>
        <v>20282.026119384056</v>
      </c>
      <c r="K995" s="455">
        <f t="shared" ca="1" si="79"/>
        <v>-86550.759503808411</v>
      </c>
      <c r="L995" s="455">
        <f t="shared" ca="1" si="80"/>
        <v>-20858733.040417828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-20858733.040417828</v>
      </c>
      <c r="J996" s="455">
        <f t="array" ref="J996">IFERROR(INDEX('Retirement Calculator'!K:K,MATCH('Lorri 401b'!N996,'Retirement Calculator'!A:A,0),0),0)</f>
        <v>20282.026119384056</v>
      </c>
      <c r="K996" s="455">
        <f t="shared" ca="1" si="79"/>
        <v>-86995.896110571717</v>
      </c>
      <c r="L996" s="455">
        <f t="shared" ca="1" si="80"/>
        <v>-20966010.962647785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-20966010.962647785</v>
      </c>
      <c r="J997" s="455">
        <f t="array" ref="J997">IFERROR(INDEX('Retirement Calculator'!K:K,MATCH('Lorri 401b'!N997,'Retirement Calculator'!A:A,0),0),0)</f>
        <v>20282.026119384056</v>
      </c>
      <c r="K997" s="455">
        <f t="shared" ca="1" si="79"/>
        <v>-87442.887453196541</v>
      </c>
      <c r="L997" s="455">
        <f t="shared" ca="1" si="80"/>
        <v>-21073735.876220364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-21073735.876220364</v>
      </c>
      <c r="J998" s="455">
        <f t="array" ref="J998">IFERROR(INDEX('Retirement Calculator'!K:K,MATCH('Lorri 401b'!N998,'Retirement Calculator'!A:A,0),0),0)</f>
        <v>20282.026119384056</v>
      </c>
      <c r="K998" s="455">
        <f t="shared" ca="1" si="79"/>
        <v>-87891.74125974896</v>
      </c>
      <c r="L998" s="455">
        <f t="shared" ca="1" si="80"/>
        <v>-21181909.643599499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-21181909.643599499</v>
      </c>
      <c r="J999" s="455">
        <f t="array" ref="J999">IFERROR(INDEX('Retirement Calculator'!K:K,MATCH('Lorri 401b'!N999,'Retirement Calculator'!A:A,0),0),0)</f>
        <v>20282.026119384056</v>
      </c>
      <c r="K999" s="455">
        <f t="shared" ca="1" si="79"/>
        <v>-88342.465290495355</v>
      </c>
      <c r="L999" s="455">
        <f t="shared" ca="1" si="80"/>
        <v>-21290534.135009378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-21290534.135009378</v>
      </c>
      <c r="J1000" s="455">
        <f t="array" ref="J1000">IFERROR(INDEX('Retirement Calculator'!K:K,MATCH('Lorri 401b'!N1000,'Retirement Calculator'!A:A,0),0),0)</f>
        <v>20282.026119384056</v>
      </c>
      <c r="K1000" s="455">
        <f t="shared" ca="1" si="79"/>
        <v>-88795.067338036519</v>
      </c>
      <c r="L1000" s="455">
        <f t="shared" ca="1" si="80"/>
        <v>-21399611.228466801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-21399611.228466801</v>
      </c>
      <c r="J1001" s="455">
        <f t="array" ref="J1001">IFERROR(INDEX('Retirement Calculator'!K:K,MATCH('Lorri 401b'!N1001,'Retirement Calculator'!A:A,0),0),0)</f>
        <v>20282.026119384056</v>
      </c>
      <c r="K1001" s="455">
        <f t="shared" ca="1" si="79"/>
        <v>-89249.555227442441</v>
      </c>
      <c r="L1001" s="455">
        <f t="shared" ca="1" si="80"/>
        <v>-21509142.80981363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-21509142.80981363</v>
      </c>
      <c r="J1002" s="455">
        <f t="array" ref="J1002">IFERROR(INDEX('Retirement Calculator'!K:K,MATCH('Lorri 401b'!N1002,'Retirement Calculator'!A:A,0),0),0)</f>
        <v>20282.026119384056</v>
      </c>
      <c r="K1002" s="455">
        <f t="shared" ca="1" si="79"/>
        <v>-89705.936816387562</v>
      </c>
      <c r="L1002" s="455">
        <f t="shared" ca="1" si="80"/>
        <v>-21619130.772749402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-21619130.772749402</v>
      </c>
      <c r="J1003" s="455">
        <f t="array" ref="J1003">IFERROR(INDEX('Retirement Calculator'!K:K,MATCH('Lorri 401b'!N1003,'Retirement Calculator'!A:A,0),0),0)</f>
        <v>20282.026119384056</v>
      </c>
      <c r="K1003" s="455">
        <f t="shared" ca="1" si="79"/>
        <v>-90164.219995286607</v>
      </c>
      <c r="L1003" s="455">
        <f t="shared" ca="1" si="80"/>
        <v>-21729577.018864073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/>
      <c r="H1004" s="470">
        <v>997</v>
      </c>
      <c r="I1004" s="455">
        <f t="shared" ca="1" si="81"/>
        <v>-21729577.018864073</v>
      </c>
      <c r="J1004" s="455">
        <f t="array" ref="J1004">IFERROR(INDEX('Retirement Calculator'!K:K,MATCH('Lorri 401b'!N1004,'Retirement Calculator'!A:A,0),0),0)</f>
        <v>20282.026119384056</v>
      </c>
      <c r="K1004" s="455">
        <f t="shared" ca="1" si="79"/>
        <v>-90624.412687431075</v>
      </c>
      <c r="L1004" s="455">
        <f t="shared" ca="1" si="80"/>
        <v>-21840483.45767089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/>
      <c r="H1005" s="470">
        <v>998</v>
      </c>
      <c r="I1005" s="455">
        <f t="shared" ca="1" si="81"/>
        <v>-21840483.45767089</v>
      </c>
      <c r="J1005" s="455">
        <f t="array" ref="J1005">IFERROR(INDEX('Retirement Calculator'!K:K,MATCH('Lorri 401b'!N1005,'Retirement Calculator'!A:A,0),0),0)</f>
        <v>20282.026119384056</v>
      </c>
      <c r="K1005" s="455">
        <f t="shared" ca="1" si="79"/>
        <v>-91086.522849126137</v>
      </c>
      <c r="L1005" s="455">
        <f t="shared" ca="1" si="80"/>
        <v>-21951852.006639402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/>
      <c r="H1006" s="470">
        <v>999</v>
      </c>
      <c r="I1006" s="455">
        <f t="shared" ca="1" si="81"/>
        <v>-21951852.006639402</v>
      </c>
      <c r="J1006" s="455">
        <f t="array" ref="J1006">IFERROR(INDEX('Retirement Calculator'!K:K,MATCH('Lorri 401b'!N1006,'Retirement Calculator'!A:A,0),0),0)</f>
        <v>20282.026119384056</v>
      </c>
      <c r="K1006" s="455">
        <f t="shared" ca="1" si="79"/>
        <v>-91550.558469828276</v>
      </c>
      <c r="L1006" s="455">
        <f t="shared" ca="1" si="80"/>
        <v>-22063684.591228615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/>
      <c r="H1007" s="470">
        <v>1000</v>
      </c>
      <c r="I1007" s="455">
        <f t="shared" ca="1" si="81"/>
        <v>-22063684.591228615</v>
      </c>
      <c r="J1007" s="455">
        <f t="array" ref="J1007">IFERROR(INDEX('Retirement Calculator'!K:K,MATCH('Lorri 401b'!N1007,'Retirement Calculator'!A:A,0),0),0)</f>
        <v>20282.026119384056</v>
      </c>
      <c r="K1007" s="455">
        <f t="shared" ca="1" si="79"/>
        <v>-92016.527572283332</v>
      </c>
      <c r="L1007" s="455">
        <f t="shared" ca="1" si="80"/>
        <v>-22175983.144920282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/>
      <c r="H1008" s="470">
        <v>1001</v>
      </c>
      <c r="I1008" s="455">
        <f t="shared" ca="1" si="81"/>
        <v>-22175983.144920282</v>
      </c>
      <c r="J1008" s="455">
        <f t="array" ref="J1008">IFERROR(INDEX('Retirement Calculator'!K:K,MATCH('Lorri 401b'!N1008,'Retirement Calculator'!A:A,0),0),0)</f>
        <v>20282.026119384056</v>
      </c>
      <c r="K1008" s="455">
        <f t="shared" ca="1" si="79"/>
        <v>-92484.438212665278</v>
      </c>
      <c r="L1008" s="455">
        <f t="shared" ca="1" si="80"/>
        <v>-22288749.609252334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/>
      <c r="H1009" s="470">
        <v>1002</v>
      </c>
      <c r="I1009" s="455">
        <f t="shared" ca="1" si="81"/>
        <v>-22288749.609252334</v>
      </c>
      <c r="J1009" s="455">
        <f t="array" ref="J1009">IFERROR(INDEX('Retirement Calculator'!K:K,MATCH('Lorri 401b'!N1009,'Retirement Calculator'!A:A,0),0),0)</f>
        <v>20282.026119384056</v>
      </c>
      <c r="K1009" s="455">
        <f t="shared" ca="1" si="79"/>
        <v>-92954.298480715486</v>
      </c>
      <c r="L1009" s="455">
        <f t="shared" ca="1" si="80"/>
        <v>-22401985.933852434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/>
      <c r="H1010" s="470">
        <v>1003</v>
      </c>
      <c r="I1010" s="455">
        <f t="shared" ca="1" si="81"/>
        <v>-22401985.933852434</v>
      </c>
      <c r="J1010" s="455">
        <f t="array" ref="J1010">IFERROR(INDEX('Retirement Calculator'!K:K,MATCH('Lorri 401b'!N1010,'Retirement Calculator'!A:A,0),0),0)</f>
        <v>20282.026119384056</v>
      </c>
      <c r="K1010" s="455">
        <f t="shared" ca="1" si="79"/>
        <v>-93426.116499882584</v>
      </c>
      <c r="L1010" s="455">
        <f t="shared" ca="1" si="80"/>
        <v>-22515694.076471701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/>
      <c r="H1011" s="470">
        <v>1004</v>
      </c>
      <c r="I1011" s="455">
        <f t="shared" ca="1" si="81"/>
        <v>-22515694.076471701</v>
      </c>
      <c r="J1011" s="455">
        <f t="array" ref="J1011">IFERROR(INDEX('Retirement Calculator'!K:K,MATCH('Lorri 401b'!N1011,'Retirement Calculator'!A:A,0),0),0)</f>
        <v>20282.026119384056</v>
      </c>
      <c r="K1011" s="455">
        <f t="shared" ca="1" si="79"/>
        <v>-93899.900427462853</v>
      </c>
      <c r="L1011" s="455">
        <f t="shared" ca="1" si="80"/>
        <v>-22629876.003018551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/>
      <c r="H1012" s="470">
        <v>1005</v>
      </c>
      <c r="I1012" s="455">
        <f t="shared" ca="1" si="81"/>
        <v>-22629876.003018551</v>
      </c>
      <c r="J1012" s="455">
        <f t="array" ref="J1012">IFERROR(INDEX('Retirement Calculator'!K:K,MATCH('Lorri 401b'!N1012,'Retirement Calculator'!A:A,0),0),0)</f>
        <v>20282.026119384056</v>
      </c>
      <c r="K1012" s="455">
        <f t="shared" ca="1" si="79"/>
        <v>-94375.658454741395</v>
      </c>
      <c r="L1012" s="455">
        <f t="shared" ca="1" si="80"/>
        <v>-22744533.687592678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/>
      <c r="H1013" s="470">
        <v>1006</v>
      </c>
      <c r="I1013" s="455">
        <f t="shared" ca="1" si="81"/>
        <v>-22744533.687592678</v>
      </c>
      <c r="J1013" s="455">
        <f t="array" ref="J1013">IFERROR(INDEX('Retirement Calculator'!K:K,MATCH('Lorri 401b'!N1013,'Retirement Calculator'!A:A,0),0),0)</f>
        <v>20282.026119384056</v>
      </c>
      <c r="K1013" s="455">
        <f t="shared" ca="1" si="79"/>
        <v>-94853.398807133592</v>
      </c>
      <c r="L1013" s="455">
        <f t="shared" ca="1" si="80"/>
        <v>-22859669.112519197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/>
      <c r="H1014" s="470">
        <v>1007</v>
      </c>
      <c r="I1014" s="455">
        <f t="shared" ca="1" si="81"/>
        <v>-22859669.112519197</v>
      </c>
      <c r="J1014" s="455">
        <f t="array" ref="J1014">IFERROR(INDEX('Retirement Calculator'!K:K,MATCH('Lorri 401b'!N1014,'Retirement Calculator'!A:A,0),0),0)</f>
        <v>20282.026119384056</v>
      </c>
      <c r="K1014" s="455">
        <f t="shared" ca="1" si="79"/>
        <v>-95333.129744327423</v>
      </c>
      <c r="L1014" s="455">
        <f t="shared" ca="1" si="80"/>
        <v>-22975284.268382911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/>
      <c r="H1015" s="470">
        <v>1008</v>
      </c>
      <c r="I1015" s="455">
        <f t="shared" ca="1" si="81"/>
        <v>-22975284.268382911</v>
      </c>
      <c r="J1015" s="455">
        <f t="array" ref="J1015">IFERROR(INDEX('Retirement Calculator'!K:K,MATCH('Lorri 401b'!N1015,'Retirement Calculator'!A:A,0),0),0)</f>
        <v>20282.026119384056</v>
      </c>
      <c r="K1015" s="455">
        <f t="shared" ca="1" si="79"/>
        <v>-95814.859560426237</v>
      </c>
      <c r="L1015" s="455">
        <f t="shared" ca="1" si="80"/>
        <v>-23091381.154062722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/>
      <c r="H1016" s="470">
        <v>1009</v>
      </c>
      <c r="I1016" s="455">
        <f t="shared" ca="1" si="81"/>
        <v>-23091381.154062722</v>
      </c>
      <c r="J1016" s="455">
        <f t="array" ref="J1016">IFERROR(INDEX('Retirement Calculator'!K:K,MATCH('Lorri 401b'!N1016,'Retirement Calculator'!A:A,0),0),0)</f>
        <v>20282.026119384056</v>
      </c>
      <c r="K1016" s="455">
        <f t="shared" ca="1" si="79"/>
        <v>-96298.596584092113</v>
      </c>
      <c r="L1016" s="455">
        <f t="shared" ca="1" si="80"/>
        <v>-23207961.7767662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/>
      <c r="H1017" s="470">
        <v>1010</v>
      </c>
      <c r="I1017" s="455">
        <f t="shared" ca="1" si="81"/>
        <v>-23207961.7767662</v>
      </c>
      <c r="J1017" s="455">
        <f t="array" ref="J1017">IFERROR(INDEX('Retirement Calculator'!K:K,MATCH('Lorri 401b'!N1017,'Retirement Calculator'!A:A,0),0),0)</f>
        <v>20282.026119384056</v>
      </c>
      <c r="K1017" s="455">
        <f t="shared" ca="1" si="79"/>
        <v>-96784.349178689939</v>
      </c>
      <c r="L1017" s="455">
        <f t="shared" ca="1" si="80"/>
        <v>-23325028.152064275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/>
      <c r="H1018" s="470">
        <v>1011</v>
      </c>
      <c r="I1018" s="455">
        <f t="shared" ca="1" si="81"/>
        <v>-23325028.152064275</v>
      </c>
      <c r="J1018" s="455">
        <f t="array" ref="J1018">IFERROR(INDEX('Retirement Calculator'!K:K,MATCH('Lorri 401b'!N1018,'Retirement Calculator'!A:A,0),0),0)</f>
        <v>20282.026119384056</v>
      </c>
      <c r="K1018" s="455">
        <f t="shared" ca="1" si="79"/>
        <v>-97272.125742431919</v>
      </c>
      <c r="L1018" s="455">
        <f t="shared" ca="1" si="80"/>
        <v>-23442582.303926092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/>
      <c r="H1019" s="470">
        <v>1012</v>
      </c>
      <c r="I1019" s="455">
        <f t="shared" ca="1" si="81"/>
        <v>-23442582.303926092</v>
      </c>
      <c r="J1019" s="455">
        <f t="array" ref="J1019">IFERROR(INDEX('Retirement Calculator'!K:K,MATCH('Lorri 401b'!N1019,'Retirement Calculator'!A:A,0),0),0)</f>
        <v>20282.026119384056</v>
      </c>
      <c r="K1019" s="455">
        <f t="shared" ca="1" si="79"/>
        <v>-97761.934708522822</v>
      </c>
      <c r="L1019" s="455">
        <f t="shared" ca="1" si="80"/>
        <v>-23560626.264754001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/>
      <c r="H1020" s="470">
        <v>1013</v>
      </c>
      <c r="I1020" s="455">
        <f t="shared" ca="1" si="81"/>
        <v>-23560626.264754001</v>
      </c>
      <c r="J1020" s="455">
        <f t="array" ref="J1020">IFERROR(INDEX('Retirement Calculator'!K:K,MATCH('Lorri 401b'!N1020,'Retirement Calculator'!A:A,0),0),0)</f>
        <v>20282.026119384056</v>
      </c>
      <c r="K1020" s="455">
        <f t="shared" ca="1" si="79"/>
        <v>-98253.784545305767</v>
      </c>
      <c r="L1020" s="455">
        <f t="shared" ca="1" si="80"/>
        <v>-23679162.075418692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/>
      <c r="H1021" s="470">
        <v>1014</v>
      </c>
      <c r="I1021" s="455">
        <f t="shared" ca="1" si="81"/>
        <v>-23679162.075418692</v>
      </c>
      <c r="J1021" s="455">
        <f t="array" ref="J1021">IFERROR(INDEX('Retirement Calculator'!K:K,MATCH('Lorri 401b'!N1021,'Retirement Calculator'!A:A,0),0),0)</f>
        <v>20282.026119384056</v>
      </c>
      <c r="K1021" s="455">
        <f t="shared" ca="1" si="79"/>
        <v>-98747.68375640866</v>
      </c>
      <c r="L1021" s="455">
        <f t="shared" ca="1" si="80"/>
        <v>-23798191.785294484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/>
      <c r="H1022" s="470">
        <v>1015</v>
      </c>
      <c r="I1022" s="455">
        <f t="shared" ca="1" si="81"/>
        <v>-23798191.785294484</v>
      </c>
      <c r="J1022" s="455">
        <f t="array" ref="J1022">IFERROR(INDEX('Retirement Calculator'!K:K,MATCH('Lorri 401b'!N1022,'Retirement Calculator'!A:A,0),0),0)</f>
        <v>20282.026119384056</v>
      </c>
      <c r="K1022" s="455">
        <f t="shared" ca="1" si="79"/>
        <v>-99243.640880891122</v>
      </c>
      <c r="L1022" s="455">
        <f t="shared" ca="1" si="80"/>
        <v>-23917717.452294759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/>
      <c r="H1023" s="470">
        <v>1016</v>
      </c>
      <c r="I1023" s="455">
        <f t="shared" ca="1" si="81"/>
        <v>-23917717.452294759</v>
      </c>
      <c r="J1023" s="455">
        <f t="array" ref="J1023">IFERROR(INDEX('Retirement Calculator'!K:K,MATCH('Lorri 401b'!N1023,'Retirement Calculator'!A:A,0),0),0)</f>
        <v>20282.026119384056</v>
      </c>
      <c r="K1023" s="455">
        <f t="shared" ca="1" si="79"/>
        <v>-99741.664493392265</v>
      </c>
      <c r="L1023" s="455">
        <f t="shared" ca="1" si="80"/>
        <v>-24037741.142907538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/>
      <c r="H1024" s="470">
        <v>1017</v>
      </c>
      <c r="I1024" s="455">
        <f t="shared" ca="1" si="81"/>
        <v>-24037741.142907538</v>
      </c>
      <c r="J1024" s="455">
        <f t="array" ref="J1024">IFERROR(INDEX('Retirement Calculator'!K:K,MATCH('Lorri 401b'!N1024,'Retirement Calculator'!A:A,0),0),0)</f>
        <v>20282.026119384056</v>
      </c>
      <c r="K1024" s="455">
        <f t="shared" ca="1" si="79"/>
        <v>-100241.76320427885</v>
      </c>
      <c r="L1024" s="455">
        <f t="shared" ca="1" si="80"/>
        <v>-24158264.932231203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/>
      <c r="H1025" s="470">
        <v>1018</v>
      </c>
      <c r="I1025" s="455">
        <f t="shared" ca="1" si="81"/>
        <v>-24158264.932231203</v>
      </c>
      <c r="J1025" s="455">
        <f t="array" ref="J1025">IFERROR(INDEX('Retirement Calculator'!K:K,MATCH('Lorri 401b'!N1025,'Retirement Calculator'!A:A,0),0),0)</f>
        <v>20282.026119384056</v>
      </c>
      <c r="K1025" s="455">
        <f t="shared" ca="1" si="79"/>
        <v>-100743.94565979412</v>
      </c>
      <c r="L1025" s="455">
        <f t="shared" ca="1" si="80"/>
        <v>-24279290.904010382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/>
      <c r="H1026" s="470">
        <v>1019</v>
      </c>
      <c r="I1026" s="455">
        <f t="shared" ca="1" si="81"/>
        <v>-24279290.904010382</v>
      </c>
      <c r="J1026" s="455">
        <f t="array" ref="J1026">IFERROR(INDEX('Retirement Calculator'!K:K,MATCH('Lorri 401b'!N1026,'Retirement Calculator'!A:A,0),0),0)</f>
        <v>20282.026119384056</v>
      </c>
      <c r="K1026" s="455">
        <f t="shared" ca="1" si="79"/>
        <v>-101248.22054220736</v>
      </c>
      <c r="L1026" s="455">
        <f t="shared" ca="1" si="80"/>
        <v>-24400821.150671974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/>
      <c r="H1027" s="470">
        <v>1020</v>
      </c>
      <c r="I1027" s="455">
        <f t="shared" ca="1" si="81"/>
        <v>-24400821.150671974</v>
      </c>
      <c r="J1027" s="455">
        <f t="array" ref="J1027">IFERROR(INDEX('Retirement Calculator'!K:K,MATCH('Lorri 401b'!N1027,'Retirement Calculator'!A:A,0),0),0)</f>
        <v>20282.026119384056</v>
      </c>
      <c r="K1027" s="455">
        <f t="shared" ca="1" si="79"/>
        <v>-101754.59656996399</v>
      </c>
      <c r="L1027" s="455">
        <f t="shared" ca="1" si="80"/>
        <v>-24522857.773361322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/>
      <c r="H1028" s="470">
        <v>1021</v>
      </c>
      <c r="I1028" s="455">
        <f t="shared" ca="1" si="81"/>
        <v>-24522857.773361322</v>
      </c>
      <c r="J1028" s="455">
        <f t="array" ref="J1028">IFERROR(INDEX('Retirement Calculator'!K:K,MATCH('Lorri 401b'!N1028,'Retirement Calculator'!A:A,0),0),0)</f>
        <v>20282.026119384056</v>
      </c>
      <c r="K1028" s="455">
        <f t="shared" ref="K1028:K1282" ca="1" si="103">IPMT(M1028/12,1,12,-I1028+J1028,,0)</f>
        <v>-102263.08249783628</v>
      </c>
      <c r="L1028" s="455">
        <f t="shared" ref="L1028:L1282" ca="1" si="104">I1028-J1028+K1028</f>
        <v>-24645402.881978542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/>
      <c r="H1029" s="470">
        <v>1022</v>
      </c>
      <c r="I1029" s="455">
        <f t="shared" ref="I1029:I1283" ca="1" si="105">L1028</f>
        <v>-24645402.881978542</v>
      </c>
      <c r="J1029" s="455">
        <f t="array" ref="J1029">IFERROR(INDEX('Retirement Calculator'!K:K,MATCH('Lorri 401b'!N1029,'Retirement Calculator'!A:A,0),0),0)</f>
        <v>20282.026119384056</v>
      </c>
      <c r="K1029" s="455">
        <f t="shared" ca="1" si="103"/>
        <v>-102773.68711707469</v>
      </c>
      <c r="L1029" s="455">
        <f t="shared" ca="1" si="104"/>
        <v>-24768458.595215</v>
      </c>
      <c r="M1029" s="471">
        <f t="shared" ref="M1029:M1283" si="106">M1028</f>
        <v>0.05</v>
      </c>
      <c r="N1029" s="475">
        <f t="shared" ref="N1029:N1283" si="107">EDATE(N1028,1)</f>
        <v>82363</v>
      </c>
    </row>
    <row r="1030" spans="7:14" ht="11.25" customHeight="1" x14ac:dyDescent="0.3">
      <c r="G1030" s="470"/>
      <c r="H1030" s="470">
        <v>1023</v>
      </c>
      <c r="I1030" s="455">
        <f t="shared" ca="1" si="105"/>
        <v>-24768458.595215</v>
      </c>
      <c r="J1030" s="455">
        <f t="array" ref="J1030">IFERROR(INDEX('Retirement Calculator'!K:K,MATCH('Lorri 401b'!N1030,'Retirement Calculator'!A:A,0),0),0)</f>
        <v>20282.026119384056</v>
      </c>
      <c r="K1030" s="455">
        <f t="shared" ca="1" si="103"/>
        <v>-103286.41925555994</v>
      </c>
      <c r="L1030" s="455">
        <f t="shared" ca="1" si="104"/>
        <v>-24892027.040589944</v>
      </c>
      <c r="M1030" s="471">
        <f t="shared" si="106"/>
        <v>0.05</v>
      </c>
      <c r="N1030" s="475">
        <f t="shared" si="107"/>
        <v>82394</v>
      </c>
    </row>
    <row r="1031" spans="7:14" ht="11.25" customHeight="1" x14ac:dyDescent="0.3">
      <c r="G1031" s="470"/>
      <c r="H1031" s="470">
        <v>1024</v>
      </c>
      <c r="I1031" s="455">
        <f t="shared" ca="1" si="105"/>
        <v>-24892027.040589944</v>
      </c>
      <c r="J1031" s="455">
        <f t="array" ref="J1031">IFERROR(INDEX('Retirement Calculator'!K:K,MATCH('Lorri 401b'!N1031,'Retirement Calculator'!A:A,0),0),0)</f>
        <v>20282.026119384056</v>
      </c>
      <c r="K1031" s="455">
        <f t="shared" ca="1" si="103"/>
        <v>-103801.28777795553</v>
      </c>
      <c r="L1031" s="455">
        <f t="shared" ca="1" si="104"/>
        <v>-25016110.354487285</v>
      </c>
      <c r="M1031" s="471">
        <f t="shared" si="106"/>
        <v>0.05</v>
      </c>
      <c r="N1031" s="475">
        <f t="shared" si="107"/>
        <v>82425</v>
      </c>
    </row>
    <row r="1032" spans="7:14" ht="11.25" customHeight="1" x14ac:dyDescent="0.3">
      <c r="G1032" s="470"/>
      <c r="H1032" s="470">
        <v>1025</v>
      </c>
      <c r="I1032" s="455">
        <f t="shared" ca="1" si="105"/>
        <v>-25016110.354487285</v>
      </c>
      <c r="J1032" s="455">
        <f t="array" ref="J1032">IFERROR(INDEX('Retirement Calculator'!K:K,MATCH('Lorri 401b'!N1032,'Retirement Calculator'!A:A,0),0),0)</f>
        <v>20282.026119384056</v>
      </c>
      <c r="K1032" s="455">
        <f t="shared" ca="1" si="103"/>
        <v>-104318.30158586112</v>
      </c>
      <c r="L1032" s="455">
        <f t="shared" ca="1" si="104"/>
        <v>-25140710.68219253</v>
      </c>
      <c r="M1032" s="471">
        <f t="shared" si="106"/>
        <v>0.05</v>
      </c>
      <c r="N1032" s="475">
        <f t="shared" si="107"/>
        <v>82455</v>
      </c>
    </row>
    <row r="1033" spans="7:14" ht="11.25" customHeight="1" x14ac:dyDescent="0.3">
      <c r="G1033" s="470"/>
      <c r="H1033" s="470">
        <v>1026</v>
      </c>
      <c r="I1033" s="455">
        <f t="shared" ca="1" si="105"/>
        <v>-25140710.68219253</v>
      </c>
      <c r="J1033" s="455">
        <f t="array" ref="J1033">IFERROR(INDEX('Retirement Calculator'!K:K,MATCH('Lorri 401b'!N1033,'Retirement Calculator'!A:A,0),0),0)</f>
        <v>20282.026119384056</v>
      </c>
      <c r="K1033" s="455">
        <f t="shared" ca="1" si="103"/>
        <v>-104837.46961796632</v>
      </c>
      <c r="L1033" s="455">
        <f t="shared" ca="1" si="104"/>
        <v>-25265830.177929882</v>
      </c>
      <c r="M1033" s="471">
        <f t="shared" si="106"/>
        <v>0.05</v>
      </c>
      <c r="N1033" s="475">
        <f t="shared" si="107"/>
        <v>82486</v>
      </c>
    </row>
    <row r="1034" spans="7:14" ht="11.25" customHeight="1" x14ac:dyDescent="0.3">
      <c r="G1034" s="470"/>
      <c r="H1034" s="470">
        <v>1027</v>
      </c>
      <c r="I1034" s="455">
        <f t="shared" ca="1" si="105"/>
        <v>-25265830.177929882</v>
      </c>
      <c r="J1034" s="455">
        <f t="array" ref="J1034">IFERROR(INDEX('Retirement Calculator'!K:K,MATCH('Lorri 401b'!N1034,'Retirement Calculator'!A:A,0),0),0)</f>
        <v>20282.026119384056</v>
      </c>
      <c r="K1034" s="455">
        <f t="shared" ca="1" si="103"/>
        <v>-105358.80085020528</v>
      </c>
      <c r="L1034" s="455">
        <f t="shared" ca="1" si="104"/>
        <v>-25391471.004899472</v>
      </c>
      <c r="M1034" s="471">
        <f t="shared" si="106"/>
        <v>0.05</v>
      </c>
      <c r="N1034" s="475">
        <f t="shared" si="107"/>
        <v>82516</v>
      </c>
    </row>
    <row r="1035" spans="7:14" ht="11.25" customHeight="1" x14ac:dyDescent="0.3">
      <c r="G1035" s="470"/>
      <c r="H1035" s="470">
        <v>1028</v>
      </c>
      <c r="I1035" s="455">
        <f t="shared" ca="1" si="105"/>
        <v>-25391471.004899472</v>
      </c>
      <c r="J1035" s="455">
        <f t="array" ref="J1035">IFERROR(INDEX('Retirement Calculator'!K:K,MATCH('Lorri 401b'!N1035,'Retirement Calculator'!A:A,0),0),0)</f>
        <v>20282.026119384056</v>
      </c>
      <c r="K1035" s="455">
        <f t="shared" ca="1" si="103"/>
        <v>-105882.3042959119</v>
      </c>
      <c r="L1035" s="455">
        <f t="shared" ca="1" si="104"/>
        <v>-25517635.335314769</v>
      </c>
      <c r="M1035" s="471">
        <f t="shared" si="106"/>
        <v>0.05</v>
      </c>
      <c r="N1035" s="475">
        <f t="shared" si="107"/>
        <v>82547</v>
      </c>
    </row>
    <row r="1036" spans="7:14" ht="11.25" customHeight="1" x14ac:dyDescent="0.3">
      <c r="G1036" s="470"/>
      <c r="H1036" s="470">
        <v>1029</v>
      </c>
      <c r="I1036" s="455">
        <f t="shared" ca="1" si="105"/>
        <v>-25517635.335314769</v>
      </c>
      <c r="J1036" s="455">
        <f t="array" ref="J1036">IFERROR(INDEX('Retirement Calculator'!K:K,MATCH('Lorri 401b'!N1036,'Retirement Calculator'!A:A,0),0),0)</f>
        <v>20282.026119384056</v>
      </c>
      <c r="K1036" s="455">
        <f t="shared" ca="1" si="103"/>
        <v>-106407.98900597564</v>
      </c>
      <c r="L1036" s="455">
        <f t="shared" ca="1" si="104"/>
        <v>-25644325.35044013</v>
      </c>
      <c r="M1036" s="471">
        <f t="shared" si="106"/>
        <v>0.05</v>
      </c>
      <c r="N1036" s="475">
        <f t="shared" si="107"/>
        <v>82578</v>
      </c>
    </row>
    <row r="1037" spans="7:14" ht="11.25" customHeight="1" x14ac:dyDescent="0.3">
      <c r="G1037" s="470"/>
      <c r="H1037" s="470">
        <v>1030</v>
      </c>
      <c r="I1037" s="455">
        <f t="shared" ca="1" si="105"/>
        <v>-25644325.35044013</v>
      </c>
      <c r="J1037" s="455">
        <f t="array" ref="J1037">IFERROR(INDEX('Retirement Calculator'!K:K,MATCH('Lorri 401b'!N1037,'Retirement Calculator'!A:A,0),0),0)</f>
        <v>20282.026119384056</v>
      </c>
      <c r="K1037" s="455">
        <f t="shared" ca="1" si="103"/>
        <v>-106935.86406899798</v>
      </c>
      <c r="L1037" s="455">
        <f t="shared" ca="1" si="104"/>
        <v>-25771543.240628511</v>
      </c>
      <c r="M1037" s="471">
        <f t="shared" si="106"/>
        <v>0.05</v>
      </c>
      <c r="N1037" s="475">
        <f t="shared" si="107"/>
        <v>82606</v>
      </c>
    </row>
    <row r="1038" spans="7:14" ht="11.25" customHeight="1" x14ac:dyDescent="0.3">
      <c r="G1038" s="470"/>
      <c r="H1038" s="470">
        <v>1031</v>
      </c>
      <c r="I1038" s="455">
        <f t="shared" ca="1" si="105"/>
        <v>-25771543.240628511</v>
      </c>
      <c r="J1038" s="455">
        <f t="array" ref="J1038">IFERROR(INDEX('Retirement Calculator'!K:K,MATCH('Lorri 401b'!N1038,'Retirement Calculator'!A:A,0),0),0)</f>
        <v>20282.026119384056</v>
      </c>
      <c r="K1038" s="455">
        <f t="shared" ca="1" si="103"/>
        <v>-107465.93861144956</v>
      </c>
      <c r="L1038" s="455">
        <f t="shared" ca="1" si="104"/>
        <v>-25899291.205359343</v>
      </c>
      <c r="M1038" s="471">
        <f t="shared" si="106"/>
        <v>0.05</v>
      </c>
      <c r="N1038" s="475">
        <f t="shared" si="107"/>
        <v>82637</v>
      </c>
    </row>
    <row r="1039" spans="7:14" ht="11.25" customHeight="1" x14ac:dyDescent="0.3">
      <c r="G1039" s="470"/>
      <c r="H1039" s="470">
        <v>1032</v>
      </c>
      <c r="I1039" s="455">
        <f t="shared" ca="1" si="105"/>
        <v>-25899291.205359343</v>
      </c>
      <c r="J1039" s="455">
        <f t="array" ref="J1039">IFERROR(INDEX('Retirement Calculator'!K:K,MATCH('Lorri 401b'!N1039,'Retirement Calculator'!A:A,0),0),0)</f>
        <v>20282.026119384056</v>
      </c>
      <c r="K1039" s="455">
        <f t="shared" ca="1" si="103"/>
        <v>-107998.22179782804</v>
      </c>
      <c r="L1039" s="455">
        <f t="shared" ca="1" si="104"/>
        <v>-26027571.453276556</v>
      </c>
      <c r="M1039" s="471">
        <f t="shared" si="106"/>
        <v>0.05</v>
      </c>
      <c r="N1039" s="475">
        <f t="shared" si="107"/>
        <v>82667</v>
      </c>
    </row>
    <row r="1040" spans="7:14" ht="11.25" customHeight="1" x14ac:dyDescent="0.3">
      <c r="G1040" s="470"/>
      <c r="H1040" s="470">
        <v>1033</v>
      </c>
      <c r="I1040" s="455">
        <f t="shared" ca="1" si="105"/>
        <v>-26027571.453276556</v>
      </c>
      <c r="J1040" s="455">
        <f t="array" ref="J1040">IFERROR(INDEX('Retirement Calculator'!K:K,MATCH('Lorri 401b'!N1040,'Retirement Calculator'!A:A,0),0),0)</f>
        <v>20282.026119384056</v>
      </c>
      <c r="K1040" s="455">
        <f t="shared" ca="1" si="103"/>
        <v>-108532.72283081642</v>
      </c>
      <c r="L1040" s="455">
        <f t="shared" ca="1" si="104"/>
        <v>-26156386.202226758</v>
      </c>
      <c r="M1040" s="471">
        <f t="shared" si="106"/>
        <v>0.05</v>
      </c>
      <c r="N1040" s="475">
        <f t="shared" si="107"/>
        <v>82698</v>
      </c>
    </row>
    <row r="1041" spans="7:14" ht="11.25" customHeight="1" x14ac:dyDescent="0.3">
      <c r="G1041" s="470"/>
      <c r="H1041" s="470">
        <v>1034</v>
      </c>
      <c r="I1041" s="455">
        <f t="shared" ca="1" si="105"/>
        <v>-26156386.202226758</v>
      </c>
      <c r="J1041" s="455">
        <f t="array" ref="J1041">IFERROR(INDEX('Retirement Calculator'!K:K,MATCH('Lorri 401b'!N1041,'Retirement Calculator'!A:A,0),0),0)</f>
        <v>20282.026119384056</v>
      </c>
      <c r="K1041" s="455">
        <f t="shared" ca="1" si="103"/>
        <v>-109069.45095144225</v>
      </c>
      <c r="L1041" s="455">
        <f t="shared" ca="1" si="104"/>
        <v>-26285737.679297585</v>
      </c>
      <c r="M1041" s="471">
        <f t="shared" si="106"/>
        <v>0.05</v>
      </c>
      <c r="N1041" s="475">
        <f t="shared" si="107"/>
        <v>82728</v>
      </c>
    </row>
    <row r="1042" spans="7:14" ht="11.25" customHeight="1" x14ac:dyDescent="0.3">
      <c r="G1042" s="470"/>
      <c r="H1042" s="470">
        <v>1035</v>
      </c>
      <c r="I1042" s="455">
        <f t="shared" ca="1" si="105"/>
        <v>-26285737.679297585</v>
      </c>
      <c r="J1042" s="455">
        <f t="array" ref="J1042">IFERROR(INDEX('Retirement Calculator'!K:K,MATCH('Lorri 401b'!N1042,'Retirement Calculator'!A:A,0),0),0)</f>
        <v>20282.026119384056</v>
      </c>
      <c r="K1042" s="455">
        <f t="shared" ca="1" si="103"/>
        <v>-109608.41543923739</v>
      </c>
      <c r="L1042" s="455">
        <f t="shared" ca="1" si="104"/>
        <v>-26415628.120856207</v>
      </c>
      <c r="M1042" s="471">
        <f t="shared" si="106"/>
        <v>0.05</v>
      </c>
      <c r="N1042" s="475">
        <f t="shared" si="107"/>
        <v>82759</v>
      </c>
    </row>
    <row r="1043" spans="7:14" ht="11.25" customHeight="1" x14ac:dyDescent="0.3">
      <c r="G1043" s="470"/>
      <c r="H1043" s="470">
        <v>1036</v>
      </c>
      <c r="I1043" s="455">
        <f t="shared" ca="1" si="105"/>
        <v>-26415628.120856207</v>
      </c>
      <c r="J1043" s="455">
        <f t="array" ref="J1043">IFERROR(INDEX('Retirement Calculator'!K:K,MATCH('Lorri 401b'!N1043,'Retirement Calculator'!A:A,0),0),0)</f>
        <v>20282.026119384056</v>
      </c>
      <c r="K1043" s="455">
        <f t="shared" ca="1" si="103"/>
        <v>-110149.62561239832</v>
      </c>
      <c r="L1043" s="455">
        <f t="shared" ca="1" si="104"/>
        <v>-26546059.772587989</v>
      </c>
      <c r="M1043" s="471">
        <f t="shared" si="106"/>
        <v>0.05</v>
      </c>
      <c r="N1043" s="475">
        <f t="shared" si="107"/>
        <v>82790</v>
      </c>
    </row>
    <row r="1044" spans="7:14" ht="11.25" customHeight="1" x14ac:dyDescent="0.3">
      <c r="G1044" s="470"/>
      <c r="H1044" s="470">
        <v>1037</v>
      </c>
      <c r="I1044" s="455">
        <f t="shared" ca="1" si="105"/>
        <v>-26546059.772587989</v>
      </c>
      <c r="J1044" s="455">
        <f t="array" ref="J1044">IFERROR(INDEX('Retirement Calculator'!K:K,MATCH('Lorri 401b'!N1044,'Retirement Calculator'!A:A,0),0),0)</f>
        <v>20282.026119384056</v>
      </c>
      <c r="K1044" s="455">
        <f t="shared" ca="1" si="103"/>
        <v>-110693.09082794738</v>
      </c>
      <c r="L1044" s="455">
        <f t="shared" ca="1" si="104"/>
        <v>-26677034.889535319</v>
      </c>
      <c r="M1044" s="471">
        <f t="shared" si="106"/>
        <v>0.05</v>
      </c>
      <c r="N1044" s="475">
        <f t="shared" si="107"/>
        <v>82820</v>
      </c>
    </row>
    <row r="1045" spans="7:14" ht="11.25" customHeight="1" x14ac:dyDescent="0.3">
      <c r="G1045" s="470"/>
      <c r="H1045" s="470">
        <v>1038</v>
      </c>
      <c r="I1045" s="455">
        <f t="shared" ca="1" si="105"/>
        <v>-26677034.889535319</v>
      </c>
      <c r="J1045" s="455">
        <f t="array" ref="J1045">IFERROR(INDEX('Retirement Calculator'!K:K,MATCH('Lorri 401b'!N1045,'Retirement Calculator'!A:A,0),0),0)</f>
        <v>20282.026119384056</v>
      </c>
      <c r="K1045" s="455">
        <f t="shared" ca="1" si="103"/>
        <v>-111238.8204818946</v>
      </c>
      <c r="L1045" s="455">
        <f t="shared" ca="1" si="104"/>
        <v>-26808555.7361366</v>
      </c>
      <c r="M1045" s="471">
        <f t="shared" si="106"/>
        <v>0.05</v>
      </c>
      <c r="N1045" s="475">
        <f t="shared" si="107"/>
        <v>82851</v>
      </c>
    </row>
    <row r="1046" spans="7:14" ht="11.25" customHeight="1" x14ac:dyDescent="0.3">
      <c r="G1046" s="470"/>
      <c r="H1046" s="470">
        <v>1039</v>
      </c>
      <c r="I1046" s="455">
        <f t="shared" ca="1" si="105"/>
        <v>-26808555.7361366</v>
      </c>
      <c r="J1046" s="455">
        <f t="array" ref="J1046">IFERROR(INDEX('Retirement Calculator'!K:K,MATCH('Lorri 401b'!N1046,'Retirement Calculator'!A:A,0),0),0)</f>
        <v>20282.026119384056</v>
      </c>
      <c r="K1046" s="455">
        <f t="shared" ca="1" si="103"/>
        <v>-111786.82400939992</v>
      </c>
      <c r="L1046" s="455">
        <f t="shared" ca="1" si="104"/>
        <v>-26940624.586265385</v>
      </c>
      <c r="M1046" s="471">
        <f t="shared" si="106"/>
        <v>0.05</v>
      </c>
      <c r="N1046" s="475">
        <f t="shared" si="107"/>
        <v>82881</v>
      </c>
    </row>
    <row r="1047" spans="7:14" ht="11.25" customHeight="1" x14ac:dyDescent="0.3">
      <c r="G1047" s="470"/>
      <c r="H1047" s="470">
        <v>1040</v>
      </c>
      <c r="I1047" s="455">
        <f t="shared" ca="1" si="105"/>
        <v>-26940624.586265385</v>
      </c>
      <c r="J1047" s="455">
        <f t="array" ref="J1047">IFERROR(INDEX('Retirement Calculator'!K:K,MATCH('Lorri 401b'!N1047,'Retirement Calculator'!A:A,0),0),0)</f>
        <v>20282.026119384056</v>
      </c>
      <c r="K1047" s="455">
        <f t="shared" ca="1" si="103"/>
        <v>-112337.11088493656</v>
      </c>
      <c r="L1047" s="455">
        <f t="shared" ca="1" si="104"/>
        <v>-27073243.723269708</v>
      </c>
      <c r="M1047" s="471">
        <f t="shared" si="106"/>
        <v>0.05</v>
      </c>
      <c r="N1047" s="475">
        <f t="shared" si="107"/>
        <v>82912</v>
      </c>
    </row>
    <row r="1048" spans="7:14" ht="11.25" customHeight="1" x14ac:dyDescent="0.3">
      <c r="G1048" s="470"/>
      <c r="H1048" s="470">
        <v>1041</v>
      </c>
      <c r="I1048" s="455">
        <f t="shared" ca="1" si="105"/>
        <v>-27073243.723269708</v>
      </c>
      <c r="J1048" s="455">
        <f t="array" ref="J1048">IFERROR(INDEX('Retirement Calculator'!K:K,MATCH('Lorri 401b'!N1048,'Retirement Calculator'!A:A,0),0),0)</f>
        <v>20282.026119384056</v>
      </c>
      <c r="K1048" s="455">
        <f t="shared" ca="1" si="103"/>
        <v>-112889.69062245454</v>
      </c>
      <c r="L1048" s="455">
        <f t="shared" ca="1" si="104"/>
        <v>-27206415.44001155</v>
      </c>
      <c r="M1048" s="471">
        <f t="shared" si="106"/>
        <v>0.05</v>
      </c>
      <c r="N1048" s="475">
        <f t="shared" si="107"/>
        <v>82943</v>
      </c>
    </row>
    <row r="1049" spans="7:14" ht="11.25" customHeight="1" x14ac:dyDescent="0.3">
      <c r="G1049" s="470"/>
      <c r="H1049" s="470">
        <v>1042</v>
      </c>
      <c r="I1049" s="455">
        <f t="shared" ca="1" si="105"/>
        <v>-27206415.44001155</v>
      </c>
      <c r="J1049" s="455">
        <f t="array" ref="J1049">IFERROR(INDEX('Retirement Calculator'!K:K,MATCH('Lorri 401b'!N1049,'Retirement Calculator'!A:A,0),0),0)</f>
        <v>20282.026119384056</v>
      </c>
      <c r="K1049" s="455">
        <f t="shared" ca="1" si="103"/>
        <v>-113444.57277554556</v>
      </c>
      <c r="L1049" s="455">
        <f t="shared" ca="1" si="104"/>
        <v>-27340142.038906481</v>
      </c>
      <c r="M1049" s="471">
        <f t="shared" si="106"/>
        <v>0.05</v>
      </c>
      <c r="N1049" s="475">
        <f t="shared" si="107"/>
        <v>82971</v>
      </c>
    </row>
    <row r="1050" spans="7:14" ht="11.25" customHeight="1" x14ac:dyDescent="0.3">
      <c r="G1050" s="470"/>
      <c r="H1050" s="470">
        <v>1043</v>
      </c>
      <c r="I1050" s="455">
        <f t="shared" ca="1" si="105"/>
        <v>-27340142.038906481</v>
      </c>
      <c r="J1050" s="455">
        <f t="array" ref="J1050">IFERROR(INDEX('Retirement Calculator'!K:K,MATCH('Lorri 401b'!N1050,'Retirement Calculator'!A:A,0),0),0)</f>
        <v>20282.026119384056</v>
      </c>
      <c r="K1050" s="455">
        <f t="shared" ca="1" si="103"/>
        <v>-114001.76693760775</v>
      </c>
      <c r="L1050" s="455">
        <f t="shared" ca="1" si="104"/>
        <v>-27474425.831963472</v>
      </c>
      <c r="M1050" s="471">
        <f t="shared" si="106"/>
        <v>0.05</v>
      </c>
      <c r="N1050" s="475">
        <f t="shared" si="107"/>
        <v>83002</v>
      </c>
    </row>
    <row r="1051" spans="7:14" ht="11.25" customHeight="1" x14ac:dyDescent="0.3">
      <c r="G1051" s="470"/>
      <c r="H1051" s="470">
        <v>1044</v>
      </c>
      <c r="I1051" s="455">
        <f t="shared" ca="1" si="105"/>
        <v>-27474425.831963472</v>
      </c>
      <c r="J1051" s="455">
        <f t="array" ref="J1051">IFERROR(INDEX('Retirement Calculator'!K:K,MATCH('Lorri 401b'!N1051,'Retirement Calculator'!A:A,0),0),0)</f>
        <v>20282.026119384056</v>
      </c>
      <c r="K1051" s="455">
        <f t="shared" ca="1" si="103"/>
        <v>-114561.2827420119</v>
      </c>
      <c r="L1051" s="455">
        <f t="shared" ca="1" si="104"/>
        <v>-27609269.140824869</v>
      </c>
      <c r="M1051" s="471">
        <f t="shared" si="106"/>
        <v>0.05</v>
      </c>
      <c r="N1051" s="475">
        <f t="shared" si="107"/>
        <v>83032</v>
      </c>
    </row>
    <row r="1052" spans="7:14" ht="11.25" customHeight="1" x14ac:dyDescent="0.3">
      <c r="G1052" s="470"/>
      <c r="H1052" s="470">
        <v>1045</v>
      </c>
      <c r="I1052" s="455">
        <f t="shared" ca="1" si="105"/>
        <v>-27609269.140824869</v>
      </c>
      <c r="J1052" s="455">
        <f t="array" ref="J1052">IFERROR(INDEX('Retirement Calculator'!K:K,MATCH('Lorri 401b'!N1052,'Retirement Calculator'!A:A,0),0),0)</f>
        <v>20282.026119384056</v>
      </c>
      <c r="K1052" s="455">
        <f t="shared" ca="1" si="103"/>
        <v>-115123.12986226774</v>
      </c>
      <c r="L1052" s="455">
        <f t="shared" ca="1" si="104"/>
        <v>-27744674.296806522</v>
      </c>
      <c r="M1052" s="471">
        <f t="shared" si="106"/>
        <v>0.05</v>
      </c>
      <c r="N1052" s="475">
        <f t="shared" si="107"/>
        <v>83063</v>
      </c>
    </row>
    <row r="1053" spans="7:14" ht="11.25" customHeight="1" x14ac:dyDescent="0.3">
      <c r="G1053" s="470"/>
      <c r="H1053" s="470">
        <v>1046</v>
      </c>
      <c r="I1053" s="455">
        <f t="shared" ca="1" si="105"/>
        <v>-27744674.296806522</v>
      </c>
      <c r="J1053" s="455">
        <f t="array" ref="J1053">IFERROR(INDEX('Retirement Calculator'!K:K,MATCH('Lorri 401b'!N1053,'Retirement Calculator'!A:A,0),0),0)</f>
        <v>20282.026119384056</v>
      </c>
      <c r="K1053" s="455">
        <f t="shared" ca="1" si="103"/>
        <v>-115687.31801219127</v>
      </c>
      <c r="L1053" s="455">
        <f t="shared" ca="1" si="104"/>
        <v>-27880643.640938099</v>
      </c>
      <c r="M1053" s="471">
        <f t="shared" si="106"/>
        <v>0.05</v>
      </c>
      <c r="N1053" s="475">
        <f t="shared" si="107"/>
        <v>83093</v>
      </c>
    </row>
    <row r="1054" spans="7:14" ht="11.25" customHeight="1" x14ac:dyDescent="0.3">
      <c r="G1054" s="470"/>
      <c r="H1054" s="470">
        <v>1047</v>
      </c>
      <c r="I1054" s="455">
        <f t="shared" ca="1" si="105"/>
        <v>-27880643.640938099</v>
      </c>
      <c r="J1054" s="455">
        <f t="array" ref="J1054">IFERROR(INDEX('Retirement Calculator'!K:K,MATCH('Lorri 401b'!N1054,'Retirement Calculator'!A:A,0),0),0)</f>
        <v>20282.026119384056</v>
      </c>
      <c r="K1054" s="455">
        <f t="shared" ca="1" si="103"/>
        <v>-116253.85694607285</v>
      </c>
      <c r="L1054" s="455">
        <f t="shared" ca="1" si="104"/>
        <v>-28017179.524003558</v>
      </c>
      <c r="M1054" s="471">
        <f t="shared" si="106"/>
        <v>0.05</v>
      </c>
      <c r="N1054" s="475">
        <f t="shared" si="107"/>
        <v>83124</v>
      </c>
    </row>
    <row r="1055" spans="7:14" ht="11.25" customHeight="1" x14ac:dyDescent="0.3">
      <c r="G1055" s="470"/>
      <c r="H1055" s="470">
        <v>1048</v>
      </c>
      <c r="I1055" s="455">
        <f t="shared" ca="1" si="105"/>
        <v>-28017179.524003558</v>
      </c>
      <c r="J1055" s="455">
        <f t="array" ref="J1055">IFERROR(INDEX('Retirement Calculator'!K:K,MATCH('Lorri 401b'!N1055,'Retirement Calculator'!A:A,0),0),0)</f>
        <v>20282.026119384056</v>
      </c>
      <c r="K1055" s="455">
        <f t="shared" ca="1" si="103"/>
        <v>-116822.75645884562</v>
      </c>
      <c r="L1055" s="455">
        <f t="shared" ca="1" si="104"/>
        <v>-28154284.306581788</v>
      </c>
      <c r="M1055" s="471">
        <f t="shared" si="106"/>
        <v>0.05</v>
      </c>
      <c r="N1055" s="475">
        <f t="shared" si="107"/>
        <v>83155</v>
      </c>
    </row>
    <row r="1056" spans="7:14" ht="11.25" customHeight="1" x14ac:dyDescent="0.3">
      <c r="G1056" s="470"/>
      <c r="H1056" s="470">
        <v>1049</v>
      </c>
      <c r="I1056" s="455">
        <f t="shared" ca="1" si="105"/>
        <v>-28154284.306581788</v>
      </c>
      <c r="J1056" s="455">
        <f t="array" ref="J1056">IFERROR(INDEX('Retirement Calculator'!K:K,MATCH('Lorri 401b'!N1056,'Retirement Calculator'!A:A,0),0),0)</f>
        <v>20282.026119384056</v>
      </c>
      <c r="K1056" s="455">
        <f t="shared" ca="1" si="103"/>
        <v>-117394.02638625489</v>
      </c>
      <c r="L1056" s="455">
        <f t="shared" ca="1" si="104"/>
        <v>-28291960.359087426</v>
      </c>
      <c r="M1056" s="471">
        <f t="shared" si="106"/>
        <v>0.05</v>
      </c>
      <c r="N1056" s="475">
        <f t="shared" si="107"/>
        <v>83185</v>
      </c>
    </row>
    <row r="1057" spans="7:14" ht="11.25" customHeight="1" x14ac:dyDescent="0.3">
      <c r="G1057" s="470"/>
      <c r="H1057" s="470">
        <v>1050</v>
      </c>
      <c r="I1057" s="455">
        <f t="shared" ca="1" si="105"/>
        <v>-28291960.359087426</v>
      </c>
      <c r="J1057" s="455">
        <f t="array" ref="J1057">IFERROR(INDEX('Retirement Calculator'!K:K,MATCH('Lorri 401b'!N1057,'Retirement Calculator'!A:A,0),0),0)</f>
        <v>20282.026119384056</v>
      </c>
      <c r="K1057" s="455">
        <f t="shared" ca="1" si="103"/>
        <v>-117967.67660502839</v>
      </c>
      <c r="L1057" s="455">
        <f t="shared" ca="1" si="104"/>
        <v>-28430210.061811838</v>
      </c>
      <c r="M1057" s="471">
        <f t="shared" si="106"/>
        <v>0.05</v>
      </c>
      <c r="N1057" s="475">
        <f t="shared" si="107"/>
        <v>83216</v>
      </c>
    </row>
    <row r="1058" spans="7:14" ht="11.25" customHeight="1" x14ac:dyDescent="0.3">
      <c r="G1058" s="470"/>
      <c r="H1058" s="470">
        <v>1051</v>
      </c>
      <c r="I1058" s="455">
        <f t="shared" ca="1" si="105"/>
        <v>-28430210.061811838</v>
      </c>
      <c r="J1058" s="455">
        <f t="array" ref="J1058">IFERROR(INDEX('Retirement Calculator'!K:K,MATCH('Lorri 401b'!N1058,'Retirement Calculator'!A:A,0),0),0)</f>
        <v>20282.026119384056</v>
      </c>
      <c r="K1058" s="455">
        <f t="shared" ca="1" si="103"/>
        <v>-118543.71703304676</v>
      </c>
      <c r="L1058" s="455">
        <f t="shared" ca="1" si="104"/>
        <v>-28569035.80496427</v>
      </c>
      <c r="M1058" s="471">
        <f t="shared" si="106"/>
        <v>0.05</v>
      </c>
      <c r="N1058" s="475">
        <f t="shared" si="107"/>
        <v>83246</v>
      </c>
    </row>
    <row r="1059" spans="7:14" ht="11.25" customHeight="1" x14ac:dyDescent="0.3">
      <c r="G1059" s="470"/>
      <c r="H1059" s="470">
        <v>1052</v>
      </c>
      <c r="I1059" s="455">
        <f t="shared" ca="1" si="105"/>
        <v>-28569035.80496427</v>
      </c>
      <c r="J1059" s="455">
        <f t="array" ref="J1059">IFERROR(INDEX('Retirement Calculator'!K:K,MATCH('Lorri 401b'!N1059,'Retirement Calculator'!A:A,0),0),0)</f>
        <v>20282.026119384056</v>
      </c>
      <c r="K1059" s="455">
        <f t="shared" ca="1" si="103"/>
        <v>-119122.15762951525</v>
      </c>
      <c r="L1059" s="455">
        <f t="shared" ca="1" si="104"/>
        <v>-28708439.988713171</v>
      </c>
      <c r="M1059" s="471">
        <f t="shared" si="106"/>
        <v>0.05</v>
      </c>
      <c r="N1059" s="475">
        <f t="shared" si="107"/>
        <v>83277</v>
      </c>
    </row>
    <row r="1060" spans="7:14" ht="11.25" customHeight="1" x14ac:dyDescent="0.3">
      <c r="G1060" s="470"/>
      <c r="H1060" s="470">
        <v>1053</v>
      </c>
      <c r="I1060" s="455">
        <f t="shared" ca="1" si="105"/>
        <v>-28708439.988713171</v>
      </c>
      <c r="J1060" s="455">
        <f t="array" ref="J1060">IFERROR(INDEX('Retirement Calculator'!K:K,MATCH('Lorri 401b'!N1060,'Retirement Calculator'!A:A,0),0),0)</f>
        <v>20282.026119384056</v>
      </c>
      <c r="K1060" s="455">
        <f t="shared" ca="1" si="103"/>
        <v>-119703.00839513565</v>
      </c>
      <c r="L1060" s="455">
        <f t="shared" ca="1" si="104"/>
        <v>-28848425.023227692</v>
      </c>
      <c r="M1060" s="471">
        <f t="shared" si="106"/>
        <v>0.05</v>
      </c>
      <c r="N1060" s="475">
        <f t="shared" si="107"/>
        <v>83308</v>
      </c>
    </row>
    <row r="1061" spans="7:14" ht="11.25" customHeight="1" x14ac:dyDescent="0.3">
      <c r="G1061" s="470"/>
      <c r="H1061" s="470">
        <v>1054</v>
      </c>
      <c r="I1061" s="455">
        <f t="shared" ca="1" si="105"/>
        <v>-28848425.023227692</v>
      </c>
      <c r="J1061" s="455">
        <f t="array" ref="J1061">IFERROR(INDEX('Retirement Calculator'!K:K,MATCH('Lorri 401b'!N1061,'Retirement Calculator'!A:A,0),0),0)</f>
        <v>20282.026119384056</v>
      </c>
      <c r="K1061" s="455">
        <f t="shared" ca="1" si="103"/>
        <v>-120286.27937227949</v>
      </c>
      <c r="L1061" s="455">
        <f t="shared" ca="1" si="104"/>
        <v>-28988993.328719355</v>
      </c>
      <c r="M1061" s="471">
        <f t="shared" si="106"/>
        <v>0.05</v>
      </c>
      <c r="N1061" s="475">
        <f t="shared" si="107"/>
        <v>83337</v>
      </c>
    </row>
    <row r="1062" spans="7:14" ht="11.25" customHeight="1" x14ac:dyDescent="0.3">
      <c r="G1062" s="470"/>
      <c r="H1062" s="470">
        <v>1055</v>
      </c>
      <c r="I1062" s="455">
        <f t="shared" ca="1" si="105"/>
        <v>-28988993.328719355</v>
      </c>
      <c r="J1062" s="455">
        <f t="array" ref="J1062">IFERROR(INDEX('Retirement Calculator'!K:K,MATCH('Lorri 401b'!N1062,'Retirement Calculator'!A:A,0),0),0)</f>
        <v>20282.026119384056</v>
      </c>
      <c r="K1062" s="455">
        <f t="shared" ca="1" si="103"/>
        <v>-120871.98064516143</v>
      </c>
      <c r="L1062" s="455">
        <f t="shared" ca="1" si="104"/>
        <v>-29130147.335483901</v>
      </c>
      <c r="M1062" s="471">
        <f t="shared" si="106"/>
        <v>0.05</v>
      </c>
      <c r="N1062" s="475">
        <f t="shared" si="107"/>
        <v>83368</v>
      </c>
    </row>
    <row r="1063" spans="7:14" ht="11.25" customHeight="1" x14ac:dyDescent="0.3">
      <c r="G1063" s="470"/>
      <c r="H1063" s="470">
        <v>1056</v>
      </c>
      <c r="I1063" s="455">
        <f t="shared" ca="1" si="105"/>
        <v>-29130147.335483901</v>
      </c>
      <c r="J1063" s="455">
        <f t="array" ref="J1063">IFERROR(INDEX('Retirement Calculator'!K:K,MATCH('Lorri 401b'!N1063,'Retirement Calculator'!A:A,0),0),0)</f>
        <v>20282.026119384056</v>
      </c>
      <c r="K1063" s="455">
        <f t="shared" ca="1" si="103"/>
        <v>-121460.12234001368</v>
      </c>
      <c r="L1063" s="455">
        <f t="shared" ca="1" si="104"/>
        <v>-29271889.483943298</v>
      </c>
      <c r="M1063" s="471">
        <f t="shared" si="106"/>
        <v>0.05</v>
      </c>
      <c r="N1063" s="475">
        <f t="shared" si="107"/>
        <v>83398</v>
      </c>
    </row>
    <row r="1064" spans="7:14" ht="11.25" customHeight="1" x14ac:dyDescent="0.3">
      <c r="G1064" s="470"/>
      <c r="H1064" s="470">
        <v>1057</v>
      </c>
      <c r="I1064" s="455">
        <f t="shared" ca="1" si="105"/>
        <v>-29271889.483943298</v>
      </c>
      <c r="J1064" s="455">
        <f t="array" ref="J1064">IFERROR(INDEX('Retirement Calculator'!K:K,MATCH('Lorri 401b'!N1064,'Retirement Calculator'!A:A,0),0),0)</f>
        <v>20282.026119384056</v>
      </c>
      <c r="K1064" s="455">
        <f t="shared" ca="1" si="103"/>
        <v>-122050.7146252612</v>
      </c>
      <c r="L1064" s="455">
        <f t="shared" ca="1" si="104"/>
        <v>-29414222.224687945</v>
      </c>
      <c r="M1064" s="471">
        <f t="shared" si="106"/>
        <v>0.05</v>
      </c>
      <c r="N1064" s="475">
        <f t="shared" si="107"/>
        <v>83429</v>
      </c>
    </row>
    <row r="1065" spans="7:14" ht="11.25" customHeight="1" x14ac:dyDescent="0.3">
      <c r="G1065" s="470"/>
      <c r="H1065" s="470">
        <v>1058</v>
      </c>
      <c r="I1065" s="455">
        <f t="shared" ca="1" si="105"/>
        <v>-29414222.224687945</v>
      </c>
      <c r="J1065" s="455">
        <f t="array" ref="J1065">IFERROR(INDEX('Retirement Calculator'!K:K,MATCH('Lorri 401b'!N1065,'Retirement Calculator'!A:A,0),0),0)</f>
        <v>20282.026119384056</v>
      </c>
      <c r="K1065" s="455">
        <f t="shared" ca="1" si="103"/>
        <v>-122643.76771169719</v>
      </c>
      <c r="L1065" s="455">
        <f t="shared" ca="1" si="104"/>
        <v>-29557148.018519029</v>
      </c>
      <c r="M1065" s="471">
        <f t="shared" si="106"/>
        <v>0.05</v>
      </c>
      <c r="N1065" s="475">
        <f t="shared" si="107"/>
        <v>83459</v>
      </c>
    </row>
    <row r="1066" spans="7:14" ht="11.25" customHeight="1" x14ac:dyDescent="0.3">
      <c r="G1066" s="470"/>
      <c r="H1066" s="470">
        <v>1059</v>
      </c>
      <c r="I1066" s="455">
        <f t="shared" ca="1" si="105"/>
        <v>-29557148.018519029</v>
      </c>
      <c r="J1066" s="455">
        <f t="array" ref="J1066">IFERROR(INDEX('Retirement Calculator'!K:K,MATCH('Lorri 401b'!N1066,'Retirement Calculator'!A:A,0),0),0)</f>
        <v>20282.026119384056</v>
      </c>
      <c r="K1066" s="455">
        <f t="shared" ca="1" si="103"/>
        <v>-123239.29185266007</v>
      </c>
      <c r="L1066" s="455">
        <f t="shared" ca="1" si="104"/>
        <v>-29700669.336491074</v>
      </c>
      <c r="M1066" s="471">
        <f t="shared" si="106"/>
        <v>0.05</v>
      </c>
      <c r="N1066" s="475">
        <f t="shared" si="107"/>
        <v>83490</v>
      </c>
    </row>
    <row r="1067" spans="7:14" ht="11.25" customHeight="1" x14ac:dyDescent="0.3">
      <c r="G1067" s="470"/>
      <c r="H1067" s="470">
        <v>1060</v>
      </c>
      <c r="I1067" s="455">
        <f t="shared" ca="1" si="105"/>
        <v>-29700669.336491074</v>
      </c>
      <c r="J1067" s="455">
        <f t="array" ref="J1067">IFERROR(INDEX('Retirement Calculator'!K:K,MATCH('Lorri 401b'!N1067,'Retirement Calculator'!A:A,0),0),0)</f>
        <v>20282.026119384056</v>
      </c>
      <c r="K1067" s="455">
        <f t="shared" ca="1" si="103"/>
        <v>-123837.29734421025</v>
      </c>
      <c r="L1067" s="455">
        <f t="shared" ca="1" si="104"/>
        <v>-29844788.659954671</v>
      </c>
      <c r="M1067" s="471">
        <f t="shared" si="106"/>
        <v>0.05</v>
      </c>
      <c r="N1067" s="475">
        <f t="shared" si="107"/>
        <v>83521</v>
      </c>
    </row>
    <row r="1068" spans="7:14" ht="11.25" customHeight="1" x14ac:dyDescent="0.3">
      <c r="G1068" s="470"/>
      <c r="H1068" s="470">
        <v>1061</v>
      </c>
      <c r="I1068" s="455">
        <f t="shared" ca="1" si="105"/>
        <v>-29844788.659954671</v>
      </c>
      <c r="J1068" s="455">
        <f t="array" ref="J1068">IFERROR(INDEX('Retirement Calculator'!K:K,MATCH('Lorri 401b'!N1068,'Retirement Calculator'!A:A,0),0),0)</f>
        <v>20282.026119384056</v>
      </c>
      <c r="K1068" s="455">
        <f t="shared" ca="1" si="103"/>
        <v>-124437.79452530856</v>
      </c>
      <c r="L1068" s="455">
        <f t="shared" ca="1" si="104"/>
        <v>-29989508.480599366</v>
      </c>
      <c r="M1068" s="471">
        <f t="shared" si="106"/>
        <v>0.05</v>
      </c>
      <c r="N1068" s="475">
        <f t="shared" si="107"/>
        <v>83551</v>
      </c>
    </row>
    <row r="1069" spans="7:14" ht="11.25" customHeight="1" x14ac:dyDescent="0.3">
      <c r="G1069" s="470"/>
      <c r="H1069" s="470">
        <v>1062</v>
      </c>
      <c r="I1069" s="455">
        <f t="shared" ca="1" si="105"/>
        <v>-29989508.480599366</v>
      </c>
      <c r="J1069" s="455">
        <f t="array" ref="J1069">IFERROR(INDEX('Retirement Calculator'!K:K,MATCH('Lorri 401b'!N1069,'Retirement Calculator'!A:A,0),0),0)</f>
        <v>20282.026119384056</v>
      </c>
      <c r="K1069" s="455">
        <f t="shared" ca="1" si="103"/>
        <v>-125040.79377799481</v>
      </c>
      <c r="L1069" s="455">
        <f t="shared" ca="1" si="104"/>
        <v>-30134831.300496746</v>
      </c>
      <c r="M1069" s="471">
        <f t="shared" si="106"/>
        <v>0.05</v>
      </c>
      <c r="N1069" s="475">
        <f t="shared" si="107"/>
        <v>83582</v>
      </c>
    </row>
    <row r="1070" spans="7:14" ht="11.25" customHeight="1" x14ac:dyDescent="0.3">
      <c r="G1070" s="470"/>
      <c r="H1070" s="470">
        <v>1063</v>
      </c>
      <c r="I1070" s="455">
        <f t="shared" ca="1" si="105"/>
        <v>-30134831.300496746</v>
      </c>
      <c r="J1070" s="455">
        <f t="array" ref="J1070">IFERROR(INDEX('Retirement Calculator'!K:K,MATCH('Lorri 401b'!N1070,'Retirement Calculator'!A:A,0),0),0)</f>
        <v>20282.026119384056</v>
      </c>
      <c r="K1070" s="455">
        <f t="shared" ca="1" si="103"/>
        <v>-125646.30552756721</v>
      </c>
      <c r="L1070" s="455">
        <f t="shared" ca="1" si="104"/>
        <v>-30280759.632143699</v>
      </c>
      <c r="M1070" s="471">
        <f t="shared" si="106"/>
        <v>0.05</v>
      </c>
      <c r="N1070" s="475">
        <f t="shared" si="107"/>
        <v>83612</v>
      </c>
    </row>
    <row r="1071" spans="7:14" ht="11.25" customHeight="1" x14ac:dyDescent="0.3">
      <c r="G1071" s="470"/>
      <c r="H1071" s="470">
        <v>1064</v>
      </c>
      <c r="I1071" s="455">
        <f t="shared" ca="1" si="105"/>
        <v>-30280759.632143699</v>
      </c>
      <c r="J1071" s="455">
        <f t="array" ref="J1071">IFERROR(INDEX('Retirement Calculator'!K:K,MATCH('Lorri 401b'!N1071,'Retirement Calculator'!A:A,0),0),0)</f>
        <v>20282.026119384056</v>
      </c>
      <c r="K1071" s="455">
        <f t="shared" ca="1" si="103"/>
        <v>-126254.34024276285</v>
      </c>
      <c r="L1071" s="455">
        <f t="shared" ca="1" si="104"/>
        <v>-30427295.998505846</v>
      </c>
      <c r="M1071" s="471">
        <f t="shared" si="106"/>
        <v>0.05</v>
      </c>
      <c r="N1071" s="475">
        <f t="shared" si="107"/>
        <v>83643</v>
      </c>
    </row>
    <row r="1072" spans="7:14" ht="11.25" customHeight="1" x14ac:dyDescent="0.3">
      <c r="G1072" s="470"/>
      <c r="H1072" s="470">
        <v>1065</v>
      </c>
      <c r="I1072" s="455">
        <f t="shared" ca="1" si="105"/>
        <v>-30427295.998505846</v>
      </c>
      <c r="J1072" s="455">
        <f t="array" ref="J1072">IFERROR(INDEX('Retirement Calculator'!K:K,MATCH('Lorri 401b'!N1072,'Retirement Calculator'!A:A,0),0),0)</f>
        <v>20282.026119384056</v>
      </c>
      <c r="K1072" s="455">
        <f t="shared" ca="1" si="103"/>
        <v>-126864.90843593846</v>
      </c>
      <c r="L1072" s="455">
        <f t="shared" ca="1" si="104"/>
        <v>-30574442.933061168</v>
      </c>
      <c r="M1072" s="471">
        <f t="shared" si="106"/>
        <v>0.05</v>
      </c>
      <c r="N1072" s="475">
        <f t="shared" si="107"/>
        <v>83674</v>
      </c>
    </row>
    <row r="1073" spans="7:14" ht="11.25" customHeight="1" x14ac:dyDescent="0.3">
      <c r="G1073" s="470"/>
      <c r="H1073" s="470">
        <v>1066</v>
      </c>
      <c r="I1073" s="455">
        <f t="shared" ca="1" si="105"/>
        <v>-30574442.933061168</v>
      </c>
      <c r="J1073" s="455">
        <f t="array" ref="J1073">IFERROR(INDEX('Retirement Calculator'!K:K,MATCH('Lorri 401b'!N1073,'Retirement Calculator'!A:A,0),0),0)</f>
        <v>20282.026119384056</v>
      </c>
      <c r="K1073" s="455">
        <f t="shared" ca="1" si="103"/>
        <v>-127478.02066325232</v>
      </c>
      <c r="L1073" s="455">
        <f t="shared" ca="1" si="104"/>
        <v>-30722202.979843806</v>
      </c>
      <c r="M1073" s="471">
        <f t="shared" si="106"/>
        <v>0.05</v>
      </c>
      <c r="N1073" s="475">
        <f t="shared" si="107"/>
        <v>83702</v>
      </c>
    </row>
    <row r="1074" spans="7:14" ht="11.25" customHeight="1" x14ac:dyDescent="0.3">
      <c r="G1074" s="470"/>
      <c r="H1074" s="470">
        <v>1067</v>
      </c>
      <c r="I1074" s="455">
        <f t="shared" ca="1" si="105"/>
        <v>-30722202.979843806</v>
      </c>
      <c r="J1074" s="455">
        <f t="array" ref="J1074">IFERROR(INDEX('Retirement Calculator'!K:K,MATCH('Lorri 401b'!N1074,'Retirement Calculator'!A:A,0),0),0)</f>
        <v>20282.026119384056</v>
      </c>
      <c r="K1074" s="455">
        <f t="shared" ca="1" si="103"/>
        <v>-128093.68752484662</v>
      </c>
      <c r="L1074" s="455">
        <f t="shared" ca="1" si="104"/>
        <v>-30870578.693488039</v>
      </c>
      <c r="M1074" s="471">
        <f t="shared" si="106"/>
        <v>0.05</v>
      </c>
      <c r="N1074" s="475">
        <f t="shared" si="107"/>
        <v>83733</v>
      </c>
    </row>
    <row r="1075" spans="7:14" ht="11.25" customHeight="1" x14ac:dyDescent="0.3">
      <c r="G1075" s="470"/>
      <c r="H1075" s="470">
        <v>1068</v>
      </c>
      <c r="I1075" s="455">
        <f t="shared" ca="1" si="105"/>
        <v>-30870578.693488039</v>
      </c>
      <c r="J1075" s="455">
        <f t="array" ref="J1075">IFERROR(INDEX('Retirement Calculator'!K:K,MATCH('Lorri 401b'!N1075,'Retirement Calculator'!A:A,0),0),0)</f>
        <v>20282.026119384056</v>
      </c>
      <c r="K1075" s="455">
        <f t="shared" ca="1" si="103"/>
        <v>-128711.91966503095</v>
      </c>
      <c r="L1075" s="455">
        <f t="shared" ca="1" si="104"/>
        <v>-31019572.639272455</v>
      </c>
      <c r="M1075" s="471">
        <f t="shared" si="106"/>
        <v>0.05</v>
      </c>
      <c r="N1075" s="475">
        <f t="shared" si="107"/>
        <v>83763</v>
      </c>
    </row>
    <row r="1076" spans="7:14" ht="11.25" customHeight="1" x14ac:dyDescent="0.3">
      <c r="G1076" s="470"/>
      <c r="H1076" s="470">
        <v>1069</v>
      </c>
      <c r="I1076" s="455">
        <f t="shared" ca="1" si="105"/>
        <v>-31019572.639272455</v>
      </c>
      <c r="J1076" s="455">
        <f t="array" ref="J1076">IFERROR(INDEX('Retirement Calculator'!K:K,MATCH('Lorri 401b'!N1076,'Retirement Calculator'!A:A,0),0),0)</f>
        <v>20282.026119384056</v>
      </c>
      <c r="K1076" s="455">
        <f t="shared" ca="1" si="103"/>
        <v>-129332.72777246599</v>
      </c>
      <c r="L1076" s="455">
        <f t="shared" ca="1" si="104"/>
        <v>-31169187.393164307</v>
      </c>
      <c r="M1076" s="471">
        <f t="shared" si="106"/>
        <v>0.05</v>
      </c>
      <c r="N1076" s="475">
        <f t="shared" si="107"/>
        <v>83794</v>
      </c>
    </row>
    <row r="1077" spans="7:14" ht="11.25" customHeight="1" x14ac:dyDescent="0.3">
      <c r="G1077" s="470"/>
      <c r="H1077" s="470">
        <v>1070</v>
      </c>
      <c r="I1077" s="455">
        <f t="shared" ca="1" si="105"/>
        <v>-31169187.393164307</v>
      </c>
      <c r="J1077" s="455">
        <f t="array" ref="J1077">IFERROR(INDEX('Retirement Calculator'!K:K,MATCH('Lorri 401b'!N1077,'Retirement Calculator'!A:A,0),0),0)</f>
        <v>20282.026119384056</v>
      </c>
      <c r="K1077" s="455">
        <f t="shared" ca="1" si="103"/>
        <v>-129956.12258034872</v>
      </c>
      <c r="L1077" s="455">
        <f t="shared" ca="1" si="104"/>
        <v>-31319425.541864041</v>
      </c>
      <c r="M1077" s="471">
        <f t="shared" si="106"/>
        <v>0.05</v>
      </c>
      <c r="N1077" s="475">
        <f t="shared" si="107"/>
        <v>83824</v>
      </c>
    </row>
    <row r="1078" spans="7:14" ht="11.25" customHeight="1" x14ac:dyDescent="0.3">
      <c r="G1078" s="470"/>
      <c r="H1078" s="470">
        <v>1071</v>
      </c>
      <c r="I1078" s="455">
        <f t="shared" ca="1" si="105"/>
        <v>-31319425.541864041</v>
      </c>
      <c r="J1078" s="455">
        <f t="array" ref="J1078">IFERROR(INDEX('Retirement Calculator'!K:K,MATCH('Lorri 401b'!N1078,'Retirement Calculator'!A:A,0),0),0)</f>
        <v>20282.026119384056</v>
      </c>
      <c r="K1078" s="455">
        <f t="shared" ca="1" si="103"/>
        <v>-130582.11486659762</v>
      </c>
      <c r="L1078" s="455">
        <f t="shared" ca="1" si="104"/>
        <v>-31470289.682850026</v>
      </c>
      <c r="M1078" s="471">
        <f t="shared" si="106"/>
        <v>0.05</v>
      </c>
      <c r="N1078" s="475">
        <f t="shared" si="107"/>
        <v>83855</v>
      </c>
    </row>
    <row r="1079" spans="7:14" ht="11.25" customHeight="1" x14ac:dyDescent="0.3">
      <c r="G1079" s="470"/>
      <c r="H1079" s="470">
        <v>1072</v>
      </c>
      <c r="I1079" s="455">
        <f t="shared" ca="1" si="105"/>
        <v>-31470289.682850026</v>
      </c>
      <c r="J1079" s="455">
        <f t="array" ref="J1079">IFERROR(INDEX('Retirement Calculator'!K:K,MATCH('Lorri 401b'!N1079,'Retirement Calculator'!A:A,0),0),0)</f>
        <v>20282.026119384056</v>
      </c>
      <c r="K1079" s="455">
        <f t="shared" ca="1" si="103"/>
        <v>-131210.71545403922</v>
      </c>
      <c r="L1079" s="455">
        <f t="shared" ca="1" si="104"/>
        <v>-31621782.424423449</v>
      </c>
      <c r="M1079" s="471">
        <f t="shared" si="106"/>
        <v>0.05</v>
      </c>
      <c r="N1079" s="475">
        <f t="shared" si="107"/>
        <v>83886</v>
      </c>
    </row>
    <row r="1080" spans="7:14" ht="11.25" customHeight="1" x14ac:dyDescent="0.3">
      <c r="G1080" s="470"/>
      <c r="H1080" s="470">
        <v>1073</v>
      </c>
      <c r="I1080" s="455">
        <f t="shared" ca="1" si="105"/>
        <v>-31621782.424423449</v>
      </c>
      <c r="J1080" s="455">
        <f t="array" ref="J1080">IFERROR(INDEX('Retirement Calculator'!K:K,MATCH('Lorri 401b'!N1080,'Retirement Calculator'!A:A,0),0),0)</f>
        <v>20282.026119384056</v>
      </c>
      <c r="K1080" s="455">
        <f t="shared" ca="1" si="103"/>
        <v>-131841.93521059514</v>
      </c>
      <c r="L1080" s="455">
        <f t="shared" ca="1" si="104"/>
        <v>-31773906.38575343</v>
      </c>
      <c r="M1080" s="471">
        <f t="shared" si="106"/>
        <v>0.05</v>
      </c>
      <c r="N1080" s="475">
        <f t="shared" si="107"/>
        <v>83916</v>
      </c>
    </row>
    <row r="1081" spans="7:14" ht="11.25" customHeight="1" x14ac:dyDescent="0.3">
      <c r="G1081" s="470"/>
      <c r="H1081" s="470">
        <v>1074</v>
      </c>
      <c r="I1081" s="455">
        <f t="shared" ca="1" si="105"/>
        <v>-31773906.38575343</v>
      </c>
      <c r="J1081" s="455">
        <f t="array" ref="J1081">IFERROR(INDEX('Retirement Calculator'!K:K,MATCH('Lorri 401b'!N1081,'Retirement Calculator'!A:A,0),0),0)</f>
        <v>20282.026119384056</v>
      </c>
      <c r="K1081" s="455">
        <f t="shared" ca="1" si="103"/>
        <v>-132475.78504947008</v>
      </c>
      <c r="L1081" s="455">
        <f t="shared" ca="1" si="104"/>
        <v>-31926664.196922284</v>
      </c>
      <c r="M1081" s="471">
        <f t="shared" si="106"/>
        <v>0.05</v>
      </c>
      <c r="N1081" s="475">
        <f t="shared" si="107"/>
        <v>83947</v>
      </c>
    </row>
    <row r="1082" spans="7:14" ht="11.25" customHeight="1" x14ac:dyDescent="0.3">
      <c r="G1082" s="470"/>
      <c r="H1082" s="470">
        <v>1075</v>
      </c>
      <c r="I1082" s="455">
        <f t="shared" ca="1" si="105"/>
        <v>-31926664.196922284</v>
      </c>
      <c r="J1082" s="455">
        <f t="array" ref="J1082">IFERROR(INDEX('Retirement Calculator'!K:K,MATCH('Lorri 401b'!N1082,'Retirement Calculator'!A:A,0),0),0)</f>
        <v>20282.026119384056</v>
      </c>
      <c r="K1082" s="455">
        <f t="shared" ca="1" si="103"/>
        <v>-133112.27592934028</v>
      </c>
      <c r="L1082" s="455">
        <f t="shared" ca="1" si="104"/>
        <v>-32080058.498971008</v>
      </c>
      <c r="M1082" s="471">
        <f t="shared" si="106"/>
        <v>0.05</v>
      </c>
      <c r="N1082" s="475">
        <f t="shared" si="107"/>
        <v>83977</v>
      </c>
    </row>
    <row r="1083" spans="7:14" ht="11.25" customHeight="1" x14ac:dyDescent="0.3">
      <c r="G1083" s="470"/>
      <c r="H1083" s="470">
        <v>1076</v>
      </c>
      <c r="I1083" s="455">
        <f t="shared" ca="1" si="105"/>
        <v>-32080058.498971008</v>
      </c>
      <c r="J1083" s="455">
        <f t="array" ref="J1083">IFERROR(INDEX('Retirement Calculator'!K:K,MATCH('Lorri 401b'!N1083,'Retirement Calculator'!A:A,0),0),0)</f>
        <v>20282.026119384056</v>
      </c>
      <c r="K1083" s="455">
        <f t="shared" ca="1" si="103"/>
        <v>-133751.4188545433</v>
      </c>
      <c r="L1083" s="455">
        <f t="shared" ca="1" si="104"/>
        <v>-32234091.943944935</v>
      </c>
      <c r="M1083" s="471">
        <f t="shared" si="106"/>
        <v>0.05</v>
      </c>
      <c r="N1083" s="475">
        <f t="shared" si="107"/>
        <v>84008</v>
      </c>
    </row>
    <row r="1084" spans="7:14" ht="11.25" customHeight="1" x14ac:dyDescent="0.3">
      <c r="G1084" s="470"/>
      <c r="H1084" s="470">
        <v>1077</v>
      </c>
      <c r="I1084" s="455">
        <f t="shared" ca="1" si="105"/>
        <v>-32234091.943944935</v>
      </c>
      <c r="J1084" s="455">
        <f t="array" ref="J1084">IFERROR(INDEX('Retirement Calculator'!K:K,MATCH('Lorri 401b'!N1084,'Retirement Calculator'!A:A,0),0),0)</f>
        <v>20282.026119384056</v>
      </c>
      <c r="K1084" s="455">
        <f t="shared" ca="1" si="103"/>
        <v>-134393.22487526797</v>
      </c>
      <c r="L1084" s="455">
        <f t="shared" ca="1" si="104"/>
        <v>-32388767.194939587</v>
      </c>
      <c r="M1084" s="471">
        <f t="shared" si="106"/>
        <v>0.05</v>
      </c>
      <c r="N1084" s="475">
        <f t="shared" si="107"/>
        <v>84039</v>
      </c>
    </row>
    <row r="1085" spans="7:14" ht="11.25" customHeight="1" x14ac:dyDescent="0.3">
      <c r="G1085" s="470"/>
      <c r="H1085" s="470">
        <v>1078</v>
      </c>
      <c r="I1085" s="455">
        <f t="shared" ca="1" si="105"/>
        <v>-32388767.194939587</v>
      </c>
      <c r="J1085" s="455">
        <f t="array" ref="J1085">IFERROR(INDEX('Retirement Calculator'!K:K,MATCH('Lorri 401b'!N1085,'Retirement Calculator'!A:A,0),0),0)</f>
        <v>20282.026119384056</v>
      </c>
      <c r="K1085" s="455">
        <f t="shared" ca="1" si="103"/>
        <v>-135037.70508774574</v>
      </c>
      <c r="L1085" s="455">
        <f t="shared" ca="1" si="104"/>
        <v>-32544086.92614672</v>
      </c>
      <c r="M1085" s="471">
        <f t="shared" si="106"/>
        <v>0.05</v>
      </c>
      <c r="N1085" s="475">
        <f t="shared" si="107"/>
        <v>84067</v>
      </c>
    </row>
    <row r="1086" spans="7:14" ht="11.25" customHeight="1" x14ac:dyDescent="0.3">
      <c r="G1086" s="470"/>
      <c r="H1086" s="470">
        <v>1079</v>
      </c>
      <c r="I1086" s="455">
        <f t="shared" ca="1" si="105"/>
        <v>-32544086.92614672</v>
      </c>
      <c r="J1086" s="455">
        <f t="array" ref="J1086">IFERROR(INDEX('Retirement Calculator'!K:K,MATCH('Lorri 401b'!N1086,'Retirement Calculator'!A:A,0),0),0)</f>
        <v>20282.026119384056</v>
      </c>
      <c r="K1086" s="455">
        <f t="shared" ca="1" si="103"/>
        <v>-135684.87063444211</v>
      </c>
      <c r="L1086" s="455">
        <f t="shared" ca="1" si="104"/>
        <v>-32700053.822900545</v>
      </c>
      <c r="M1086" s="471">
        <f t="shared" si="106"/>
        <v>0.05</v>
      </c>
      <c r="N1086" s="475">
        <f t="shared" si="107"/>
        <v>84098</v>
      </c>
    </row>
    <row r="1087" spans="7:14" ht="11.25" customHeight="1" x14ac:dyDescent="0.3">
      <c r="G1087" s="470"/>
      <c r="H1087" s="470">
        <v>1080</v>
      </c>
      <c r="I1087" s="455">
        <f t="shared" ca="1" si="105"/>
        <v>-32700053.822900545</v>
      </c>
      <c r="J1087" s="455">
        <f t="array" ref="J1087">IFERROR(INDEX('Retirement Calculator'!K:K,MATCH('Lorri 401b'!N1087,'Retirement Calculator'!A:A,0),0),0)</f>
        <v>20282.026119384056</v>
      </c>
      <c r="K1087" s="455">
        <f t="shared" ca="1" si="103"/>
        <v>-136334.73270424968</v>
      </c>
      <c r="L1087" s="455">
        <f t="shared" ca="1" si="104"/>
        <v>-32856670.581724178</v>
      </c>
      <c r="M1087" s="471">
        <f t="shared" si="106"/>
        <v>0.05</v>
      </c>
      <c r="N1087" s="475">
        <f t="shared" si="107"/>
        <v>84128</v>
      </c>
    </row>
    <row r="1088" spans="7:14" ht="11.25" customHeight="1" x14ac:dyDescent="0.3">
      <c r="G1088" s="470"/>
      <c r="H1088" s="470">
        <v>1081</v>
      </c>
      <c r="I1088" s="455">
        <f t="shared" ca="1" si="105"/>
        <v>-32856670.581724178</v>
      </c>
      <c r="J1088" s="455">
        <f t="array" ref="J1088">IFERROR(INDEX('Retirement Calculator'!K:K,MATCH('Lorri 401b'!N1088,'Retirement Calculator'!A:A,0),0),0)</f>
        <v>20282.026119384056</v>
      </c>
      <c r="K1088" s="455">
        <f t="shared" ca="1" si="103"/>
        <v>-136987.3025326815</v>
      </c>
      <c r="L1088" s="455">
        <f t="shared" ca="1" si="104"/>
        <v>-33013939.910376243</v>
      </c>
      <c r="M1088" s="471">
        <f t="shared" si="106"/>
        <v>0.05</v>
      </c>
      <c r="N1088" s="475">
        <f t="shared" si="107"/>
        <v>84159</v>
      </c>
    </row>
    <row r="1089" spans="7:14" ht="11.25" customHeight="1" x14ac:dyDescent="0.3">
      <c r="G1089" s="470"/>
      <c r="H1089" s="470">
        <v>1082</v>
      </c>
      <c r="I1089" s="455">
        <f t="shared" ca="1" si="105"/>
        <v>-33013939.910376243</v>
      </c>
      <c r="J1089" s="455">
        <f t="array" ref="J1089">IFERROR(INDEX('Retirement Calculator'!K:K,MATCH('Lorri 401b'!N1089,'Retirement Calculator'!A:A,0),0),0)</f>
        <v>20282.026119384056</v>
      </c>
      <c r="K1089" s="455">
        <f t="shared" ca="1" si="103"/>
        <v>-137642.5914020651</v>
      </c>
      <c r="L1089" s="455">
        <f t="shared" ca="1" si="104"/>
        <v>-33171864.527897693</v>
      </c>
      <c r="M1089" s="471">
        <f t="shared" si="106"/>
        <v>0.05</v>
      </c>
      <c r="N1089" s="475">
        <f t="shared" si="107"/>
        <v>84189</v>
      </c>
    </row>
    <row r="1090" spans="7:14" ht="11.25" customHeight="1" x14ac:dyDescent="0.3">
      <c r="G1090" s="470"/>
      <c r="H1090" s="470">
        <v>1083</v>
      </c>
      <c r="I1090" s="455">
        <f t="shared" ca="1" si="105"/>
        <v>-33171864.527897693</v>
      </c>
      <c r="J1090" s="455">
        <f t="array" ref="J1090">IFERROR(INDEX('Retirement Calculator'!K:K,MATCH('Lorri 401b'!N1090,'Retirement Calculator'!A:A,0),0),0)</f>
        <v>20282.026119384056</v>
      </c>
      <c r="K1090" s="455">
        <f t="shared" ca="1" si="103"/>
        <v>-138300.61064173782</v>
      </c>
      <c r="L1090" s="455">
        <f t="shared" ca="1" si="104"/>
        <v>-33330447.164658815</v>
      </c>
      <c r="M1090" s="471">
        <f t="shared" si="106"/>
        <v>0.05</v>
      </c>
      <c r="N1090" s="475">
        <f t="shared" si="107"/>
        <v>84220</v>
      </c>
    </row>
    <row r="1091" spans="7:14" ht="11.25" customHeight="1" x14ac:dyDescent="0.3">
      <c r="G1091" s="470"/>
      <c r="H1091" s="470">
        <v>1084</v>
      </c>
      <c r="I1091" s="455">
        <f t="shared" ca="1" si="105"/>
        <v>-33330447.164658815</v>
      </c>
      <c r="J1091" s="455">
        <f t="array" ref="J1091">IFERROR(INDEX('Retirement Calculator'!K:K,MATCH('Lorri 401b'!N1091,'Retirement Calculator'!A:A,0),0),0)</f>
        <v>20282.026119384056</v>
      </c>
      <c r="K1091" s="455">
        <f t="shared" ca="1" si="103"/>
        <v>-138961.37162824249</v>
      </c>
      <c r="L1091" s="455">
        <f t="shared" ca="1" si="104"/>
        <v>-33489690.562406443</v>
      </c>
      <c r="M1091" s="471">
        <f t="shared" si="106"/>
        <v>0.05</v>
      </c>
      <c r="N1091" s="475">
        <f t="shared" si="107"/>
        <v>84251</v>
      </c>
    </row>
    <row r="1092" spans="7:14" ht="11.25" customHeight="1" x14ac:dyDescent="0.3">
      <c r="G1092" s="470"/>
      <c r="H1092" s="470">
        <v>1085</v>
      </c>
      <c r="I1092" s="455">
        <f t="shared" ca="1" si="105"/>
        <v>-33489690.562406443</v>
      </c>
      <c r="J1092" s="455">
        <f t="array" ref="J1092">IFERROR(INDEX('Retirement Calculator'!K:K,MATCH('Lorri 401b'!N1092,'Retirement Calculator'!A:A,0),0),0)</f>
        <v>20282.026119384056</v>
      </c>
      <c r="K1092" s="455">
        <f t="shared" ca="1" si="103"/>
        <v>-139624.88578552427</v>
      </c>
      <c r="L1092" s="455">
        <f t="shared" ca="1" si="104"/>
        <v>-33649597.474311352</v>
      </c>
      <c r="M1092" s="471">
        <f t="shared" si="106"/>
        <v>0.05</v>
      </c>
      <c r="N1092" s="475">
        <f t="shared" si="107"/>
        <v>84281</v>
      </c>
    </row>
    <row r="1093" spans="7:14" ht="11.25" customHeight="1" x14ac:dyDescent="0.3">
      <c r="G1093" s="470"/>
      <c r="H1093" s="470">
        <v>1086</v>
      </c>
      <c r="I1093" s="455">
        <f t="shared" ca="1" si="105"/>
        <v>-33649597.474311352</v>
      </c>
      <c r="J1093" s="455">
        <f t="array" ref="J1093">IFERROR(INDEX('Retirement Calculator'!K:K,MATCH('Lorri 401b'!N1093,'Retirement Calculator'!A:A,0),0),0)</f>
        <v>20282.026119384056</v>
      </c>
      <c r="K1093" s="455">
        <f t="shared" ca="1" si="103"/>
        <v>-140291.16458512805</v>
      </c>
      <c r="L1093" s="455">
        <f t="shared" ca="1" si="104"/>
        <v>-33810170.665015861</v>
      </c>
      <c r="M1093" s="471">
        <f t="shared" si="106"/>
        <v>0.05</v>
      </c>
      <c r="N1093" s="475">
        <f t="shared" si="107"/>
        <v>84312</v>
      </c>
    </row>
    <row r="1094" spans="7:14" ht="11.25" customHeight="1" x14ac:dyDescent="0.3">
      <c r="G1094" s="470"/>
      <c r="H1094" s="470">
        <v>1087</v>
      </c>
      <c r="I1094" s="455">
        <f t="shared" ca="1" si="105"/>
        <v>-33810170.665015861</v>
      </c>
      <c r="J1094" s="455">
        <f t="array" ref="J1094">IFERROR(INDEX('Retirement Calculator'!K:K,MATCH('Lorri 401b'!N1094,'Retirement Calculator'!A:A,0),0),0)</f>
        <v>20282.026119384056</v>
      </c>
      <c r="K1094" s="455">
        <f t="shared" ca="1" si="103"/>
        <v>-140960.21954639684</v>
      </c>
      <c r="L1094" s="455">
        <f t="shared" ca="1" si="104"/>
        <v>-33971412.910681643</v>
      </c>
      <c r="M1094" s="471">
        <f t="shared" si="106"/>
        <v>0.05</v>
      </c>
      <c r="N1094" s="475">
        <f t="shared" si="107"/>
        <v>84342</v>
      </c>
    </row>
    <row r="1095" spans="7:14" ht="11.25" customHeight="1" x14ac:dyDescent="0.3">
      <c r="G1095" s="470"/>
      <c r="H1095" s="470">
        <v>1088</v>
      </c>
      <c r="I1095" s="455">
        <f t="shared" ca="1" si="105"/>
        <v>-33971412.910681643</v>
      </c>
      <c r="J1095" s="455">
        <f t="array" ref="J1095">IFERROR(INDEX('Retirement Calculator'!K:K,MATCH('Lorri 401b'!N1095,'Retirement Calculator'!A:A,0),0),0)</f>
        <v>20282.026119384056</v>
      </c>
      <c r="K1095" s="455">
        <f t="shared" ca="1" si="103"/>
        <v>-141632.06223667093</v>
      </c>
      <c r="L1095" s="455">
        <f t="shared" ca="1" si="104"/>
        <v>-34133326.999037698</v>
      </c>
      <c r="M1095" s="471">
        <f t="shared" si="106"/>
        <v>0.05</v>
      </c>
      <c r="N1095" s="475">
        <f t="shared" si="107"/>
        <v>84373</v>
      </c>
    </row>
    <row r="1096" spans="7:14" ht="11.25" customHeight="1" x14ac:dyDescent="0.3">
      <c r="G1096" s="470"/>
      <c r="H1096" s="470">
        <v>1089</v>
      </c>
      <c r="I1096" s="455">
        <f t="shared" ca="1" si="105"/>
        <v>-34133326.999037698</v>
      </c>
      <c r="J1096" s="455">
        <f t="array" ref="J1096">IFERROR(INDEX('Retirement Calculator'!K:K,MATCH('Lorri 401b'!N1096,'Retirement Calculator'!A:A,0),0),0)</f>
        <v>20282.026119384056</v>
      </c>
      <c r="K1096" s="455">
        <f t="shared" ca="1" si="103"/>
        <v>-142306.70427148783</v>
      </c>
      <c r="L1096" s="455">
        <f t="shared" ca="1" si="104"/>
        <v>-34295915.729428567</v>
      </c>
      <c r="M1096" s="471">
        <f t="shared" si="106"/>
        <v>0.05</v>
      </c>
      <c r="N1096" s="475">
        <f t="shared" si="107"/>
        <v>84404</v>
      </c>
    </row>
    <row r="1097" spans="7:14" ht="11.25" customHeight="1" x14ac:dyDescent="0.3">
      <c r="G1097" s="470"/>
      <c r="H1097" s="470">
        <v>1090</v>
      </c>
      <c r="I1097" s="455">
        <f t="shared" ca="1" si="105"/>
        <v>-34295915.729428567</v>
      </c>
      <c r="J1097" s="455">
        <f t="array" ref="J1097">IFERROR(INDEX('Retirement Calculator'!K:K,MATCH('Lorri 401b'!N1097,'Retirement Calculator'!A:A,0),0),0)</f>
        <v>20282.026119384056</v>
      </c>
      <c r="K1097" s="455">
        <f t="shared" ca="1" si="103"/>
        <v>-142984.15731478311</v>
      </c>
      <c r="L1097" s="455">
        <f t="shared" ca="1" si="104"/>
        <v>-34459181.912862733</v>
      </c>
      <c r="M1097" s="471">
        <f t="shared" si="106"/>
        <v>0.05</v>
      </c>
      <c r="N1097" s="475">
        <f t="shared" si="107"/>
        <v>84432</v>
      </c>
    </row>
    <row r="1098" spans="7:14" ht="11.25" customHeight="1" x14ac:dyDescent="0.3">
      <c r="G1098" s="470"/>
      <c r="H1098" s="470">
        <v>1091</v>
      </c>
      <c r="I1098" s="455">
        <f t="shared" ca="1" si="105"/>
        <v>-34459181.912862733</v>
      </c>
      <c r="J1098" s="455">
        <f t="array" ref="J1098">IFERROR(INDEX('Retirement Calculator'!K:K,MATCH('Lorri 401b'!N1098,'Retirement Calculator'!A:A,0),0),0)</f>
        <v>20282.026119384056</v>
      </c>
      <c r="K1098" s="455">
        <f t="shared" ca="1" si="103"/>
        <v>-143664.43307909215</v>
      </c>
      <c r="L1098" s="455">
        <f t="shared" ca="1" si="104"/>
        <v>-34623128.372061208</v>
      </c>
      <c r="M1098" s="471">
        <f t="shared" si="106"/>
        <v>0.05</v>
      </c>
      <c r="N1098" s="475">
        <f t="shared" si="107"/>
        <v>84463</v>
      </c>
    </row>
    <row r="1099" spans="7:14" ht="11.25" customHeight="1" x14ac:dyDescent="0.3">
      <c r="G1099" s="470"/>
      <c r="H1099" s="470">
        <v>1092</v>
      </c>
      <c r="I1099" s="455">
        <f t="shared" ca="1" si="105"/>
        <v>-34623128.372061208</v>
      </c>
      <c r="J1099" s="455">
        <f t="array" ref="J1099">IFERROR(INDEX('Retirement Calculator'!K:K,MATCH('Lorri 401b'!N1099,'Retirement Calculator'!A:A,0),0),0)</f>
        <v>20282.026119384056</v>
      </c>
      <c r="K1099" s="455">
        <f t="shared" ca="1" si="103"/>
        <v>-144347.54332575246</v>
      </c>
      <c r="L1099" s="455">
        <f t="shared" ca="1" si="104"/>
        <v>-34787757.941506341</v>
      </c>
      <c r="M1099" s="471">
        <f t="shared" si="106"/>
        <v>0.05</v>
      </c>
      <c r="N1099" s="475">
        <f t="shared" si="107"/>
        <v>84493</v>
      </c>
    </row>
    <row r="1100" spans="7:14" ht="11.25" customHeight="1" x14ac:dyDescent="0.3">
      <c r="G1100" s="470"/>
      <c r="H1100" s="470">
        <v>1093</v>
      </c>
      <c r="I1100" s="455">
        <f t="shared" ca="1" si="105"/>
        <v>-34787757.941506341</v>
      </c>
      <c r="J1100" s="455">
        <f t="array" ref="J1100">IFERROR(INDEX('Retirement Calculator'!K:K,MATCH('Lorri 401b'!N1100,'Retirement Calculator'!A:A,0),0),0)</f>
        <v>20282.026119384056</v>
      </c>
      <c r="K1100" s="455">
        <f t="shared" ca="1" si="103"/>
        <v>-145033.49986510718</v>
      </c>
      <c r="L1100" s="455">
        <f t="shared" ca="1" si="104"/>
        <v>-34953073.46749083</v>
      </c>
      <c r="M1100" s="471">
        <f t="shared" si="106"/>
        <v>0.05</v>
      </c>
      <c r="N1100" s="475">
        <f t="shared" si="107"/>
        <v>84524</v>
      </c>
    </row>
    <row r="1101" spans="7:14" ht="11.25" customHeight="1" x14ac:dyDescent="0.3">
      <c r="G1101" s="470"/>
      <c r="H1101" s="470">
        <v>1094</v>
      </c>
      <c r="I1101" s="455">
        <f t="shared" ca="1" si="105"/>
        <v>-34953073.46749083</v>
      </c>
      <c r="J1101" s="455">
        <f t="array" ref="J1101">IFERROR(INDEX('Retirement Calculator'!K:K,MATCH('Lorri 401b'!N1101,'Retirement Calculator'!A:A,0),0),0)</f>
        <v>20282.026119384056</v>
      </c>
      <c r="K1101" s="455">
        <f t="shared" ca="1" si="103"/>
        <v>-145722.3145567092</v>
      </c>
      <c r="L1101" s="455">
        <f t="shared" ca="1" si="104"/>
        <v>-35119077.808166921</v>
      </c>
      <c r="M1101" s="471">
        <f t="shared" si="106"/>
        <v>0.05</v>
      </c>
      <c r="N1101" s="475">
        <f t="shared" si="107"/>
        <v>84554</v>
      </c>
    </row>
    <row r="1102" spans="7:14" ht="11.25" customHeight="1" x14ac:dyDescent="0.3">
      <c r="G1102" s="470"/>
      <c r="H1102" s="470">
        <v>1095</v>
      </c>
      <c r="I1102" s="455">
        <f t="shared" ca="1" si="105"/>
        <v>-35119077.808166921</v>
      </c>
      <c r="J1102" s="455">
        <f t="array" ref="J1102">IFERROR(INDEX('Retirement Calculator'!K:K,MATCH('Lorri 401b'!N1102,'Retirement Calculator'!A:A,0),0),0)</f>
        <v>20282.026119384056</v>
      </c>
      <c r="K1102" s="455">
        <f t="shared" ca="1" si="103"/>
        <v>-146413.99930952626</v>
      </c>
      <c r="L1102" s="455">
        <f t="shared" ca="1" si="104"/>
        <v>-35285773.833595827</v>
      </c>
      <c r="M1102" s="471">
        <f t="shared" si="106"/>
        <v>0.05</v>
      </c>
      <c r="N1102" s="475">
        <f t="shared" si="107"/>
        <v>84585</v>
      </c>
    </row>
    <row r="1103" spans="7:14" ht="11.25" customHeight="1" x14ac:dyDescent="0.3">
      <c r="G1103" s="470"/>
      <c r="H1103" s="470">
        <v>1096</v>
      </c>
      <c r="I1103" s="455">
        <f t="shared" ca="1" si="105"/>
        <v>-35285773.833595827</v>
      </c>
      <c r="J1103" s="455">
        <f t="array" ref="J1103">IFERROR(INDEX('Retirement Calculator'!K:K,MATCH('Lorri 401b'!N1103,'Retirement Calculator'!A:A,0),0),0)</f>
        <v>20282.026119384056</v>
      </c>
      <c r="K1103" s="455">
        <f t="shared" ca="1" si="103"/>
        <v>-147108.56608214669</v>
      </c>
      <c r="L1103" s="455">
        <f t="shared" ca="1" si="104"/>
        <v>-35453164.425797358</v>
      </c>
      <c r="M1103" s="471">
        <f t="shared" si="106"/>
        <v>0.05</v>
      </c>
      <c r="N1103" s="475">
        <f t="shared" si="107"/>
        <v>84616</v>
      </c>
    </row>
    <row r="1104" spans="7:14" ht="11.25" customHeight="1" x14ac:dyDescent="0.3">
      <c r="G1104" s="470"/>
      <c r="H1104" s="470">
        <v>1097</v>
      </c>
      <c r="I1104" s="455">
        <f t="shared" ca="1" si="105"/>
        <v>-35453164.425797358</v>
      </c>
      <c r="J1104" s="455">
        <f t="array" ref="J1104">IFERROR(INDEX('Retirement Calculator'!K:K,MATCH('Lorri 401b'!N1104,'Retirement Calculator'!A:A,0),0),0)</f>
        <v>20282.026119384056</v>
      </c>
      <c r="K1104" s="455">
        <f t="shared" ca="1" si="103"/>
        <v>-147806.02688298642</v>
      </c>
      <c r="L1104" s="455">
        <f t="shared" ca="1" si="104"/>
        <v>-35621252.478799723</v>
      </c>
      <c r="M1104" s="471">
        <f t="shared" si="106"/>
        <v>0.05</v>
      </c>
      <c r="N1104" s="475">
        <f t="shared" si="107"/>
        <v>84646</v>
      </c>
    </row>
    <row r="1105" spans="7:14" ht="11.25" customHeight="1" x14ac:dyDescent="0.3">
      <c r="G1105" s="470"/>
      <c r="H1105" s="470">
        <v>1098</v>
      </c>
      <c r="I1105" s="455">
        <f t="shared" ca="1" si="105"/>
        <v>-35621252.478799723</v>
      </c>
      <c r="J1105" s="455">
        <f t="array" ref="J1105">IFERROR(INDEX('Retirement Calculator'!K:K,MATCH('Lorri 401b'!N1105,'Retirement Calculator'!A:A,0),0),0)</f>
        <v>20282.026119384056</v>
      </c>
      <c r="K1105" s="455">
        <f t="shared" ca="1" si="103"/>
        <v>-148506.39377049627</v>
      </c>
      <c r="L1105" s="455">
        <f t="shared" ca="1" si="104"/>
        <v>-35790040.898689598</v>
      </c>
      <c r="M1105" s="471">
        <f t="shared" si="106"/>
        <v>0.05</v>
      </c>
      <c r="N1105" s="475">
        <f t="shared" si="107"/>
        <v>84677</v>
      </c>
    </row>
    <row r="1106" spans="7:14" ht="11.25" customHeight="1" x14ac:dyDescent="0.3">
      <c r="G1106" s="470"/>
      <c r="H1106" s="470">
        <v>1099</v>
      </c>
      <c r="I1106" s="455">
        <f t="shared" ca="1" si="105"/>
        <v>-35790040.898689598</v>
      </c>
      <c r="J1106" s="455">
        <f t="array" ref="J1106">IFERROR(INDEX('Retirement Calculator'!K:K,MATCH('Lorri 401b'!N1106,'Retirement Calculator'!A:A,0),0),0)</f>
        <v>20282.026119384056</v>
      </c>
      <c r="K1106" s="455">
        <f t="shared" ca="1" si="103"/>
        <v>-149209.67885337074</v>
      </c>
      <c r="L1106" s="455">
        <f t="shared" ca="1" si="104"/>
        <v>-35959532.603662349</v>
      </c>
      <c r="M1106" s="471">
        <f t="shared" si="106"/>
        <v>0.05</v>
      </c>
      <c r="N1106" s="475">
        <f t="shared" si="107"/>
        <v>84707</v>
      </c>
    </row>
    <row r="1107" spans="7:14" ht="11.25" customHeight="1" x14ac:dyDescent="0.3">
      <c r="G1107" s="470"/>
      <c r="H1107" s="470">
        <v>1100</v>
      </c>
      <c r="I1107" s="455">
        <f t="shared" ca="1" si="105"/>
        <v>-35959532.603662349</v>
      </c>
      <c r="J1107" s="455">
        <f t="array" ref="J1107">IFERROR(INDEX('Retirement Calculator'!K:K,MATCH('Lorri 401b'!N1107,'Retirement Calculator'!A:A,0),0),0)</f>
        <v>20282.026119384056</v>
      </c>
      <c r="K1107" s="455">
        <f t="shared" ca="1" si="103"/>
        <v>-149915.89429075722</v>
      </c>
      <c r="L1107" s="455">
        <f t="shared" ca="1" si="104"/>
        <v>-36129730.524072491</v>
      </c>
      <c r="M1107" s="471">
        <f t="shared" si="106"/>
        <v>0.05</v>
      </c>
      <c r="N1107" s="475">
        <f t="shared" si="107"/>
        <v>84738</v>
      </c>
    </row>
    <row r="1108" spans="7:14" ht="11.25" customHeight="1" x14ac:dyDescent="0.3">
      <c r="G1108" s="470"/>
      <c r="H1108" s="470">
        <v>1101</v>
      </c>
      <c r="I1108" s="455">
        <f t="shared" ca="1" si="105"/>
        <v>-36129730.524072491</v>
      </c>
      <c r="J1108" s="455">
        <f t="array" ref="J1108">IFERROR(INDEX('Retirement Calculator'!K:K,MATCH('Lorri 401b'!N1108,'Retirement Calculator'!A:A,0),0),0)</f>
        <v>20282.026119384056</v>
      </c>
      <c r="K1108" s="455">
        <f t="shared" ca="1" si="103"/>
        <v>-150625.05229246613</v>
      </c>
      <c r="L1108" s="455">
        <f t="shared" ca="1" si="104"/>
        <v>-36300637.602484338</v>
      </c>
      <c r="M1108" s="471">
        <f t="shared" si="106"/>
        <v>0.05</v>
      </c>
      <c r="N1108" s="475">
        <f t="shared" si="107"/>
        <v>84769</v>
      </c>
    </row>
    <row r="1109" spans="7:14" ht="11.25" customHeight="1" x14ac:dyDescent="0.3">
      <c r="G1109" s="470"/>
      <c r="H1109" s="470">
        <v>1102</v>
      </c>
      <c r="I1109" s="455">
        <f t="shared" ca="1" si="105"/>
        <v>-36300637.602484338</v>
      </c>
      <c r="J1109" s="455">
        <f t="array" ref="J1109">IFERROR(INDEX('Retirement Calculator'!K:K,MATCH('Lorri 401b'!N1109,'Retirement Calculator'!A:A,0),0),0)</f>
        <v>20282.026119384056</v>
      </c>
      <c r="K1109" s="455">
        <f t="shared" ca="1" si="103"/>
        <v>-151337.16511918217</v>
      </c>
      <c r="L1109" s="455">
        <f t="shared" ca="1" si="104"/>
        <v>-36472256.793722898</v>
      </c>
      <c r="M1109" s="471">
        <f t="shared" si="106"/>
        <v>0.05</v>
      </c>
      <c r="N1109" s="475">
        <f t="shared" si="107"/>
        <v>84798</v>
      </c>
    </row>
    <row r="1110" spans="7:14" ht="11.25" customHeight="1" x14ac:dyDescent="0.3">
      <c r="G1110" s="470"/>
      <c r="H1110" s="470">
        <v>1103</v>
      </c>
      <c r="I1110" s="455">
        <f t="shared" ca="1" si="105"/>
        <v>-36472256.793722898</v>
      </c>
      <c r="J1110" s="455">
        <f t="array" ref="J1110">IFERROR(INDEX('Retirement Calculator'!K:K,MATCH('Lorri 401b'!N1110,'Retirement Calculator'!A:A,0),0),0)</f>
        <v>20282.026119384056</v>
      </c>
      <c r="K1110" s="455">
        <f t="shared" ca="1" si="103"/>
        <v>-152052.24508267615</v>
      </c>
      <c r="L1110" s="455">
        <f t="shared" ca="1" si="104"/>
        <v>-36644591.064924955</v>
      </c>
      <c r="M1110" s="471">
        <f t="shared" si="106"/>
        <v>0.05</v>
      </c>
      <c r="N1110" s="475">
        <f t="shared" si="107"/>
        <v>84829</v>
      </c>
    </row>
    <row r="1111" spans="7:14" ht="11.25" customHeight="1" x14ac:dyDescent="0.3">
      <c r="G1111" s="470"/>
      <c r="H1111" s="470">
        <v>1104</v>
      </c>
      <c r="I1111" s="455">
        <f t="shared" ca="1" si="105"/>
        <v>-36644591.064924955</v>
      </c>
      <c r="J1111" s="455">
        <f t="array" ref="J1111">IFERROR(INDEX('Retirement Calculator'!K:K,MATCH('Lorri 401b'!N1111,'Retirement Calculator'!A:A,0),0),0)</f>
        <v>20282.026119384056</v>
      </c>
      <c r="K1111" s="455">
        <f t="shared" ca="1" si="103"/>
        <v>-152770.30454601807</v>
      </c>
      <c r="L1111" s="455">
        <f t="shared" ca="1" si="104"/>
        <v>-36817643.395590357</v>
      </c>
      <c r="M1111" s="471">
        <f t="shared" si="106"/>
        <v>0.05</v>
      </c>
      <c r="N1111" s="475">
        <f t="shared" si="107"/>
        <v>84859</v>
      </c>
    </row>
    <row r="1112" spans="7:14" ht="11.25" customHeight="1" x14ac:dyDescent="0.3">
      <c r="G1112" s="470"/>
      <c r="H1112" s="470">
        <v>1105</v>
      </c>
      <c r="I1112" s="455">
        <f t="shared" ca="1" si="105"/>
        <v>-36817643.395590357</v>
      </c>
      <c r="J1112" s="455">
        <f t="array" ref="J1112">IFERROR(INDEX('Retirement Calculator'!K:K,MATCH('Lorri 401b'!N1112,'Retirement Calculator'!A:A,0),0),0)</f>
        <v>20282.026119384056</v>
      </c>
      <c r="K1112" s="455">
        <f t="shared" ca="1" si="103"/>
        <v>-153491.35592379057</v>
      </c>
      <c r="L1112" s="455">
        <f t="shared" ca="1" si="104"/>
        <v>-36991416.777633533</v>
      </c>
      <c r="M1112" s="471">
        <f t="shared" si="106"/>
        <v>0.05</v>
      </c>
      <c r="N1112" s="475">
        <f t="shared" si="107"/>
        <v>84890</v>
      </c>
    </row>
    <row r="1113" spans="7:14" ht="11.25" customHeight="1" x14ac:dyDescent="0.3">
      <c r="G1113" s="470"/>
      <c r="H1113" s="470">
        <v>1106</v>
      </c>
      <c r="I1113" s="455">
        <f t="shared" ca="1" si="105"/>
        <v>-36991416.777633533</v>
      </c>
      <c r="J1113" s="455">
        <f t="array" ref="J1113">IFERROR(INDEX('Retirement Calculator'!K:K,MATCH('Lorri 401b'!N1113,'Retirement Calculator'!A:A,0),0),0)</f>
        <v>20282.026119384056</v>
      </c>
      <c r="K1113" s="455">
        <f t="shared" ca="1" si="103"/>
        <v>-154215.41168230382</v>
      </c>
      <c r="L1113" s="455">
        <f t="shared" ca="1" si="104"/>
        <v>-37165914.215435214</v>
      </c>
      <c r="M1113" s="471">
        <f t="shared" si="106"/>
        <v>0.05</v>
      </c>
      <c r="N1113" s="475">
        <f t="shared" si="107"/>
        <v>84920</v>
      </c>
    </row>
    <row r="1114" spans="7:14" ht="11.25" customHeight="1" x14ac:dyDescent="0.3">
      <c r="G1114" s="470"/>
      <c r="H1114" s="470">
        <v>1107</v>
      </c>
      <c r="I1114" s="455">
        <f t="shared" ca="1" si="105"/>
        <v>-37165914.215435214</v>
      </c>
      <c r="J1114" s="455">
        <f t="array" ref="J1114">IFERROR(INDEX('Retirement Calculator'!K:K,MATCH('Lorri 401b'!N1114,'Retirement Calculator'!A:A,0),0),0)</f>
        <v>20282.026119384056</v>
      </c>
      <c r="K1114" s="455">
        <f t="shared" ca="1" si="103"/>
        <v>-154942.48433981082</v>
      </c>
      <c r="L1114" s="455">
        <f t="shared" ca="1" si="104"/>
        <v>-37341138.725894406</v>
      </c>
      <c r="M1114" s="471">
        <f t="shared" si="106"/>
        <v>0.05</v>
      </c>
      <c r="N1114" s="475">
        <f t="shared" si="107"/>
        <v>84951</v>
      </c>
    </row>
    <row r="1115" spans="7:14" ht="11.25" customHeight="1" x14ac:dyDescent="0.3">
      <c r="G1115" s="470"/>
      <c r="H1115" s="470">
        <v>1108</v>
      </c>
      <c r="I1115" s="455">
        <f t="shared" ca="1" si="105"/>
        <v>-37341138.725894406</v>
      </c>
      <c r="J1115" s="455">
        <f t="array" ref="J1115">IFERROR(INDEX('Retirement Calculator'!K:K,MATCH('Lorri 401b'!N1115,'Retirement Calculator'!A:A,0),0),0)</f>
        <v>20282.026119384056</v>
      </c>
      <c r="K1115" s="455">
        <f t="shared" ca="1" si="103"/>
        <v>-155672.58646672411</v>
      </c>
      <c r="L1115" s="455">
        <f t="shared" ca="1" si="104"/>
        <v>-37517093.33848051</v>
      </c>
      <c r="M1115" s="471">
        <f t="shared" si="106"/>
        <v>0.05</v>
      </c>
      <c r="N1115" s="475">
        <f t="shared" si="107"/>
        <v>84982</v>
      </c>
    </row>
    <row r="1116" spans="7:14" ht="11.25" customHeight="1" x14ac:dyDescent="0.3">
      <c r="G1116" s="470"/>
      <c r="H1116" s="470">
        <v>1109</v>
      </c>
      <c r="I1116" s="455">
        <f t="shared" ca="1" si="105"/>
        <v>-37517093.33848051</v>
      </c>
      <c r="J1116" s="455">
        <f t="array" ref="J1116">IFERROR(INDEX('Retirement Calculator'!K:K,MATCH('Lorri 401b'!N1116,'Retirement Calculator'!A:A,0),0),0)</f>
        <v>20282.026119384056</v>
      </c>
      <c r="K1116" s="455">
        <f t="shared" ca="1" si="103"/>
        <v>-156405.73068583288</v>
      </c>
      <c r="L1116" s="455">
        <f t="shared" ca="1" si="104"/>
        <v>-37693781.095285721</v>
      </c>
      <c r="M1116" s="471">
        <f t="shared" si="106"/>
        <v>0.05</v>
      </c>
      <c r="N1116" s="475">
        <f t="shared" si="107"/>
        <v>85012</v>
      </c>
    </row>
    <row r="1117" spans="7:14" ht="11.25" customHeight="1" x14ac:dyDescent="0.3">
      <c r="G1117" s="470"/>
      <c r="H1117" s="470">
        <v>1110</v>
      </c>
      <c r="I1117" s="455">
        <f t="shared" ca="1" si="105"/>
        <v>-37693781.095285721</v>
      </c>
      <c r="J1117" s="455">
        <f t="array" ref="J1117">IFERROR(INDEX('Retirement Calculator'!K:K,MATCH('Lorri 401b'!N1117,'Retirement Calculator'!A:A,0),0),0)</f>
        <v>20282.026119384056</v>
      </c>
      <c r="K1117" s="455">
        <f t="shared" ca="1" si="103"/>
        <v>-157141.92967252125</v>
      </c>
      <c r="L1117" s="455">
        <f t="shared" ca="1" si="104"/>
        <v>-37871205.051077627</v>
      </c>
      <c r="M1117" s="471">
        <f t="shared" si="106"/>
        <v>0.05</v>
      </c>
      <c r="N1117" s="475">
        <f t="shared" si="107"/>
        <v>85043</v>
      </c>
    </row>
    <row r="1118" spans="7:14" ht="11.25" customHeight="1" x14ac:dyDescent="0.3">
      <c r="G1118" s="470"/>
      <c r="H1118" s="470">
        <v>1111</v>
      </c>
      <c r="I1118" s="455">
        <f t="shared" ca="1" si="105"/>
        <v>-37871205.051077627</v>
      </c>
      <c r="J1118" s="455">
        <f t="array" ref="J1118">IFERROR(INDEX('Retirement Calculator'!K:K,MATCH('Lorri 401b'!N1118,'Retirement Calculator'!A:A,0),0),0)</f>
        <v>20282.026119384056</v>
      </c>
      <c r="K1118" s="455">
        <f t="shared" ca="1" si="103"/>
        <v>-157881.19615498753</v>
      </c>
      <c r="L1118" s="455">
        <f t="shared" ca="1" si="104"/>
        <v>-38049368.273351997</v>
      </c>
      <c r="M1118" s="471">
        <f t="shared" si="106"/>
        <v>0.05</v>
      </c>
      <c r="N1118" s="475">
        <f t="shared" si="107"/>
        <v>85073</v>
      </c>
    </row>
    <row r="1119" spans="7:14" ht="11.25" customHeight="1" x14ac:dyDescent="0.3">
      <c r="G1119" s="470"/>
      <c r="H1119" s="470">
        <v>1112</v>
      </c>
      <c r="I1119" s="455">
        <f t="shared" ca="1" si="105"/>
        <v>-38049368.273351997</v>
      </c>
      <c r="J1119" s="455">
        <f t="array" ref="J1119">IFERROR(INDEX('Retirement Calculator'!K:K,MATCH('Lorri 401b'!N1119,'Retirement Calculator'!A:A,0),0),0)</f>
        <v>20282.026119384056</v>
      </c>
      <c r="K1119" s="455">
        <f t="shared" ca="1" si="103"/>
        <v>-158623.54291446408</v>
      </c>
      <c r="L1119" s="455">
        <f t="shared" ca="1" si="104"/>
        <v>-38228273.842385843</v>
      </c>
      <c r="M1119" s="471">
        <f t="shared" si="106"/>
        <v>0.05</v>
      </c>
      <c r="N1119" s="475">
        <f t="shared" si="107"/>
        <v>85104</v>
      </c>
    </row>
    <row r="1120" spans="7:14" ht="11.25" customHeight="1" x14ac:dyDescent="0.3">
      <c r="G1120" s="470"/>
      <c r="H1120" s="470">
        <v>1113</v>
      </c>
      <c r="I1120" s="455">
        <f t="shared" ca="1" si="105"/>
        <v>-38228273.842385843</v>
      </c>
      <c r="J1120" s="455">
        <f t="array" ref="J1120">IFERROR(INDEX('Retirement Calculator'!K:K,MATCH('Lorri 401b'!N1120,'Retirement Calculator'!A:A,0),0),0)</f>
        <v>20282.026119384056</v>
      </c>
      <c r="K1120" s="455">
        <f t="shared" ca="1" si="103"/>
        <v>-159368.98278543842</v>
      </c>
      <c r="L1120" s="455">
        <f t="shared" ca="1" si="104"/>
        <v>-38407924.851290666</v>
      </c>
      <c r="M1120" s="471">
        <f t="shared" si="106"/>
        <v>0.05</v>
      </c>
      <c r="N1120" s="475">
        <f t="shared" si="107"/>
        <v>85135</v>
      </c>
    </row>
    <row r="1121" spans="7:14" ht="11.25" customHeight="1" x14ac:dyDescent="0.3">
      <c r="G1121" s="470"/>
      <c r="H1121" s="470">
        <v>1114</v>
      </c>
      <c r="I1121" s="455">
        <f t="shared" ca="1" si="105"/>
        <v>-38407924.851290666</v>
      </c>
      <c r="J1121" s="455">
        <f t="array" ref="J1121">IFERROR(INDEX('Retirement Calculator'!K:K,MATCH('Lorri 401b'!N1121,'Retirement Calculator'!A:A,0),0),0)</f>
        <v>20282.026119384056</v>
      </c>
      <c r="K1121" s="455">
        <f t="shared" ca="1" si="103"/>
        <v>-160117.52865587518</v>
      </c>
      <c r="L1121" s="455">
        <f t="shared" ca="1" si="104"/>
        <v>-38588324.406065919</v>
      </c>
      <c r="M1121" s="471">
        <f t="shared" si="106"/>
        <v>0.05</v>
      </c>
      <c r="N1121" s="475">
        <f t="shared" si="107"/>
        <v>85163</v>
      </c>
    </row>
    <row r="1122" spans="7:14" ht="11.25" customHeight="1" x14ac:dyDescent="0.3">
      <c r="G1122" s="470"/>
      <c r="H1122" s="470">
        <v>1115</v>
      </c>
      <c r="I1122" s="455">
        <f t="shared" ca="1" si="105"/>
        <v>-38588324.406065919</v>
      </c>
      <c r="J1122" s="455">
        <f t="array" ref="J1122">IFERROR(INDEX('Retirement Calculator'!K:K,MATCH('Lorri 401b'!N1122,'Retirement Calculator'!A:A,0),0),0)</f>
        <v>20282.026119384056</v>
      </c>
      <c r="K1122" s="455">
        <f t="shared" ca="1" si="103"/>
        <v>-160869.19346743874</v>
      </c>
      <c r="L1122" s="455">
        <f t="shared" ca="1" si="104"/>
        <v>-38769475.625652738</v>
      </c>
      <c r="M1122" s="471">
        <f t="shared" si="106"/>
        <v>0.05</v>
      </c>
      <c r="N1122" s="475">
        <f t="shared" si="107"/>
        <v>85194</v>
      </c>
    </row>
    <row r="1123" spans="7:14" ht="11.25" customHeight="1" x14ac:dyDescent="0.3">
      <c r="G1123" s="470"/>
      <c r="H1123" s="470">
        <v>1116</v>
      </c>
      <c r="I1123" s="455">
        <f t="shared" ca="1" si="105"/>
        <v>-38769475.625652738</v>
      </c>
      <c r="J1123" s="455">
        <f t="array" ref="J1123">IFERROR(INDEX('Retirement Calculator'!K:K,MATCH('Lorri 401b'!N1123,'Retirement Calculator'!A:A,0),0),0)</f>
        <v>20282.026119384056</v>
      </c>
      <c r="K1123" s="455">
        <f t="shared" ca="1" si="103"/>
        <v>-161623.99021571717</v>
      </c>
      <c r="L1123" s="455">
        <f t="shared" ca="1" si="104"/>
        <v>-38951381.641987838</v>
      </c>
      <c r="M1123" s="471">
        <f t="shared" si="106"/>
        <v>0.05</v>
      </c>
      <c r="N1123" s="475">
        <f t="shared" si="107"/>
        <v>85224</v>
      </c>
    </row>
    <row r="1124" spans="7:14" ht="11.25" customHeight="1" x14ac:dyDescent="0.3">
      <c r="G1124" s="470"/>
      <c r="H1124" s="470">
        <v>1117</v>
      </c>
      <c r="I1124" s="455">
        <f t="shared" ca="1" si="105"/>
        <v>-38951381.641987838</v>
      </c>
      <c r="J1124" s="455">
        <f t="array" ref="J1124">IFERROR(INDEX('Retirement Calculator'!K:K,MATCH('Lorri 401b'!N1124,'Retirement Calculator'!A:A,0),0),0)</f>
        <v>20282.026119384056</v>
      </c>
      <c r="K1124" s="455">
        <f t="shared" ca="1" si="103"/>
        <v>-162381.93195044674</v>
      </c>
      <c r="L1124" s="455">
        <f t="shared" ca="1" si="104"/>
        <v>-39134045.600057669</v>
      </c>
      <c r="M1124" s="471">
        <f t="shared" si="106"/>
        <v>0.05</v>
      </c>
      <c r="N1124" s="475">
        <f t="shared" si="107"/>
        <v>85255</v>
      </c>
    </row>
    <row r="1125" spans="7:14" ht="11.25" customHeight="1" x14ac:dyDescent="0.3">
      <c r="G1125" s="470"/>
      <c r="H1125" s="470">
        <v>1118</v>
      </c>
      <c r="I1125" s="455">
        <f t="shared" ca="1" si="105"/>
        <v>-39134045.600057669</v>
      </c>
      <c r="J1125" s="455">
        <f t="array" ref="J1125">IFERROR(INDEX('Retirement Calculator'!K:K,MATCH('Lorri 401b'!N1125,'Retirement Calculator'!A:A,0),0),0)</f>
        <v>20282.026119384056</v>
      </c>
      <c r="K1125" s="455">
        <f t="shared" ca="1" si="103"/>
        <v>-163143.03177573771</v>
      </c>
      <c r="L1125" s="455">
        <f t="shared" ca="1" si="104"/>
        <v>-39317470.657952785</v>
      </c>
      <c r="M1125" s="471">
        <f t="shared" si="106"/>
        <v>0.05</v>
      </c>
      <c r="N1125" s="475">
        <f t="shared" si="107"/>
        <v>85285</v>
      </c>
    </row>
    <row r="1126" spans="7:14" ht="11.25" customHeight="1" x14ac:dyDescent="0.3">
      <c r="G1126" s="470"/>
      <c r="H1126" s="470">
        <v>1119</v>
      </c>
      <c r="I1126" s="455">
        <f t="shared" ca="1" si="105"/>
        <v>-39317470.657952785</v>
      </c>
      <c r="J1126" s="455">
        <f t="array" ref="J1126">IFERROR(INDEX('Retirement Calculator'!K:K,MATCH('Lorri 401b'!N1126,'Retirement Calculator'!A:A,0),0),0)</f>
        <v>20282.026119384056</v>
      </c>
      <c r="K1126" s="455">
        <f t="shared" ca="1" si="103"/>
        <v>-163907.30285030068</v>
      </c>
      <c r="L1126" s="455">
        <f t="shared" ca="1" si="104"/>
        <v>-39501659.986922465</v>
      </c>
      <c r="M1126" s="471">
        <f t="shared" si="106"/>
        <v>0.05</v>
      </c>
      <c r="N1126" s="475">
        <f t="shared" si="107"/>
        <v>85316</v>
      </c>
    </row>
    <row r="1127" spans="7:14" ht="11.25" customHeight="1" x14ac:dyDescent="0.3">
      <c r="G1127" s="470"/>
      <c r="H1127" s="470">
        <v>1120</v>
      </c>
      <c r="I1127" s="455">
        <f t="shared" ca="1" si="105"/>
        <v>-39501659.986922465</v>
      </c>
      <c r="J1127" s="455">
        <f t="array" ref="J1127">IFERROR(INDEX('Retirement Calculator'!K:K,MATCH('Lorri 401b'!N1127,'Retirement Calculator'!A:A,0),0),0)</f>
        <v>20282.026119384056</v>
      </c>
      <c r="K1127" s="455">
        <f t="shared" ca="1" si="103"/>
        <v>-164674.75838767434</v>
      </c>
      <c r="L1127" s="455">
        <f t="shared" ca="1" si="104"/>
        <v>-39686616.771429524</v>
      </c>
      <c r="M1127" s="471">
        <f t="shared" si="106"/>
        <v>0.05</v>
      </c>
      <c r="N1127" s="475">
        <f t="shared" si="107"/>
        <v>85347</v>
      </c>
    </row>
    <row r="1128" spans="7:14" ht="11.25" customHeight="1" x14ac:dyDescent="0.3">
      <c r="G1128" s="470"/>
      <c r="H1128" s="470">
        <v>1121</v>
      </c>
      <c r="I1128" s="455">
        <f t="shared" ca="1" si="105"/>
        <v>-39686616.771429524</v>
      </c>
      <c r="J1128" s="455">
        <f t="array" ref="J1128">IFERROR(INDEX('Retirement Calculator'!K:K,MATCH('Lorri 401b'!N1128,'Retirement Calculator'!A:A,0),0),0)</f>
        <v>20282.026119384056</v>
      </c>
      <c r="K1128" s="455">
        <f t="shared" ca="1" si="103"/>
        <v>-165445.41165645377</v>
      </c>
      <c r="L1128" s="455">
        <f t="shared" ca="1" si="104"/>
        <v>-39872344.209205359</v>
      </c>
      <c r="M1128" s="471">
        <f t="shared" si="106"/>
        <v>0.05</v>
      </c>
      <c r="N1128" s="475">
        <f t="shared" si="107"/>
        <v>85377</v>
      </c>
    </row>
    <row r="1129" spans="7:14" ht="11.25" customHeight="1" x14ac:dyDescent="0.3">
      <c r="G1129" s="470"/>
      <c r="H1129" s="470">
        <v>1122</v>
      </c>
      <c r="I1129" s="455">
        <f t="shared" ca="1" si="105"/>
        <v>-39872344.209205359</v>
      </c>
      <c r="J1129" s="455">
        <f t="array" ref="J1129">IFERROR(INDEX('Retirement Calculator'!K:K,MATCH('Lorri 401b'!N1129,'Retirement Calculator'!A:A,0),0),0)</f>
        <v>20282.026119384056</v>
      </c>
      <c r="K1129" s="455">
        <f t="shared" ca="1" si="103"/>
        <v>-166219.27598051974</v>
      </c>
      <c r="L1129" s="455">
        <f t="shared" ca="1" si="104"/>
        <v>-40058845.511305258</v>
      </c>
      <c r="M1129" s="471">
        <f t="shared" si="106"/>
        <v>0.05</v>
      </c>
      <c r="N1129" s="475">
        <f t="shared" si="107"/>
        <v>85408</v>
      </c>
    </row>
    <row r="1130" spans="7:14" ht="11.25" customHeight="1" x14ac:dyDescent="0.3">
      <c r="G1130" s="470"/>
      <c r="H1130" s="470">
        <v>1123</v>
      </c>
      <c r="I1130" s="455">
        <f t="shared" ca="1" si="105"/>
        <v>-40058845.511305258</v>
      </c>
      <c r="J1130" s="455">
        <f t="array" ref="J1130">IFERROR(INDEX('Retirement Calculator'!K:K,MATCH('Lorri 401b'!N1130,'Retirement Calculator'!A:A,0),0),0)</f>
        <v>20282.026119384056</v>
      </c>
      <c r="K1130" s="455">
        <f t="shared" ca="1" si="103"/>
        <v>-166996.36473926934</v>
      </c>
      <c r="L1130" s="455">
        <f t="shared" ca="1" si="104"/>
        <v>-40246123.902163908</v>
      </c>
      <c r="M1130" s="471">
        <f t="shared" si="106"/>
        <v>0.05</v>
      </c>
      <c r="N1130" s="475">
        <f t="shared" si="107"/>
        <v>85438</v>
      </c>
    </row>
    <row r="1131" spans="7:14" ht="11.25" customHeight="1" x14ac:dyDescent="0.3">
      <c r="G1131" s="470"/>
      <c r="H1131" s="470">
        <v>1124</v>
      </c>
      <c r="I1131" s="455">
        <f t="shared" ca="1" si="105"/>
        <v>-40246123.902163908</v>
      </c>
      <c r="J1131" s="455">
        <f t="array" ref="J1131">IFERROR(INDEX('Retirement Calculator'!K:K,MATCH('Lorri 401b'!N1131,'Retirement Calculator'!A:A,0),0),0)</f>
        <v>20282.026119384056</v>
      </c>
      <c r="K1131" s="455">
        <f t="shared" ca="1" si="103"/>
        <v>-167776.69136784703</v>
      </c>
      <c r="L1131" s="455">
        <f t="shared" ca="1" si="104"/>
        <v>-40434182.619651139</v>
      </c>
      <c r="M1131" s="471">
        <f t="shared" si="106"/>
        <v>0.05</v>
      </c>
      <c r="N1131" s="475">
        <f t="shared" si="107"/>
        <v>85469</v>
      </c>
    </row>
    <row r="1132" spans="7:14" ht="11.25" customHeight="1" x14ac:dyDescent="0.3">
      <c r="G1132" s="470"/>
      <c r="H1132" s="470">
        <v>1125</v>
      </c>
      <c r="I1132" s="455">
        <f t="shared" ca="1" si="105"/>
        <v>-40434182.619651139</v>
      </c>
      <c r="J1132" s="455">
        <f t="array" ref="J1132">IFERROR(INDEX('Retirement Calculator'!K:K,MATCH('Lorri 401b'!N1132,'Retirement Calculator'!A:A,0),0),0)</f>
        <v>20282.026119384056</v>
      </c>
      <c r="K1132" s="455">
        <f t="shared" ca="1" si="103"/>
        <v>-168560.26935737717</v>
      </c>
      <c r="L1132" s="455">
        <f t="shared" ca="1" si="104"/>
        <v>-40623024.915127896</v>
      </c>
      <c r="M1132" s="471">
        <f t="shared" si="106"/>
        <v>0.05</v>
      </c>
      <c r="N1132" s="475">
        <f t="shared" si="107"/>
        <v>85500</v>
      </c>
    </row>
    <row r="1133" spans="7:14" ht="11.25" customHeight="1" x14ac:dyDescent="0.3">
      <c r="G1133" s="470"/>
      <c r="H1133" s="470">
        <v>1126</v>
      </c>
      <c r="I1133" s="455">
        <f t="shared" ca="1" si="105"/>
        <v>-40623024.915127896</v>
      </c>
      <c r="J1133" s="455">
        <f t="array" ref="J1133">IFERROR(INDEX('Retirement Calculator'!K:K,MATCH('Lorri 401b'!N1133,'Retirement Calculator'!A:A,0),0),0)</f>
        <v>20282.026119384056</v>
      </c>
      <c r="K1133" s="455">
        <f t="shared" ca="1" si="103"/>
        <v>-169347.11225519699</v>
      </c>
      <c r="L1133" s="455">
        <f t="shared" ca="1" si="104"/>
        <v>-40812654.05350247</v>
      </c>
      <c r="M1133" s="471">
        <f t="shared" si="106"/>
        <v>0.05</v>
      </c>
      <c r="N1133" s="475">
        <f t="shared" si="107"/>
        <v>85528</v>
      </c>
    </row>
    <row r="1134" spans="7:14" ht="11.25" customHeight="1" x14ac:dyDescent="0.3">
      <c r="G1134" s="470"/>
      <c r="H1134" s="470">
        <v>1127</v>
      </c>
      <c r="I1134" s="455">
        <f t="shared" ca="1" si="105"/>
        <v>-40812654.05350247</v>
      </c>
      <c r="J1134" s="455">
        <f t="array" ref="J1134">IFERROR(INDEX('Retirement Calculator'!K:K,MATCH('Lorri 401b'!N1134,'Retirement Calculator'!A:A,0),0),0)</f>
        <v>20282.026119384056</v>
      </c>
      <c r="K1134" s="455">
        <f t="shared" ca="1" si="103"/>
        <v>-170137.23366509104</v>
      </c>
      <c r="L1134" s="455">
        <f t="shared" ca="1" si="104"/>
        <v>-41003073.313286945</v>
      </c>
      <c r="M1134" s="471">
        <f t="shared" si="106"/>
        <v>0.05</v>
      </c>
      <c r="N1134" s="475">
        <f t="shared" si="107"/>
        <v>85559</v>
      </c>
    </row>
    <row r="1135" spans="7:14" ht="11.25" customHeight="1" x14ac:dyDescent="0.3">
      <c r="G1135" s="470"/>
      <c r="H1135" s="470">
        <v>1128</v>
      </c>
      <c r="I1135" s="455">
        <f t="shared" ca="1" si="105"/>
        <v>-41003073.313286945</v>
      </c>
      <c r="J1135" s="455">
        <f t="array" ref="J1135">IFERROR(INDEX('Retirement Calculator'!K:K,MATCH('Lorri 401b'!N1135,'Retirement Calculator'!A:A,0),0),0)</f>
        <v>20282.026119384056</v>
      </c>
      <c r="K1135" s="455">
        <f t="shared" ca="1" si="103"/>
        <v>-170930.64724752636</v>
      </c>
      <c r="L1135" s="455">
        <f t="shared" ca="1" si="104"/>
        <v>-41194285.986653849</v>
      </c>
      <c r="M1135" s="471">
        <f t="shared" si="106"/>
        <v>0.05</v>
      </c>
      <c r="N1135" s="475">
        <f t="shared" si="107"/>
        <v>85589</v>
      </c>
    </row>
    <row r="1136" spans="7:14" ht="11.25" customHeight="1" x14ac:dyDescent="0.3">
      <c r="G1136" s="470"/>
      <c r="H1136" s="470">
        <v>1129</v>
      </c>
      <c r="I1136" s="455">
        <f t="shared" ca="1" si="105"/>
        <v>-41194285.986653849</v>
      </c>
      <c r="J1136" s="455">
        <f t="array" ref="J1136">IFERROR(INDEX('Retirement Calculator'!K:K,MATCH('Lorri 401b'!N1136,'Retirement Calculator'!A:A,0),0),0)</f>
        <v>20282.026119384056</v>
      </c>
      <c r="K1136" s="455">
        <f t="shared" ca="1" si="103"/>
        <v>-171727.36671988847</v>
      </c>
      <c r="L1136" s="455">
        <f t="shared" ca="1" si="104"/>
        <v>-41386295.379493117</v>
      </c>
      <c r="M1136" s="471">
        <f t="shared" si="106"/>
        <v>0.05</v>
      </c>
      <c r="N1136" s="475">
        <f t="shared" si="107"/>
        <v>85620</v>
      </c>
    </row>
    <row r="1137" spans="7:14" ht="11.25" customHeight="1" x14ac:dyDescent="0.3">
      <c r="G1137" s="470"/>
      <c r="H1137" s="470">
        <v>1130</v>
      </c>
      <c r="I1137" s="455">
        <f t="shared" ca="1" si="105"/>
        <v>-41386295.379493117</v>
      </c>
      <c r="J1137" s="455">
        <f t="array" ref="J1137">IFERROR(INDEX('Retirement Calculator'!K:K,MATCH('Lorri 401b'!N1137,'Retirement Calculator'!A:A,0),0),0)</f>
        <v>20282.026119384056</v>
      </c>
      <c r="K1137" s="455">
        <f t="shared" ca="1" si="103"/>
        <v>-172527.40585671875</v>
      </c>
      <c r="L1137" s="455">
        <f t="shared" ca="1" si="104"/>
        <v>-41579104.81146922</v>
      </c>
      <c r="M1137" s="471">
        <f t="shared" si="106"/>
        <v>0.05</v>
      </c>
      <c r="N1137" s="475">
        <f t="shared" si="107"/>
        <v>85650</v>
      </c>
    </row>
    <row r="1138" spans="7:14" ht="11.25" customHeight="1" x14ac:dyDescent="0.3">
      <c r="G1138" s="470"/>
      <c r="H1138" s="470">
        <v>1131</v>
      </c>
      <c r="I1138" s="455">
        <f t="shared" ca="1" si="105"/>
        <v>-41579104.81146922</v>
      </c>
      <c r="J1138" s="455">
        <f t="array" ref="J1138">IFERROR(INDEX('Retirement Calculator'!K:K,MATCH('Lorri 401b'!N1138,'Retirement Calculator'!A:A,0),0),0)</f>
        <v>20282.026119384056</v>
      </c>
      <c r="K1138" s="455">
        <f t="shared" ca="1" si="103"/>
        <v>-173330.7784899525</v>
      </c>
      <c r="L1138" s="455">
        <f t="shared" ca="1" si="104"/>
        <v>-41772717.616078556</v>
      </c>
      <c r="M1138" s="471">
        <f t="shared" si="106"/>
        <v>0.05</v>
      </c>
      <c r="N1138" s="475">
        <f t="shared" si="107"/>
        <v>85681</v>
      </c>
    </row>
    <row r="1139" spans="7:14" ht="11.25" customHeight="1" x14ac:dyDescent="0.3">
      <c r="G1139" s="470"/>
      <c r="H1139" s="470">
        <v>1132</v>
      </c>
      <c r="I1139" s="455">
        <f t="shared" ca="1" si="105"/>
        <v>-41772717.616078556</v>
      </c>
      <c r="J1139" s="455">
        <f t="array" ref="J1139">IFERROR(INDEX('Retirement Calculator'!K:K,MATCH('Lorri 401b'!N1139,'Retirement Calculator'!A:A,0),0),0)</f>
        <v>20282.026119384056</v>
      </c>
      <c r="K1139" s="455">
        <f t="shared" ca="1" si="103"/>
        <v>-174137.49850915806</v>
      </c>
      <c r="L1139" s="455">
        <f t="shared" ca="1" si="104"/>
        <v>-41967137.140707098</v>
      </c>
      <c r="M1139" s="471">
        <f t="shared" si="106"/>
        <v>0.05</v>
      </c>
      <c r="N1139" s="475">
        <f t="shared" si="107"/>
        <v>85712</v>
      </c>
    </row>
    <row r="1140" spans="7:14" ht="11.25" customHeight="1" x14ac:dyDescent="0.3">
      <c r="G1140" s="470"/>
      <c r="H1140" s="470">
        <v>1133</v>
      </c>
      <c r="I1140" s="455">
        <f t="shared" ca="1" si="105"/>
        <v>-41967137.140707098</v>
      </c>
      <c r="J1140" s="455">
        <f t="array" ref="J1140">IFERROR(INDEX('Retirement Calculator'!K:K,MATCH('Lorri 401b'!N1140,'Retirement Calculator'!A:A,0),0),0)</f>
        <v>20282.026119384056</v>
      </c>
      <c r="K1140" s="455">
        <f t="shared" ca="1" si="103"/>
        <v>-174947.57986177699</v>
      </c>
      <c r="L1140" s="455">
        <f t="shared" ca="1" si="104"/>
        <v>-42162366.746688254</v>
      </c>
      <c r="M1140" s="471">
        <f t="shared" si="106"/>
        <v>0.05</v>
      </c>
      <c r="N1140" s="475">
        <f t="shared" si="107"/>
        <v>85742</v>
      </c>
    </row>
    <row r="1141" spans="7:14" ht="11.25" customHeight="1" x14ac:dyDescent="0.3">
      <c r="G1141" s="470"/>
      <c r="H1141" s="470">
        <v>1134</v>
      </c>
      <c r="I1141" s="455">
        <f t="shared" ca="1" si="105"/>
        <v>-42162366.746688254</v>
      </c>
      <c r="J1141" s="455">
        <f t="array" ref="J1141">IFERROR(INDEX('Retirement Calculator'!K:K,MATCH('Lorri 401b'!N1141,'Retirement Calculator'!A:A,0),0),0)</f>
        <v>20282.026119384056</v>
      </c>
      <c r="K1141" s="455">
        <f t="shared" ca="1" si="103"/>
        <v>-175761.03655336515</v>
      </c>
      <c r="L1141" s="455">
        <f t="shared" ca="1" si="104"/>
        <v>-42358409.809361003</v>
      </c>
      <c r="M1141" s="471">
        <f t="shared" si="106"/>
        <v>0.05</v>
      </c>
      <c r="N1141" s="475">
        <f t="shared" si="107"/>
        <v>85773</v>
      </c>
    </row>
    <row r="1142" spans="7:14" ht="11.25" customHeight="1" x14ac:dyDescent="0.3">
      <c r="G1142" s="470"/>
      <c r="H1142" s="470">
        <v>1135</v>
      </c>
      <c r="I1142" s="455">
        <f t="shared" ca="1" si="105"/>
        <v>-42358409.809361003</v>
      </c>
      <c r="J1142" s="455">
        <f t="array" ref="J1142">IFERROR(INDEX('Retirement Calculator'!K:K,MATCH('Lorri 401b'!N1142,'Retirement Calculator'!A:A,0),0),0)</f>
        <v>20282.026119384056</v>
      </c>
      <c r="K1142" s="455">
        <f t="shared" ca="1" si="103"/>
        <v>-176577.88264783492</v>
      </c>
      <c r="L1142" s="455">
        <f t="shared" ca="1" si="104"/>
        <v>-42555269.718128219</v>
      </c>
      <c r="M1142" s="471">
        <f t="shared" si="106"/>
        <v>0.05</v>
      </c>
      <c r="N1142" s="475">
        <f t="shared" si="107"/>
        <v>85803</v>
      </c>
    </row>
    <row r="1143" spans="7:14" ht="11.25" customHeight="1" x14ac:dyDescent="0.3">
      <c r="G1143" s="470"/>
      <c r="H1143" s="470">
        <v>1136</v>
      </c>
      <c r="I1143" s="455">
        <f t="shared" ca="1" si="105"/>
        <v>-42555269.718128219</v>
      </c>
      <c r="J1143" s="455">
        <f t="array" ref="J1143">IFERROR(INDEX('Retirement Calculator'!K:K,MATCH('Lorri 401b'!N1143,'Retirement Calculator'!A:A,0),0),0)</f>
        <v>20282.026119384056</v>
      </c>
      <c r="K1143" s="455">
        <f t="shared" ca="1" si="103"/>
        <v>-177398.13226769833</v>
      </c>
      <c r="L1143" s="455">
        <f t="shared" ca="1" si="104"/>
        <v>-42752949.876515299</v>
      </c>
      <c r="M1143" s="471">
        <f t="shared" si="106"/>
        <v>0.05</v>
      </c>
      <c r="N1143" s="475">
        <f t="shared" si="107"/>
        <v>85834</v>
      </c>
    </row>
    <row r="1144" spans="7:14" ht="11.25" customHeight="1" x14ac:dyDescent="0.3">
      <c r="G1144" s="470"/>
      <c r="H1144" s="470">
        <v>1137</v>
      </c>
      <c r="I1144" s="455">
        <f t="shared" ca="1" si="105"/>
        <v>-42752949.876515299</v>
      </c>
      <c r="J1144" s="455">
        <f t="array" ref="J1144">IFERROR(INDEX('Retirement Calculator'!K:K,MATCH('Lorri 401b'!N1144,'Retirement Calculator'!A:A,0),0),0)</f>
        <v>20282.026119384056</v>
      </c>
      <c r="K1144" s="455">
        <f t="shared" ca="1" si="103"/>
        <v>-178221.79959431116</v>
      </c>
      <c r="L1144" s="455">
        <f t="shared" ca="1" si="104"/>
        <v>-42951453.702228993</v>
      </c>
      <c r="M1144" s="471">
        <f t="shared" si="106"/>
        <v>0.05</v>
      </c>
      <c r="N1144" s="475">
        <f t="shared" si="107"/>
        <v>85865</v>
      </c>
    </row>
    <row r="1145" spans="7:14" ht="11.25" customHeight="1" x14ac:dyDescent="0.3">
      <c r="G1145" s="470"/>
      <c r="H1145" s="470">
        <v>1138</v>
      </c>
      <c r="I1145" s="455">
        <f t="shared" ca="1" si="105"/>
        <v>-42951453.702228993</v>
      </c>
      <c r="J1145" s="455">
        <f t="array" ref="J1145">IFERROR(INDEX('Retirement Calculator'!K:K,MATCH('Lorri 401b'!N1145,'Retirement Calculator'!A:A,0),0),0)</f>
        <v>20282.026119384056</v>
      </c>
      <c r="K1145" s="455">
        <f t="shared" ca="1" si="103"/>
        <v>-179048.89886811824</v>
      </c>
      <c r="L1145" s="455">
        <f t="shared" ca="1" si="104"/>
        <v>-43150784.627216496</v>
      </c>
      <c r="M1145" s="471">
        <f t="shared" si="106"/>
        <v>0.05</v>
      </c>
      <c r="N1145" s="475">
        <f t="shared" si="107"/>
        <v>85893</v>
      </c>
    </row>
    <row r="1146" spans="7:14" ht="11.25" customHeight="1" x14ac:dyDescent="0.3">
      <c r="G1146" s="470"/>
      <c r="H1146" s="470">
        <v>1139</v>
      </c>
      <c r="I1146" s="455">
        <f t="shared" ca="1" si="105"/>
        <v>-43150784.627216496</v>
      </c>
      <c r="J1146" s="455">
        <f t="array" ref="J1146">IFERROR(INDEX('Retirement Calculator'!K:K,MATCH('Lorri 401b'!N1146,'Retirement Calculator'!A:A,0),0),0)</f>
        <v>20282.026119384056</v>
      </c>
      <c r="K1146" s="455">
        <f t="shared" ca="1" si="103"/>
        <v>-179879.44438889949</v>
      </c>
      <c r="L1146" s="455">
        <f t="shared" ca="1" si="104"/>
        <v>-43350946.097724773</v>
      </c>
      <c r="M1146" s="471">
        <f t="shared" si="106"/>
        <v>0.05</v>
      </c>
      <c r="N1146" s="475">
        <f t="shared" si="107"/>
        <v>85924</v>
      </c>
    </row>
    <row r="1147" spans="7:14" ht="11.25" customHeight="1" x14ac:dyDescent="0.3">
      <c r="G1147" s="470"/>
      <c r="H1147" s="470">
        <v>1140</v>
      </c>
      <c r="I1147" s="455">
        <f t="shared" ca="1" si="105"/>
        <v>-43350946.097724773</v>
      </c>
      <c r="J1147" s="455">
        <f t="array" ref="J1147">IFERROR(INDEX('Retirement Calculator'!K:K,MATCH('Lorri 401b'!N1147,'Retirement Calculator'!A:A,0),0),0)</f>
        <v>20282.026119384056</v>
      </c>
      <c r="K1147" s="455">
        <f t="shared" ca="1" si="103"/>
        <v>-180713.4505160173</v>
      </c>
      <c r="L1147" s="455">
        <f t="shared" ca="1" si="104"/>
        <v>-43551941.574360169</v>
      </c>
      <c r="M1147" s="471">
        <f t="shared" si="106"/>
        <v>0.05</v>
      </c>
      <c r="N1147" s="475">
        <f t="shared" si="107"/>
        <v>85954</v>
      </c>
    </row>
    <row r="1148" spans="7:14" ht="11.25" customHeight="1" x14ac:dyDescent="0.3">
      <c r="G1148" s="470"/>
      <c r="H1148" s="470">
        <v>1141</v>
      </c>
      <c r="I1148" s="455">
        <f t="shared" ca="1" si="105"/>
        <v>-43551941.574360169</v>
      </c>
      <c r="J1148" s="455">
        <f t="array" ref="J1148">IFERROR(INDEX('Retirement Calculator'!K:K,MATCH('Lorri 401b'!N1148,'Retirement Calculator'!A:A,0),0),0)</f>
        <v>20282.026119384056</v>
      </c>
      <c r="K1148" s="455">
        <f t="shared" ca="1" si="103"/>
        <v>-181550.93166866479</v>
      </c>
      <c r="L1148" s="455">
        <f t="shared" ca="1" si="104"/>
        <v>-43753774.532148212</v>
      </c>
      <c r="M1148" s="471">
        <f t="shared" si="106"/>
        <v>0.05</v>
      </c>
      <c r="N1148" s="475">
        <f t="shared" si="107"/>
        <v>85985</v>
      </c>
    </row>
    <row r="1149" spans="7:14" ht="11.25" customHeight="1" x14ac:dyDescent="0.3">
      <c r="G1149" s="470"/>
      <c r="H1149" s="470">
        <v>1142</v>
      </c>
      <c r="I1149" s="455">
        <f t="shared" ca="1" si="105"/>
        <v>-43753774.532148212</v>
      </c>
      <c r="J1149" s="455">
        <f t="array" ref="J1149">IFERROR(INDEX('Retirement Calculator'!K:K,MATCH('Lorri 401b'!N1149,'Retirement Calculator'!A:A,0),0),0)</f>
        <v>20282.026119384056</v>
      </c>
      <c r="K1149" s="455">
        <f t="shared" ca="1" si="103"/>
        <v>-182391.90232611497</v>
      </c>
      <c r="L1149" s="455">
        <f t="shared" ca="1" si="104"/>
        <v>-43956448.460593708</v>
      </c>
      <c r="M1149" s="471">
        <f t="shared" si="106"/>
        <v>0.05</v>
      </c>
      <c r="N1149" s="475">
        <f t="shared" si="107"/>
        <v>86015</v>
      </c>
    </row>
    <row r="1150" spans="7:14" ht="11.25" customHeight="1" x14ac:dyDescent="0.3">
      <c r="G1150" s="470"/>
      <c r="H1150" s="470">
        <v>1143</v>
      </c>
      <c r="I1150" s="455">
        <f t="shared" ca="1" si="105"/>
        <v>-43956448.460593708</v>
      </c>
      <c r="J1150" s="455">
        <f t="array" ref="J1150">IFERROR(INDEX('Retirement Calculator'!K:K,MATCH('Lorri 401b'!N1150,'Retirement Calculator'!A:A,0),0),0)</f>
        <v>20282.026119384056</v>
      </c>
      <c r="K1150" s="455">
        <f t="shared" ca="1" si="103"/>
        <v>-183236.3770279712</v>
      </c>
      <c r="L1150" s="455">
        <f t="shared" ca="1" si="104"/>
        <v>-44159966.863741063</v>
      </c>
      <c r="M1150" s="471">
        <f t="shared" si="106"/>
        <v>0.05</v>
      </c>
      <c r="N1150" s="475">
        <f t="shared" si="107"/>
        <v>86046</v>
      </c>
    </row>
    <row r="1151" spans="7:14" ht="11.25" customHeight="1" x14ac:dyDescent="0.3">
      <c r="G1151" s="470"/>
      <c r="H1151" s="470">
        <v>1144</v>
      </c>
      <c r="I1151" s="455">
        <f t="shared" ca="1" si="105"/>
        <v>-44159966.863741063</v>
      </c>
      <c r="J1151" s="455">
        <f t="array" ref="J1151">IFERROR(INDEX('Retirement Calculator'!K:K,MATCH('Lorri 401b'!N1151,'Retirement Calculator'!A:A,0),0),0)</f>
        <v>20282.026119384056</v>
      </c>
      <c r="K1151" s="455">
        <f t="shared" ca="1" si="103"/>
        <v>-184084.3703744185</v>
      </c>
      <c r="L1151" s="455">
        <f t="shared" ca="1" si="104"/>
        <v>-44364333.260234863</v>
      </c>
      <c r="M1151" s="471">
        <f t="shared" si="106"/>
        <v>0.05</v>
      </c>
      <c r="N1151" s="475">
        <f t="shared" si="107"/>
        <v>86077</v>
      </c>
    </row>
    <row r="1152" spans="7:14" ht="11.25" customHeight="1" x14ac:dyDescent="0.3">
      <c r="G1152" s="470"/>
      <c r="H1152" s="470">
        <v>1145</v>
      </c>
      <c r="I1152" s="455">
        <f t="shared" ca="1" si="105"/>
        <v>-44364333.260234863</v>
      </c>
      <c r="J1152" s="455">
        <f t="array" ref="J1152">IFERROR(INDEX('Retirement Calculator'!K:K,MATCH('Lorri 401b'!N1152,'Retirement Calculator'!A:A,0),0),0)</f>
        <v>20282.026119384056</v>
      </c>
      <c r="K1152" s="455">
        <f t="shared" ca="1" si="103"/>
        <v>-184935.89702647601</v>
      </c>
      <c r="L1152" s="455">
        <f t="shared" ca="1" si="104"/>
        <v>-44569551.183380723</v>
      </c>
      <c r="M1152" s="471">
        <f t="shared" si="106"/>
        <v>0.05</v>
      </c>
      <c r="N1152" s="475">
        <f t="shared" si="107"/>
        <v>86107</v>
      </c>
    </row>
    <row r="1153" spans="7:14" ht="11.25" customHeight="1" x14ac:dyDescent="0.3">
      <c r="G1153" s="470"/>
      <c r="H1153" s="470">
        <v>1146</v>
      </c>
      <c r="I1153" s="455">
        <f t="shared" ca="1" si="105"/>
        <v>-44569551.183380723</v>
      </c>
      <c r="J1153" s="455">
        <f t="array" ref="J1153">IFERROR(INDEX('Retirement Calculator'!K:K,MATCH('Lorri 401b'!N1153,'Retirement Calculator'!A:A,0),0),0)</f>
        <v>20282.026119384056</v>
      </c>
      <c r="K1153" s="455">
        <f t="shared" ca="1" si="103"/>
        <v>-185790.97170625042</v>
      </c>
      <c r="L1153" s="455">
        <f t="shared" ca="1" si="104"/>
        <v>-44775624.181206353</v>
      </c>
      <c r="M1153" s="471">
        <f t="shared" si="106"/>
        <v>0.05</v>
      </c>
      <c r="N1153" s="475">
        <f t="shared" si="107"/>
        <v>86138</v>
      </c>
    </row>
    <row r="1154" spans="7:14" ht="11.25" customHeight="1" x14ac:dyDescent="0.3">
      <c r="G1154" s="470"/>
      <c r="H1154" s="470">
        <v>1147</v>
      </c>
      <c r="I1154" s="455">
        <f t="shared" ca="1" si="105"/>
        <v>-44775624.181206353</v>
      </c>
      <c r="J1154" s="455">
        <f t="array" ref="J1154">IFERROR(INDEX('Retirement Calculator'!K:K,MATCH('Lorri 401b'!N1154,'Retirement Calculator'!A:A,0),0),0)</f>
        <v>20282.026119384056</v>
      </c>
      <c r="K1154" s="455">
        <f t="shared" ca="1" si="103"/>
        <v>-186649.60919719056</v>
      </c>
      <c r="L1154" s="455">
        <f t="shared" ca="1" si="104"/>
        <v>-44982555.816522926</v>
      </c>
      <c r="M1154" s="471">
        <f t="shared" si="106"/>
        <v>0.05</v>
      </c>
      <c r="N1154" s="475">
        <f t="shared" si="107"/>
        <v>86168</v>
      </c>
    </row>
    <row r="1155" spans="7:14" ht="11.25" customHeight="1" x14ac:dyDescent="0.3">
      <c r="G1155" s="470"/>
      <c r="H1155" s="470">
        <v>1148</v>
      </c>
      <c r="I1155" s="455">
        <f t="shared" ca="1" si="105"/>
        <v>-44982555.816522926</v>
      </c>
      <c r="J1155" s="455">
        <f t="array" ref="J1155">IFERROR(INDEX('Retirement Calculator'!K:K,MATCH('Lorri 401b'!N1155,'Retirement Calculator'!A:A,0),0),0)</f>
        <v>20282.026119384056</v>
      </c>
      <c r="K1155" s="455">
        <f t="shared" ca="1" si="103"/>
        <v>-187511.82434434295</v>
      </c>
      <c r="L1155" s="455">
        <f t="shared" ca="1" si="104"/>
        <v>-45190349.666986652</v>
      </c>
      <c r="M1155" s="471">
        <f t="shared" si="106"/>
        <v>0.05</v>
      </c>
      <c r="N1155" s="475">
        <f t="shared" si="107"/>
        <v>86199</v>
      </c>
    </row>
    <row r="1156" spans="7:14" ht="11.25" customHeight="1" x14ac:dyDescent="0.3">
      <c r="G1156" s="470"/>
      <c r="H1156" s="470">
        <v>1149</v>
      </c>
      <c r="I1156" s="455">
        <f t="shared" ca="1" si="105"/>
        <v>-45190349.666986652</v>
      </c>
      <c r="J1156" s="455">
        <f t="array" ref="J1156">IFERROR(INDEX('Retirement Calculator'!K:K,MATCH('Lorri 401b'!N1156,'Retirement Calculator'!A:A,0),0),0)</f>
        <v>20282.026119384056</v>
      </c>
      <c r="K1156" s="455">
        <f t="shared" ca="1" si="103"/>
        <v>-188377.63205460846</v>
      </c>
      <c r="L1156" s="455">
        <f t="shared" ca="1" si="104"/>
        <v>-45399009.325160645</v>
      </c>
      <c r="M1156" s="471">
        <f t="shared" si="106"/>
        <v>0.05</v>
      </c>
      <c r="N1156" s="475">
        <f t="shared" si="107"/>
        <v>86230</v>
      </c>
    </row>
    <row r="1157" spans="7:14" ht="11.25" customHeight="1" x14ac:dyDescent="0.3">
      <c r="G1157" s="470"/>
      <c r="H1157" s="470">
        <v>1150</v>
      </c>
      <c r="I1157" s="455">
        <f t="shared" ca="1" si="105"/>
        <v>-45399009.325160645</v>
      </c>
      <c r="J1157" s="455">
        <f t="array" ref="J1157">IFERROR(INDEX('Retirement Calculator'!K:K,MATCH('Lorri 401b'!N1157,'Retirement Calculator'!A:A,0),0),0)</f>
        <v>20282.026119384056</v>
      </c>
      <c r="K1157" s="455">
        <f t="shared" ca="1" si="103"/>
        <v>-189247.0472970001</v>
      </c>
      <c r="L1157" s="455">
        <f t="shared" ca="1" si="104"/>
        <v>-45608538.398577027</v>
      </c>
      <c r="M1157" s="471">
        <f t="shared" si="106"/>
        <v>0.05</v>
      </c>
      <c r="N1157" s="475">
        <f t="shared" si="107"/>
        <v>86259</v>
      </c>
    </row>
    <row r="1158" spans="7:14" ht="11.25" customHeight="1" x14ac:dyDescent="0.3">
      <c r="G1158" s="470"/>
      <c r="H1158" s="470">
        <v>1151</v>
      </c>
      <c r="I1158" s="455">
        <f t="shared" ca="1" si="105"/>
        <v>-45608538.398577027</v>
      </c>
      <c r="J1158" s="455">
        <f t="array" ref="J1158">IFERROR(INDEX('Retirement Calculator'!K:K,MATCH('Lorri 401b'!N1158,'Retirement Calculator'!A:A,0),0),0)</f>
        <v>20282.026119384056</v>
      </c>
      <c r="K1158" s="455">
        <f t="shared" ca="1" si="103"/>
        <v>-190120.08510290171</v>
      </c>
      <c r="L1158" s="455">
        <f t="shared" ca="1" si="104"/>
        <v>-45818940.509799309</v>
      </c>
      <c r="M1158" s="471">
        <f t="shared" si="106"/>
        <v>0.05</v>
      </c>
      <c r="N1158" s="475">
        <f t="shared" si="107"/>
        <v>86290</v>
      </c>
    </row>
    <row r="1159" spans="7:14" ht="11.25" customHeight="1" x14ac:dyDescent="0.3">
      <c r="G1159" s="470"/>
      <c r="H1159" s="470">
        <v>1152</v>
      </c>
      <c r="I1159" s="455">
        <f t="shared" ca="1" si="105"/>
        <v>-45818940.509799309</v>
      </c>
      <c r="J1159" s="455">
        <f t="array" ref="J1159">IFERROR(INDEX('Retirement Calculator'!K:K,MATCH('Lorri 401b'!N1159,'Retirement Calculator'!A:A,0),0),0)</f>
        <v>20282.026119384056</v>
      </c>
      <c r="K1159" s="455">
        <f t="shared" ca="1" si="103"/>
        <v>-190996.76056632787</v>
      </c>
      <c r="L1159" s="455">
        <f t="shared" ca="1" si="104"/>
        <v>-46030219.296485022</v>
      </c>
      <c r="M1159" s="471">
        <f t="shared" si="106"/>
        <v>0.05</v>
      </c>
      <c r="N1159" s="475">
        <f t="shared" si="107"/>
        <v>86320</v>
      </c>
    </row>
    <row r="1160" spans="7:14" ht="11.25" customHeight="1" x14ac:dyDescent="0.3">
      <c r="G1160" s="470"/>
      <c r="H1160" s="470">
        <v>1153</v>
      </c>
      <c r="I1160" s="455">
        <f t="shared" ca="1" si="105"/>
        <v>-46030219.296485022</v>
      </c>
      <c r="J1160" s="455">
        <f t="array" ref="J1160">IFERROR(INDEX('Retirement Calculator'!K:K,MATCH('Lorri 401b'!N1160,'Retirement Calculator'!A:A,0),0),0)</f>
        <v>20282.026119384056</v>
      </c>
      <c r="K1160" s="455">
        <f t="shared" ca="1" si="103"/>
        <v>-191877.088844185</v>
      </c>
      <c r="L1160" s="455">
        <f t="shared" ca="1" si="104"/>
        <v>-46242378.41144859</v>
      </c>
      <c r="M1160" s="471">
        <f t="shared" si="106"/>
        <v>0.05</v>
      </c>
      <c r="N1160" s="475">
        <f t="shared" si="107"/>
        <v>86351</v>
      </c>
    </row>
    <row r="1161" spans="7:14" ht="11.25" customHeight="1" x14ac:dyDescent="0.3">
      <c r="G1161" s="470"/>
      <c r="H1161" s="470">
        <v>1154</v>
      </c>
      <c r="I1161" s="455">
        <f t="shared" ca="1" si="105"/>
        <v>-46242378.41144859</v>
      </c>
      <c r="J1161" s="455">
        <f t="array" ref="J1161">IFERROR(INDEX('Retirement Calculator'!K:K,MATCH('Lorri 401b'!N1161,'Retirement Calculator'!A:A,0),0),0)</f>
        <v>20282.026119384056</v>
      </c>
      <c r="K1161" s="455">
        <f t="shared" ca="1" si="103"/>
        <v>-192761.08515653323</v>
      </c>
      <c r="L1161" s="455">
        <f t="shared" ca="1" si="104"/>
        <v>-46455421.522724502</v>
      </c>
      <c r="M1161" s="471">
        <f t="shared" si="106"/>
        <v>0.05</v>
      </c>
      <c r="N1161" s="475">
        <f t="shared" si="107"/>
        <v>86381</v>
      </c>
    </row>
    <row r="1162" spans="7:14" ht="11.25" customHeight="1" x14ac:dyDescent="0.3">
      <c r="G1162" s="470"/>
      <c r="H1162" s="470">
        <v>1155</v>
      </c>
      <c r="I1162" s="455">
        <f t="shared" ca="1" si="105"/>
        <v>-46455421.522724502</v>
      </c>
      <c r="J1162" s="455">
        <f t="array" ref="J1162">IFERROR(INDEX('Retirement Calculator'!K:K,MATCH('Lorri 401b'!N1162,'Retirement Calculator'!A:A,0),0),0)</f>
        <v>20282.026119384056</v>
      </c>
      <c r="K1162" s="455">
        <f t="shared" ca="1" si="103"/>
        <v>-193648.7647868495</v>
      </c>
      <c r="L1162" s="455">
        <f t="shared" ca="1" si="104"/>
        <v>-46669352.31363073</v>
      </c>
      <c r="M1162" s="471">
        <f t="shared" si="106"/>
        <v>0.05</v>
      </c>
      <c r="N1162" s="475">
        <f t="shared" si="107"/>
        <v>86412</v>
      </c>
    </row>
    <row r="1163" spans="7:14" ht="11.25" customHeight="1" x14ac:dyDescent="0.3">
      <c r="G1163" s="470"/>
      <c r="H1163" s="470">
        <v>1156</v>
      </c>
      <c r="I1163" s="455">
        <f t="shared" ca="1" si="105"/>
        <v>-46669352.31363073</v>
      </c>
      <c r="J1163" s="455">
        <f t="array" ref="J1163">IFERROR(INDEX('Retirement Calculator'!K:K,MATCH('Lorri 401b'!N1163,'Retirement Calculator'!A:A,0),0),0)</f>
        <v>20282.026119384056</v>
      </c>
      <c r="K1163" s="455">
        <f t="shared" ca="1" si="103"/>
        <v>-194540.14308229214</v>
      </c>
      <c r="L1163" s="455">
        <f t="shared" ca="1" si="104"/>
        <v>-46884174.482832402</v>
      </c>
      <c r="M1163" s="471">
        <f t="shared" si="106"/>
        <v>0.05</v>
      </c>
      <c r="N1163" s="475">
        <f t="shared" si="107"/>
        <v>86443</v>
      </c>
    </row>
    <row r="1164" spans="7:14" ht="11.25" customHeight="1" x14ac:dyDescent="0.3">
      <c r="G1164" s="470"/>
      <c r="H1164" s="470">
        <v>1157</v>
      </c>
      <c r="I1164" s="455">
        <f t="shared" ca="1" si="105"/>
        <v>-46884174.482832402</v>
      </c>
      <c r="J1164" s="455">
        <f t="array" ref="J1164">IFERROR(INDEX('Retirement Calculator'!K:K,MATCH('Lorri 401b'!N1164,'Retirement Calculator'!A:A,0),0),0)</f>
        <v>20282.026119384056</v>
      </c>
      <c r="K1164" s="455">
        <f t="shared" ca="1" si="103"/>
        <v>-195435.23545396575</v>
      </c>
      <c r="L1164" s="455">
        <f t="shared" ca="1" si="104"/>
        <v>-47099891.744405746</v>
      </c>
      <c r="M1164" s="471">
        <f t="shared" si="106"/>
        <v>0.05</v>
      </c>
      <c r="N1164" s="475">
        <f t="shared" si="107"/>
        <v>86473</v>
      </c>
    </row>
    <row r="1165" spans="7:14" ht="11.25" customHeight="1" x14ac:dyDescent="0.3">
      <c r="G1165" s="470"/>
      <c r="H1165" s="470">
        <v>1158</v>
      </c>
      <c r="I1165" s="455">
        <f t="shared" ca="1" si="105"/>
        <v>-47099891.744405746</v>
      </c>
      <c r="J1165" s="455">
        <f t="array" ref="J1165">IFERROR(INDEX('Retirement Calculator'!K:K,MATCH('Lorri 401b'!N1165,'Retirement Calculator'!A:A,0),0),0)</f>
        <v>20282.026119384056</v>
      </c>
      <c r="K1165" s="455">
        <f t="shared" ca="1" si="103"/>
        <v>-196334.05737718803</v>
      </c>
      <c r="L1165" s="455">
        <f t="shared" ca="1" si="104"/>
        <v>-47316507.827902317</v>
      </c>
      <c r="M1165" s="471">
        <f t="shared" si="106"/>
        <v>0.05</v>
      </c>
      <c r="N1165" s="475">
        <f t="shared" si="107"/>
        <v>86504</v>
      </c>
    </row>
    <row r="1166" spans="7:14" ht="11.25" customHeight="1" x14ac:dyDescent="0.3">
      <c r="G1166" s="470"/>
      <c r="H1166" s="470">
        <v>1159</v>
      </c>
      <c r="I1166" s="455">
        <f t="shared" ca="1" si="105"/>
        <v>-47316507.827902317</v>
      </c>
      <c r="J1166" s="455">
        <f t="array" ref="J1166">IFERROR(INDEX('Retirement Calculator'!K:K,MATCH('Lorri 401b'!N1166,'Retirement Calculator'!A:A,0),0),0)</f>
        <v>20282.026119384056</v>
      </c>
      <c r="K1166" s="455">
        <f t="shared" ca="1" si="103"/>
        <v>-197236.62439175707</v>
      </c>
      <c r="L1166" s="455">
        <f t="shared" ca="1" si="104"/>
        <v>-47534026.478413455</v>
      </c>
      <c r="M1166" s="471">
        <f t="shared" si="106"/>
        <v>0.05</v>
      </c>
      <c r="N1166" s="475">
        <f t="shared" si="107"/>
        <v>86534</v>
      </c>
    </row>
    <row r="1167" spans="7:14" ht="11.25" customHeight="1" x14ac:dyDescent="0.3">
      <c r="G1167" s="470"/>
      <c r="H1167" s="470">
        <v>1160</v>
      </c>
      <c r="I1167" s="455">
        <f t="shared" ca="1" si="105"/>
        <v>-47534026.478413455</v>
      </c>
      <c r="J1167" s="455">
        <f t="array" ref="J1167">IFERROR(INDEX('Retirement Calculator'!K:K,MATCH('Lorri 401b'!N1167,'Retirement Calculator'!A:A,0),0),0)</f>
        <v>20282.026119384056</v>
      </c>
      <c r="K1167" s="455">
        <f t="shared" ca="1" si="103"/>
        <v>-198142.95210222015</v>
      </c>
      <c r="L1167" s="455">
        <f t="shared" ca="1" si="104"/>
        <v>-47752451.456635058</v>
      </c>
      <c r="M1167" s="471">
        <f t="shared" si="106"/>
        <v>0.05</v>
      </c>
      <c r="N1167" s="475">
        <f t="shared" si="107"/>
        <v>86565</v>
      </c>
    </row>
    <row r="1168" spans="7:14" ht="11.25" customHeight="1" x14ac:dyDescent="0.3">
      <c r="G1168" s="470"/>
      <c r="H1168" s="470">
        <v>1161</v>
      </c>
      <c r="I1168" s="455">
        <f t="shared" ca="1" si="105"/>
        <v>-47752451.456635058</v>
      </c>
      <c r="J1168" s="455">
        <f t="array" ref="J1168">IFERROR(INDEX('Retirement Calculator'!K:K,MATCH('Lorri 401b'!N1168,'Retirement Calculator'!A:A,0),0),0)</f>
        <v>20282.026119384056</v>
      </c>
      <c r="K1168" s="455">
        <f t="shared" ca="1" si="103"/>
        <v>-199053.05617814348</v>
      </c>
      <c r="L1168" s="455">
        <f t="shared" ca="1" si="104"/>
        <v>-47971786.538932584</v>
      </c>
      <c r="M1168" s="471">
        <f t="shared" si="106"/>
        <v>0.05</v>
      </c>
      <c r="N1168" s="475">
        <f t="shared" si="107"/>
        <v>86596</v>
      </c>
    </row>
    <row r="1169" spans="7:14" ht="11.25" customHeight="1" x14ac:dyDescent="0.3">
      <c r="G1169" s="470"/>
      <c r="H1169" s="470">
        <v>1162</v>
      </c>
      <c r="I1169" s="455">
        <f t="shared" ca="1" si="105"/>
        <v>-47971786.538932584</v>
      </c>
      <c r="J1169" s="455">
        <f t="array" ref="J1169">IFERROR(INDEX('Retirement Calculator'!K:K,MATCH('Lorri 401b'!N1169,'Retirement Calculator'!A:A,0),0),0)</f>
        <v>0</v>
      </c>
      <c r="K1169" s="455">
        <f t="shared" ca="1" si="103"/>
        <v>-199882.44391221911</v>
      </c>
      <c r="L1169" s="455">
        <f t="shared" ca="1" si="104"/>
        <v>-48171668.9828448</v>
      </c>
      <c r="M1169" s="471">
        <f t="shared" si="106"/>
        <v>0.05</v>
      </c>
      <c r="N1169" s="475">
        <f t="shared" si="107"/>
        <v>86624</v>
      </c>
    </row>
    <row r="1170" spans="7:14" ht="11.25" customHeight="1" x14ac:dyDescent="0.3">
      <c r="G1170" s="470"/>
      <c r="H1170" s="470">
        <v>1163</v>
      </c>
      <c r="I1170" s="455">
        <f t="shared" ca="1" si="105"/>
        <v>-48171668.9828448</v>
      </c>
      <c r="J1170" s="455">
        <f t="array" ref="J1170">IFERROR(INDEX('Retirement Calculator'!K:K,MATCH('Lorri 401b'!N1170,'Retirement Calculator'!A:A,0),0),0)</f>
        <v>0</v>
      </c>
      <c r="K1170" s="455">
        <f t="shared" ca="1" si="103"/>
        <v>-200715.28742852001</v>
      </c>
      <c r="L1170" s="455">
        <f t="shared" ca="1" si="104"/>
        <v>-48372384.27027332</v>
      </c>
      <c r="M1170" s="471">
        <f t="shared" si="106"/>
        <v>0.05</v>
      </c>
      <c r="N1170" s="475">
        <f t="shared" si="107"/>
        <v>86655</v>
      </c>
    </row>
    <row r="1171" spans="7:14" ht="11.25" customHeight="1" x14ac:dyDescent="0.3">
      <c r="G1171" s="470"/>
      <c r="H1171" s="470">
        <v>1164</v>
      </c>
      <c r="I1171" s="455">
        <f t="shared" ca="1" si="105"/>
        <v>-48372384.27027332</v>
      </c>
      <c r="J1171" s="455">
        <f t="array" ref="J1171">IFERROR(INDEX('Retirement Calculator'!K:K,MATCH('Lorri 401b'!N1171,'Retirement Calculator'!A:A,0),0),0)</f>
        <v>0</v>
      </c>
      <c r="K1171" s="455">
        <f t="shared" ca="1" si="103"/>
        <v>-201551.60112613882</v>
      </c>
      <c r="L1171" s="455">
        <f t="shared" ca="1" si="104"/>
        <v>-48573935.871399462</v>
      </c>
      <c r="M1171" s="471">
        <f t="shared" si="106"/>
        <v>0.05</v>
      </c>
      <c r="N1171" s="475">
        <f t="shared" si="107"/>
        <v>86685</v>
      </c>
    </row>
    <row r="1172" spans="7:14" ht="11.25" customHeight="1" x14ac:dyDescent="0.3">
      <c r="G1172" s="470"/>
      <c r="H1172" s="470">
        <v>1165</v>
      </c>
      <c r="I1172" s="455">
        <f t="shared" ca="1" si="105"/>
        <v>-48573935.871399462</v>
      </c>
      <c r="J1172" s="455">
        <f t="array" ref="J1172">IFERROR(INDEX('Retirement Calculator'!K:K,MATCH('Lorri 401b'!N1172,'Retirement Calculator'!A:A,0),0),0)</f>
        <v>0</v>
      </c>
      <c r="K1172" s="455">
        <f t="shared" ca="1" si="103"/>
        <v>-202391.39946416442</v>
      </c>
      <c r="L1172" s="455">
        <f t="shared" ca="1" si="104"/>
        <v>-48776327.27086363</v>
      </c>
      <c r="M1172" s="471">
        <f t="shared" si="106"/>
        <v>0.05</v>
      </c>
      <c r="N1172" s="475">
        <f t="shared" si="107"/>
        <v>86716</v>
      </c>
    </row>
    <row r="1173" spans="7:14" ht="11.25" customHeight="1" x14ac:dyDescent="0.3">
      <c r="G1173" s="470"/>
      <c r="H1173" s="470">
        <v>1166</v>
      </c>
      <c r="I1173" s="455">
        <f t="shared" ca="1" si="105"/>
        <v>-48776327.27086363</v>
      </c>
      <c r="J1173" s="455">
        <f t="array" ref="J1173">IFERROR(INDEX('Retirement Calculator'!K:K,MATCH('Lorri 401b'!N1173,'Retirement Calculator'!A:A,0),0),0)</f>
        <v>0</v>
      </c>
      <c r="K1173" s="455">
        <f t="shared" ca="1" si="103"/>
        <v>-203234.6969619318</v>
      </c>
      <c r="L1173" s="455">
        <f t="shared" ca="1" si="104"/>
        <v>-48979561.967825562</v>
      </c>
      <c r="M1173" s="471">
        <f t="shared" si="106"/>
        <v>0.05</v>
      </c>
      <c r="N1173" s="475">
        <f t="shared" si="107"/>
        <v>86746</v>
      </c>
    </row>
    <row r="1174" spans="7:14" ht="11.25" customHeight="1" x14ac:dyDescent="0.3">
      <c r="G1174" s="470"/>
      <c r="H1174" s="470">
        <v>1167</v>
      </c>
      <c r="I1174" s="455">
        <f t="shared" ca="1" si="105"/>
        <v>-48979561.967825562</v>
      </c>
      <c r="J1174" s="455">
        <f t="array" ref="J1174">IFERROR(INDEX('Retirement Calculator'!K:K,MATCH('Lorri 401b'!N1174,'Retirement Calculator'!A:A,0),0),0)</f>
        <v>0</v>
      </c>
      <c r="K1174" s="455">
        <f t="shared" ca="1" si="103"/>
        <v>-204081.50819927317</v>
      </c>
      <c r="L1174" s="455">
        <f t="shared" ca="1" si="104"/>
        <v>-49183643.476024836</v>
      </c>
      <c r="M1174" s="471">
        <f t="shared" si="106"/>
        <v>0.05</v>
      </c>
      <c r="N1174" s="475">
        <f t="shared" si="107"/>
        <v>86777</v>
      </c>
    </row>
    <row r="1175" spans="7:14" ht="11.25" customHeight="1" x14ac:dyDescent="0.3">
      <c r="G1175" s="470"/>
      <c r="H1175" s="470">
        <v>1168</v>
      </c>
      <c r="I1175" s="455">
        <f t="shared" ca="1" si="105"/>
        <v>-49183643.476024836</v>
      </c>
      <c r="J1175" s="455">
        <f t="array" ref="J1175">IFERROR(INDEX('Retirement Calculator'!K:K,MATCH('Lorri 401b'!N1175,'Retirement Calculator'!A:A,0),0),0)</f>
        <v>0</v>
      </c>
      <c r="K1175" s="455">
        <f t="shared" ca="1" si="103"/>
        <v>-204931.84781677014</v>
      </c>
      <c r="L1175" s="455">
        <f t="shared" ca="1" si="104"/>
        <v>-49388575.323841609</v>
      </c>
      <c r="M1175" s="471">
        <f t="shared" si="106"/>
        <v>0.05</v>
      </c>
      <c r="N1175" s="475">
        <f t="shared" si="107"/>
        <v>86808</v>
      </c>
    </row>
    <row r="1176" spans="7:14" ht="11.25" customHeight="1" x14ac:dyDescent="0.3">
      <c r="G1176" s="470"/>
      <c r="H1176" s="470">
        <v>1169</v>
      </c>
      <c r="I1176" s="455">
        <f t="shared" ca="1" si="105"/>
        <v>-49388575.323841609</v>
      </c>
      <c r="J1176" s="455">
        <f t="array" ref="J1176">IFERROR(INDEX('Retirement Calculator'!K:K,MATCH('Lorri 401b'!N1176,'Retirement Calculator'!A:A,0),0),0)</f>
        <v>0</v>
      </c>
      <c r="K1176" s="455">
        <f t="shared" ca="1" si="103"/>
        <v>-205785.7305160067</v>
      </c>
      <c r="L1176" s="455">
        <f t="shared" ca="1" si="104"/>
        <v>-49594361.054357618</v>
      </c>
      <c r="M1176" s="471">
        <f t="shared" si="106"/>
        <v>0.05</v>
      </c>
      <c r="N1176" s="475">
        <f t="shared" si="107"/>
        <v>86838</v>
      </c>
    </row>
    <row r="1177" spans="7:14" ht="11.25" customHeight="1" x14ac:dyDescent="0.3">
      <c r="G1177" s="470"/>
      <c r="H1177" s="470">
        <v>1170</v>
      </c>
      <c r="I1177" s="455">
        <f t="shared" ca="1" si="105"/>
        <v>-49594361.054357618</v>
      </c>
      <c r="J1177" s="455">
        <f t="array" ref="J1177">IFERROR(INDEX('Retirement Calculator'!K:K,MATCH('Lorri 401b'!N1177,'Retirement Calculator'!A:A,0),0),0)</f>
        <v>0</v>
      </c>
      <c r="K1177" s="455">
        <f t="shared" ca="1" si="103"/>
        <v>-206643.17105982342</v>
      </c>
      <c r="L1177" s="455">
        <f t="shared" ca="1" si="104"/>
        <v>-49801004.225417443</v>
      </c>
      <c r="M1177" s="471">
        <f t="shared" si="106"/>
        <v>0.05</v>
      </c>
      <c r="N1177" s="475">
        <f t="shared" si="107"/>
        <v>86869</v>
      </c>
    </row>
    <row r="1178" spans="7:14" ht="11.25" customHeight="1" x14ac:dyDescent="0.3">
      <c r="G1178" s="470"/>
      <c r="H1178" s="470">
        <v>1171</v>
      </c>
      <c r="I1178" s="455">
        <f t="shared" ca="1" si="105"/>
        <v>-49801004.225417443</v>
      </c>
      <c r="J1178" s="455">
        <f t="array" ref="J1178">IFERROR(INDEX('Retirement Calculator'!K:K,MATCH('Lorri 401b'!N1178,'Retirement Calculator'!A:A,0),0),0)</f>
        <v>0</v>
      </c>
      <c r="K1178" s="455">
        <f t="shared" ca="1" si="103"/>
        <v>-207504.18427257269</v>
      </c>
      <c r="L1178" s="455">
        <f t="shared" ca="1" si="104"/>
        <v>-50008508.409690015</v>
      </c>
      <c r="M1178" s="471">
        <f t="shared" si="106"/>
        <v>0.05</v>
      </c>
      <c r="N1178" s="475">
        <f t="shared" si="107"/>
        <v>86899</v>
      </c>
    </row>
    <row r="1179" spans="7:14" ht="11.25" customHeight="1" x14ac:dyDescent="0.3">
      <c r="G1179" s="470"/>
      <c r="H1179" s="470">
        <v>1172</v>
      </c>
      <c r="I1179" s="455">
        <f t="shared" ca="1" si="105"/>
        <v>-50008508.409690015</v>
      </c>
      <c r="J1179" s="455">
        <f t="array" ref="J1179">IFERROR(INDEX('Retirement Calculator'!K:K,MATCH('Lorri 401b'!N1179,'Retirement Calculator'!A:A,0),0),0)</f>
        <v>0</v>
      </c>
      <c r="K1179" s="455">
        <f t="shared" ca="1" si="103"/>
        <v>-208368.78504037505</v>
      </c>
      <c r="L1179" s="455">
        <f t="shared" ca="1" si="104"/>
        <v>-50216877.194730394</v>
      </c>
      <c r="M1179" s="471">
        <f t="shared" si="106"/>
        <v>0.05</v>
      </c>
      <c r="N1179" s="475">
        <f t="shared" si="107"/>
        <v>86930</v>
      </c>
    </row>
    <row r="1180" spans="7:14" ht="11.25" customHeight="1" x14ac:dyDescent="0.3">
      <c r="G1180" s="470"/>
      <c r="H1180" s="470">
        <v>1173</v>
      </c>
      <c r="I1180" s="455">
        <f t="shared" ca="1" si="105"/>
        <v>-50216877.194730394</v>
      </c>
      <c r="J1180" s="455">
        <f t="array" ref="J1180">IFERROR(INDEX('Retirement Calculator'!K:K,MATCH('Lorri 401b'!N1180,'Retirement Calculator'!A:A,0),0),0)</f>
        <v>0</v>
      </c>
      <c r="K1180" s="455">
        <f t="shared" ca="1" si="103"/>
        <v>-209236.98831137663</v>
      </c>
      <c r="L1180" s="455">
        <f t="shared" ca="1" si="104"/>
        <v>-50426114.183041774</v>
      </c>
      <c r="M1180" s="471">
        <f t="shared" si="106"/>
        <v>0.05</v>
      </c>
      <c r="N1180" s="475">
        <f t="shared" si="107"/>
        <v>86961</v>
      </c>
    </row>
    <row r="1181" spans="7:14" ht="11.25" customHeight="1" x14ac:dyDescent="0.3">
      <c r="G1181" s="470"/>
      <c r="H1181" s="470">
        <v>1174</v>
      </c>
      <c r="I1181" s="455">
        <f t="shared" ca="1" si="105"/>
        <v>-50426114.183041774</v>
      </c>
      <c r="J1181" s="455">
        <f t="array" ref="J1181">IFERROR(INDEX('Retirement Calculator'!K:K,MATCH('Lorri 401b'!N1181,'Retirement Calculator'!A:A,0),0),0)</f>
        <v>0</v>
      </c>
      <c r="K1181" s="455">
        <f t="shared" ca="1" si="103"/>
        <v>-210108.80909600738</v>
      </c>
      <c r="L1181" s="455">
        <f t="shared" ca="1" si="104"/>
        <v>-50636222.992137782</v>
      </c>
      <c r="M1181" s="471">
        <f t="shared" si="106"/>
        <v>0.05</v>
      </c>
      <c r="N1181" s="475">
        <f t="shared" si="107"/>
        <v>86989</v>
      </c>
    </row>
    <row r="1182" spans="7:14" ht="11.25" customHeight="1" x14ac:dyDescent="0.3">
      <c r="G1182" s="470"/>
      <c r="H1182" s="470">
        <v>1175</v>
      </c>
      <c r="I1182" s="455">
        <f t="shared" ca="1" si="105"/>
        <v>-50636222.992137782</v>
      </c>
      <c r="J1182" s="455">
        <f t="array" ref="J1182">IFERROR(INDEX('Retirement Calculator'!K:K,MATCH('Lorri 401b'!N1182,'Retirement Calculator'!A:A,0),0),0)</f>
        <v>0</v>
      </c>
      <c r="K1182" s="455">
        <f t="shared" ca="1" si="103"/>
        <v>-210984.26246724077</v>
      </c>
      <c r="L1182" s="455">
        <f t="shared" ca="1" si="104"/>
        <v>-50847207.254605025</v>
      </c>
      <c r="M1182" s="471">
        <f t="shared" si="106"/>
        <v>0.05</v>
      </c>
      <c r="N1182" s="475">
        <f t="shared" si="107"/>
        <v>87020</v>
      </c>
    </row>
    <row r="1183" spans="7:14" ht="11.25" customHeight="1" x14ac:dyDescent="0.3">
      <c r="G1183" s="470"/>
      <c r="H1183" s="470">
        <v>1176</v>
      </c>
      <c r="I1183" s="455">
        <f t="shared" ca="1" si="105"/>
        <v>-50847207.254605025</v>
      </c>
      <c r="J1183" s="455">
        <f t="array" ref="J1183">IFERROR(INDEX('Retirement Calculator'!K:K,MATCH('Lorri 401b'!N1183,'Retirement Calculator'!A:A,0),0),0)</f>
        <v>0</v>
      </c>
      <c r="K1183" s="455">
        <f t="shared" ca="1" si="103"/>
        <v>-211863.36356085425</v>
      </c>
      <c r="L1183" s="455">
        <f t="shared" ca="1" si="104"/>
        <v>-51059070.61816588</v>
      </c>
      <c r="M1183" s="471">
        <f t="shared" si="106"/>
        <v>0.05</v>
      </c>
      <c r="N1183" s="475">
        <f t="shared" si="107"/>
        <v>87050</v>
      </c>
    </row>
    <row r="1184" spans="7:14" ht="11.25" customHeight="1" x14ac:dyDescent="0.3">
      <c r="G1184" s="470"/>
      <c r="H1184" s="470">
        <v>1177</v>
      </c>
      <c r="I1184" s="455">
        <f t="shared" ca="1" si="105"/>
        <v>-51059070.61816588</v>
      </c>
      <c r="J1184" s="455">
        <f t="array" ref="J1184">IFERROR(INDEX('Retirement Calculator'!K:K,MATCH('Lorri 401b'!N1184,'Retirement Calculator'!A:A,0),0),0)</f>
        <v>0</v>
      </c>
      <c r="K1184" s="455">
        <f t="shared" ca="1" si="103"/>
        <v>-212746.12757569118</v>
      </c>
      <c r="L1184" s="455">
        <f t="shared" ca="1" si="104"/>
        <v>-51271816.745741569</v>
      </c>
      <c r="M1184" s="471">
        <f t="shared" si="106"/>
        <v>0.05</v>
      </c>
      <c r="N1184" s="475">
        <f t="shared" si="107"/>
        <v>87081</v>
      </c>
    </row>
    <row r="1185" spans="7:14" ht="11.25" customHeight="1" x14ac:dyDescent="0.3">
      <c r="G1185" s="470"/>
      <c r="H1185" s="470">
        <v>1178</v>
      </c>
      <c r="I1185" s="455">
        <f t="shared" ca="1" si="105"/>
        <v>-51271816.745741569</v>
      </c>
      <c r="J1185" s="455">
        <f t="array" ref="J1185">IFERROR(INDEX('Retirement Calculator'!K:K,MATCH('Lorri 401b'!N1185,'Retirement Calculator'!A:A,0),0),0)</f>
        <v>0</v>
      </c>
      <c r="K1185" s="455">
        <f t="shared" ca="1" si="103"/>
        <v>-213632.5697739232</v>
      </c>
      <c r="L1185" s="455">
        <f t="shared" ca="1" si="104"/>
        <v>-51485449.315515488</v>
      </c>
      <c r="M1185" s="471">
        <f t="shared" si="106"/>
        <v>0.05</v>
      </c>
      <c r="N1185" s="475">
        <f t="shared" si="107"/>
        <v>87111</v>
      </c>
    </row>
    <row r="1186" spans="7:14" ht="11.25" customHeight="1" x14ac:dyDescent="0.3">
      <c r="G1186" s="470"/>
      <c r="H1186" s="470">
        <v>1179</v>
      </c>
      <c r="I1186" s="455">
        <f t="shared" ca="1" si="105"/>
        <v>-51485449.315515488</v>
      </c>
      <c r="J1186" s="455">
        <f t="array" ref="J1186">IFERROR(INDEX('Retirement Calculator'!K:K,MATCH('Lorri 401b'!N1186,'Retirement Calculator'!A:A,0),0),0)</f>
        <v>0</v>
      </c>
      <c r="K1186" s="455">
        <f t="shared" ca="1" si="103"/>
        <v>-214522.70548131454</v>
      </c>
      <c r="L1186" s="455">
        <f t="shared" ca="1" si="104"/>
        <v>-51699972.020996802</v>
      </c>
      <c r="M1186" s="471">
        <f t="shared" si="106"/>
        <v>0.05</v>
      </c>
      <c r="N1186" s="475">
        <f t="shared" si="107"/>
        <v>87142</v>
      </c>
    </row>
    <row r="1187" spans="7:14" ht="11.25" customHeight="1" x14ac:dyDescent="0.3">
      <c r="G1187" s="470"/>
      <c r="H1187" s="470">
        <v>1180</v>
      </c>
      <c r="I1187" s="455">
        <f t="shared" ca="1" si="105"/>
        <v>-51699972.020996802</v>
      </c>
      <c r="J1187" s="455">
        <f t="array" ref="J1187">IFERROR(INDEX('Retirement Calculator'!K:K,MATCH('Lorri 401b'!N1187,'Retirement Calculator'!A:A,0),0),0)</f>
        <v>0</v>
      </c>
      <c r="K1187" s="455">
        <f t="shared" ca="1" si="103"/>
        <v>-215416.55008748666</v>
      </c>
      <c r="L1187" s="455">
        <f t="shared" ca="1" si="104"/>
        <v>-51915388.571084291</v>
      </c>
      <c r="M1187" s="471">
        <f t="shared" si="106"/>
        <v>0.05</v>
      </c>
      <c r="N1187" s="475">
        <f t="shared" si="107"/>
        <v>87173</v>
      </c>
    </row>
    <row r="1188" spans="7:14" ht="11.25" customHeight="1" x14ac:dyDescent="0.3">
      <c r="G1188" s="470"/>
      <c r="H1188" s="470">
        <v>1181</v>
      </c>
      <c r="I1188" s="455">
        <f t="shared" ca="1" si="105"/>
        <v>-51915388.571084291</v>
      </c>
      <c r="J1188" s="455">
        <f t="array" ref="J1188">IFERROR(INDEX('Retirement Calculator'!K:K,MATCH('Lorri 401b'!N1188,'Retirement Calculator'!A:A,0),0),0)</f>
        <v>0</v>
      </c>
      <c r="K1188" s="455">
        <f t="shared" ca="1" si="103"/>
        <v>-216314.11904618455</v>
      </c>
      <c r="L1188" s="455">
        <f t="shared" ca="1" si="104"/>
        <v>-52131702.690130472</v>
      </c>
      <c r="M1188" s="471">
        <f t="shared" si="106"/>
        <v>0.05</v>
      </c>
      <c r="N1188" s="475">
        <f t="shared" si="107"/>
        <v>87203</v>
      </c>
    </row>
    <row r="1189" spans="7:14" ht="11.25" customHeight="1" x14ac:dyDescent="0.3">
      <c r="G1189" s="470"/>
      <c r="H1189" s="470">
        <v>1182</v>
      </c>
      <c r="I1189" s="455">
        <f t="shared" ca="1" si="105"/>
        <v>-52131702.690130472</v>
      </c>
      <c r="J1189" s="455">
        <f t="array" ref="J1189">IFERROR(INDEX('Retirement Calculator'!K:K,MATCH('Lorri 401b'!N1189,'Retirement Calculator'!A:A,0),0),0)</f>
        <v>0</v>
      </c>
      <c r="K1189" s="455">
        <f t="shared" ca="1" si="103"/>
        <v>-217215.42787554362</v>
      </c>
      <c r="L1189" s="455">
        <f t="shared" ca="1" si="104"/>
        <v>-52348918.118006013</v>
      </c>
      <c r="M1189" s="471">
        <f t="shared" si="106"/>
        <v>0.05</v>
      </c>
      <c r="N1189" s="475">
        <f t="shared" si="107"/>
        <v>87234</v>
      </c>
    </row>
    <row r="1190" spans="7:14" ht="11.25" customHeight="1" x14ac:dyDescent="0.3">
      <c r="G1190" s="470"/>
      <c r="H1190" s="470">
        <v>1183</v>
      </c>
      <c r="I1190" s="455">
        <f t="shared" ca="1" si="105"/>
        <v>-52348918.118006013</v>
      </c>
      <c r="J1190" s="455">
        <f t="array" ref="J1190">IFERROR(INDEX('Retirement Calculator'!K:K,MATCH('Lorri 401b'!N1190,'Retirement Calculator'!A:A,0),0),0)</f>
        <v>0</v>
      </c>
      <c r="K1190" s="455">
        <f t="shared" ca="1" si="103"/>
        <v>-218120.49215835839</v>
      </c>
      <c r="L1190" s="455">
        <f t="shared" ca="1" si="104"/>
        <v>-52567038.610164374</v>
      </c>
      <c r="M1190" s="471">
        <f t="shared" si="106"/>
        <v>0.05</v>
      </c>
      <c r="N1190" s="475">
        <f t="shared" si="107"/>
        <v>87264</v>
      </c>
    </row>
    <row r="1191" spans="7:14" ht="11.25" customHeight="1" x14ac:dyDescent="0.3">
      <c r="G1191" s="470"/>
      <c r="H1191" s="470">
        <v>1184</v>
      </c>
      <c r="I1191" s="455">
        <f t="shared" ca="1" si="105"/>
        <v>-52567038.610164374</v>
      </c>
      <c r="J1191" s="455">
        <f t="array" ref="J1191">IFERROR(INDEX('Retirement Calculator'!K:K,MATCH('Lorri 401b'!N1191,'Retirement Calculator'!A:A,0),0),0)</f>
        <v>0</v>
      </c>
      <c r="K1191" s="455">
        <f t="shared" ca="1" si="103"/>
        <v>-219029.32754235156</v>
      </c>
      <c r="L1191" s="455">
        <f t="shared" ca="1" si="104"/>
        <v>-52786067.937706724</v>
      </c>
      <c r="M1191" s="471">
        <f t="shared" si="106"/>
        <v>0.05</v>
      </c>
      <c r="N1191" s="475">
        <f t="shared" si="107"/>
        <v>87295</v>
      </c>
    </row>
    <row r="1192" spans="7:14" ht="11.25" customHeight="1" x14ac:dyDescent="0.3">
      <c r="G1192" s="470"/>
      <c r="H1192" s="470">
        <v>1185</v>
      </c>
      <c r="I1192" s="455">
        <f t="shared" ca="1" si="105"/>
        <v>-52786067.937706724</v>
      </c>
      <c r="J1192" s="455">
        <f t="array" ref="J1192">IFERROR(INDEX('Retirement Calculator'!K:K,MATCH('Lorri 401b'!N1192,'Retirement Calculator'!A:A,0),0),0)</f>
        <v>0</v>
      </c>
      <c r="K1192" s="455">
        <f t="shared" ca="1" si="103"/>
        <v>-219941.94974044469</v>
      </c>
      <c r="L1192" s="455">
        <f t="shared" ca="1" si="104"/>
        <v>-53006009.887447171</v>
      </c>
      <c r="M1192" s="471">
        <f t="shared" si="106"/>
        <v>0.05</v>
      </c>
      <c r="N1192" s="475">
        <f t="shared" si="107"/>
        <v>87326</v>
      </c>
    </row>
    <row r="1193" spans="7:14" ht="11.25" customHeight="1" x14ac:dyDescent="0.3">
      <c r="G1193" s="470"/>
      <c r="H1193" s="470">
        <v>1186</v>
      </c>
      <c r="I1193" s="455">
        <f t="shared" ca="1" si="105"/>
        <v>-53006009.887447171</v>
      </c>
      <c r="J1193" s="455">
        <f t="array" ref="J1193">IFERROR(INDEX('Retirement Calculator'!K:K,MATCH('Lorri 401b'!N1193,'Retirement Calculator'!A:A,0),0),0)</f>
        <v>0</v>
      </c>
      <c r="K1193" s="455">
        <f t="shared" ca="1" si="103"/>
        <v>-220858.37453102987</v>
      </c>
      <c r="L1193" s="455">
        <f t="shared" ca="1" si="104"/>
        <v>-53226868.261978202</v>
      </c>
      <c r="M1193" s="471">
        <f t="shared" si="106"/>
        <v>0.05</v>
      </c>
      <c r="N1193" s="475">
        <f t="shared" si="107"/>
        <v>87354</v>
      </c>
    </row>
    <row r="1194" spans="7:14" ht="11.25" customHeight="1" x14ac:dyDescent="0.3">
      <c r="G1194" s="470"/>
      <c r="H1194" s="470">
        <v>1187</v>
      </c>
      <c r="I1194" s="455">
        <f t="shared" ca="1" si="105"/>
        <v>-53226868.261978202</v>
      </c>
      <c r="J1194" s="455">
        <f t="array" ref="J1194">IFERROR(INDEX('Retirement Calculator'!K:K,MATCH('Lorri 401b'!N1194,'Retirement Calculator'!A:A,0),0),0)</f>
        <v>0</v>
      </c>
      <c r="K1194" s="455">
        <f t="shared" ca="1" si="103"/>
        <v>-221778.6177582425</v>
      </c>
      <c r="L1194" s="455">
        <f t="shared" ca="1" si="104"/>
        <v>-53448646.879736446</v>
      </c>
      <c r="M1194" s="471">
        <f t="shared" si="106"/>
        <v>0.05</v>
      </c>
      <c r="N1194" s="475">
        <f t="shared" si="107"/>
        <v>87385</v>
      </c>
    </row>
    <row r="1195" spans="7:14" ht="11.25" customHeight="1" x14ac:dyDescent="0.3">
      <c r="G1195" s="470"/>
      <c r="H1195" s="470">
        <v>1188</v>
      </c>
      <c r="I1195" s="455">
        <f t="shared" ca="1" si="105"/>
        <v>-53448646.879736446</v>
      </c>
      <c r="J1195" s="455">
        <f t="array" ref="J1195">IFERROR(INDEX('Retirement Calculator'!K:K,MATCH('Lorri 401b'!N1195,'Retirement Calculator'!A:A,0),0),0)</f>
        <v>0</v>
      </c>
      <c r="K1195" s="455">
        <f t="shared" ca="1" si="103"/>
        <v>-222702.69533223519</v>
      </c>
      <c r="L1195" s="455">
        <f t="shared" ca="1" si="104"/>
        <v>-53671349.575068682</v>
      </c>
      <c r="M1195" s="471">
        <f t="shared" si="106"/>
        <v>0.05</v>
      </c>
      <c r="N1195" s="475">
        <f t="shared" si="107"/>
        <v>87415</v>
      </c>
    </row>
    <row r="1196" spans="7:14" ht="11.25" customHeight="1" x14ac:dyDescent="0.3">
      <c r="G1196" s="470"/>
      <c r="H1196" s="470">
        <v>1189</v>
      </c>
      <c r="I1196" s="455">
        <f t="shared" ca="1" si="105"/>
        <v>-53671349.575068682</v>
      </c>
      <c r="J1196" s="455">
        <f t="array" ref="J1196">IFERROR(INDEX('Retirement Calculator'!K:K,MATCH('Lorri 401b'!N1196,'Retirement Calculator'!A:A,0),0),0)</f>
        <v>0</v>
      </c>
      <c r="K1196" s="455">
        <f t="shared" ca="1" si="103"/>
        <v>-223630.62322945285</v>
      </c>
      <c r="L1196" s="455">
        <f t="shared" ca="1" si="104"/>
        <v>-53894980.198298134</v>
      </c>
      <c r="M1196" s="471">
        <f t="shared" si="106"/>
        <v>0.05</v>
      </c>
      <c r="N1196" s="475">
        <f t="shared" si="107"/>
        <v>87446</v>
      </c>
    </row>
    <row r="1197" spans="7:14" ht="11.25" customHeight="1" x14ac:dyDescent="0.3">
      <c r="G1197" s="470"/>
      <c r="H1197" s="470">
        <v>1190</v>
      </c>
      <c r="I1197" s="455">
        <f t="shared" ca="1" si="105"/>
        <v>-53894980.198298134</v>
      </c>
      <c r="J1197" s="455">
        <f t="array" ref="J1197">IFERROR(INDEX('Retirement Calculator'!K:K,MATCH('Lorri 401b'!N1197,'Retirement Calculator'!A:A,0),0),0)</f>
        <v>0</v>
      </c>
      <c r="K1197" s="455">
        <f t="shared" ca="1" si="103"/>
        <v>-224562.41749290892</v>
      </c>
      <c r="L1197" s="455">
        <f t="shared" ca="1" si="104"/>
        <v>-54119542.615791045</v>
      </c>
      <c r="M1197" s="471">
        <f t="shared" si="106"/>
        <v>0.05</v>
      </c>
      <c r="N1197" s="475">
        <f t="shared" si="107"/>
        <v>87476</v>
      </c>
    </row>
    <row r="1198" spans="7:14" ht="11.25" customHeight="1" x14ac:dyDescent="0.3">
      <c r="G1198" s="470"/>
      <c r="H1198" s="470">
        <v>1191</v>
      </c>
      <c r="I1198" s="455">
        <f t="shared" ca="1" si="105"/>
        <v>-54119542.615791045</v>
      </c>
      <c r="J1198" s="455">
        <f t="array" ref="J1198">IFERROR(INDEX('Retirement Calculator'!K:K,MATCH('Lorri 401b'!N1198,'Retirement Calculator'!A:A,0),0),0)</f>
        <v>0</v>
      </c>
      <c r="K1198" s="455">
        <f t="shared" ca="1" si="103"/>
        <v>-225498.0942324627</v>
      </c>
      <c r="L1198" s="455">
        <f t="shared" ca="1" si="104"/>
        <v>-54345040.710023507</v>
      </c>
      <c r="M1198" s="471">
        <f t="shared" si="106"/>
        <v>0.05</v>
      </c>
      <c r="N1198" s="475">
        <f t="shared" si="107"/>
        <v>87507</v>
      </c>
    </row>
    <row r="1199" spans="7:14" ht="11.25" customHeight="1" x14ac:dyDescent="0.3">
      <c r="G1199" s="470"/>
      <c r="H1199" s="470">
        <v>1192</v>
      </c>
      <c r="I1199" s="455">
        <f t="shared" ca="1" si="105"/>
        <v>-54345040.710023507</v>
      </c>
      <c r="J1199" s="455">
        <f t="array" ref="J1199">IFERROR(INDEX('Retirement Calculator'!K:K,MATCH('Lorri 401b'!N1199,'Retirement Calculator'!A:A,0),0),0)</f>
        <v>0</v>
      </c>
      <c r="K1199" s="455">
        <f t="shared" ca="1" si="103"/>
        <v>-226437.66962509794</v>
      </c>
      <c r="L1199" s="455">
        <f t="shared" ca="1" si="104"/>
        <v>-54571478.379648603</v>
      </c>
      <c r="M1199" s="471">
        <f t="shared" si="106"/>
        <v>0.05</v>
      </c>
      <c r="N1199" s="475">
        <f t="shared" si="107"/>
        <v>87538</v>
      </c>
    </row>
    <row r="1200" spans="7:14" ht="11.25" customHeight="1" x14ac:dyDescent="0.3">
      <c r="G1200" s="470"/>
      <c r="H1200" s="470">
        <v>1193</v>
      </c>
      <c r="I1200" s="455">
        <f t="shared" ca="1" si="105"/>
        <v>-54571478.379648603</v>
      </c>
      <c r="J1200" s="455">
        <f t="array" ref="J1200">IFERROR(INDEX('Retirement Calculator'!K:K,MATCH('Lorri 401b'!N1200,'Retirement Calculator'!A:A,0),0),0)</f>
        <v>0</v>
      </c>
      <c r="K1200" s="455">
        <f t="shared" ca="1" si="103"/>
        <v>-227381.15991520247</v>
      </c>
      <c r="L1200" s="455">
        <f t="shared" ca="1" si="104"/>
        <v>-54798859.539563805</v>
      </c>
      <c r="M1200" s="471">
        <f t="shared" si="106"/>
        <v>0.05</v>
      </c>
      <c r="N1200" s="475">
        <f t="shared" si="107"/>
        <v>87568</v>
      </c>
    </row>
    <row r="1201" spans="7:14" ht="11.25" customHeight="1" x14ac:dyDescent="0.3">
      <c r="G1201" s="470"/>
      <c r="H1201" s="470">
        <v>1194</v>
      </c>
      <c r="I1201" s="455">
        <f t="shared" ca="1" si="105"/>
        <v>-54798859.539563805</v>
      </c>
      <c r="J1201" s="455">
        <f t="array" ref="J1201">IFERROR(INDEX('Retirement Calculator'!K:K,MATCH('Lorri 401b'!N1201,'Retirement Calculator'!A:A,0),0),0)</f>
        <v>0</v>
      </c>
      <c r="K1201" s="455">
        <f t="shared" ca="1" si="103"/>
        <v>-228328.58141484918</v>
      </c>
      <c r="L1201" s="455">
        <f t="shared" ca="1" si="104"/>
        <v>-55027188.120978653</v>
      </c>
      <c r="M1201" s="471">
        <f t="shared" si="106"/>
        <v>0.05</v>
      </c>
      <c r="N1201" s="475">
        <f t="shared" si="107"/>
        <v>87599</v>
      </c>
    </row>
    <row r="1202" spans="7:14" ht="11.25" customHeight="1" x14ac:dyDescent="0.3">
      <c r="G1202" s="470"/>
      <c r="H1202" s="470">
        <v>1195</v>
      </c>
      <c r="I1202" s="455">
        <f t="shared" ca="1" si="105"/>
        <v>-55027188.120978653</v>
      </c>
      <c r="J1202" s="455">
        <f t="array" ref="J1202">IFERROR(INDEX('Retirement Calculator'!K:K,MATCH('Lorri 401b'!N1202,'Retirement Calculator'!A:A,0),0),0)</f>
        <v>0</v>
      </c>
      <c r="K1202" s="455">
        <f t="shared" ca="1" si="103"/>
        <v>-229279.95050407771</v>
      </c>
      <c r="L1202" s="455">
        <f t="shared" ca="1" si="104"/>
        <v>-55256468.071482733</v>
      </c>
      <c r="M1202" s="471">
        <f t="shared" si="106"/>
        <v>0.05</v>
      </c>
      <c r="N1202" s="475">
        <f t="shared" si="107"/>
        <v>87629</v>
      </c>
    </row>
    <row r="1203" spans="7:14" ht="11.25" customHeight="1" x14ac:dyDescent="0.3">
      <c r="G1203" s="470"/>
      <c r="H1203" s="470">
        <v>1196</v>
      </c>
      <c r="I1203" s="455">
        <f t="shared" ca="1" si="105"/>
        <v>-55256468.071482733</v>
      </c>
      <c r="J1203" s="455">
        <f t="array" ref="J1203">IFERROR(INDEX('Retirement Calculator'!K:K,MATCH('Lorri 401b'!N1203,'Retirement Calculator'!A:A,0),0),0)</f>
        <v>0</v>
      </c>
      <c r="K1203" s="455">
        <f t="shared" ca="1" si="103"/>
        <v>-230235.28363117806</v>
      </c>
      <c r="L1203" s="455">
        <f t="shared" ca="1" si="104"/>
        <v>-55486703.355113909</v>
      </c>
      <c r="M1203" s="471">
        <f t="shared" si="106"/>
        <v>0.05</v>
      </c>
      <c r="N1203" s="475">
        <f t="shared" si="107"/>
        <v>87660</v>
      </c>
    </row>
    <row r="1204" spans="7:14" ht="11.25" customHeight="1" x14ac:dyDescent="0.3">
      <c r="G1204" s="470"/>
      <c r="H1204" s="470">
        <v>1197</v>
      </c>
      <c r="I1204" s="455">
        <f t="shared" ca="1" si="105"/>
        <v>-55486703.355113909</v>
      </c>
      <c r="J1204" s="455">
        <f t="array" ref="J1204">IFERROR(INDEX('Retirement Calculator'!K:K,MATCH('Lorri 401b'!N1204,'Retirement Calculator'!A:A,0),0),0)</f>
        <v>0</v>
      </c>
      <c r="K1204" s="455">
        <f t="shared" ca="1" si="103"/>
        <v>-231194.59731297463</v>
      </c>
      <c r="L1204" s="455">
        <f t="shared" ca="1" si="104"/>
        <v>-55717897.952426881</v>
      </c>
      <c r="M1204" s="471">
        <f t="shared" si="106"/>
        <v>0.05</v>
      </c>
      <c r="N1204" s="475">
        <f t="shared" si="107"/>
        <v>87691</v>
      </c>
    </row>
    <row r="1205" spans="7:14" ht="11.25" customHeight="1" x14ac:dyDescent="0.3">
      <c r="G1205" s="470"/>
      <c r="H1205" s="470">
        <v>1198</v>
      </c>
      <c r="I1205" s="455">
        <f t="shared" ca="1" si="105"/>
        <v>-55717897.952426881</v>
      </c>
      <c r="J1205" s="455">
        <f t="array" ref="J1205">IFERROR(INDEX('Retirement Calculator'!K:K,MATCH('Lorri 401b'!N1205,'Retirement Calculator'!A:A,0),0),0)</f>
        <v>0</v>
      </c>
      <c r="K1205" s="455">
        <f t="shared" ca="1" si="103"/>
        <v>-232157.908135112</v>
      </c>
      <c r="L1205" s="455">
        <f t="shared" ca="1" si="104"/>
        <v>-55950055.860561989</v>
      </c>
      <c r="M1205" s="471">
        <f t="shared" si="106"/>
        <v>0.05</v>
      </c>
      <c r="N1205" s="475">
        <f t="shared" si="107"/>
        <v>87720</v>
      </c>
    </row>
    <row r="1206" spans="7:14" ht="11.25" customHeight="1" x14ac:dyDescent="0.3">
      <c r="G1206" s="470"/>
      <c r="H1206" s="470">
        <v>1199</v>
      </c>
      <c r="I1206" s="455">
        <f t="shared" ca="1" si="105"/>
        <v>-55950055.860561989</v>
      </c>
      <c r="J1206" s="455">
        <f t="array" ref="J1206">IFERROR(INDEX('Retirement Calculator'!K:K,MATCH('Lorri 401b'!N1206,'Retirement Calculator'!A:A,0),0),0)</f>
        <v>0</v>
      </c>
      <c r="K1206" s="455">
        <f t="shared" ca="1" si="103"/>
        <v>-233125.23275234163</v>
      </c>
      <c r="L1206" s="455">
        <f t="shared" ca="1" si="104"/>
        <v>-56183181.093314327</v>
      </c>
      <c r="M1206" s="471">
        <f t="shared" si="106"/>
        <v>0.05</v>
      </c>
      <c r="N1206" s="475">
        <f t="shared" si="107"/>
        <v>87751</v>
      </c>
    </row>
    <row r="1207" spans="7:14" ht="11.25" customHeight="1" x14ac:dyDescent="0.3">
      <c r="G1207" s="470"/>
      <c r="H1207" s="470">
        <v>1200</v>
      </c>
      <c r="I1207" s="455">
        <f t="shared" ca="1" si="105"/>
        <v>-56183181.093314327</v>
      </c>
      <c r="J1207" s="455">
        <f t="array" ref="J1207">IFERROR(INDEX('Retirement Calculator'!K:K,MATCH('Lorri 401b'!N1207,'Retirement Calculator'!A:A,0),0),0)</f>
        <v>0</v>
      </c>
      <c r="K1207" s="455">
        <f t="shared" ca="1" si="103"/>
        <v>-234096.58788880965</v>
      </c>
      <c r="L1207" s="455">
        <f t="shared" ca="1" si="104"/>
        <v>-56417277.681203134</v>
      </c>
      <c r="M1207" s="471">
        <f t="shared" si="106"/>
        <v>0.05</v>
      </c>
      <c r="N1207" s="475">
        <f t="shared" si="107"/>
        <v>87781</v>
      </c>
    </row>
    <row r="1208" spans="7:14" ht="11.25" customHeight="1" x14ac:dyDescent="0.3">
      <c r="G1208" s="470"/>
      <c r="H1208" s="470">
        <v>1201</v>
      </c>
      <c r="I1208" s="455">
        <f t="shared" ca="1" si="105"/>
        <v>-56417277.681203134</v>
      </c>
      <c r="J1208" s="455">
        <f t="array" ref="J1208">IFERROR(INDEX('Retirement Calculator'!K:K,MATCH('Lorri 401b'!N1208,'Retirement Calculator'!A:A,0),0),0)</f>
        <v>0</v>
      </c>
      <c r="K1208" s="455">
        <f t="shared" ca="1" si="103"/>
        <v>-235071.9903383464</v>
      </c>
      <c r="L1208" s="455">
        <f t="shared" ca="1" si="104"/>
        <v>-56652349.671541482</v>
      </c>
      <c r="M1208" s="471">
        <f t="shared" si="106"/>
        <v>0.05</v>
      </c>
      <c r="N1208" s="475">
        <f t="shared" si="107"/>
        <v>87812</v>
      </c>
    </row>
    <row r="1209" spans="7:14" ht="11.25" customHeight="1" x14ac:dyDescent="0.3">
      <c r="G1209" s="470"/>
      <c r="H1209" s="470">
        <v>1202</v>
      </c>
      <c r="I1209" s="455">
        <f t="shared" ca="1" si="105"/>
        <v>-56652349.671541482</v>
      </c>
      <c r="J1209" s="455">
        <f t="array" ref="J1209">IFERROR(INDEX('Retirement Calculator'!K:K,MATCH('Lorri 401b'!N1209,'Retirement Calculator'!A:A,0),0),0)</f>
        <v>0</v>
      </c>
      <c r="K1209" s="455">
        <f t="shared" ca="1" si="103"/>
        <v>-236051.45696475622</v>
      </c>
      <c r="L1209" s="455">
        <f t="shared" ca="1" si="104"/>
        <v>-56888401.128506236</v>
      </c>
      <c r="M1209" s="471">
        <f t="shared" si="106"/>
        <v>0.05</v>
      </c>
      <c r="N1209" s="475">
        <f t="shared" si="107"/>
        <v>87842</v>
      </c>
    </row>
    <row r="1210" spans="7:14" ht="11.25" customHeight="1" x14ac:dyDescent="0.3">
      <c r="G1210" s="470"/>
      <c r="H1210" s="470">
        <v>1203</v>
      </c>
      <c r="I1210" s="455">
        <f t="shared" ca="1" si="105"/>
        <v>-56888401.128506236</v>
      </c>
      <c r="J1210" s="455">
        <f t="array" ref="J1210">IFERROR(INDEX('Retirement Calculator'!K:K,MATCH('Lorri 401b'!N1210,'Retirement Calculator'!A:A,0),0),0)</f>
        <v>0</v>
      </c>
      <c r="K1210" s="455">
        <f t="shared" ca="1" si="103"/>
        <v>-237035.00470210932</v>
      </c>
      <c r="L1210" s="455">
        <f t="shared" ca="1" si="104"/>
        <v>-57125436.133208342</v>
      </c>
      <c r="M1210" s="471">
        <f t="shared" si="106"/>
        <v>0.05</v>
      </c>
      <c r="N1210" s="475">
        <f t="shared" si="107"/>
        <v>87873</v>
      </c>
    </row>
    <row r="1211" spans="7:14" ht="11.25" customHeight="1" x14ac:dyDescent="0.3">
      <c r="G1211" s="470"/>
      <c r="H1211" s="470">
        <v>1204</v>
      </c>
      <c r="I1211" s="455">
        <f t="shared" ca="1" si="105"/>
        <v>-57125436.133208342</v>
      </c>
      <c r="J1211" s="455">
        <f t="array" ref="J1211">IFERROR(INDEX('Retirement Calculator'!K:K,MATCH('Lorri 401b'!N1211,'Retirement Calculator'!A:A,0),0),0)</f>
        <v>0</v>
      </c>
      <c r="K1211" s="455">
        <f t="shared" ca="1" si="103"/>
        <v>-238022.65055503478</v>
      </c>
      <c r="L1211" s="455">
        <f t="shared" ca="1" si="104"/>
        <v>-57363458.783763379</v>
      </c>
      <c r="M1211" s="471">
        <f t="shared" si="106"/>
        <v>0.05</v>
      </c>
      <c r="N1211" s="475">
        <f t="shared" si="107"/>
        <v>87904</v>
      </c>
    </row>
    <row r="1212" spans="7:14" ht="11.25" customHeight="1" x14ac:dyDescent="0.3">
      <c r="G1212" s="470"/>
      <c r="H1212" s="470">
        <v>1205</v>
      </c>
      <c r="I1212" s="455">
        <f t="shared" ca="1" si="105"/>
        <v>-57363458.783763379</v>
      </c>
      <c r="J1212" s="455">
        <f t="array" ref="J1212">IFERROR(INDEX('Retirement Calculator'!K:K,MATCH('Lorri 401b'!N1212,'Retirement Calculator'!A:A,0),0),0)</f>
        <v>0</v>
      </c>
      <c r="K1212" s="455">
        <f t="shared" ca="1" si="103"/>
        <v>-239014.41159901407</v>
      </c>
      <c r="L1212" s="455">
        <f t="shared" ca="1" si="104"/>
        <v>-57602473.195362397</v>
      </c>
      <c r="M1212" s="471">
        <f t="shared" si="106"/>
        <v>0.05</v>
      </c>
      <c r="N1212" s="475">
        <f t="shared" si="107"/>
        <v>87934</v>
      </c>
    </row>
    <row r="1213" spans="7:14" ht="11.25" customHeight="1" x14ac:dyDescent="0.3">
      <c r="G1213" s="470"/>
      <c r="H1213" s="470">
        <v>1206</v>
      </c>
      <c r="I1213" s="455">
        <f t="shared" ca="1" si="105"/>
        <v>-57602473.195362397</v>
      </c>
      <c r="J1213" s="455">
        <f t="array" ref="J1213">IFERROR(INDEX('Retirement Calculator'!K:K,MATCH('Lorri 401b'!N1213,'Retirement Calculator'!A:A,0),0),0)</f>
        <v>0</v>
      </c>
      <c r="K1213" s="455">
        <f t="shared" ca="1" si="103"/>
        <v>-240010.30498067665</v>
      </c>
      <c r="L1213" s="455">
        <f t="shared" ca="1" si="104"/>
        <v>-57842483.500343077</v>
      </c>
      <c r="M1213" s="471">
        <f t="shared" si="106"/>
        <v>0.05</v>
      </c>
      <c r="N1213" s="475">
        <f t="shared" si="107"/>
        <v>87965</v>
      </c>
    </row>
    <row r="1214" spans="7:14" ht="11.25" customHeight="1" x14ac:dyDescent="0.3">
      <c r="G1214" s="470"/>
      <c r="H1214" s="470">
        <v>1207</v>
      </c>
      <c r="I1214" s="455">
        <f t="shared" ca="1" si="105"/>
        <v>-57842483.500343077</v>
      </c>
      <c r="J1214" s="455">
        <f t="array" ref="J1214">IFERROR(INDEX('Retirement Calculator'!K:K,MATCH('Lorri 401b'!N1214,'Retirement Calculator'!A:A,0),0),0)</f>
        <v>0</v>
      </c>
      <c r="K1214" s="455">
        <f t="shared" ca="1" si="103"/>
        <v>-241010.34791809617</v>
      </c>
      <c r="L1214" s="455">
        <f t="shared" ca="1" si="104"/>
        <v>-58083493.84826117</v>
      </c>
      <c r="M1214" s="471">
        <f t="shared" si="106"/>
        <v>0.05</v>
      </c>
      <c r="N1214" s="475">
        <f t="shared" si="107"/>
        <v>87995</v>
      </c>
    </row>
    <row r="1215" spans="7:14" ht="11.25" customHeight="1" x14ac:dyDescent="0.3">
      <c r="G1215" s="470"/>
      <c r="H1215" s="470">
        <v>1208</v>
      </c>
      <c r="I1215" s="455">
        <f t="shared" ca="1" si="105"/>
        <v>-58083493.84826117</v>
      </c>
      <c r="J1215" s="455">
        <f t="array" ref="J1215">IFERROR(INDEX('Retirement Calculator'!K:K,MATCH('Lorri 401b'!N1215,'Retirement Calculator'!A:A,0),0),0)</f>
        <v>0</v>
      </c>
      <c r="K1215" s="455">
        <f t="shared" ca="1" si="103"/>
        <v>-242014.5577010882</v>
      </c>
      <c r="L1215" s="455">
        <f t="shared" ca="1" si="104"/>
        <v>-58325508.405962259</v>
      </c>
      <c r="M1215" s="471">
        <f t="shared" si="106"/>
        <v>0.05</v>
      </c>
      <c r="N1215" s="475">
        <f t="shared" si="107"/>
        <v>88026</v>
      </c>
    </row>
    <row r="1216" spans="7:14" ht="11.25" customHeight="1" x14ac:dyDescent="0.3">
      <c r="G1216" s="470"/>
      <c r="H1216" s="470">
        <v>1209</v>
      </c>
      <c r="I1216" s="455">
        <f t="shared" ca="1" si="105"/>
        <v>-58325508.405962259</v>
      </c>
      <c r="J1216" s="455">
        <f t="array" ref="J1216">IFERROR(INDEX('Retirement Calculator'!K:K,MATCH('Lorri 401b'!N1216,'Retirement Calculator'!A:A,0),0),0)</f>
        <v>0</v>
      </c>
      <c r="K1216" s="455">
        <f t="shared" ca="1" si="103"/>
        <v>-243022.95169150937</v>
      </c>
      <c r="L1216" s="455">
        <f t="shared" ca="1" si="104"/>
        <v>-58568531.357653767</v>
      </c>
      <c r="M1216" s="471">
        <f t="shared" si="106"/>
        <v>0.05</v>
      </c>
      <c r="N1216" s="475">
        <f t="shared" si="107"/>
        <v>88057</v>
      </c>
    </row>
    <row r="1217" spans="7:14" ht="11.25" customHeight="1" x14ac:dyDescent="0.3">
      <c r="G1217" s="470"/>
      <c r="H1217" s="470">
        <v>1210</v>
      </c>
      <c r="I1217" s="455">
        <f t="shared" ca="1" si="105"/>
        <v>-58568531.357653767</v>
      </c>
      <c r="J1217" s="455">
        <f t="array" ref="J1217">IFERROR(INDEX('Retirement Calculator'!K:K,MATCH('Lorri 401b'!N1217,'Retirement Calculator'!A:A,0),0),0)</f>
        <v>0</v>
      </c>
      <c r="K1217" s="455">
        <f t="shared" ca="1" si="103"/>
        <v>-244035.54732355734</v>
      </c>
      <c r="L1217" s="455">
        <f t="shared" ca="1" si="104"/>
        <v>-58812566.904977322</v>
      </c>
      <c r="M1217" s="471">
        <f t="shared" si="106"/>
        <v>0.05</v>
      </c>
      <c r="N1217" s="475">
        <f t="shared" si="107"/>
        <v>88085</v>
      </c>
    </row>
    <row r="1218" spans="7:14" ht="11.25" customHeight="1" x14ac:dyDescent="0.3">
      <c r="G1218" s="470"/>
      <c r="H1218" s="470">
        <v>1211</v>
      </c>
      <c r="I1218" s="455">
        <f t="shared" ca="1" si="105"/>
        <v>-58812566.904977322</v>
      </c>
      <c r="J1218" s="455">
        <f t="array" ref="J1218">IFERROR(INDEX('Retirement Calculator'!K:K,MATCH('Lorri 401b'!N1218,'Retirement Calculator'!A:A,0),0),0)</f>
        <v>0</v>
      </c>
      <c r="K1218" s="455">
        <f t="shared" ca="1" si="103"/>
        <v>-245052.36210407221</v>
      </c>
      <c r="L1218" s="455">
        <f t="shared" ca="1" si="104"/>
        <v>-59057619.267081395</v>
      </c>
      <c r="M1218" s="471">
        <f t="shared" si="106"/>
        <v>0.05</v>
      </c>
      <c r="N1218" s="475">
        <f t="shared" si="107"/>
        <v>88116</v>
      </c>
    </row>
    <row r="1219" spans="7:14" ht="11.25" customHeight="1" x14ac:dyDescent="0.3">
      <c r="G1219" s="470"/>
      <c r="H1219" s="470">
        <v>1212</v>
      </c>
      <c r="I1219" s="455">
        <f t="shared" ca="1" si="105"/>
        <v>-59057619.267081395</v>
      </c>
      <c r="J1219" s="455">
        <f t="array" ref="J1219">IFERROR(INDEX('Retirement Calculator'!K:K,MATCH('Lorri 401b'!N1219,'Retirement Calculator'!A:A,0),0),0)</f>
        <v>0</v>
      </c>
      <c r="K1219" s="455">
        <f t="shared" ca="1" si="103"/>
        <v>-246073.41361283915</v>
      </c>
      <c r="L1219" s="455">
        <f t="shared" ca="1" si="104"/>
        <v>-59303692.680694237</v>
      </c>
      <c r="M1219" s="471">
        <f t="shared" si="106"/>
        <v>0.05</v>
      </c>
      <c r="N1219" s="475">
        <f t="shared" si="107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5"/>
        <v>-59303692.680694237</v>
      </c>
      <c r="J1220" s="455">
        <f t="array" ref="J1220">IFERROR(INDEX('Retirement Calculator'!K:K,MATCH('Lorri 401b'!N1220,'Retirement Calculator'!A:A,0),0),0)</f>
        <v>0</v>
      </c>
      <c r="K1220" s="455">
        <f t="shared" ca="1" si="103"/>
        <v>-247098.71950289267</v>
      </c>
      <c r="L1220" s="455">
        <f t="shared" ca="1" si="104"/>
        <v>-59550791.400197133</v>
      </c>
      <c r="M1220" s="471">
        <f t="shared" si="106"/>
        <v>0.05</v>
      </c>
      <c r="N1220" s="475">
        <f t="shared" si="107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5"/>
        <v>-59550791.400197133</v>
      </c>
      <c r="J1221" s="455">
        <f t="array" ref="J1221">IFERROR(INDEX('Retirement Calculator'!K:K,MATCH('Lorri 401b'!N1221,'Retirement Calculator'!A:A,0),0),0)</f>
        <v>0</v>
      </c>
      <c r="K1221" s="455">
        <f t="shared" ca="1" si="103"/>
        <v>-248128.29750082141</v>
      </c>
      <c r="L1221" s="455">
        <f t="shared" ca="1" si="104"/>
        <v>-59798919.697697952</v>
      </c>
      <c r="M1221" s="471">
        <f t="shared" si="106"/>
        <v>0.05</v>
      </c>
      <c r="N1221" s="475">
        <f t="shared" si="107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5"/>
        <v>-59798919.697697952</v>
      </c>
      <c r="J1222" s="455">
        <f t="array" ref="J1222">IFERROR(INDEX('Retirement Calculator'!K:K,MATCH('Lorri 401b'!N1222,'Retirement Calculator'!A:A,0),0),0)</f>
        <v>0</v>
      </c>
      <c r="K1222" s="455">
        <f t="shared" ca="1" si="103"/>
        <v>-249162.16540707479</v>
      </c>
      <c r="L1222" s="455">
        <f t="shared" ca="1" si="104"/>
        <v>-60048081.863105029</v>
      </c>
      <c r="M1222" s="471">
        <f t="shared" si="106"/>
        <v>0.05</v>
      </c>
      <c r="N1222" s="475">
        <f t="shared" si="107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5"/>
        <v>-60048081.863105029</v>
      </c>
      <c r="J1223" s="455">
        <f t="array" ref="J1223">IFERROR(INDEX('Retirement Calculator'!K:K,MATCH('Lorri 401b'!N1223,'Retirement Calculator'!A:A,0),0),0)</f>
        <v>0</v>
      </c>
      <c r="K1223" s="455">
        <f t="shared" ca="1" si="103"/>
        <v>-250200.34109627095</v>
      </c>
      <c r="L1223" s="455">
        <f t="shared" ca="1" si="104"/>
        <v>-60298282.204201303</v>
      </c>
      <c r="M1223" s="471">
        <f t="shared" si="106"/>
        <v>0.05</v>
      </c>
      <c r="N1223" s="475">
        <f t="shared" si="107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5"/>
        <v>-60298282.204201303</v>
      </c>
      <c r="J1224" s="455">
        <f t="array" ref="J1224">IFERROR(INDEX('Retirement Calculator'!K:K,MATCH('Lorri 401b'!N1224,'Retirement Calculator'!A:A,0),0),0)</f>
        <v>0</v>
      </c>
      <c r="K1224" s="455">
        <f t="shared" ca="1" si="103"/>
        <v>-251242.8425175054</v>
      </c>
      <c r="L1224" s="455">
        <f t="shared" ca="1" si="104"/>
        <v>-60549525.046718806</v>
      </c>
      <c r="M1224" s="471">
        <f t="shared" si="106"/>
        <v>0.05</v>
      </c>
      <c r="N1224" s="475">
        <f t="shared" si="107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5"/>
        <v>-60549525.046718806</v>
      </c>
      <c r="J1225" s="455">
        <f t="array" ref="J1225">IFERROR(INDEX('Retirement Calculator'!K:K,MATCH('Lorri 401b'!N1225,'Retirement Calculator'!A:A,0),0),0)</f>
        <v>0</v>
      </c>
      <c r="K1225" s="455">
        <f t="shared" ca="1" si="103"/>
        <v>-252289.68769466173</v>
      </c>
      <c r="L1225" s="455">
        <f t="shared" ca="1" si="104"/>
        <v>-60801814.734413467</v>
      </c>
      <c r="M1225" s="471">
        <f t="shared" si="106"/>
        <v>0.05</v>
      </c>
      <c r="N1225" s="475">
        <f t="shared" si="107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5"/>
        <v>-60801814.734413467</v>
      </c>
      <c r="J1226" s="455">
        <f t="array" ref="J1226">IFERROR(INDEX('Retirement Calculator'!K:K,MATCH('Lorri 401b'!N1226,'Retirement Calculator'!A:A,0),0),0)</f>
        <v>0</v>
      </c>
      <c r="K1226" s="455">
        <f t="shared" ca="1" si="103"/>
        <v>-253340.89472672276</v>
      </c>
      <c r="L1226" s="455">
        <f t="shared" ca="1" si="104"/>
        <v>-61055155.629140191</v>
      </c>
      <c r="M1226" s="471">
        <f t="shared" si="106"/>
        <v>0.05</v>
      </c>
      <c r="N1226" s="475">
        <f t="shared" si="107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5"/>
        <v>-61055155.629140191</v>
      </c>
      <c r="J1227" s="455">
        <f t="array" ref="J1227">IFERROR(INDEX('Retirement Calculator'!K:K,MATCH('Lorri 401b'!N1227,'Retirement Calculator'!A:A,0),0),0)</f>
        <v>0</v>
      </c>
      <c r="K1227" s="455">
        <f t="shared" ca="1" si="103"/>
        <v>-254396.48178808414</v>
      </c>
      <c r="L1227" s="455">
        <f t="shared" ca="1" si="104"/>
        <v>-61309552.110928275</v>
      </c>
      <c r="M1227" s="471">
        <f t="shared" si="106"/>
        <v>0.05</v>
      </c>
      <c r="N1227" s="475">
        <f t="shared" si="107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5"/>
        <v>-61309552.110928275</v>
      </c>
      <c r="J1228" s="455">
        <f t="array" ref="J1228">IFERROR(INDEX('Retirement Calculator'!K:K,MATCH('Lorri 401b'!N1228,'Retirement Calculator'!A:A,0),0),0)</f>
        <v>0</v>
      </c>
      <c r="K1228" s="455">
        <f t="shared" ca="1" si="103"/>
        <v>-255456.46712886781</v>
      </c>
      <c r="L1228" s="455">
        <f t="shared" ca="1" si="104"/>
        <v>-61565008.57805714</v>
      </c>
      <c r="M1228" s="471">
        <f t="shared" si="106"/>
        <v>0.05</v>
      </c>
      <c r="N1228" s="475">
        <f t="shared" si="107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5"/>
        <v>-61565008.57805714</v>
      </c>
      <c r="J1229" s="455">
        <f t="array" ref="J1229">IFERROR(INDEX('Retirement Calculator'!K:K,MATCH('Lorri 401b'!N1229,'Retirement Calculator'!A:A,0),0),0)</f>
        <v>0</v>
      </c>
      <c r="K1229" s="455">
        <f t="shared" ca="1" si="103"/>
        <v>-256520.86907523812</v>
      </c>
      <c r="L1229" s="455">
        <f t="shared" ca="1" si="104"/>
        <v>-61821529.447132379</v>
      </c>
      <c r="M1229" s="471">
        <f t="shared" si="106"/>
        <v>0.05</v>
      </c>
      <c r="N1229" s="475">
        <f t="shared" si="107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5"/>
        <v>-61821529.447132379</v>
      </c>
      <c r="J1230" s="455">
        <f t="array" ref="J1230">IFERROR(INDEX('Retirement Calculator'!K:K,MATCH('Lorri 401b'!N1230,'Retirement Calculator'!A:A,0),0),0)</f>
        <v>0</v>
      </c>
      <c r="K1230" s="455">
        <f t="shared" ca="1" si="103"/>
        <v>-257589.70602971825</v>
      </c>
      <c r="L1230" s="455">
        <f t="shared" ca="1" si="104"/>
        <v>-62079119.153162099</v>
      </c>
      <c r="M1230" s="471">
        <f t="shared" si="106"/>
        <v>0.05</v>
      </c>
      <c r="N1230" s="475">
        <f t="shared" si="107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5"/>
        <v>-62079119.153162099</v>
      </c>
      <c r="J1231" s="455">
        <f t="array" ref="J1231">IFERROR(INDEX('Retirement Calculator'!K:K,MATCH('Lorri 401b'!N1231,'Retirement Calculator'!A:A,0),0),0)</f>
        <v>0</v>
      </c>
      <c r="K1231" s="455">
        <f t="shared" ca="1" si="103"/>
        <v>-258662.99647150876</v>
      </c>
      <c r="L1231" s="455">
        <f t="shared" ca="1" si="104"/>
        <v>-62337782.149633609</v>
      </c>
      <c r="M1231" s="471">
        <f t="shared" si="106"/>
        <v>0.05</v>
      </c>
      <c r="N1231" s="475">
        <f t="shared" si="107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5"/>
        <v>-62337782.149633609</v>
      </c>
      <c r="J1232" s="455">
        <f t="array" ref="J1232">IFERROR(INDEX('Retirement Calculator'!K:K,MATCH('Lorri 401b'!N1232,'Retirement Calculator'!A:A,0),0),0)</f>
        <v>0</v>
      </c>
      <c r="K1232" s="455">
        <f t="shared" ca="1" si="103"/>
        <v>-259740.75895680671</v>
      </c>
      <c r="L1232" s="455">
        <f t="shared" ca="1" si="104"/>
        <v>-62597522.908590414</v>
      </c>
      <c r="M1232" s="471">
        <f t="shared" si="106"/>
        <v>0.05</v>
      </c>
      <c r="N1232" s="475">
        <f t="shared" si="107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5"/>
        <v>-62597522.908590414</v>
      </c>
      <c r="J1233" s="455">
        <f t="array" ref="J1233">IFERROR(INDEX('Retirement Calculator'!K:K,MATCH('Lorri 401b'!N1233,'Retirement Calculator'!A:A,0),0),0)</f>
        <v>0</v>
      </c>
      <c r="K1233" s="455">
        <f t="shared" ca="1" si="103"/>
        <v>-260823.01211912671</v>
      </c>
      <c r="L1233" s="455">
        <f t="shared" ca="1" si="104"/>
        <v>-62858345.920709543</v>
      </c>
      <c r="M1233" s="471">
        <f t="shared" si="106"/>
        <v>0.05</v>
      </c>
      <c r="N1233" s="475">
        <f t="shared" si="107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5"/>
        <v>-62858345.920709543</v>
      </c>
      <c r="J1234" s="455">
        <f t="array" ref="J1234">IFERROR(INDEX('Retirement Calculator'!K:K,MATCH('Lorri 401b'!N1234,'Retirement Calculator'!A:A,0),0),0)</f>
        <v>0</v>
      </c>
      <c r="K1234" s="455">
        <f t="shared" ca="1" si="103"/>
        <v>-261909.77466962309</v>
      </c>
      <c r="L1234" s="455">
        <f t="shared" ca="1" si="104"/>
        <v>-63120255.695379168</v>
      </c>
      <c r="M1234" s="471">
        <f t="shared" si="106"/>
        <v>0.05</v>
      </c>
      <c r="N1234" s="475">
        <f t="shared" si="107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5"/>
        <v>-63120255.695379168</v>
      </c>
      <c r="J1235" s="455">
        <f t="array" ref="J1235">IFERROR(INDEX('Retirement Calculator'!K:K,MATCH('Lorri 401b'!N1235,'Retirement Calculator'!A:A,0),0),0)</f>
        <v>0</v>
      </c>
      <c r="K1235" s="455">
        <f t="shared" ca="1" si="103"/>
        <v>-263001.06539741316</v>
      </c>
      <c r="L1235" s="455">
        <f t="shared" ca="1" si="104"/>
        <v>-63383256.760776579</v>
      </c>
      <c r="M1235" s="471">
        <f t="shared" si="106"/>
        <v>0.05</v>
      </c>
      <c r="N1235" s="475">
        <f t="shared" si="107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5"/>
        <v>-63383256.760776579</v>
      </c>
      <c r="J1236" s="455">
        <f t="array" ref="J1236">IFERROR(INDEX('Retirement Calculator'!K:K,MATCH('Lorri 401b'!N1236,'Retirement Calculator'!A:A,0),0),0)</f>
        <v>0</v>
      </c>
      <c r="K1236" s="455">
        <f t="shared" ca="1" si="103"/>
        <v>-264096.90316990245</v>
      </c>
      <c r="L1236" s="455">
        <f t="shared" ca="1" si="104"/>
        <v>-63647353.66394648</v>
      </c>
      <c r="M1236" s="471">
        <f t="shared" si="106"/>
        <v>0.05</v>
      </c>
      <c r="N1236" s="475">
        <f t="shared" si="107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5"/>
        <v>-63647353.66394648</v>
      </c>
      <c r="J1237" s="455">
        <f t="array" ref="J1237">IFERROR(INDEX('Retirement Calculator'!K:K,MATCH('Lorri 401b'!N1237,'Retirement Calculator'!A:A,0),0),0)</f>
        <v>0</v>
      </c>
      <c r="K1237" s="455">
        <f t="shared" ca="1" si="103"/>
        <v>-265197.30693311035</v>
      </c>
      <c r="L1237" s="455">
        <f t="shared" ca="1" si="104"/>
        <v>-63912550.970879592</v>
      </c>
      <c r="M1237" s="471">
        <f t="shared" si="106"/>
        <v>0.05</v>
      </c>
      <c r="N1237" s="475">
        <f t="shared" si="107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5"/>
        <v>-63912550.970879592</v>
      </c>
      <c r="J1238" s="455">
        <f t="array" ref="J1238">IFERROR(INDEX('Retirement Calculator'!K:K,MATCH('Lorri 401b'!N1238,'Retirement Calculator'!A:A,0),0),0)</f>
        <v>0</v>
      </c>
      <c r="K1238" s="455">
        <f t="shared" ca="1" si="103"/>
        <v>-266302.2957119983</v>
      </c>
      <c r="L1238" s="455">
        <f t="shared" ca="1" si="104"/>
        <v>-64178853.266591594</v>
      </c>
      <c r="M1238" s="471">
        <f t="shared" si="106"/>
        <v>0.05</v>
      </c>
      <c r="N1238" s="475">
        <f t="shared" si="107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5"/>
        <v>-64178853.266591594</v>
      </c>
      <c r="J1239" s="455">
        <f t="array" ref="J1239">IFERROR(INDEX('Retirement Calculator'!K:K,MATCH('Lorri 401b'!N1239,'Retirement Calculator'!A:A,0),0),0)</f>
        <v>0</v>
      </c>
      <c r="K1239" s="455">
        <f t="shared" ca="1" si="103"/>
        <v>-267411.88861079828</v>
      </c>
      <c r="L1239" s="455">
        <f t="shared" ca="1" si="104"/>
        <v>-64446265.155202389</v>
      </c>
      <c r="M1239" s="471">
        <f t="shared" si="106"/>
        <v>0.05</v>
      </c>
      <c r="N1239" s="475">
        <f t="shared" si="107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5"/>
        <v>-64446265.155202389</v>
      </c>
      <c r="J1240" s="455">
        <f t="array" ref="J1240">IFERROR(INDEX('Retirement Calculator'!K:K,MATCH('Lorri 401b'!N1240,'Retirement Calculator'!A:A,0),0),0)</f>
        <v>0</v>
      </c>
      <c r="K1240" s="455">
        <f t="shared" ca="1" si="103"/>
        <v>-268526.10481334326</v>
      </c>
      <c r="L1240" s="455">
        <f t="shared" ca="1" si="104"/>
        <v>-64714791.260015734</v>
      </c>
      <c r="M1240" s="471">
        <f t="shared" si="106"/>
        <v>0.05</v>
      </c>
      <c r="N1240" s="475">
        <f t="shared" si="107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5"/>
        <v>-64714791.260015734</v>
      </c>
      <c r="J1241" s="455">
        <f t="array" ref="J1241">IFERROR(INDEX('Retirement Calculator'!K:K,MATCH('Lorri 401b'!N1241,'Retirement Calculator'!A:A,0),0),0)</f>
        <v>0</v>
      </c>
      <c r="K1241" s="455">
        <f t="shared" ca="1" si="103"/>
        <v>-269644.9635833989</v>
      </c>
      <c r="L1241" s="455">
        <f t="shared" ca="1" si="104"/>
        <v>-64984436.223599136</v>
      </c>
      <c r="M1241" s="471">
        <f t="shared" si="106"/>
        <v>0.05</v>
      </c>
      <c r="N1241" s="475">
        <f t="shared" si="107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5"/>
        <v>-64984436.223599136</v>
      </c>
      <c r="J1242" s="455">
        <f t="array" ref="J1242">IFERROR(INDEX('Retirement Calculator'!K:K,MATCH('Lorri 401b'!N1242,'Retirement Calculator'!A:A,0),0),0)</f>
        <v>0</v>
      </c>
      <c r="K1242" s="455">
        <f t="shared" ca="1" si="103"/>
        <v>-270768.48426499637</v>
      </c>
      <c r="L1242" s="455">
        <f t="shared" ca="1" si="104"/>
        <v>-65255204.707864136</v>
      </c>
      <c r="M1242" s="471">
        <f t="shared" si="106"/>
        <v>0.05</v>
      </c>
      <c r="N1242" s="475">
        <f t="shared" si="107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5"/>
        <v>-65255204.707864136</v>
      </c>
      <c r="J1243" s="455">
        <f t="array" ref="J1243">IFERROR(INDEX('Retirement Calculator'!K:K,MATCH('Lorri 401b'!N1243,'Retirement Calculator'!A:A,0),0),0)</f>
        <v>0</v>
      </c>
      <c r="K1243" s="455">
        <f t="shared" ca="1" si="103"/>
        <v>-271896.68628276722</v>
      </c>
      <c r="L1243" s="455">
        <f t="shared" ca="1" si="104"/>
        <v>-65527101.394146904</v>
      </c>
      <c r="M1243" s="471">
        <f t="shared" si="106"/>
        <v>0.05</v>
      </c>
      <c r="N1243" s="475">
        <f t="shared" si="107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5"/>
        <v>-65527101.394146904</v>
      </c>
      <c r="J1244" s="455">
        <f t="array" ref="J1244">IFERROR(INDEX('Retirement Calculator'!K:K,MATCH('Lorri 401b'!N1244,'Retirement Calculator'!A:A,0),0),0)</f>
        <v>0</v>
      </c>
      <c r="K1244" s="455">
        <f t="shared" ca="1" si="103"/>
        <v>-273029.58914227877</v>
      </c>
      <c r="L1244" s="455">
        <f t="shared" ca="1" si="104"/>
        <v>-65800130.983289182</v>
      </c>
      <c r="M1244" s="471">
        <f t="shared" si="106"/>
        <v>0.05</v>
      </c>
      <c r="N1244" s="475">
        <f t="shared" si="107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5"/>
        <v>-65800130.983289182</v>
      </c>
      <c r="J1245" s="455">
        <f t="array" ref="J1245">IFERROR(INDEX('Retirement Calculator'!K:K,MATCH('Lorri 401b'!N1245,'Retirement Calculator'!A:A,0),0),0)</f>
        <v>0</v>
      </c>
      <c r="K1245" s="455">
        <f t="shared" ca="1" si="103"/>
        <v>-274167.21243037161</v>
      </c>
      <c r="L1245" s="455">
        <f t="shared" ca="1" si="104"/>
        <v>-66074298.195719555</v>
      </c>
      <c r="M1245" s="471">
        <f t="shared" si="106"/>
        <v>0.05</v>
      </c>
      <c r="N1245" s="475">
        <f t="shared" si="107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5"/>
        <v>-66074298.195719555</v>
      </c>
      <c r="J1246" s="455">
        <f t="array" ref="J1246">IFERROR(INDEX('Retirement Calculator'!K:K,MATCH('Lorri 401b'!N1246,'Retirement Calculator'!A:A,0),0),0)</f>
        <v>0</v>
      </c>
      <c r="K1246" s="455">
        <f t="shared" ca="1" si="103"/>
        <v>-275309.57581549813</v>
      </c>
      <c r="L1246" s="455">
        <f t="shared" ca="1" si="104"/>
        <v>-66349607.771535054</v>
      </c>
      <c r="M1246" s="471">
        <f t="shared" si="106"/>
        <v>0.05</v>
      </c>
      <c r="N1246" s="475">
        <f t="shared" si="107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5"/>
        <v>-66349607.771535054</v>
      </c>
      <c r="J1247" s="455">
        <f t="array" ref="J1247">IFERROR(INDEX('Retirement Calculator'!K:K,MATCH('Lorri 401b'!N1247,'Retirement Calculator'!A:A,0),0),0)</f>
        <v>0</v>
      </c>
      <c r="K1247" s="455">
        <f t="shared" ca="1" si="103"/>
        <v>-276456.69904806273</v>
      </c>
      <c r="L1247" s="455">
        <f t="shared" ca="1" si="104"/>
        <v>-66626064.470583118</v>
      </c>
      <c r="M1247" s="471">
        <f t="shared" si="106"/>
        <v>0.05</v>
      </c>
      <c r="N1247" s="475">
        <f t="shared" si="107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5"/>
        <v>-66626064.470583118</v>
      </c>
      <c r="J1248" s="455">
        <f t="array" ref="J1248">IFERROR(INDEX('Retirement Calculator'!K:K,MATCH('Lorri 401b'!N1248,'Retirement Calculator'!A:A,0),0),0)</f>
        <v>0</v>
      </c>
      <c r="K1248" s="455">
        <f t="shared" ca="1" si="103"/>
        <v>-277608.60196076299</v>
      </c>
      <c r="L1248" s="455">
        <f t="shared" ca="1" si="104"/>
        <v>-66903673.072543882</v>
      </c>
      <c r="M1248" s="471">
        <f t="shared" si="106"/>
        <v>0.05</v>
      </c>
      <c r="N1248" s="475">
        <f t="shared" si="107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5"/>
        <v>-66903673.072543882</v>
      </c>
      <c r="J1249" s="455">
        <f t="array" ref="J1249">IFERROR(INDEX('Retirement Calculator'!K:K,MATCH('Lorri 401b'!N1249,'Retirement Calculator'!A:A,0),0),0)</f>
        <v>0</v>
      </c>
      <c r="K1249" s="455">
        <f t="shared" ca="1" si="103"/>
        <v>-278765.30446893279</v>
      </c>
      <c r="L1249" s="455">
        <f t="shared" ca="1" si="104"/>
        <v>-67182438.377012819</v>
      </c>
      <c r="M1249" s="471">
        <f t="shared" si="106"/>
        <v>0.05</v>
      </c>
      <c r="N1249" s="475">
        <f t="shared" si="107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5"/>
        <v>-67182438.377012819</v>
      </c>
      <c r="J1250" s="455">
        <f t="array" ref="J1250">IFERROR(INDEX('Retirement Calculator'!K:K,MATCH('Lorri 401b'!N1250,'Retirement Calculator'!A:A,0),0),0)</f>
        <v>0</v>
      </c>
      <c r="K1250" s="455">
        <f t="shared" ca="1" si="103"/>
        <v>-279926.82657088677</v>
      </c>
      <c r="L1250" s="455">
        <f t="shared" ca="1" si="104"/>
        <v>-67462365.203583702</v>
      </c>
      <c r="M1250" s="471">
        <f t="shared" si="106"/>
        <v>0.05</v>
      </c>
      <c r="N1250" s="475">
        <f t="shared" si="107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5"/>
        <v>-67462365.203583702</v>
      </c>
      <c r="J1251" s="455">
        <f t="array" ref="J1251">IFERROR(INDEX('Retirement Calculator'!K:K,MATCH('Lorri 401b'!N1251,'Retirement Calculator'!A:A,0),0),0)</f>
        <v>0</v>
      </c>
      <c r="K1251" s="455">
        <f t="shared" ca="1" si="103"/>
        <v>-281093.18834826542</v>
      </c>
      <c r="L1251" s="455">
        <f t="shared" ca="1" si="104"/>
        <v>-67743458.391931966</v>
      </c>
      <c r="M1251" s="471">
        <f t="shared" si="106"/>
        <v>0.05</v>
      </c>
      <c r="N1251" s="475">
        <f t="shared" si="107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5"/>
        <v>-67743458.391931966</v>
      </c>
      <c r="J1252" s="455">
        <f t="array" ref="J1252">IFERROR(INDEX('Retirement Calculator'!K:K,MATCH('Lorri 401b'!N1252,'Retirement Calculator'!A:A,0),0),0)</f>
        <v>0</v>
      </c>
      <c r="K1252" s="455">
        <f t="shared" ca="1" si="103"/>
        <v>-282264.40996638319</v>
      </c>
      <c r="L1252" s="455">
        <f t="shared" ca="1" si="104"/>
        <v>-68025722.801898345</v>
      </c>
      <c r="M1252" s="471">
        <f t="shared" si="106"/>
        <v>0.05</v>
      </c>
      <c r="N1252" s="475">
        <f t="shared" si="107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5"/>
        <v>-68025722.801898345</v>
      </c>
      <c r="J1253" s="455">
        <f t="array" ref="J1253">IFERROR(INDEX('Retirement Calculator'!K:K,MATCH('Lorri 401b'!N1253,'Retirement Calculator'!A:A,0),0),0)</f>
        <v>0</v>
      </c>
      <c r="K1253" s="455">
        <f t="shared" ca="1" si="103"/>
        <v>-283440.51167457644</v>
      </c>
      <c r="L1253" s="455">
        <f t="shared" ca="1" si="104"/>
        <v>-68309163.313572928</v>
      </c>
      <c r="M1253" s="471">
        <f t="shared" si="106"/>
        <v>0.05</v>
      </c>
      <c r="N1253" s="475">
        <f t="shared" si="107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5"/>
        <v>-68309163.313572928</v>
      </c>
      <c r="J1254" s="455">
        <f t="array" ref="J1254">IFERROR(INDEX('Retirement Calculator'!K:K,MATCH('Lorri 401b'!N1254,'Retirement Calculator'!A:A,0),0),0)</f>
        <v>0</v>
      </c>
      <c r="K1254" s="455">
        <f t="shared" ca="1" si="103"/>
        <v>-284621.51380655385</v>
      </c>
      <c r="L1254" s="455">
        <f t="shared" ca="1" si="104"/>
        <v>-68593784.82737948</v>
      </c>
      <c r="M1254" s="471">
        <f t="shared" si="106"/>
        <v>0.05</v>
      </c>
      <c r="N1254" s="475">
        <f t="shared" si="107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5"/>
        <v>-68593784.82737948</v>
      </c>
      <c r="J1255" s="455">
        <f t="array" ref="J1255">IFERROR(INDEX('Retirement Calculator'!K:K,MATCH('Lorri 401b'!N1255,'Retirement Calculator'!A:A,0),0),0)</f>
        <v>0</v>
      </c>
      <c r="K1255" s="455">
        <f t="shared" ca="1" si="103"/>
        <v>-285807.43678074784</v>
      </c>
      <c r="L1255" s="455">
        <f t="shared" ca="1" si="104"/>
        <v>-68879592.264160231</v>
      </c>
      <c r="M1255" s="471">
        <f t="shared" si="106"/>
        <v>0.05</v>
      </c>
      <c r="N1255" s="475">
        <f t="shared" si="107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5"/>
        <v>-68879592.264160231</v>
      </c>
      <c r="J1256" s="455">
        <f t="array" ref="J1256">IFERROR(INDEX('Retirement Calculator'!K:K,MATCH('Lorri 401b'!N1256,'Retirement Calculator'!A:A,0),0),0)</f>
        <v>0</v>
      </c>
      <c r="K1256" s="455">
        <f t="shared" ca="1" si="103"/>
        <v>-286998.30110066762</v>
      </c>
      <c r="L1256" s="455">
        <f t="shared" ca="1" si="104"/>
        <v>-69166590.565260902</v>
      </c>
      <c r="M1256" s="471">
        <f t="shared" si="106"/>
        <v>0.05</v>
      </c>
      <c r="N1256" s="475">
        <f t="shared" si="107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5"/>
        <v>-69166590.565260902</v>
      </c>
      <c r="J1257" s="455">
        <f t="array" ref="J1257">IFERROR(INDEX('Retirement Calculator'!K:K,MATCH('Lorri 401b'!N1257,'Retirement Calculator'!A:A,0),0),0)</f>
        <v>0</v>
      </c>
      <c r="K1257" s="455">
        <f t="shared" ca="1" si="103"/>
        <v>-288194.12735525373</v>
      </c>
      <c r="L1257" s="455">
        <f t="shared" ca="1" si="104"/>
        <v>-69454784.69261615</v>
      </c>
      <c r="M1257" s="471">
        <f t="shared" si="106"/>
        <v>0.05</v>
      </c>
      <c r="N1257" s="475">
        <f t="shared" si="107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5"/>
        <v>-69454784.69261615</v>
      </c>
      <c r="J1258" s="455">
        <f t="array" ref="J1258">IFERROR(INDEX('Retirement Calculator'!K:K,MATCH('Lorri 401b'!N1258,'Retirement Calculator'!A:A,0),0),0)</f>
        <v>0</v>
      </c>
      <c r="K1258" s="455">
        <f t="shared" ca="1" si="103"/>
        <v>-289394.93621923396</v>
      </c>
      <c r="L1258" s="455">
        <f t="shared" ca="1" si="104"/>
        <v>-69744179.62883538</v>
      </c>
      <c r="M1258" s="471">
        <f t="shared" si="106"/>
        <v>0.05</v>
      </c>
      <c r="N1258" s="475">
        <f t="shared" si="107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5"/>
        <v>-69744179.62883538</v>
      </c>
      <c r="J1259" s="455">
        <f t="array" ref="J1259">IFERROR(INDEX('Retirement Calculator'!K:K,MATCH('Lorri 401b'!N1259,'Retirement Calculator'!A:A,0),0),0)</f>
        <v>0</v>
      </c>
      <c r="K1259" s="455">
        <f t="shared" ca="1" si="103"/>
        <v>-290600.74845348077</v>
      </c>
      <c r="L1259" s="455">
        <f t="shared" ca="1" si="104"/>
        <v>-70034780.377288863</v>
      </c>
      <c r="M1259" s="471">
        <f t="shared" si="106"/>
        <v>0.05</v>
      </c>
      <c r="N1259" s="475">
        <f t="shared" si="107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5"/>
        <v>-70034780.377288863</v>
      </c>
      <c r="J1260" s="455">
        <f t="array" ref="J1260">IFERROR(INDEX('Retirement Calculator'!K:K,MATCH('Lorri 401b'!N1260,'Retirement Calculator'!A:A,0),0),0)</f>
        <v>0</v>
      </c>
      <c r="K1260" s="455">
        <f t="shared" ca="1" si="103"/>
        <v>-291811.58490537026</v>
      </c>
      <c r="L1260" s="455">
        <f t="shared" ca="1" si="104"/>
        <v>-70326591.962194234</v>
      </c>
      <c r="M1260" s="471">
        <f t="shared" si="106"/>
        <v>0.05</v>
      </c>
      <c r="N1260" s="475">
        <f t="shared" si="107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5"/>
        <v>-70326591.962194234</v>
      </c>
      <c r="J1261" s="455">
        <f t="array" ref="J1261">IFERROR(INDEX('Retirement Calculator'!K:K,MATCH('Lorri 401b'!N1261,'Retirement Calculator'!A:A,0),0),0)</f>
        <v>0</v>
      </c>
      <c r="K1261" s="455">
        <f t="shared" ca="1" si="103"/>
        <v>-293027.46650914266</v>
      </c>
      <c r="L1261" s="455">
        <f t="shared" ca="1" si="104"/>
        <v>-70619619.428703383</v>
      </c>
      <c r="M1261" s="471">
        <f t="shared" si="106"/>
        <v>0.05</v>
      </c>
      <c r="N1261" s="475">
        <f t="shared" si="107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5"/>
        <v>-70619619.428703383</v>
      </c>
      <c r="J1262" s="455">
        <f t="array" ref="J1262">IFERROR(INDEX('Retirement Calculator'!K:K,MATCH('Lorri 401b'!N1262,'Retirement Calculator'!A:A,0),0),0)</f>
        <v>0</v>
      </c>
      <c r="K1262" s="455">
        <f t="shared" ca="1" si="103"/>
        <v>-294248.4142862641</v>
      </c>
      <c r="L1262" s="455">
        <f t="shared" ca="1" si="104"/>
        <v>-70913867.842989653</v>
      </c>
      <c r="M1262" s="471">
        <f t="shared" si="106"/>
        <v>0.05</v>
      </c>
      <c r="N1262" s="475">
        <f t="shared" si="107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5"/>
        <v>-70913867.842989653</v>
      </c>
      <c r="J1263" s="455">
        <f t="array" ref="J1263">IFERROR(INDEX('Retirement Calculator'!K:K,MATCH('Lorri 401b'!N1263,'Retirement Calculator'!A:A,0),0),0)</f>
        <v>0</v>
      </c>
      <c r="K1263" s="455">
        <f t="shared" ca="1" si="103"/>
        <v>-295474.4493457902</v>
      </c>
      <c r="L1263" s="455">
        <f t="shared" ca="1" si="104"/>
        <v>-71209342.292335451</v>
      </c>
      <c r="M1263" s="471">
        <f t="shared" si="106"/>
        <v>0.05</v>
      </c>
      <c r="N1263" s="475">
        <f t="shared" si="107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5"/>
        <v>-71209342.292335451</v>
      </c>
      <c r="J1264" s="455">
        <f t="array" ref="J1264">IFERROR(INDEX('Retirement Calculator'!K:K,MATCH('Lorri 401b'!N1264,'Retirement Calculator'!A:A,0),0),0)</f>
        <v>0</v>
      </c>
      <c r="K1264" s="455">
        <f t="shared" ca="1" si="103"/>
        <v>-296705.59288473101</v>
      </c>
      <c r="L1264" s="455">
        <f t="shared" ca="1" si="104"/>
        <v>-71506047.885220185</v>
      </c>
      <c r="M1264" s="471">
        <f t="shared" si="106"/>
        <v>0.05</v>
      </c>
      <c r="N1264" s="475">
        <f t="shared" si="107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5"/>
        <v>-71506047.885220185</v>
      </c>
      <c r="J1265" s="455">
        <f t="array" ref="J1265">IFERROR(INDEX('Retirement Calculator'!K:K,MATCH('Lorri 401b'!N1265,'Retirement Calculator'!A:A,0),0),0)</f>
        <v>0</v>
      </c>
      <c r="K1265" s="455">
        <f t="shared" ca="1" si="103"/>
        <v>-297941.86618841742</v>
      </c>
      <c r="L1265" s="455">
        <f t="shared" ca="1" si="104"/>
        <v>-71803989.751408607</v>
      </c>
      <c r="M1265" s="471">
        <f t="shared" si="106"/>
        <v>0.05</v>
      </c>
      <c r="N1265" s="475">
        <f t="shared" si="107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5"/>
        <v>-71803989.751408607</v>
      </c>
      <c r="J1266" s="455">
        <f t="array" ref="J1266">IFERROR(INDEX('Retirement Calculator'!K:K,MATCH('Lorri 401b'!N1266,'Retirement Calculator'!A:A,0),0),0)</f>
        <v>0</v>
      </c>
      <c r="K1266" s="455">
        <f t="shared" ca="1" si="103"/>
        <v>-299183.29063086922</v>
      </c>
      <c r="L1266" s="455">
        <f t="shared" ca="1" si="104"/>
        <v>-72103173.042039469</v>
      </c>
      <c r="M1266" s="471">
        <f t="shared" si="106"/>
        <v>0.05</v>
      </c>
      <c r="N1266" s="475">
        <f t="shared" si="107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5"/>
        <v>-72103173.042039469</v>
      </c>
      <c r="J1267" s="455">
        <f t="array" ref="J1267">IFERROR(INDEX('Retirement Calculator'!K:K,MATCH('Lorri 401b'!N1267,'Retirement Calculator'!A:A,0),0),0)</f>
        <v>0</v>
      </c>
      <c r="K1267" s="455">
        <f t="shared" ca="1" si="103"/>
        <v>-300429.88767516444</v>
      </c>
      <c r="L1267" s="455">
        <f t="shared" ca="1" si="104"/>
        <v>-72403602.929714635</v>
      </c>
      <c r="M1267" s="471">
        <f t="shared" si="106"/>
        <v>0.05</v>
      </c>
      <c r="N1267" s="475">
        <f t="shared" si="107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5"/>
        <v>-72403602.929714635</v>
      </c>
      <c r="J1268" s="455">
        <f t="array" ref="J1268">IFERROR(INDEX('Retirement Calculator'!K:K,MATCH('Lorri 401b'!N1268,'Retirement Calculator'!A:A,0),0),0)</f>
        <v>0</v>
      </c>
      <c r="K1268" s="455">
        <f t="shared" ca="1" si="103"/>
        <v>-301681.67887381098</v>
      </c>
      <c r="L1268" s="455">
        <f t="shared" ca="1" si="104"/>
        <v>-72705284.608588442</v>
      </c>
      <c r="M1268" s="471">
        <f t="shared" si="106"/>
        <v>0.05</v>
      </c>
      <c r="N1268" s="475">
        <f t="shared" si="107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5"/>
        <v>-72705284.608588442</v>
      </c>
      <c r="J1269" s="455">
        <f t="array" ref="J1269">IFERROR(INDEX('Retirement Calculator'!K:K,MATCH('Lorri 401b'!N1269,'Retirement Calculator'!A:A,0),0),0)</f>
        <v>0</v>
      </c>
      <c r="K1269" s="455">
        <f t="shared" ca="1" si="103"/>
        <v>-302938.68586911849</v>
      </c>
      <c r="L1269" s="455">
        <f t="shared" ca="1" si="104"/>
        <v>-73008223.294457555</v>
      </c>
      <c r="M1269" s="471">
        <f t="shared" si="106"/>
        <v>0.05</v>
      </c>
      <c r="N1269" s="475">
        <f t="shared" si="107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5"/>
        <v>-73008223.294457555</v>
      </c>
      <c r="J1270" s="455">
        <f t="array" ref="J1270">IFERROR(INDEX('Retirement Calculator'!K:K,MATCH('Lorri 401b'!N1270,'Retirement Calculator'!A:A,0),0),0)</f>
        <v>0</v>
      </c>
      <c r="K1270" s="455">
        <f t="shared" ca="1" si="103"/>
        <v>-304200.93039357313</v>
      </c>
      <c r="L1270" s="455">
        <f t="shared" ca="1" si="104"/>
        <v>-73312424.224851131</v>
      </c>
      <c r="M1270" s="471">
        <f t="shared" si="106"/>
        <v>0.05</v>
      </c>
      <c r="N1270" s="475">
        <f t="shared" si="107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5"/>
        <v>-73312424.224851131</v>
      </c>
      <c r="J1271" s="455">
        <f t="array" ref="J1271">IFERROR(INDEX('Retirement Calculator'!K:K,MATCH('Lorri 401b'!N1271,'Retirement Calculator'!A:A,0),0),0)</f>
        <v>0</v>
      </c>
      <c r="K1271" s="455">
        <f t="shared" ca="1" si="103"/>
        <v>-305468.43427021307</v>
      </c>
      <c r="L1271" s="455">
        <f t="shared" ca="1" si="104"/>
        <v>-73617892.659121349</v>
      </c>
      <c r="M1271" s="471">
        <f t="shared" si="106"/>
        <v>0.05</v>
      </c>
      <c r="N1271" s="475">
        <f t="shared" si="107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5"/>
        <v>-73617892.659121349</v>
      </c>
      <c r="J1272" s="455">
        <f t="array" ref="J1272">IFERROR(INDEX('Retirement Calculator'!K:K,MATCH('Lorri 401b'!N1272,'Retirement Calculator'!A:A,0),0),0)</f>
        <v>0</v>
      </c>
      <c r="K1272" s="455">
        <f t="shared" ca="1" si="103"/>
        <v>-306741.21941300563</v>
      </c>
      <c r="L1272" s="455">
        <f t="shared" ca="1" si="104"/>
        <v>-73924633.878534362</v>
      </c>
      <c r="M1272" s="471">
        <f t="shared" si="106"/>
        <v>0.05</v>
      </c>
      <c r="N1272" s="475">
        <f t="shared" si="107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5"/>
        <v>-73924633.878534362</v>
      </c>
      <c r="J1273" s="455">
        <f t="array" ref="J1273">IFERROR(INDEX('Retirement Calculator'!K:K,MATCH('Lorri 401b'!N1273,'Retirement Calculator'!A:A,0),0),0)</f>
        <v>0</v>
      </c>
      <c r="K1273" s="455">
        <f t="shared" ca="1" si="103"/>
        <v>-308019.30782722653</v>
      </c>
      <c r="L1273" s="455">
        <f t="shared" ca="1" si="104"/>
        <v>-74232653.186361581</v>
      </c>
      <c r="M1273" s="471">
        <f t="shared" si="106"/>
        <v>0.05</v>
      </c>
      <c r="N1273" s="475">
        <f t="shared" si="107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5"/>
        <v>-74232653.186361581</v>
      </c>
      <c r="J1274" s="455">
        <f t="array" ref="J1274">IFERROR(INDEX('Retirement Calculator'!K:K,MATCH('Lorri 401b'!N1274,'Retirement Calculator'!A:A,0),0),0)</f>
        <v>0</v>
      </c>
      <c r="K1274" s="455">
        <f t="shared" ca="1" si="103"/>
        <v>-309302.72160983994</v>
      </c>
      <c r="L1274" s="455">
        <f t="shared" ca="1" si="104"/>
        <v>-74541955.907971427</v>
      </c>
      <c r="M1274" s="471">
        <f t="shared" si="106"/>
        <v>0.05</v>
      </c>
      <c r="N1274" s="475">
        <f t="shared" si="107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5"/>
        <v>-74541955.907971427</v>
      </c>
      <c r="J1275" s="455">
        <f t="array" ref="J1275">IFERROR(INDEX('Retirement Calculator'!K:K,MATCH('Lorri 401b'!N1275,'Retirement Calculator'!A:A,0),0),0)</f>
        <v>0</v>
      </c>
      <c r="K1275" s="455">
        <f t="shared" ca="1" si="103"/>
        <v>-310591.48294988094</v>
      </c>
      <c r="L1275" s="455">
        <f t="shared" ca="1" si="104"/>
        <v>-74852547.39092131</v>
      </c>
      <c r="M1275" s="471">
        <f t="shared" si="106"/>
        <v>0.05</v>
      </c>
      <c r="N1275" s="475">
        <f t="shared" si="107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5"/>
        <v>-74852547.39092131</v>
      </c>
      <c r="J1276" s="455">
        <f t="array" ref="J1276">IFERROR(INDEX('Retirement Calculator'!K:K,MATCH('Lorri 401b'!N1276,'Retirement Calculator'!A:A,0),0),0)</f>
        <v>0</v>
      </c>
      <c r="K1276" s="455">
        <f t="shared" ca="1" si="103"/>
        <v>-311885.61412883876</v>
      </c>
      <c r="L1276" s="455">
        <f t="shared" ca="1" si="104"/>
        <v>-75164433.005050153</v>
      </c>
      <c r="M1276" s="471">
        <f t="shared" si="106"/>
        <v>0.05</v>
      </c>
      <c r="N1276" s="475">
        <f t="shared" si="107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5"/>
        <v>-75164433.005050153</v>
      </c>
      <c r="J1277" s="455">
        <f t="array" ref="J1277">IFERROR(INDEX('Retirement Calculator'!K:K,MATCH('Lorri 401b'!N1277,'Retirement Calculator'!A:A,0),0),0)</f>
        <v>0</v>
      </c>
      <c r="K1277" s="455">
        <f t="shared" ca="1" si="103"/>
        <v>-313185.13752104231</v>
      </c>
      <c r="L1277" s="455">
        <f t="shared" ca="1" si="104"/>
        <v>-75477618.142571196</v>
      </c>
      <c r="M1277" s="471">
        <f t="shared" si="106"/>
        <v>0.05</v>
      </c>
      <c r="N1277" s="475">
        <f t="shared" si="107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5"/>
        <v>-75477618.142571196</v>
      </c>
      <c r="J1278" s="455">
        <f t="array" ref="J1278">IFERROR(INDEX('Retirement Calculator'!K:K,MATCH('Lorri 401b'!N1278,'Retirement Calculator'!A:A,0),0),0)</f>
        <v>0</v>
      </c>
      <c r="K1278" s="455">
        <f t="shared" ca="1" si="103"/>
        <v>-314490.07559404662</v>
      </c>
      <c r="L1278" s="455">
        <f t="shared" ca="1" si="104"/>
        <v>-75792108.218165249</v>
      </c>
      <c r="M1278" s="471">
        <f t="shared" si="106"/>
        <v>0.05</v>
      </c>
      <c r="N1278" s="475">
        <f t="shared" si="107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5"/>
        <v>-75792108.218165249</v>
      </c>
      <c r="J1279" s="455">
        <f t="array" ref="J1279">IFERROR(INDEX('Retirement Calculator'!K:K,MATCH('Lorri 401b'!N1279,'Retirement Calculator'!A:A,0),0),0)</f>
        <v>0</v>
      </c>
      <c r="K1279" s="455">
        <f t="shared" ca="1" si="103"/>
        <v>-315800.45090902189</v>
      </c>
      <c r="L1279" s="455">
        <f t="shared" ca="1" si="104"/>
        <v>-76107908.669074267</v>
      </c>
      <c r="M1279" s="471">
        <f t="shared" si="106"/>
        <v>0.05</v>
      </c>
      <c r="N1279" s="475">
        <f t="shared" si="107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5"/>
        <v>-76107908.669074267</v>
      </c>
      <c r="J1280" s="455">
        <f t="array" ref="J1280">IFERROR(INDEX('Retirement Calculator'!K:K,MATCH('Lorri 401b'!N1280,'Retirement Calculator'!A:A,0),0),0)</f>
        <v>0</v>
      </c>
      <c r="K1280" s="455">
        <f t="shared" ca="1" si="103"/>
        <v>-317116.2861211428</v>
      </c>
      <c r="L1280" s="455">
        <f t="shared" ca="1" si="104"/>
        <v>-76425024.955195412</v>
      </c>
      <c r="M1280" s="471">
        <f t="shared" si="106"/>
        <v>0.05</v>
      </c>
      <c r="N1280" s="475">
        <f t="shared" si="107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5"/>
        <v>-76425024.955195412</v>
      </c>
      <c r="J1281" s="455">
        <f t="array" ref="J1281">IFERROR(INDEX('Retirement Calculator'!K:K,MATCH('Lorri 401b'!N1281,'Retirement Calculator'!A:A,0),0),0)</f>
        <v>0</v>
      </c>
      <c r="K1281" s="455">
        <f t="shared" ca="1" si="103"/>
        <v>-318437.60397998086</v>
      </c>
      <c r="L1281" s="455">
        <f t="shared" ca="1" si="104"/>
        <v>-76743462.559175387</v>
      </c>
      <c r="M1281" s="471">
        <f t="shared" si="106"/>
        <v>0.05</v>
      </c>
      <c r="N1281" s="475">
        <f t="shared" si="107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5"/>
        <v>-76743462.559175387</v>
      </c>
      <c r="J1282" s="455">
        <f t="array" ref="J1282">IFERROR(INDEX('Retirement Calculator'!K:K,MATCH('Lorri 401b'!N1282,'Retirement Calculator'!A:A,0),0),0)</f>
        <v>0</v>
      </c>
      <c r="K1282" s="455">
        <f t="shared" ca="1" si="103"/>
        <v>-319764.42732989741</v>
      </c>
      <c r="L1282" s="455">
        <f t="shared" ca="1" si="104"/>
        <v>-77063226.986505285</v>
      </c>
      <c r="M1282" s="471">
        <f t="shared" si="106"/>
        <v>0.05</v>
      </c>
      <c r="N1282" s="475">
        <f t="shared" si="107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5"/>
        <v>-77063226.986505285</v>
      </c>
      <c r="J1283" s="455">
        <f t="array" ref="J1283">IFERROR(INDEX('Retirement Calculator'!K:K,MATCH('Lorri 401b'!N1283,'Retirement Calculator'!A:A,0),0),0)</f>
        <v>0</v>
      </c>
      <c r="K1283" s="455">
        <f t="shared" ref="K1283:K1537" ca="1" si="108">IPMT(M1283/12,1,12,-I1283+J1283,,0)</f>
        <v>-321096.77911043866</v>
      </c>
      <c r="L1283" s="455">
        <f t="shared" ref="L1283:L1537" ca="1" si="109">I1283-J1283+K1283</f>
        <v>-77384323.765615717</v>
      </c>
      <c r="M1283" s="471">
        <f t="shared" si="106"/>
        <v>0.05</v>
      </c>
      <c r="N1283" s="475">
        <f t="shared" si="107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10">L1283</f>
        <v>-77384323.765615717</v>
      </c>
      <c r="J1284" s="455">
        <f t="array" ref="J1284">IFERROR(INDEX('Retirement Calculator'!K:K,MATCH('Lorri 401b'!N1284,'Retirement Calculator'!A:A,0),0),0)</f>
        <v>0</v>
      </c>
      <c r="K1284" s="455">
        <f t="shared" ca="1" si="108"/>
        <v>-322434.68235673214</v>
      </c>
      <c r="L1284" s="455">
        <f t="shared" ca="1" si="109"/>
        <v>-77706758.447972447</v>
      </c>
      <c r="M1284" s="471">
        <f t="shared" ref="M1284:M1538" si="111">M1283</f>
        <v>0.05</v>
      </c>
      <c r="N1284" s="475">
        <f t="shared" ref="N1284:N1538" si="112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10"/>
        <v>-77706758.447972447</v>
      </c>
      <c r="J1285" s="455">
        <f t="array" ref="J1285">IFERROR(INDEX('Retirement Calculator'!K:K,MATCH('Lorri 401b'!N1285,'Retirement Calculator'!A:A,0),0),0)</f>
        <v>0</v>
      </c>
      <c r="K1285" s="455">
        <f t="shared" ca="1" si="108"/>
        <v>-323778.1601998852</v>
      </c>
      <c r="L1285" s="455">
        <f t="shared" ca="1" si="109"/>
        <v>-78030536.608172327</v>
      </c>
      <c r="M1285" s="471">
        <f t="shared" si="111"/>
        <v>0.05</v>
      </c>
      <c r="N1285" s="475">
        <f t="shared" si="112"/>
        <v>90156</v>
      </c>
    </row>
    <row r="1286" spans="7:14" ht="11.25" customHeight="1" x14ac:dyDescent="0.3">
      <c r="G1286" s="470"/>
      <c r="H1286" s="470">
        <v>1279</v>
      </c>
      <c r="I1286" s="455">
        <f t="shared" ca="1" si="110"/>
        <v>-78030536.608172327</v>
      </c>
      <c r="J1286" s="455">
        <f t="array" ref="J1286">IFERROR(INDEX('Retirement Calculator'!K:K,MATCH('Lorri 401b'!N1286,'Retirement Calculator'!A:A,0),0),0)</f>
        <v>0</v>
      </c>
      <c r="K1286" s="455">
        <f t="shared" ca="1" si="108"/>
        <v>-325127.2358673847</v>
      </c>
      <c r="L1286" s="455">
        <f t="shared" ca="1" si="109"/>
        <v>-78355663.844039708</v>
      </c>
      <c r="M1286" s="471">
        <f t="shared" si="111"/>
        <v>0.05</v>
      </c>
      <c r="N1286" s="475">
        <f t="shared" si="112"/>
        <v>90186</v>
      </c>
    </row>
    <row r="1287" spans="7:14" ht="11.25" customHeight="1" x14ac:dyDescent="0.3">
      <c r="G1287" s="470"/>
      <c r="H1287" s="470">
        <v>1280</v>
      </c>
      <c r="I1287" s="455">
        <f t="shared" ca="1" si="110"/>
        <v>-78355663.844039708</v>
      </c>
      <c r="J1287" s="455">
        <f t="array" ref="J1287">IFERROR(INDEX('Retirement Calculator'!K:K,MATCH('Lorri 401b'!N1287,'Retirement Calculator'!A:A,0),0),0)</f>
        <v>0</v>
      </c>
      <c r="K1287" s="455">
        <f t="shared" ca="1" si="108"/>
        <v>-326481.93268349877</v>
      </c>
      <c r="L1287" s="455">
        <f t="shared" ca="1" si="109"/>
        <v>-78682145.776723206</v>
      </c>
      <c r="M1287" s="471">
        <f t="shared" si="111"/>
        <v>0.05</v>
      </c>
      <c r="N1287" s="475">
        <f t="shared" si="112"/>
        <v>90217</v>
      </c>
    </row>
    <row r="1288" spans="7:14" ht="11.25" customHeight="1" x14ac:dyDescent="0.3">
      <c r="G1288" s="470"/>
      <c r="H1288" s="470">
        <v>1281</v>
      </c>
      <c r="I1288" s="455">
        <f t="shared" ca="1" si="110"/>
        <v>-78682145.776723206</v>
      </c>
      <c r="J1288" s="455">
        <f t="array" ref="J1288">IFERROR(INDEX('Retirement Calculator'!K:K,MATCH('Lorri 401b'!N1288,'Retirement Calculator'!A:A,0),0),0)</f>
        <v>0</v>
      </c>
      <c r="K1288" s="455">
        <f t="shared" ca="1" si="108"/>
        <v>-327842.27406968002</v>
      </c>
      <c r="L1288" s="455">
        <f t="shared" ca="1" si="109"/>
        <v>-79009988.050792888</v>
      </c>
      <c r="M1288" s="471">
        <f t="shared" si="111"/>
        <v>0.05</v>
      </c>
      <c r="N1288" s="475">
        <f t="shared" si="112"/>
        <v>90248</v>
      </c>
    </row>
    <row r="1289" spans="7:14" ht="11.25" customHeight="1" x14ac:dyDescent="0.3">
      <c r="G1289" s="470"/>
      <c r="H1289" s="470">
        <v>1282</v>
      </c>
      <c r="I1289" s="455">
        <f t="shared" ca="1" si="110"/>
        <v>-79009988.050792888</v>
      </c>
      <c r="J1289" s="455">
        <f t="array" ref="J1289">IFERROR(INDEX('Retirement Calculator'!K:K,MATCH('Lorri 401b'!N1289,'Retirement Calculator'!A:A,0),0),0)</f>
        <v>0</v>
      </c>
      <c r="K1289" s="455">
        <f t="shared" ca="1" si="108"/>
        <v>-329208.28354497039</v>
      </c>
      <c r="L1289" s="455">
        <f t="shared" ca="1" si="109"/>
        <v>-79339196.33433786</v>
      </c>
      <c r="M1289" s="471">
        <f t="shared" si="111"/>
        <v>0.05</v>
      </c>
      <c r="N1289" s="475">
        <f t="shared" si="112"/>
        <v>90276</v>
      </c>
    </row>
    <row r="1290" spans="7:14" ht="11.25" customHeight="1" x14ac:dyDescent="0.3">
      <c r="G1290" s="470"/>
      <c r="H1290" s="470">
        <v>1283</v>
      </c>
      <c r="I1290" s="455">
        <f t="shared" ca="1" si="110"/>
        <v>-79339196.33433786</v>
      </c>
      <c r="J1290" s="455">
        <f t="array" ref="J1290">IFERROR(INDEX('Retirement Calculator'!K:K,MATCH('Lorri 401b'!N1290,'Retirement Calculator'!A:A,0),0),0)</f>
        <v>0</v>
      </c>
      <c r="K1290" s="455">
        <f t="shared" ca="1" si="108"/>
        <v>-330579.98472640774</v>
      </c>
      <c r="L1290" s="455">
        <f t="shared" ca="1" si="109"/>
        <v>-79669776.319064274</v>
      </c>
      <c r="M1290" s="471">
        <f t="shared" si="111"/>
        <v>0.05</v>
      </c>
      <c r="N1290" s="475">
        <f t="shared" si="112"/>
        <v>90307</v>
      </c>
    </row>
    <row r="1291" spans="7:14" ht="11.25" customHeight="1" x14ac:dyDescent="0.3">
      <c r="G1291" s="470"/>
      <c r="H1291" s="470">
        <v>1284</v>
      </c>
      <c r="I1291" s="455">
        <f t="shared" ca="1" si="110"/>
        <v>-79669776.319064274</v>
      </c>
      <c r="J1291" s="455">
        <f t="array" ref="J1291">IFERROR(INDEX('Retirement Calculator'!K:K,MATCH('Lorri 401b'!N1291,'Retirement Calculator'!A:A,0),0),0)</f>
        <v>0</v>
      </c>
      <c r="K1291" s="455">
        <f t="shared" ca="1" si="108"/>
        <v>-331957.40132943448</v>
      </c>
      <c r="L1291" s="455">
        <f t="shared" ca="1" si="109"/>
        <v>-80001733.720393702</v>
      </c>
      <c r="M1291" s="471">
        <f t="shared" si="111"/>
        <v>0.05</v>
      </c>
      <c r="N1291" s="475">
        <f t="shared" si="112"/>
        <v>90337</v>
      </c>
    </row>
    <row r="1292" spans="7:14" ht="11.25" customHeight="1" x14ac:dyDescent="0.3">
      <c r="G1292" s="470"/>
      <c r="H1292" s="470">
        <v>1285</v>
      </c>
      <c r="I1292" s="455">
        <f t="shared" ca="1" si="110"/>
        <v>-80001733.720393702</v>
      </c>
      <c r="J1292" s="455">
        <f t="array" ref="J1292">IFERROR(INDEX('Retirement Calculator'!K:K,MATCH('Lorri 401b'!N1292,'Retirement Calculator'!A:A,0),0),0)</f>
        <v>0</v>
      </c>
      <c r="K1292" s="455">
        <f t="shared" ca="1" si="108"/>
        <v>-333340.55716830707</v>
      </c>
      <c r="L1292" s="455">
        <f t="shared" ca="1" si="109"/>
        <v>-80335074.277562007</v>
      </c>
      <c r="M1292" s="471">
        <f t="shared" si="111"/>
        <v>0.05</v>
      </c>
      <c r="N1292" s="475">
        <f t="shared" si="112"/>
        <v>90368</v>
      </c>
    </row>
    <row r="1293" spans="7:14" ht="11.25" customHeight="1" x14ac:dyDescent="0.3">
      <c r="G1293" s="470"/>
      <c r="H1293" s="470">
        <v>1286</v>
      </c>
      <c r="I1293" s="455">
        <f t="shared" ca="1" si="110"/>
        <v>-80335074.277562007</v>
      </c>
      <c r="J1293" s="455">
        <f t="array" ref="J1293">IFERROR(INDEX('Retirement Calculator'!K:K,MATCH('Lorri 401b'!N1293,'Retirement Calculator'!A:A,0),0),0)</f>
        <v>0</v>
      </c>
      <c r="K1293" s="455">
        <f t="shared" ca="1" si="108"/>
        <v>-334729.47615650838</v>
      </c>
      <c r="L1293" s="455">
        <f t="shared" ca="1" si="109"/>
        <v>-80669803.75371851</v>
      </c>
      <c r="M1293" s="471">
        <f t="shared" si="111"/>
        <v>0.05</v>
      </c>
      <c r="N1293" s="475">
        <f t="shared" si="112"/>
        <v>90398</v>
      </c>
    </row>
    <row r="1294" spans="7:14" ht="11.25" customHeight="1" x14ac:dyDescent="0.3">
      <c r="G1294" s="470"/>
      <c r="H1294" s="470">
        <v>1287</v>
      </c>
      <c r="I1294" s="455">
        <f t="shared" ca="1" si="110"/>
        <v>-80669803.75371851</v>
      </c>
      <c r="J1294" s="455">
        <f t="array" ref="J1294">IFERROR(INDEX('Retirement Calculator'!K:K,MATCH('Lorri 401b'!N1294,'Retirement Calculator'!A:A,0),0),0)</f>
        <v>0</v>
      </c>
      <c r="K1294" s="455">
        <f t="shared" ca="1" si="108"/>
        <v>-336124.18230716046</v>
      </c>
      <c r="L1294" s="455">
        <f t="shared" ca="1" si="109"/>
        <v>-81005927.936025664</v>
      </c>
      <c r="M1294" s="471">
        <f t="shared" si="111"/>
        <v>0.05</v>
      </c>
      <c r="N1294" s="475">
        <f t="shared" si="112"/>
        <v>90429</v>
      </c>
    </row>
    <row r="1295" spans="7:14" ht="11.25" customHeight="1" x14ac:dyDescent="0.3">
      <c r="G1295" s="470"/>
      <c r="H1295" s="470">
        <v>1288</v>
      </c>
      <c r="I1295" s="455">
        <f t="shared" ca="1" si="110"/>
        <v>-81005927.936025664</v>
      </c>
      <c r="J1295" s="455">
        <f t="array" ref="J1295">IFERROR(INDEX('Retirement Calculator'!K:K,MATCH('Lorri 401b'!N1295,'Retirement Calculator'!A:A,0),0),0)</f>
        <v>0</v>
      </c>
      <c r="K1295" s="455">
        <f t="shared" ca="1" si="108"/>
        <v>-337524.69973344024</v>
      </c>
      <c r="L1295" s="455">
        <f t="shared" ca="1" si="109"/>
        <v>-81343452.6357591</v>
      </c>
      <c r="M1295" s="471">
        <f t="shared" si="111"/>
        <v>0.05</v>
      </c>
      <c r="N1295" s="475">
        <f t="shared" si="112"/>
        <v>90460</v>
      </c>
    </row>
    <row r="1296" spans="7:14" ht="11.25" customHeight="1" x14ac:dyDescent="0.3">
      <c r="G1296" s="470"/>
      <c r="H1296" s="470">
        <v>1289</v>
      </c>
      <c r="I1296" s="455">
        <f t="shared" ca="1" si="110"/>
        <v>-81343452.6357591</v>
      </c>
      <c r="J1296" s="455">
        <f t="array" ref="J1296">IFERROR(INDEX('Retirement Calculator'!K:K,MATCH('Lorri 401b'!N1296,'Retirement Calculator'!A:A,0),0),0)</f>
        <v>0</v>
      </c>
      <c r="K1296" s="455">
        <f t="shared" ca="1" si="108"/>
        <v>-338931.05264899624</v>
      </c>
      <c r="L1296" s="455">
        <f t="shared" ca="1" si="109"/>
        <v>-81682383.688408092</v>
      </c>
      <c r="M1296" s="471">
        <f t="shared" si="111"/>
        <v>0.05</v>
      </c>
      <c r="N1296" s="475">
        <f t="shared" si="112"/>
        <v>90490</v>
      </c>
    </row>
    <row r="1297" spans="7:14" ht="11.25" customHeight="1" x14ac:dyDescent="0.3">
      <c r="G1297" s="470"/>
      <c r="H1297" s="470">
        <v>1290</v>
      </c>
      <c r="I1297" s="455">
        <f t="shared" ca="1" si="110"/>
        <v>-81682383.688408092</v>
      </c>
      <c r="J1297" s="455">
        <f t="array" ref="J1297">IFERROR(INDEX('Retirement Calculator'!K:K,MATCH('Lorri 401b'!N1297,'Retirement Calculator'!A:A,0),0),0)</f>
        <v>0</v>
      </c>
      <c r="K1297" s="455">
        <f t="shared" ca="1" si="108"/>
        <v>-340343.26536836702</v>
      </c>
      <c r="L1297" s="455">
        <f t="shared" ca="1" si="109"/>
        <v>-82022726.953776464</v>
      </c>
      <c r="M1297" s="471">
        <f t="shared" si="111"/>
        <v>0.05</v>
      </c>
      <c r="N1297" s="475">
        <f t="shared" si="112"/>
        <v>90521</v>
      </c>
    </row>
    <row r="1298" spans="7:14" ht="11.25" customHeight="1" x14ac:dyDescent="0.3">
      <c r="G1298" s="470"/>
      <c r="H1298" s="470">
        <v>1291</v>
      </c>
      <c r="I1298" s="455">
        <f t="shared" ca="1" si="110"/>
        <v>-82022726.953776464</v>
      </c>
      <c r="J1298" s="455">
        <f t="array" ref="J1298">IFERROR(INDEX('Retirement Calculator'!K:K,MATCH('Lorri 401b'!N1298,'Retirement Calculator'!A:A,0),0),0)</f>
        <v>0</v>
      </c>
      <c r="K1298" s="455">
        <f t="shared" ca="1" si="108"/>
        <v>-341761.36230740196</v>
      </c>
      <c r="L1298" s="455">
        <f t="shared" ca="1" si="109"/>
        <v>-82364488.316083863</v>
      </c>
      <c r="M1298" s="471">
        <f t="shared" si="111"/>
        <v>0.05</v>
      </c>
      <c r="N1298" s="475">
        <f t="shared" si="112"/>
        <v>90551</v>
      </c>
    </row>
    <row r="1299" spans="7:14" ht="11.25" customHeight="1" x14ac:dyDescent="0.3">
      <c r="G1299" s="470"/>
      <c r="H1299" s="470">
        <v>1292</v>
      </c>
      <c r="I1299" s="455">
        <f t="shared" ca="1" si="110"/>
        <v>-82364488.316083863</v>
      </c>
      <c r="J1299" s="455">
        <f t="array" ref="J1299">IFERROR(INDEX('Retirement Calculator'!K:K,MATCH('Lorri 401b'!N1299,'Retirement Calculator'!A:A,0),0),0)</f>
        <v>0</v>
      </c>
      <c r="K1299" s="455">
        <f t="shared" ca="1" si="108"/>
        <v>-343185.36798368278</v>
      </c>
      <c r="L1299" s="455">
        <f t="shared" ca="1" si="109"/>
        <v>-82707673.684067547</v>
      </c>
      <c r="M1299" s="471">
        <f t="shared" si="111"/>
        <v>0.05</v>
      </c>
      <c r="N1299" s="475">
        <f t="shared" si="112"/>
        <v>90582</v>
      </c>
    </row>
    <row r="1300" spans="7:14" ht="11.25" customHeight="1" x14ac:dyDescent="0.3">
      <c r="G1300" s="470"/>
      <c r="H1300" s="470">
        <v>1293</v>
      </c>
      <c r="I1300" s="455">
        <f t="shared" ca="1" si="110"/>
        <v>-82707673.684067547</v>
      </c>
      <c r="J1300" s="455">
        <f t="array" ref="J1300">IFERROR(INDEX('Retirement Calculator'!K:K,MATCH('Lorri 401b'!N1300,'Retirement Calculator'!A:A,0),0),0)</f>
        <v>0</v>
      </c>
      <c r="K1300" s="455">
        <f t="shared" ca="1" si="108"/>
        <v>-344615.30701694812</v>
      </c>
      <c r="L1300" s="455">
        <f t="shared" ca="1" si="109"/>
        <v>-83052288.991084501</v>
      </c>
      <c r="M1300" s="471">
        <f t="shared" si="111"/>
        <v>0.05</v>
      </c>
      <c r="N1300" s="475">
        <f t="shared" si="112"/>
        <v>90613</v>
      </c>
    </row>
    <row r="1301" spans="7:14" ht="11.25" customHeight="1" x14ac:dyDescent="0.3">
      <c r="G1301" s="470"/>
      <c r="H1301" s="470">
        <v>1294</v>
      </c>
      <c r="I1301" s="455">
        <f t="shared" ca="1" si="110"/>
        <v>-83052288.991084501</v>
      </c>
      <c r="J1301" s="455">
        <f t="array" ref="J1301">IFERROR(INDEX('Retirement Calculator'!K:K,MATCH('Lorri 401b'!N1301,'Retirement Calculator'!A:A,0),0),0)</f>
        <v>0</v>
      </c>
      <c r="K1301" s="455">
        <f t="shared" ca="1" si="108"/>
        <v>-346051.20412951877</v>
      </c>
      <c r="L1301" s="455">
        <f t="shared" ca="1" si="109"/>
        <v>-83398340.195214018</v>
      </c>
      <c r="M1301" s="471">
        <f t="shared" si="111"/>
        <v>0.05</v>
      </c>
      <c r="N1301" s="475">
        <f t="shared" si="112"/>
        <v>90642</v>
      </c>
    </row>
    <row r="1302" spans="7:14" ht="11.25" customHeight="1" x14ac:dyDescent="0.3">
      <c r="G1302" s="470"/>
      <c r="H1302" s="470">
        <v>1295</v>
      </c>
      <c r="I1302" s="455">
        <f t="shared" ca="1" si="110"/>
        <v>-83398340.195214018</v>
      </c>
      <c r="J1302" s="455">
        <f t="array" ref="J1302">IFERROR(INDEX('Retirement Calculator'!K:K,MATCH('Lorri 401b'!N1302,'Retirement Calculator'!A:A,0),0),0)</f>
        <v>0</v>
      </c>
      <c r="K1302" s="455">
        <f t="shared" ca="1" si="108"/>
        <v>-347493.08414672507</v>
      </c>
      <c r="L1302" s="455">
        <f t="shared" ca="1" si="109"/>
        <v>-83745833.279360741</v>
      </c>
      <c r="M1302" s="471">
        <f t="shared" si="111"/>
        <v>0.05</v>
      </c>
      <c r="N1302" s="475">
        <f t="shared" si="112"/>
        <v>90673</v>
      </c>
    </row>
    <row r="1303" spans="7:14" ht="11.25" customHeight="1" x14ac:dyDescent="0.3">
      <c r="G1303" s="470"/>
      <c r="H1303" s="470">
        <v>1296</v>
      </c>
      <c r="I1303" s="455">
        <f t="shared" ca="1" si="110"/>
        <v>-83745833.279360741</v>
      </c>
      <c r="J1303" s="455">
        <f t="array" ref="J1303">IFERROR(INDEX('Retirement Calculator'!K:K,MATCH('Lorri 401b'!N1303,'Retirement Calculator'!A:A,0),0),0)</f>
        <v>0</v>
      </c>
      <c r="K1303" s="455">
        <f t="shared" ca="1" si="108"/>
        <v>-348940.97199733643</v>
      </c>
      <c r="L1303" s="455">
        <f t="shared" ca="1" si="109"/>
        <v>-84094774.251358077</v>
      </c>
      <c r="M1303" s="471">
        <f t="shared" si="111"/>
        <v>0.05</v>
      </c>
      <c r="N1303" s="475">
        <f t="shared" si="112"/>
        <v>90703</v>
      </c>
    </row>
    <row r="1304" spans="7:14" ht="11.25" customHeight="1" x14ac:dyDescent="0.3">
      <c r="G1304" s="470"/>
      <c r="H1304" s="470">
        <v>1297</v>
      </c>
      <c r="I1304" s="455">
        <f t="shared" ca="1" si="110"/>
        <v>-84094774.251358077</v>
      </c>
      <c r="J1304" s="455">
        <f t="array" ref="J1304">IFERROR(INDEX('Retirement Calculator'!K:K,MATCH('Lorri 401b'!N1304,'Retirement Calculator'!A:A,0),0),0)</f>
        <v>0</v>
      </c>
      <c r="K1304" s="455">
        <f t="shared" ca="1" si="108"/>
        <v>-350394.89271399198</v>
      </c>
      <c r="L1304" s="455">
        <f t="shared" ca="1" si="109"/>
        <v>-84445169.144072071</v>
      </c>
      <c r="M1304" s="471">
        <f t="shared" si="111"/>
        <v>0.05</v>
      </c>
      <c r="N1304" s="475">
        <f t="shared" si="112"/>
        <v>90734</v>
      </c>
    </row>
    <row r="1305" spans="7:14" ht="11.25" customHeight="1" x14ac:dyDescent="0.3">
      <c r="G1305" s="470"/>
      <c r="H1305" s="470">
        <v>1298</v>
      </c>
      <c r="I1305" s="455">
        <f t="shared" ca="1" si="110"/>
        <v>-84445169.144072071</v>
      </c>
      <c r="J1305" s="455">
        <f t="array" ref="J1305">IFERROR(INDEX('Retirement Calculator'!K:K,MATCH('Lorri 401b'!N1305,'Retirement Calculator'!A:A,0),0),0)</f>
        <v>0</v>
      </c>
      <c r="K1305" s="455">
        <f t="shared" ca="1" si="108"/>
        <v>-351854.87143363361</v>
      </c>
      <c r="L1305" s="455">
        <f t="shared" ca="1" si="109"/>
        <v>-84797024.015505701</v>
      </c>
      <c r="M1305" s="471">
        <f t="shared" si="111"/>
        <v>0.05</v>
      </c>
      <c r="N1305" s="475">
        <f t="shared" si="112"/>
        <v>90764</v>
      </c>
    </row>
    <row r="1306" spans="7:14" ht="11.25" customHeight="1" x14ac:dyDescent="0.3">
      <c r="G1306" s="470"/>
      <c r="H1306" s="470">
        <v>1299</v>
      </c>
      <c r="I1306" s="455">
        <f t="shared" ca="1" si="110"/>
        <v>-84797024.015505701</v>
      </c>
      <c r="J1306" s="455">
        <f t="array" ref="J1306">IFERROR(INDEX('Retirement Calculator'!K:K,MATCH('Lorri 401b'!N1306,'Retirement Calculator'!A:A,0),0),0)</f>
        <v>0</v>
      </c>
      <c r="K1306" s="455">
        <f t="shared" ca="1" si="108"/>
        <v>-353320.93339794042</v>
      </c>
      <c r="L1306" s="455">
        <f t="shared" ca="1" si="109"/>
        <v>-85150344.948903635</v>
      </c>
      <c r="M1306" s="471">
        <f t="shared" si="111"/>
        <v>0.05</v>
      </c>
      <c r="N1306" s="475">
        <f t="shared" si="112"/>
        <v>90795</v>
      </c>
    </row>
    <row r="1307" spans="7:14" ht="11.25" customHeight="1" x14ac:dyDescent="0.3">
      <c r="G1307" s="470"/>
      <c r="H1307" s="470">
        <v>1300</v>
      </c>
      <c r="I1307" s="455">
        <f t="shared" ca="1" si="110"/>
        <v>-85150344.948903635</v>
      </c>
      <c r="J1307" s="455">
        <f t="array" ref="J1307">IFERROR(INDEX('Retirement Calculator'!K:K,MATCH('Lorri 401b'!N1307,'Retirement Calculator'!A:A,0),0),0)</f>
        <v>0</v>
      </c>
      <c r="K1307" s="455">
        <f t="shared" ca="1" si="108"/>
        <v>-354793.10395376512</v>
      </c>
      <c r="L1307" s="455">
        <f t="shared" ca="1" si="109"/>
        <v>-85505138.052857399</v>
      </c>
      <c r="M1307" s="471">
        <f t="shared" si="111"/>
        <v>0.05</v>
      </c>
      <c r="N1307" s="475">
        <f t="shared" si="112"/>
        <v>90826</v>
      </c>
    </row>
    <row r="1308" spans="7:14" ht="11.25" customHeight="1" x14ac:dyDescent="0.3">
      <c r="G1308" s="470"/>
      <c r="H1308" s="470">
        <v>1301</v>
      </c>
      <c r="I1308" s="455">
        <f t="shared" ca="1" si="110"/>
        <v>-85505138.052857399</v>
      </c>
      <c r="J1308" s="455">
        <f t="array" ref="J1308">IFERROR(INDEX('Retirement Calculator'!K:K,MATCH('Lorri 401b'!N1308,'Retirement Calculator'!A:A,0),0),0)</f>
        <v>0</v>
      </c>
      <c r="K1308" s="455">
        <f t="shared" ca="1" si="108"/>
        <v>-356271.40855357249</v>
      </c>
      <c r="L1308" s="455">
        <f t="shared" ca="1" si="109"/>
        <v>-85861409.461410969</v>
      </c>
      <c r="M1308" s="471">
        <f t="shared" si="111"/>
        <v>0.05</v>
      </c>
      <c r="N1308" s="475">
        <f t="shared" si="112"/>
        <v>90856</v>
      </c>
    </row>
    <row r="1309" spans="7:14" ht="11.25" customHeight="1" x14ac:dyDescent="0.3">
      <c r="G1309" s="470"/>
      <c r="H1309" s="470">
        <v>1302</v>
      </c>
      <c r="I1309" s="455">
        <f t="shared" ca="1" si="110"/>
        <v>-85861409.461410969</v>
      </c>
      <c r="J1309" s="455">
        <f t="array" ref="J1309">IFERROR(INDEX('Retirement Calculator'!K:K,MATCH('Lorri 401b'!N1309,'Retirement Calculator'!A:A,0),0),0)</f>
        <v>0</v>
      </c>
      <c r="K1309" s="455">
        <f t="shared" ca="1" si="108"/>
        <v>-357755.87275587901</v>
      </c>
      <c r="L1309" s="455">
        <f t="shared" ca="1" si="109"/>
        <v>-86219165.334166855</v>
      </c>
      <c r="M1309" s="471">
        <f t="shared" si="111"/>
        <v>0.05</v>
      </c>
      <c r="N1309" s="475">
        <f t="shared" si="112"/>
        <v>90887</v>
      </c>
    </row>
    <row r="1310" spans="7:14" ht="11.25" customHeight="1" x14ac:dyDescent="0.3">
      <c r="G1310" s="470"/>
      <c r="H1310" s="470">
        <v>1303</v>
      </c>
      <c r="I1310" s="455">
        <f t="shared" ca="1" si="110"/>
        <v>-86219165.334166855</v>
      </c>
      <c r="J1310" s="455">
        <f t="array" ref="J1310">IFERROR(INDEX('Retirement Calculator'!K:K,MATCH('Lorri 401b'!N1310,'Retirement Calculator'!A:A,0),0),0)</f>
        <v>0</v>
      </c>
      <c r="K1310" s="455">
        <f t="shared" ca="1" si="108"/>
        <v>-359246.5222256952</v>
      </c>
      <c r="L1310" s="455">
        <f t="shared" ca="1" si="109"/>
        <v>-86578411.856392547</v>
      </c>
      <c r="M1310" s="471">
        <f t="shared" si="111"/>
        <v>0.05</v>
      </c>
      <c r="N1310" s="475">
        <f t="shared" si="112"/>
        <v>90917</v>
      </c>
    </row>
    <row r="1311" spans="7:14" ht="11.25" customHeight="1" x14ac:dyDescent="0.3">
      <c r="G1311" s="470"/>
      <c r="H1311" s="470">
        <v>1304</v>
      </c>
      <c r="I1311" s="455">
        <f t="shared" ca="1" si="110"/>
        <v>-86578411.856392547</v>
      </c>
      <c r="J1311" s="455">
        <f t="array" ref="J1311">IFERROR(INDEX('Retirement Calculator'!K:K,MATCH('Lorri 401b'!N1311,'Retirement Calculator'!A:A,0),0),0)</f>
        <v>0</v>
      </c>
      <c r="K1311" s="455">
        <f t="shared" ca="1" si="108"/>
        <v>-360743.38273496897</v>
      </c>
      <c r="L1311" s="455">
        <f t="shared" ca="1" si="109"/>
        <v>-86939155.239127517</v>
      </c>
      <c r="M1311" s="471">
        <f t="shared" si="111"/>
        <v>0.05</v>
      </c>
      <c r="N1311" s="475">
        <f t="shared" si="112"/>
        <v>90948</v>
      </c>
    </row>
    <row r="1312" spans="7:14" ht="11.25" customHeight="1" x14ac:dyDescent="0.3">
      <c r="G1312" s="470"/>
      <c r="H1312" s="470">
        <v>1305</v>
      </c>
      <c r="I1312" s="455">
        <f t="shared" ca="1" si="110"/>
        <v>-86939155.239127517</v>
      </c>
      <c r="J1312" s="455">
        <f t="array" ref="J1312">IFERROR(INDEX('Retirement Calculator'!K:K,MATCH('Lorri 401b'!N1312,'Retirement Calculator'!A:A,0),0),0)</f>
        <v>0</v>
      </c>
      <c r="K1312" s="455">
        <f t="shared" ca="1" si="108"/>
        <v>-362246.48016303132</v>
      </c>
      <c r="L1312" s="455">
        <f t="shared" ca="1" si="109"/>
        <v>-87301401.719290555</v>
      </c>
      <c r="M1312" s="471">
        <f t="shared" si="111"/>
        <v>0.05</v>
      </c>
      <c r="N1312" s="475">
        <f t="shared" si="112"/>
        <v>90979</v>
      </c>
    </row>
    <row r="1313" spans="7:14" ht="11.25" customHeight="1" x14ac:dyDescent="0.3">
      <c r="G1313" s="470"/>
      <c r="H1313" s="470">
        <v>1306</v>
      </c>
      <c r="I1313" s="455">
        <f t="shared" ca="1" si="110"/>
        <v>-87301401.719290555</v>
      </c>
      <c r="J1313" s="455">
        <f t="array" ref="J1313">IFERROR(INDEX('Retirement Calculator'!K:K,MATCH('Lorri 401b'!N1313,'Retirement Calculator'!A:A,0),0),0)</f>
        <v>0</v>
      </c>
      <c r="K1313" s="455">
        <f t="shared" ca="1" si="108"/>
        <v>-363755.84049704397</v>
      </c>
      <c r="L1313" s="455">
        <f t="shared" ca="1" si="109"/>
        <v>-87665157.559787601</v>
      </c>
      <c r="M1313" s="471">
        <f t="shared" si="111"/>
        <v>0.05</v>
      </c>
      <c r="N1313" s="475">
        <f t="shared" si="112"/>
        <v>91007</v>
      </c>
    </row>
    <row r="1314" spans="7:14" ht="11.25" customHeight="1" x14ac:dyDescent="0.3">
      <c r="G1314" s="470"/>
      <c r="H1314" s="470">
        <v>1307</v>
      </c>
      <c r="I1314" s="455">
        <f t="shared" ca="1" si="110"/>
        <v>-87665157.559787601</v>
      </c>
      <c r="J1314" s="455">
        <f t="array" ref="J1314">IFERROR(INDEX('Retirement Calculator'!K:K,MATCH('Lorri 401b'!N1314,'Retirement Calculator'!A:A,0),0),0)</f>
        <v>0</v>
      </c>
      <c r="K1314" s="455">
        <f t="shared" ca="1" si="108"/>
        <v>-365271.48983244831</v>
      </c>
      <c r="L1314" s="455">
        <f t="shared" ca="1" si="109"/>
        <v>-88030429.049620047</v>
      </c>
      <c r="M1314" s="471">
        <f t="shared" si="111"/>
        <v>0.05</v>
      </c>
      <c r="N1314" s="475">
        <f t="shared" si="112"/>
        <v>91038</v>
      </c>
    </row>
    <row r="1315" spans="7:14" ht="11.25" customHeight="1" x14ac:dyDescent="0.3">
      <c r="G1315" s="470"/>
      <c r="H1315" s="470">
        <v>1308</v>
      </c>
      <c r="I1315" s="455">
        <f t="shared" ca="1" si="110"/>
        <v>-88030429.049620047</v>
      </c>
      <c r="J1315" s="455">
        <f t="array" ref="J1315">IFERROR(INDEX('Retirement Calculator'!K:K,MATCH('Lorri 401b'!N1315,'Retirement Calculator'!A:A,0),0),0)</f>
        <v>0</v>
      </c>
      <c r="K1315" s="455">
        <f t="shared" ca="1" si="108"/>
        <v>-366793.45437341684</v>
      </c>
      <c r="L1315" s="455">
        <f t="shared" ca="1" si="109"/>
        <v>-88397222.503993466</v>
      </c>
      <c r="M1315" s="471">
        <f t="shared" si="111"/>
        <v>0.05</v>
      </c>
      <c r="N1315" s="475">
        <f t="shared" si="112"/>
        <v>91068</v>
      </c>
    </row>
    <row r="1316" spans="7:14" ht="11.25" customHeight="1" x14ac:dyDescent="0.3">
      <c r="G1316" s="470"/>
      <c r="H1316" s="470">
        <v>1309</v>
      </c>
      <c r="I1316" s="455">
        <f t="shared" ca="1" si="110"/>
        <v>-88397222.503993466</v>
      </c>
      <c r="J1316" s="455">
        <f t="array" ref="J1316">IFERROR(INDEX('Retirement Calculator'!K:K,MATCH('Lorri 401b'!N1316,'Retirement Calculator'!A:A,0),0),0)</f>
        <v>0</v>
      </c>
      <c r="K1316" s="455">
        <f t="shared" ca="1" si="108"/>
        <v>-368321.7604333061</v>
      </c>
      <c r="L1316" s="455">
        <f t="shared" ca="1" si="109"/>
        <v>-88765544.264426768</v>
      </c>
      <c r="M1316" s="471">
        <f t="shared" si="111"/>
        <v>0.05</v>
      </c>
      <c r="N1316" s="475">
        <f t="shared" si="112"/>
        <v>91099</v>
      </c>
    </row>
    <row r="1317" spans="7:14" ht="11.25" customHeight="1" x14ac:dyDescent="0.3">
      <c r="G1317" s="470"/>
      <c r="H1317" s="470">
        <v>1310</v>
      </c>
      <c r="I1317" s="455">
        <f t="shared" ca="1" si="110"/>
        <v>-88765544.264426768</v>
      </c>
      <c r="J1317" s="455">
        <f t="array" ref="J1317">IFERROR(INDEX('Retirement Calculator'!K:K,MATCH('Lorri 401b'!N1317,'Retirement Calculator'!A:A,0),0),0)</f>
        <v>0</v>
      </c>
      <c r="K1317" s="455">
        <f t="shared" ca="1" si="108"/>
        <v>-369856.43443511153</v>
      </c>
      <c r="L1317" s="455">
        <f t="shared" ca="1" si="109"/>
        <v>-89135400.698861882</v>
      </c>
      <c r="M1317" s="471">
        <f t="shared" si="111"/>
        <v>0.05</v>
      </c>
      <c r="N1317" s="475">
        <f t="shared" si="112"/>
        <v>91129</v>
      </c>
    </row>
    <row r="1318" spans="7:14" ht="11.25" customHeight="1" x14ac:dyDescent="0.3">
      <c r="G1318" s="470"/>
      <c r="H1318" s="470">
        <v>1311</v>
      </c>
      <c r="I1318" s="455">
        <f t="shared" ca="1" si="110"/>
        <v>-89135400.698861882</v>
      </c>
      <c r="J1318" s="455">
        <f t="array" ref="J1318">IFERROR(INDEX('Retirement Calculator'!K:K,MATCH('Lorri 401b'!N1318,'Retirement Calculator'!A:A,0),0),0)</f>
        <v>0</v>
      </c>
      <c r="K1318" s="455">
        <f t="shared" ca="1" si="108"/>
        <v>-371397.5029119245</v>
      </c>
      <c r="L1318" s="455">
        <f t="shared" ca="1" si="109"/>
        <v>-89506798.201773807</v>
      </c>
      <c r="M1318" s="471">
        <f t="shared" si="111"/>
        <v>0.05</v>
      </c>
      <c r="N1318" s="475">
        <f t="shared" si="112"/>
        <v>91160</v>
      </c>
    </row>
    <row r="1319" spans="7:14" ht="11.25" customHeight="1" x14ac:dyDescent="0.3">
      <c r="G1319" s="470"/>
      <c r="H1319" s="470">
        <v>1312</v>
      </c>
      <c r="I1319" s="455">
        <f t="shared" ca="1" si="110"/>
        <v>-89506798.201773807</v>
      </c>
      <c r="J1319" s="455">
        <f t="array" ref="J1319">IFERROR(INDEX('Retirement Calculator'!K:K,MATCH('Lorri 401b'!N1319,'Retirement Calculator'!A:A,0),0),0)</f>
        <v>0</v>
      </c>
      <c r="K1319" s="455">
        <f t="shared" ca="1" si="108"/>
        <v>-372944.99250739085</v>
      </c>
      <c r="L1319" s="455">
        <f t="shared" ca="1" si="109"/>
        <v>-89879743.194281206</v>
      </c>
      <c r="M1319" s="471">
        <f t="shared" si="111"/>
        <v>0.05</v>
      </c>
      <c r="N1319" s="475">
        <f t="shared" si="112"/>
        <v>91191</v>
      </c>
    </row>
    <row r="1320" spans="7:14" ht="11.25" customHeight="1" x14ac:dyDescent="0.3">
      <c r="G1320" s="470"/>
      <c r="H1320" s="470">
        <v>1313</v>
      </c>
      <c r="I1320" s="455">
        <f t="shared" ca="1" si="110"/>
        <v>-89879743.194281206</v>
      </c>
      <c r="J1320" s="455">
        <f t="array" ref="J1320">IFERROR(INDEX('Retirement Calculator'!K:K,MATCH('Lorri 401b'!N1320,'Retirement Calculator'!A:A,0),0),0)</f>
        <v>0</v>
      </c>
      <c r="K1320" s="455">
        <f t="shared" ca="1" si="108"/>
        <v>-374498.9299761717</v>
      </c>
      <c r="L1320" s="455">
        <f t="shared" ca="1" si="109"/>
        <v>-90254242.124257371</v>
      </c>
      <c r="M1320" s="471">
        <f t="shared" si="111"/>
        <v>0.05</v>
      </c>
      <c r="N1320" s="475">
        <f t="shared" si="112"/>
        <v>91221</v>
      </c>
    </row>
    <row r="1321" spans="7:14" ht="11.25" customHeight="1" x14ac:dyDescent="0.3">
      <c r="G1321" s="470"/>
      <c r="H1321" s="470">
        <v>1314</v>
      </c>
      <c r="I1321" s="455">
        <f t="shared" ca="1" si="110"/>
        <v>-90254242.124257371</v>
      </c>
      <c r="J1321" s="455">
        <f t="array" ref="J1321">IFERROR(INDEX('Retirement Calculator'!K:K,MATCH('Lorri 401b'!N1321,'Retirement Calculator'!A:A,0),0),0)</f>
        <v>0</v>
      </c>
      <c r="K1321" s="455">
        <f t="shared" ca="1" si="108"/>
        <v>-376059.34218440572</v>
      </c>
      <c r="L1321" s="455">
        <f t="shared" ca="1" si="109"/>
        <v>-90630301.46644178</v>
      </c>
      <c r="M1321" s="471">
        <f t="shared" si="111"/>
        <v>0.05</v>
      </c>
      <c r="N1321" s="475">
        <f t="shared" si="112"/>
        <v>91252</v>
      </c>
    </row>
    <row r="1322" spans="7:14" ht="11.25" customHeight="1" x14ac:dyDescent="0.3">
      <c r="G1322" s="470"/>
      <c r="H1322" s="470">
        <v>1315</v>
      </c>
      <c r="I1322" s="455">
        <f t="shared" ca="1" si="110"/>
        <v>-90630301.46644178</v>
      </c>
      <c r="J1322" s="455">
        <f t="array" ref="J1322">IFERROR(INDEX('Retirement Calculator'!K:K,MATCH('Lorri 401b'!N1322,'Retirement Calculator'!A:A,0),0),0)</f>
        <v>0</v>
      </c>
      <c r="K1322" s="455">
        <f t="shared" ca="1" si="108"/>
        <v>-377626.25611017406</v>
      </c>
      <c r="L1322" s="455">
        <f t="shared" ca="1" si="109"/>
        <v>-91007927.722551957</v>
      </c>
      <c r="M1322" s="471">
        <f t="shared" si="111"/>
        <v>0.05</v>
      </c>
      <c r="N1322" s="475">
        <f t="shared" si="112"/>
        <v>91282</v>
      </c>
    </row>
    <row r="1323" spans="7:14" ht="11.25" customHeight="1" x14ac:dyDescent="0.3">
      <c r="G1323" s="470"/>
      <c r="H1323" s="470">
        <v>1316</v>
      </c>
      <c r="I1323" s="455">
        <f t="shared" ca="1" si="110"/>
        <v>-91007927.722551957</v>
      </c>
      <c r="J1323" s="455">
        <f t="array" ref="J1323">IFERROR(INDEX('Retirement Calculator'!K:K,MATCH('Lorri 401b'!N1323,'Retirement Calculator'!A:A,0),0),0)</f>
        <v>0</v>
      </c>
      <c r="K1323" s="455">
        <f t="shared" ca="1" si="108"/>
        <v>-379199.69884396647</v>
      </c>
      <c r="L1323" s="455">
        <f t="shared" ca="1" si="109"/>
        <v>-91387127.421395928</v>
      </c>
      <c r="M1323" s="471">
        <f t="shared" si="111"/>
        <v>0.05</v>
      </c>
      <c r="N1323" s="475">
        <f t="shared" si="112"/>
        <v>91313</v>
      </c>
    </row>
    <row r="1324" spans="7:14" ht="11.25" customHeight="1" x14ac:dyDescent="0.3">
      <c r="G1324" s="470"/>
      <c r="H1324" s="470">
        <v>1317</v>
      </c>
      <c r="I1324" s="455">
        <f t="shared" ca="1" si="110"/>
        <v>-91387127.421395928</v>
      </c>
      <c r="J1324" s="455">
        <f t="array" ref="J1324">IFERROR(INDEX('Retirement Calculator'!K:K,MATCH('Lorri 401b'!N1324,'Retirement Calculator'!A:A,0),0),0)</f>
        <v>0</v>
      </c>
      <c r="K1324" s="455">
        <f t="shared" ca="1" si="108"/>
        <v>-380779.6975891497</v>
      </c>
      <c r="L1324" s="455">
        <f t="shared" ca="1" si="109"/>
        <v>-91767907.118985072</v>
      </c>
      <c r="M1324" s="471">
        <f t="shared" si="111"/>
        <v>0.05</v>
      </c>
      <c r="N1324" s="475">
        <f t="shared" si="112"/>
        <v>91344</v>
      </c>
    </row>
    <row r="1325" spans="7:14" ht="11.25" customHeight="1" x14ac:dyDescent="0.3">
      <c r="G1325" s="470"/>
      <c r="H1325" s="470">
        <v>1318</v>
      </c>
      <c r="I1325" s="455">
        <f t="shared" ca="1" si="110"/>
        <v>-91767907.118985072</v>
      </c>
      <c r="J1325" s="455">
        <f t="array" ref="J1325">IFERROR(INDEX('Retirement Calculator'!K:K,MATCH('Lorri 401b'!N1325,'Retirement Calculator'!A:A,0),0),0)</f>
        <v>0</v>
      </c>
      <c r="K1325" s="455">
        <f t="shared" ca="1" si="108"/>
        <v>-382366.2796624378</v>
      </c>
      <c r="L1325" s="455">
        <f t="shared" ca="1" si="109"/>
        <v>-92150273.398647517</v>
      </c>
      <c r="M1325" s="471">
        <f t="shared" si="111"/>
        <v>0.05</v>
      </c>
      <c r="N1325" s="475">
        <f t="shared" si="112"/>
        <v>91372</v>
      </c>
    </row>
    <row r="1326" spans="7:14" ht="11.25" customHeight="1" x14ac:dyDescent="0.3">
      <c r="G1326" s="470"/>
      <c r="H1326" s="470">
        <v>1319</v>
      </c>
      <c r="I1326" s="455">
        <f t="shared" ca="1" si="110"/>
        <v>-92150273.398647517</v>
      </c>
      <c r="J1326" s="455">
        <f t="array" ref="J1326">IFERROR(INDEX('Retirement Calculator'!K:K,MATCH('Lorri 401b'!N1326,'Retirement Calculator'!A:A,0),0),0)</f>
        <v>0</v>
      </c>
      <c r="K1326" s="455">
        <f t="shared" ca="1" si="108"/>
        <v>-383959.47249436466</v>
      </c>
      <c r="L1326" s="455">
        <f t="shared" ca="1" si="109"/>
        <v>-92534232.871141881</v>
      </c>
      <c r="M1326" s="471">
        <f t="shared" si="111"/>
        <v>0.05</v>
      </c>
      <c r="N1326" s="475">
        <f t="shared" si="112"/>
        <v>91403</v>
      </c>
    </row>
    <row r="1327" spans="7:14" ht="11.25" customHeight="1" x14ac:dyDescent="0.3">
      <c r="G1327" s="470"/>
      <c r="H1327" s="470">
        <v>1320</v>
      </c>
      <c r="I1327" s="455">
        <f t="shared" ca="1" si="110"/>
        <v>-92534232.871141881</v>
      </c>
      <c r="J1327" s="455">
        <f t="array" ref="J1327">IFERROR(INDEX('Retirement Calculator'!K:K,MATCH('Lorri 401b'!N1327,'Retirement Calculator'!A:A,0),0),0)</f>
        <v>0</v>
      </c>
      <c r="K1327" s="455">
        <f t="shared" ca="1" si="108"/>
        <v>-385559.30362975784</v>
      </c>
      <c r="L1327" s="455">
        <f t="shared" ca="1" si="109"/>
        <v>-92919792.174771637</v>
      </c>
      <c r="M1327" s="471">
        <f t="shared" si="111"/>
        <v>0.05</v>
      </c>
      <c r="N1327" s="475">
        <f t="shared" si="112"/>
        <v>91433</v>
      </c>
    </row>
    <row r="1328" spans="7:14" ht="11.25" customHeight="1" x14ac:dyDescent="0.3">
      <c r="G1328" s="470"/>
      <c r="H1328" s="470">
        <v>1321</v>
      </c>
      <c r="I1328" s="455">
        <f t="shared" ca="1" si="110"/>
        <v>-92919792.174771637</v>
      </c>
      <c r="J1328" s="455">
        <f t="array" ref="J1328">IFERROR(INDEX('Retirement Calculator'!K:K,MATCH('Lorri 401b'!N1328,'Retirement Calculator'!A:A,0),0),0)</f>
        <v>0</v>
      </c>
      <c r="K1328" s="455">
        <f t="shared" ca="1" si="108"/>
        <v>-387165.80072821514</v>
      </c>
      <c r="L1328" s="455">
        <f t="shared" ca="1" si="109"/>
        <v>-93306957.975499853</v>
      </c>
      <c r="M1328" s="471">
        <f t="shared" si="111"/>
        <v>0.05</v>
      </c>
      <c r="N1328" s="475">
        <f t="shared" si="112"/>
        <v>91464</v>
      </c>
    </row>
    <row r="1329" spans="7:14" ht="11.25" customHeight="1" x14ac:dyDescent="0.3">
      <c r="G1329" s="470"/>
      <c r="H1329" s="470">
        <v>1322</v>
      </c>
      <c r="I1329" s="455">
        <f t="shared" ca="1" si="110"/>
        <v>-93306957.975499853</v>
      </c>
      <c r="J1329" s="455">
        <f t="array" ref="J1329">IFERROR(INDEX('Retirement Calculator'!K:K,MATCH('Lorri 401b'!N1329,'Retirement Calculator'!A:A,0),0),0)</f>
        <v>0</v>
      </c>
      <c r="K1329" s="455">
        <f t="shared" ca="1" si="108"/>
        <v>-388778.99156458274</v>
      </c>
      <c r="L1329" s="455">
        <f t="shared" ca="1" si="109"/>
        <v>-93695736.96706444</v>
      </c>
      <c r="M1329" s="471">
        <f t="shared" si="111"/>
        <v>0.05</v>
      </c>
      <c r="N1329" s="475">
        <f t="shared" si="112"/>
        <v>91494</v>
      </c>
    </row>
    <row r="1330" spans="7:14" ht="11.25" customHeight="1" x14ac:dyDescent="0.3">
      <c r="G1330" s="470"/>
      <c r="H1330" s="470">
        <v>1323</v>
      </c>
      <c r="I1330" s="455">
        <f t="shared" ca="1" si="110"/>
        <v>-93695736.96706444</v>
      </c>
      <c r="J1330" s="455">
        <f t="array" ref="J1330">IFERROR(INDEX('Retirement Calculator'!K:K,MATCH('Lorri 401b'!N1330,'Retirement Calculator'!A:A,0),0),0)</f>
        <v>0</v>
      </c>
      <c r="K1330" s="455">
        <f t="shared" ca="1" si="108"/>
        <v>-390398.90402943519</v>
      </c>
      <c r="L1330" s="455">
        <f t="shared" ca="1" si="109"/>
        <v>-94086135.871093869</v>
      </c>
      <c r="M1330" s="471">
        <f t="shared" si="111"/>
        <v>0.05</v>
      </c>
      <c r="N1330" s="475">
        <f t="shared" si="112"/>
        <v>91525</v>
      </c>
    </row>
    <row r="1331" spans="7:14" ht="11.25" customHeight="1" x14ac:dyDescent="0.3">
      <c r="G1331" s="470"/>
      <c r="H1331" s="470">
        <v>1324</v>
      </c>
      <c r="I1331" s="455">
        <f t="shared" ca="1" si="110"/>
        <v>-94086135.871093869</v>
      </c>
      <c r="J1331" s="455">
        <f t="array" ref="J1331">IFERROR(INDEX('Retirement Calculator'!K:K,MATCH('Lorri 401b'!N1331,'Retirement Calculator'!A:A,0),0),0)</f>
        <v>0</v>
      </c>
      <c r="K1331" s="455">
        <f t="shared" ca="1" si="108"/>
        <v>-392025.56612955779</v>
      </c>
      <c r="L1331" s="455">
        <f t="shared" ca="1" si="109"/>
        <v>-94478161.437223434</v>
      </c>
      <c r="M1331" s="471">
        <f t="shared" si="111"/>
        <v>0.05</v>
      </c>
      <c r="N1331" s="475">
        <f t="shared" si="112"/>
        <v>91556</v>
      </c>
    </row>
    <row r="1332" spans="7:14" ht="11.25" customHeight="1" x14ac:dyDescent="0.3">
      <c r="G1332" s="470"/>
      <c r="H1332" s="470">
        <v>1325</v>
      </c>
      <c r="I1332" s="455">
        <f t="shared" ca="1" si="110"/>
        <v>-94478161.437223434</v>
      </c>
      <c r="J1332" s="455">
        <f t="array" ref="J1332">IFERROR(INDEX('Retirement Calculator'!K:K,MATCH('Lorri 401b'!N1332,'Retirement Calculator'!A:A,0),0),0)</f>
        <v>0</v>
      </c>
      <c r="K1332" s="455">
        <f t="shared" ca="1" si="108"/>
        <v>-393659.00598843099</v>
      </c>
      <c r="L1332" s="455">
        <f t="shared" ca="1" si="109"/>
        <v>-94871820.443211868</v>
      </c>
      <c r="M1332" s="471">
        <f t="shared" si="111"/>
        <v>0.05</v>
      </c>
      <c r="N1332" s="475">
        <f t="shared" si="112"/>
        <v>91586</v>
      </c>
    </row>
    <row r="1333" spans="7:14" ht="11.25" customHeight="1" x14ac:dyDescent="0.3">
      <c r="G1333" s="470"/>
      <c r="H1333" s="470">
        <v>1326</v>
      </c>
      <c r="I1333" s="455">
        <f t="shared" ca="1" si="110"/>
        <v>-94871820.443211868</v>
      </c>
      <c r="J1333" s="455">
        <f t="array" ref="J1333">IFERROR(INDEX('Retirement Calculator'!K:K,MATCH('Lorri 401b'!N1333,'Retirement Calculator'!A:A,0),0),0)</f>
        <v>0</v>
      </c>
      <c r="K1333" s="455">
        <f t="shared" ca="1" si="108"/>
        <v>-395299.2518467161</v>
      </c>
      <c r="L1333" s="455">
        <f t="shared" ca="1" si="109"/>
        <v>-95267119.695058584</v>
      </c>
      <c r="M1333" s="471">
        <f t="shared" si="111"/>
        <v>0.05</v>
      </c>
      <c r="N1333" s="475">
        <f t="shared" si="112"/>
        <v>91617</v>
      </c>
    </row>
    <row r="1334" spans="7:14" ht="11.25" customHeight="1" x14ac:dyDescent="0.3">
      <c r="G1334" s="470"/>
      <c r="H1334" s="470">
        <v>1327</v>
      </c>
      <c r="I1334" s="455">
        <f t="shared" ca="1" si="110"/>
        <v>-95267119.695058584</v>
      </c>
      <c r="J1334" s="455">
        <f t="array" ref="J1334">IFERROR(INDEX('Retirement Calculator'!K:K,MATCH('Lorri 401b'!N1334,'Retirement Calculator'!A:A,0),0),0)</f>
        <v>0</v>
      </c>
      <c r="K1334" s="455">
        <f t="shared" ca="1" si="108"/>
        <v>-396946.33206274407</v>
      </c>
      <c r="L1334" s="455">
        <f t="shared" ca="1" si="109"/>
        <v>-95664066.027121335</v>
      </c>
      <c r="M1334" s="471">
        <f t="shared" si="111"/>
        <v>0.05</v>
      </c>
      <c r="N1334" s="475">
        <f t="shared" si="112"/>
        <v>91647</v>
      </c>
    </row>
    <row r="1335" spans="7:14" ht="11.25" customHeight="1" x14ac:dyDescent="0.3">
      <c r="G1335" s="470"/>
      <c r="H1335" s="470">
        <v>1328</v>
      </c>
      <c r="I1335" s="455">
        <f t="shared" ca="1" si="110"/>
        <v>-95664066.027121335</v>
      </c>
      <c r="J1335" s="455">
        <f t="array" ref="J1335">IFERROR(INDEX('Retirement Calculator'!K:K,MATCH('Lorri 401b'!N1335,'Retirement Calculator'!A:A,0),0),0)</f>
        <v>0</v>
      </c>
      <c r="K1335" s="455">
        <f t="shared" ca="1" si="108"/>
        <v>-398600.27511300554</v>
      </c>
      <c r="L1335" s="455">
        <f t="shared" ca="1" si="109"/>
        <v>-96062666.302234337</v>
      </c>
      <c r="M1335" s="471">
        <f t="shared" si="111"/>
        <v>0.05</v>
      </c>
      <c r="N1335" s="475">
        <f t="shared" si="112"/>
        <v>91678</v>
      </c>
    </row>
    <row r="1336" spans="7:14" ht="11.25" customHeight="1" x14ac:dyDescent="0.3">
      <c r="G1336" s="470"/>
      <c r="H1336" s="470">
        <v>1329</v>
      </c>
      <c r="I1336" s="455">
        <f t="shared" ca="1" si="110"/>
        <v>-96062666.302234337</v>
      </c>
      <c r="J1336" s="455">
        <f t="array" ref="J1336">IFERROR(INDEX('Retirement Calculator'!K:K,MATCH('Lorri 401b'!N1336,'Retirement Calculator'!A:A,0),0),0)</f>
        <v>0</v>
      </c>
      <c r="K1336" s="455">
        <f t="shared" ca="1" si="108"/>
        <v>-400261.10959264304</v>
      </c>
      <c r="L1336" s="455">
        <f t="shared" ca="1" si="109"/>
        <v>-96462927.411826983</v>
      </c>
      <c r="M1336" s="471">
        <f t="shared" si="111"/>
        <v>0.05</v>
      </c>
      <c r="N1336" s="475">
        <f t="shared" si="112"/>
        <v>91709</v>
      </c>
    </row>
    <row r="1337" spans="7:14" ht="11.25" customHeight="1" x14ac:dyDescent="0.3">
      <c r="G1337" s="470"/>
      <c r="H1337" s="470">
        <v>1330</v>
      </c>
      <c r="I1337" s="455">
        <f t="shared" ca="1" si="110"/>
        <v>-96462927.411826983</v>
      </c>
      <c r="J1337" s="455">
        <f t="array" ref="J1337">IFERROR(INDEX('Retirement Calculator'!K:K,MATCH('Lorri 401b'!N1337,'Retirement Calculator'!A:A,0),0),0)</f>
        <v>0</v>
      </c>
      <c r="K1337" s="455">
        <f t="shared" ca="1" si="108"/>
        <v>-401928.86421594577</v>
      </c>
      <c r="L1337" s="455">
        <f t="shared" ca="1" si="109"/>
        <v>-96864856.276042923</v>
      </c>
      <c r="M1337" s="471">
        <f t="shared" si="111"/>
        <v>0.05</v>
      </c>
      <c r="N1337" s="475">
        <f t="shared" si="112"/>
        <v>91737</v>
      </c>
    </row>
    <row r="1338" spans="7:14" ht="11.25" customHeight="1" x14ac:dyDescent="0.3">
      <c r="G1338" s="470"/>
      <c r="H1338" s="470">
        <v>1331</v>
      </c>
      <c r="I1338" s="455">
        <f t="shared" ca="1" si="110"/>
        <v>-96864856.276042923</v>
      </c>
      <c r="J1338" s="455">
        <f t="array" ref="J1338">IFERROR(INDEX('Retirement Calculator'!K:K,MATCH('Lorri 401b'!N1338,'Retirement Calculator'!A:A,0),0),0)</f>
        <v>0</v>
      </c>
      <c r="K1338" s="455">
        <f t="shared" ca="1" si="108"/>
        <v>-403603.56781684549</v>
      </c>
      <c r="L1338" s="455">
        <f t="shared" ca="1" si="109"/>
        <v>-97268459.843859762</v>
      </c>
      <c r="M1338" s="471">
        <f t="shared" si="111"/>
        <v>0.05</v>
      </c>
      <c r="N1338" s="475">
        <f t="shared" si="112"/>
        <v>91768</v>
      </c>
    </row>
    <row r="1339" spans="7:14" ht="11.25" customHeight="1" x14ac:dyDescent="0.3">
      <c r="G1339" s="470"/>
      <c r="H1339" s="470">
        <v>1332</v>
      </c>
      <c r="I1339" s="455">
        <f t="shared" ca="1" si="110"/>
        <v>-97268459.843859762</v>
      </c>
      <c r="J1339" s="455">
        <f t="array" ref="J1339">IFERROR(INDEX('Retirement Calculator'!K:K,MATCH('Lorri 401b'!N1339,'Retirement Calculator'!A:A,0),0),0)</f>
        <v>0</v>
      </c>
      <c r="K1339" s="455">
        <f t="shared" ca="1" si="108"/>
        <v>-405285.24934941565</v>
      </c>
      <c r="L1339" s="455">
        <f t="shared" ca="1" si="109"/>
        <v>-97673745.093209177</v>
      </c>
      <c r="M1339" s="471">
        <f t="shared" si="111"/>
        <v>0.05</v>
      </c>
      <c r="N1339" s="475">
        <f t="shared" si="112"/>
        <v>91798</v>
      </c>
    </row>
    <row r="1340" spans="7:14" ht="11.25" customHeight="1" x14ac:dyDescent="0.3">
      <c r="G1340" s="470"/>
      <c r="H1340" s="470">
        <v>1333</v>
      </c>
      <c r="I1340" s="455">
        <f t="shared" ca="1" si="110"/>
        <v>-97673745.093209177</v>
      </c>
      <c r="J1340" s="455">
        <f t="array" ref="J1340">IFERROR(INDEX('Retirement Calculator'!K:K,MATCH('Lorri 401b'!N1340,'Retirement Calculator'!A:A,0),0),0)</f>
        <v>0</v>
      </c>
      <c r="K1340" s="455">
        <f t="shared" ca="1" si="108"/>
        <v>-406973.93788837158</v>
      </c>
      <c r="L1340" s="455">
        <f t="shared" ca="1" si="109"/>
        <v>-98080719.031097546</v>
      </c>
      <c r="M1340" s="471">
        <f t="shared" si="111"/>
        <v>0.05</v>
      </c>
      <c r="N1340" s="475">
        <f t="shared" si="112"/>
        <v>91829</v>
      </c>
    </row>
    <row r="1341" spans="7:14" ht="11.25" customHeight="1" x14ac:dyDescent="0.3">
      <c r="G1341" s="470"/>
      <c r="H1341" s="470">
        <v>1334</v>
      </c>
      <c r="I1341" s="455">
        <f t="shared" ca="1" si="110"/>
        <v>-98080719.031097546</v>
      </c>
      <c r="J1341" s="455">
        <f t="array" ref="J1341">IFERROR(INDEX('Retirement Calculator'!K:K,MATCH('Lorri 401b'!N1341,'Retirement Calculator'!A:A,0),0),0)</f>
        <v>0</v>
      </c>
      <c r="K1341" s="455">
        <f t="shared" ca="1" si="108"/>
        <v>-408669.66262957308</v>
      </c>
      <c r="L1341" s="455">
        <f t="shared" ca="1" si="109"/>
        <v>-98489388.693727121</v>
      </c>
      <c r="M1341" s="471">
        <f t="shared" si="111"/>
        <v>0.05</v>
      </c>
      <c r="N1341" s="475">
        <f t="shared" si="112"/>
        <v>91859</v>
      </c>
    </row>
    <row r="1342" spans="7:14" ht="11.25" customHeight="1" x14ac:dyDescent="0.3">
      <c r="G1342" s="470"/>
      <c r="H1342" s="470">
        <v>1335</v>
      </c>
      <c r="I1342" s="455">
        <f t="shared" ca="1" si="110"/>
        <v>-98489388.693727121</v>
      </c>
      <c r="J1342" s="455">
        <f t="array" ref="J1342">IFERROR(INDEX('Retirement Calculator'!K:K,MATCH('Lorri 401b'!N1342,'Retirement Calculator'!A:A,0),0),0)</f>
        <v>0</v>
      </c>
      <c r="K1342" s="455">
        <f t="shared" ca="1" si="108"/>
        <v>-410372.45289052965</v>
      </c>
      <c r="L1342" s="455">
        <f t="shared" ca="1" si="109"/>
        <v>-98899761.146617651</v>
      </c>
      <c r="M1342" s="471">
        <f t="shared" si="111"/>
        <v>0.05</v>
      </c>
      <c r="N1342" s="475">
        <f t="shared" si="112"/>
        <v>91890</v>
      </c>
    </row>
    <row r="1343" spans="7:14" ht="11.25" customHeight="1" x14ac:dyDescent="0.3">
      <c r="G1343" s="470"/>
      <c r="H1343" s="470">
        <v>1336</v>
      </c>
      <c r="I1343" s="455">
        <f t="shared" ca="1" si="110"/>
        <v>-98899761.146617651</v>
      </c>
      <c r="J1343" s="455">
        <f t="array" ref="J1343">IFERROR(INDEX('Retirement Calculator'!K:K,MATCH('Lorri 401b'!N1343,'Retirement Calculator'!A:A,0),0),0)</f>
        <v>0</v>
      </c>
      <c r="K1343" s="455">
        <f t="shared" ca="1" si="108"/>
        <v>-412082.33811090689</v>
      </c>
      <c r="L1343" s="455">
        <f t="shared" ca="1" si="109"/>
        <v>-99311843.48472856</v>
      </c>
      <c r="M1343" s="471">
        <f t="shared" si="111"/>
        <v>0.05</v>
      </c>
      <c r="N1343" s="475">
        <f t="shared" si="112"/>
        <v>91921</v>
      </c>
    </row>
    <row r="1344" spans="7:14" ht="11.25" customHeight="1" x14ac:dyDescent="0.3">
      <c r="G1344" s="470"/>
      <c r="H1344" s="470">
        <v>1337</v>
      </c>
      <c r="I1344" s="455">
        <f t="shared" ca="1" si="110"/>
        <v>-99311843.48472856</v>
      </c>
      <c r="J1344" s="455">
        <f t="array" ref="J1344">IFERROR(INDEX('Retirement Calculator'!K:K,MATCH('Lorri 401b'!N1344,'Retirement Calculator'!A:A,0),0),0)</f>
        <v>0</v>
      </c>
      <c r="K1344" s="455">
        <f t="shared" ca="1" si="108"/>
        <v>-413799.34785303567</v>
      </c>
      <c r="L1344" s="455">
        <f t="shared" ca="1" si="109"/>
        <v>-99725642.832581595</v>
      </c>
      <c r="M1344" s="471">
        <f t="shared" si="111"/>
        <v>0.05</v>
      </c>
      <c r="N1344" s="475">
        <f t="shared" si="112"/>
        <v>91951</v>
      </c>
    </row>
    <row r="1345" spans="7:14" ht="11.25" customHeight="1" x14ac:dyDescent="0.3">
      <c r="G1345" s="470"/>
      <c r="H1345" s="470">
        <v>1338</v>
      </c>
      <c r="I1345" s="455">
        <f t="shared" ca="1" si="110"/>
        <v>-99725642.832581595</v>
      </c>
      <c r="J1345" s="455">
        <f t="array" ref="J1345">IFERROR(INDEX('Retirement Calculator'!K:K,MATCH('Lorri 401b'!N1345,'Retirement Calculator'!A:A,0),0),0)</f>
        <v>0</v>
      </c>
      <c r="K1345" s="455">
        <f t="shared" ca="1" si="108"/>
        <v>-415523.51180242328</v>
      </c>
      <c r="L1345" s="455">
        <f t="shared" ca="1" si="109"/>
        <v>-100141166.34438401</v>
      </c>
      <c r="M1345" s="471">
        <f t="shared" si="111"/>
        <v>0.05</v>
      </c>
      <c r="N1345" s="475">
        <f t="shared" si="112"/>
        <v>91982</v>
      </c>
    </row>
    <row r="1346" spans="7:14" ht="11.25" customHeight="1" x14ac:dyDescent="0.3">
      <c r="G1346" s="470"/>
      <c r="H1346" s="470">
        <v>1339</v>
      </c>
      <c r="I1346" s="455">
        <f t="shared" ca="1" si="110"/>
        <v>-100141166.34438401</v>
      </c>
      <c r="J1346" s="455">
        <f t="array" ref="J1346">IFERROR(INDEX('Retirement Calculator'!K:K,MATCH('Lorri 401b'!N1346,'Retirement Calculator'!A:A,0),0),0)</f>
        <v>0</v>
      </c>
      <c r="K1346" s="455">
        <f t="shared" ca="1" si="108"/>
        <v>-417254.85976826673</v>
      </c>
      <c r="L1346" s="455">
        <f t="shared" ca="1" si="109"/>
        <v>-100558421.20415229</v>
      </c>
      <c r="M1346" s="471">
        <f t="shared" si="111"/>
        <v>0.05</v>
      </c>
      <c r="N1346" s="475">
        <f t="shared" si="112"/>
        <v>92012</v>
      </c>
    </row>
    <row r="1347" spans="7:14" ht="11.25" customHeight="1" x14ac:dyDescent="0.3">
      <c r="G1347" s="470"/>
      <c r="H1347" s="470">
        <v>1340</v>
      </c>
      <c r="I1347" s="455">
        <f t="shared" ca="1" si="110"/>
        <v>-100558421.20415229</v>
      </c>
      <c r="J1347" s="455">
        <f t="array" ref="J1347">IFERROR(INDEX('Retirement Calculator'!K:K,MATCH('Lorri 401b'!N1347,'Retirement Calculator'!A:A,0),0),0)</f>
        <v>0</v>
      </c>
      <c r="K1347" s="455">
        <f t="shared" ca="1" si="108"/>
        <v>-418993.42168396787</v>
      </c>
      <c r="L1347" s="455">
        <f t="shared" ca="1" si="109"/>
        <v>-100977414.62583625</v>
      </c>
      <c r="M1347" s="471">
        <f t="shared" si="111"/>
        <v>0.05</v>
      </c>
      <c r="N1347" s="475">
        <f t="shared" si="112"/>
        <v>92043</v>
      </c>
    </row>
    <row r="1348" spans="7:14" ht="11.25" customHeight="1" x14ac:dyDescent="0.3">
      <c r="G1348" s="470"/>
      <c r="H1348" s="470">
        <v>1341</v>
      </c>
      <c r="I1348" s="455">
        <f t="shared" ca="1" si="110"/>
        <v>-100977414.62583625</v>
      </c>
      <c r="J1348" s="455">
        <f t="array" ref="J1348">IFERROR(INDEX('Retirement Calculator'!K:K,MATCH('Lorri 401b'!N1348,'Retirement Calculator'!A:A,0),0),0)</f>
        <v>0</v>
      </c>
      <c r="K1348" s="455">
        <f t="shared" ca="1" si="108"/>
        <v>-420739.22760765103</v>
      </c>
      <c r="L1348" s="455">
        <f t="shared" ca="1" si="109"/>
        <v>-101398153.85344391</v>
      </c>
      <c r="M1348" s="471">
        <f t="shared" si="111"/>
        <v>0.05</v>
      </c>
      <c r="N1348" s="475">
        <f t="shared" si="112"/>
        <v>92074</v>
      </c>
    </row>
    <row r="1349" spans="7:14" ht="11.25" customHeight="1" x14ac:dyDescent="0.3">
      <c r="G1349" s="470"/>
      <c r="H1349" s="470">
        <v>1342</v>
      </c>
      <c r="I1349" s="455">
        <f t="shared" ca="1" si="110"/>
        <v>-101398153.85344391</v>
      </c>
      <c r="J1349" s="455">
        <f t="array" ref="J1349">IFERROR(INDEX('Retirement Calculator'!K:K,MATCH('Lorri 401b'!N1349,'Retirement Calculator'!A:A,0),0),0)</f>
        <v>0</v>
      </c>
      <c r="K1349" s="455">
        <f t="shared" ca="1" si="108"/>
        <v>-422492.30772268295</v>
      </c>
      <c r="L1349" s="455">
        <f t="shared" ca="1" si="109"/>
        <v>-101820646.16116659</v>
      </c>
      <c r="M1349" s="471">
        <f t="shared" si="111"/>
        <v>0.05</v>
      </c>
      <c r="N1349" s="475">
        <f t="shared" si="112"/>
        <v>92103</v>
      </c>
    </row>
    <row r="1350" spans="7:14" ht="11.25" customHeight="1" x14ac:dyDescent="0.3">
      <c r="G1350" s="470"/>
      <c r="H1350" s="470">
        <v>1343</v>
      </c>
      <c r="I1350" s="455">
        <f t="shared" ca="1" si="110"/>
        <v>-101820646.16116659</v>
      </c>
      <c r="J1350" s="455">
        <f t="array" ref="J1350">IFERROR(INDEX('Retirement Calculator'!K:K,MATCH('Lorri 401b'!N1350,'Retirement Calculator'!A:A,0),0),0)</f>
        <v>0</v>
      </c>
      <c r="K1350" s="455">
        <f t="shared" ca="1" si="108"/>
        <v>-424252.69233819412</v>
      </c>
      <c r="L1350" s="455">
        <f t="shared" ca="1" si="109"/>
        <v>-102244898.85350479</v>
      </c>
      <c r="M1350" s="471">
        <f t="shared" si="111"/>
        <v>0.05</v>
      </c>
      <c r="N1350" s="475">
        <f t="shared" si="112"/>
        <v>92134</v>
      </c>
    </row>
    <row r="1351" spans="7:14" ht="11.25" customHeight="1" x14ac:dyDescent="0.3">
      <c r="G1351" s="470"/>
      <c r="H1351" s="470">
        <v>1344</v>
      </c>
      <c r="I1351" s="455">
        <f t="shared" ca="1" si="110"/>
        <v>-102244898.85350479</v>
      </c>
      <c r="J1351" s="455">
        <f t="array" ref="J1351">IFERROR(INDEX('Retirement Calculator'!K:K,MATCH('Lorri 401b'!N1351,'Retirement Calculator'!A:A,0),0),0)</f>
        <v>0</v>
      </c>
      <c r="K1351" s="455">
        <f t="shared" ca="1" si="108"/>
        <v>-426020.4118896033</v>
      </c>
      <c r="L1351" s="455">
        <f t="shared" ca="1" si="109"/>
        <v>-102670919.26539439</v>
      </c>
      <c r="M1351" s="471">
        <f t="shared" si="111"/>
        <v>0.05</v>
      </c>
      <c r="N1351" s="475">
        <f t="shared" si="112"/>
        <v>92164</v>
      </c>
    </row>
    <row r="1352" spans="7:14" ht="11.25" customHeight="1" x14ac:dyDescent="0.3">
      <c r="G1352" s="470"/>
      <c r="H1352" s="470">
        <v>1345</v>
      </c>
      <c r="I1352" s="455">
        <f t="shared" ca="1" si="110"/>
        <v>-102670919.26539439</v>
      </c>
      <c r="J1352" s="455">
        <f t="array" ref="J1352">IFERROR(INDEX('Retirement Calculator'!K:K,MATCH('Lorri 401b'!N1352,'Retirement Calculator'!A:A,0),0),0)</f>
        <v>0</v>
      </c>
      <c r="K1352" s="455">
        <f t="shared" ca="1" si="108"/>
        <v>-427795.49693914328</v>
      </c>
      <c r="L1352" s="455">
        <f t="shared" ca="1" si="109"/>
        <v>-103098714.76233353</v>
      </c>
      <c r="M1352" s="471">
        <f t="shared" si="111"/>
        <v>0.05</v>
      </c>
      <c r="N1352" s="475">
        <f t="shared" si="112"/>
        <v>92195</v>
      </c>
    </row>
    <row r="1353" spans="7:14" ht="11.25" customHeight="1" x14ac:dyDescent="0.3">
      <c r="G1353" s="470"/>
      <c r="H1353" s="470">
        <v>1346</v>
      </c>
      <c r="I1353" s="455">
        <f t="shared" ca="1" si="110"/>
        <v>-103098714.76233353</v>
      </c>
      <c r="J1353" s="455">
        <f t="array" ref="J1353">IFERROR(INDEX('Retirement Calculator'!K:K,MATCH('Lorri 401b'!N1353,'Retirement Calculator'!A:A,0),0),0)</f>
        <v>0</v>
      </c>
      <c r="K1353" s="455">
        <f t="shared" ca="1" si="108"/>
        <v>-429577.9781763897</v>
      </c>
      <c r="L1353" s="455">
        <f t="shared" ca="1" si="109"/>
        <v>-103528292.74050991</v>
      </c>
      <c r="M1353" s="471">
        <f t="shared" si="111"/>
        <v>0.05</v>
      </c>
      <c r="N1353" s="475">
        <f t="shared" si="112"/>
        <v>92225</v>
      </c>
    </row>
    <row r="1354" spans="7:14" ht="11.25" customHeight="1" x14ac:dyDescent="0.3">
      <c r="G1354" s="470"/>
      <c r="H1354" s="470">
        <v>1347</v>
      </c>
      <c r="I1354" s="455">
        <f t="shared" ca="1" si="110"/>
        <v>-103528292.74050991</v>
      </c>
      <c r="J1354" s="455">
        <f t="array" ref="J1354">IFERROR(INDEX('Retirement Calculator'!K:K,MATCH('Lorri 401b'!N1354,'Retirement Calculator'!A:A,0),0),0)</f>
        <v>0</v>
      </c>
      <c r="K1354" s="455">
        <f t="shared" ca="1" si="108"/>
        <v>-431367.88641879131</v>
      </c>
      <c r="L1354" s="455">
        <f t="shared" ca="1" si="109"/>
        <v>-103959660.6269287</v>
      </c>
      <c r="M1354" s="471">
        <f t="shared" si="111"/>
        <v>0.05</v>
      </c>
      <c r="N1354" s="475">
        <f t="shared" si="112"/>
        <v>92256</v>
      </c>
    </row>
    <row r="1355" spans="7:14" ht="11.25" customHeight="1" x14ac:dyDescent="0.3">
      <c r="G1355" s="470"/>
      <c r="H1355" s="470">
        <v>1348</v>
      </c>
      <c r="I1355" s="455">
        <f t="shared" ca="1" si="110"/>
        <v>-103959660.6269287</v>
      </c>
      <c r="J1355" s="455">
        <f t="array" ref="J1355">IFERROR(INDEX('Retirement Calculator'!K:K,MATCH('Lorri 401b'!N1355,'Retirement Calculator'!A:A,0),0),0)</f>
        <v>0</v>
      </c>
      <c r="K1355" s="455">
        <f t="shared" ca="1" si="108"/>
        <v>-433165.25261220289</v>
      </c>
      <c r="L1355" s="455">
        <f t="shared" ca="1" si="109"/>
        <v>-104392825.87954091</v>
      </c>
      <c r="M1355" s="471">
        <f t="shared" si="111"/>
        <v>0.05</v>
      </c>
      <c r="N1355" s="475">
        <f t="shared" si="112"/>
        <v>92287</v>
      </c>
    </row>
    <row r="1356" spans="7:14" ht="11.25" customHeight="1" x14ac:dyDescent="0.3">
      <c r="G1356" s="470"/>
      <c r="H1356" s="470">
        <v>1349</v>
      </c>
      <c r="I1356" s="455">
        <f t="shared" ca="1" si="110"/>
        <v>-104392825.87954091</v>
      </c>
      <c r="J1356" s="455">
        <f t="array" ref="J1356">IFERROR(INDEX('Retirement Calculator'!K:K,MATCH('Lorri 401b'!N1356,'Retirement Calculator'!A:A,0),0),0)</f>
        <v>0</v>
      </c>
      <c r="K1356" s="455">
        <f t="shared" ca="1" si="108"/>
        <v>-434970.10783142044</v>
      </c>
      <c r="L1356" s="455">
        <f t="shared" ca="1" si="109"/>
        <v>-104827795.98737232</v>
      </c>
      <c r="M1356" s="471">
        <f t="shared" si="111"/>
        <v>0.05</v>
      </c>
      <c r="N1356" s="475">
        <f t="shared" si="112"/>
        <v>92317</v>
      </c>
    </row>
    <row r="1357" spans="7:14" ht="11.25" customHeight="1" x14ac:dyDescent="0.3">
      <c r="G1357" s="470"/>
      <c r="H1357" s="470">
        <v>1350</v>
      </c>
      <c r="I1357" s="455">
        <f t="shared" ca="1" si="110"/>
        <v>-104827795.98737232</v>
      </c>
      <c r="J1357" s="455">
        <f t="array" ref="J1357">IFERROR(INDEX('Retirement Calculator'!K:K,MATCH('Lorri 401b'!N1357,'Retirement Calculator'!A:A,0),0),0)</f>
        <v>0</v>
      </c>
      <c r="K1357" s="455">
        <f t="shared" ca="1" si="108"/>
        <v>-436782.48328071792</v>
      </c>
      <c r="L1357" s="455">
        <f t="shared" ca="1" si="109"/>
        <v>-105264578.47065304</v>
      </c>
      <c r="M1357" s="471">
        <f t="shared" si="111"/>
        <v>0.05</v>
      </c>
      <c r="N1357" s="475">
        <f t="shared" si="112"/>
        <v>92348</v>
      </c>
    </row>
    <row r="1358" spans="7:14" ht="11.25" customHeight="1" x14ac:dyDescent="0.3">
      <c r="G1358" s="470"/>
      <c r="H1358" s="470">
        <v>1351</v>
      </c>
      <c r="I1358" s="455">
        <f t="shared" ca="1" si="110"/>
        <v>-105264578.47065304</v>
      </c>
      <c r="J1358" s="455">
        <f t="array" ref="J1358">IFERROR(INDEX('Retirement Calculator'!K:K,MATCH('Lorri 401b'!N1358,'Retirement Calculator'!A:A,0),0),0)</f>
        <v>0</v>
      </c>
      <c r="K1358" s="455">
        <f t="shared" ca="1" si="108"/>
        <v>-438602.41029438766</v>
      </c>
      <c r="L1358" s="455">
        <f t="shared" ca="1" si="109"/>
        <v>-105703180.88094743</v>
      </c>
      <c r="M1358" s="471">
        <f t="shared" si="111"/>
        <v>0.05</v>
      </c>
      <c r="N1358" s="475">
        <f t="shared" si="112"/>
        <v>92378</v>
      </c>
    </row>
    <row r="1359" spans="7:14" ht="11.25" customHeight="1" x14ac:dyDescent="0.3">
      <c r="G1359" s="470"/>
      <c r="H1359" s="470">
        <v>1352</v>
      </c>
      <c r="I1359" s="455">
        <f t="shared" ca="1" si="110"/>
        <v>-105703180.88094743</v>
      </c>
      <c r="J1359" s="455">
        <f t="array" ref="J1359">IFERROR(INDEX('Retirement Calculator'!K:K,MATCH('Lorri 401b'!N1359,'Retirement Calculator'!A:A,0),0),0)</f>
        <v>0</v>
      </c>
      <c r="K1359" s="455">
        <f t="shared" ca="1" si="108"/>
        <v>-440429.92033728096</v>
      </c>
      <c r="L1359" s="455">
        <f t="shared" ca="1" si="109"/>
        <v>-106143610.8012847</v>
      </c>
      <c r="M1359" s="471">
        <f t="shared" si="111"/>
        <v>0.05</v>
      </c>
      <c r="N1359" s="475">
        <f t="shared" si="112"/>
        <v>92409</v>
      </c>
    </row>
    <row r="1360" spans="7:14" ht="11.25" customHeight="1" x14ac:dyDescent="0.3">
      <c r="G1360" s="470"/>
      <c r="H1360" s="470">
        <v>1353</v>
      </c>
      <c r="I1360" s="455">
        <f t="shared" ca="1" si="110"/>
        <v>-106143610.8012847</v>
      </c>
      <c r="J1360" s="455">
        <f t="array" ref="J1360">IFERROR(INDEX('Retirement Calculator'!K:K,MATCH('Lorri 401b'!N1360,'Retirement Calculator'!A:A,0),0),0)</f>
        <v>0</v>
      </c>
      <c r="K1360" s="455">
        <f t="shared" ca="1" si="108"/>
        <v>-442265.04500535299</v>
      </c>
      <c r="L1360" s="455">
        <f t="shared" ca="1" si="109"/>
        <v>-106585875.84629005</v>
      </c>
      <c r="M1360" s="471">
        <f t="shared" si="111"/>
        <v>0.05</v>
      </c>
      <c r="N1360" s="475">
        <f t="shared" si="112"/>
        <v>92440</v>
      </c>
    </row>
    <row r="1361" spans="7:14" ht="11.25" customHeight="1" x14ac:dyDescent="0.3">
      <c r="G1361" s="470"/>
      <c r="H1361" s="470">
        <v>1354</v>
      </c>
      <c r="I1361" s="455">
        <f t="shared" ca="1" si="110"/>
        <v>-106585875.84629005</v>
      </c>
      <c r="J1361" s="455">
        <f t="array" ref="J1361">IFERROR(INDEX('Retirement Calculator'!K:K,MATCH('Lorri 401b'!N1361,'Retirement Calculator'!A:A,0),0),0)</f>
        <v>0</v>
      </c>
      <c r="K1361" s="455">
        <f t="shared" ca="1" si="108"/>
        <v>-444107.81602620851</v>
      </c>
      <c r="L1361" s="455">
        <f t="shared" ca="1" si="109"/>
        <v>-107029983.66231626</v>
      </c>
      <c r="M1361" s="471">
        <f t="shared" si="111"/>
        <v>0.05</v>
      </c>
      <c r="N1361" s="475">
        <f t="shared" si="112"/>
        <v>92468</v>
      </c>
    </row>
    <row r="1362" spans="7:14" ht="11.25" customHeight="1" x14ac:dyDescent="0.3">
      <c r="G1362" s="470"/>
      <c r="H1362" s="470">
        <v>1355</v>
      </c>
      <c r="I1362" s="455">
        <f t="shared" ca="1" si="110"/>
        <v>-107029983.66231626</v>
      </c>
      <c r="J1362" s="455">
        <f t="array" ref="J1362">IFERROR(INDEX('Retirement Calculator'!K:K,MATCH('Lorri 401b'!N1362,'Retirement Calculator'!A:A,0),0),0)</f>
        <v>0</v>
      </c>
      <c r="K1362" s="455">
        <f t="shared" ca="1" si="108"/>
        <v>-445958.26525965118</v>
      </c>
      <c r="L1362" s="455">
        <f t="shared" ca="1" si="109"/>
        <v>-107475941.92757592</v>
      </c>
      <c r="M1362" s="471">
        <f t="shared" si="111"/>
        <v>0.05</v>
      </c>
      <c r="N1362" s="475">
        <f t="shared" si="112"/>
        <v>92499</v>
      </c>
    </row>
    <row r="1363" spans="7:14" ht="11.25" customHeight="1" x14ac:dyDescent="0.3">
      <c r="G1363" s="470"/>
      <c r="H1363" s="470">
        <v>1356</v>
      </c>
      <c r="I1363" s="455">
        <f t="shared" ca="1" si="110"/>
        <v>-107475941.92757592</v>
      </c>
      <c r="J1363" s="455">
        <f t="array" ref="J1363">IFERROR(INDEX('Retirement Calculator'!K:K,MATCH('Lorri 401b'!N1363,'Retirement Calculator'!A:A,0),0),0)</f>
        <v>0</v>
      </c>
      <c r="K1363" s="455">
        <f t="shared" ca="1" si="108"/>
        <v>-447816.42469823296</v>
      </c>
      <c r="L1363" s="455">
        <f t="shared" ca="1" si="109"/>
        <v>-107923758.35227415</v>
      </c>
      <c r="M1363" s="471">
        <f t="shared" si="111"/>
        <v>0.05</v>
      </c>
      <c r="N1363" s="475">
        <f t="shared" si="112"/>
        <v>92529</v>
      </c>
    </row>
    <row r="1364" spans="7:14" ht="11.25" customHeight="1" x14ac:dyDescent="0.3">
      <c r="G1364" s="470"/>
      <c r="H1364" s="470">
        <v>1357</v>
      </c>
      <c r="I1364" s="455">
        <f t="shared" ca="1" si="110"/>
        <v>-107923758.35227415</v>
      </c>
      <c r="J1364" s="455">
        <f t="array" ref="J1364">IFERROR(INDEX('Retirement Calculator'!K:K,MATCH('Lorri 401b'!N1364,'Retirement Calculator'!A:A,0),0),0)</f>
        <v>0</v>
      </c>
      <c r="K1364" s="455">
        <f t="shared" ca="1" si="108"/>
        <v>-449682.32646780898</v>
      </c>
      <c r="L1364" s="455">
        <f t="shared" ca="1" si="109"/>
        <v>-108373440.67874196</v>
      </c>
      <c r="M1364" s="471">
        <f t="shared" si="111"/>
        <v>0.05</v>
      </c>
      <c r="N1364" s="475">
        <f t="shared" si="112"/>
        <v>92560</v>
      </c>
    </row>
    <row r="1365" spans="7:14" ht="11.25" customHeight="1" x14ac:dyDescent="0.3">
      <c r="G1365" s="470"/>
      <c r="H1365" s="470">
        <v>1358</v>
      </c>
      <c r="I1365" s="455">
        <f t="shared" ca="1" si="110"/>
        <v>-108373440.67874196</v>
      </c>
      <c r="J1365" s="455">
        <f t="array" ref="J1365">IFERROR(INDEX('Retirement Calculator'!K:K,MATCH('Lorri 401b'!N1365,'Retirement Calculator'!A:A,0),0),0)</f>
        <v>0</v>
      </c>
      <c r="K1365" s="455">
        <f t="shared" ca="1" si="108"/>
        <v>-451556.0028280915</v>
      </c>
      <c r="L1365" s="455">
        <f t="shared" ca="1" si="109"/>
        <v>-108824996.68157005</v>
      </c>
      <c r="M1365" s="471">
        <f t="shared" si="111"/>
        <v>0.05</v>
      </c>
      <c r="N1365" s="475">
        <f t="shared" si="112"/>
        <v>92590</v>
      </c>
    </row>
    <row r="1366" spans="7:14" ht="11.25" customHeight="1" x14ac:dyDescent="0.3">
      <c r="G1366" s="470"/>
      <c r="H1366" s="470">
        <v>1359</v>
      </c>
      <c r="I1366" s="455">
        <f t="shared" ca="1" si="110"/>
        <v>-108824996.68157005</v>
      </c>
      <c r="J1366" s="455">
        <f t="array" ref="J1366">IFERROR(INDEX('Retirement Calculator'!K:K,MATCH('Lorri 401b'!N1366,'Retirement Calculator'!A:A,0),0),0)</f>
        <v>0</v>
      </c>
      <c r="K1366" s="455">
        <f t="shared" ca="1" si="108"/>
        <v>-453437.48617320857</v>
      </c>
      <c r="L1366" s="455">
        <f t="shared" ca="1" si="109"/>
        <v>-109278434.16774327</v>
      </c>
      <c r="M1366" s="471">
        <f t="shared" si="111"/>
        <v>0.05</v>
      </c>
      <c r="N1366" s="475">
        <f t="shared" si="112"/>
        <v>92621</v>
      </c>
    </row>
    <row r="1367" spans="7:14" ht="11.25" customHeight="1" x14ac:dyDescent="0.3">
      <c r="G1367" s="470"/>
      <c r="H1367" s="470">
        <v>1360</v>
      </c>
      <c r="I1367" s="455">
        <f t="shared" ca="1" si="110"/>
        <v>-109278434.16774327</v>
      </c>
      <c r="J1367" s="455">
        <f t="array" ref="J1367">IFERROR(INDEX('Retirement Calculator'!K:K,MATCH('Lorri 401b'!N1367,'Retirement Calculator'!A:A,0),0),0)</f>
        <v>0</v>
      </c>
      <c r="K1367" s="455">
        <f t="shared" ca="1" si="108"/>
        <v>-455326.80903226358</v>
      </c>
      <c r="L1367" s="455">
        <f t="shared" ca="1" si="109"/>
        <v>-109733760.97677553</v>
      </c>
      <c r="M1367" s="471">
        <f t="shared" si="111"/>
        <v>0.05</v>
      </c>
      <c r="N1367" s="475">
        <f t="shared" si="112"/>
        <v>92652</v>
      </c>
    </row>
    <row r="1368" spans="7:14" ht="11.25" customHeight="1" x14ac:dyDescent="0.3">
      <c r="G1368" s="470"/>
      <c r="H1368" s="470">
        <v>1361</v>
      </c>
      <c r="I1368" s="455">
        <f t="shared" ca="1" si="110"/>
        <v>-109733760.97677553</v>
      </c>
      <c r="J1368" s="455">
        <f t="array" ref="J1368">IFERROR(INDEX('Retirement Calculator'!K:K,MATCH('Lorri 401b'!N1368,'Retirement Calculator'!A:A,0),0),0)</f>
        <v>0</v>
      </c>
      <c r="K1368" s="455">
        <f t="shared" ca="1" si="108"/>
        <v>-457224.00406989799</v>
      </c>
      <c r="L1368" s="455">
        <f t="shared" ca="1" si="109"/>
        <v>-110190984.98084542</v>
      </c>
      <c r="M1368" s="471">
        <f t="shared" si="111"/>
        <v>0.05</v>
      </c>
      <c r="N1368" s="475">
        <f t="shared" si="112"/>
        <v>92682</v>
      </c>
    </row>
    <row r="1369" spans="7:14" ht="11.25" customHeight="1" x14ac:dyDescent="0.3">
      <c r="G1369" s="470"/>
      <c r="H1369" s="470">
        <v>1362</v>
      </c>
      <c r="I1369" s="455">
        <f t="shared" ca="1" si="110"/>
        <v>-110190984.98084542</v>
      </c>
      <c r="J1369" s="455">
        <f t="array" ref="J1369">IFERROR(INDEX('Retirement Calculator'!K:K,MATCH('Lorri 401b'!N1369,'Retirement Calculator'!A:A,0),0),0)</f>
        <v>0</v>
      </c>
      <c r="K1369" s="455">
        <f t="shared" ca="1" si="108"/>
        <v>-459129.10408685589</v>
      </c>
      <c r="L1369" s="455">
        <f t="shared" ca="1" si="109"/>
        <v>-110650114.08493228</v>
      </c>
      <c r="M1369" s="471">
        <f t="shared" si="111"/>
        <v>0.05</v>
      </c>
      <c r="N1369" s="475">
        <f t="shared" si="112"/>
        <v>92713</v>
      </c>
    </row>
    <row r="1370" spans="7:14" ht="11.25" customHeight="1" x14ac:dyDescent="0.3">
      <c r="G1370" s="470"/>
      <c r="H1370" s="470">
        <v>1363</v>
      </c>
      <c r="I1370" s="455">
        <f t="shared" ca="1" si="110"/>
        <v>-110650114.08493228</v>
      </c>
      <c r="J1370" s="455">
        <f t="array" ref="J1370">IFERROR(INDEX('Retirement Calculator'!K:K,MATCH('Lorri 401b'!N1370,'Retirement Calculator'!A:A,0),0),0)</f>
        <v>0</v>
      </c>
      <c r="K1370" s="455">
        <f t="shared" ca="1" si="108"/>
        <v>-461042.1420205512</v>
      </c>
      <c r="L1370" s="455">
        <f t="shared" ca="1" si="109"/>
        <v>-111111156.22695284</v>
      </c>
      <c r="M1370" s="471">
        <f t="shared" si="111"/>
        <v>0.05</v>
      </c>
      <c r="N1370" s="475">
        <f t="shared" si="112"/>
        <v>92743</v>
      </c>
    </row>
    <row r="1371" spans="7:14" ht="11.25" customHeight="1" x14ac:dyDescent="0.3">
      <c r="G1371" s="470"/>
      <c r="H1371" s="470">
        <v>1364</v>
      </c>
      <c r="I1371" s="455">
        <f t="shared" ca="1" si="110"/>
        <v>-111111156.22695284</v>
      </c>
      <c r="J1371" s="455">
        <f t="array" ref="J1371">IFERROR(INDEX('Retirement Calculator'!K:K,MATCH('Lorri 401b'!N1371,'Retirement Calculator'!A:A,0),0),0)</f>
        <v>0</v>
      </c>
      <c r="K1371" s="455">
        <f t="shared" ca="1" si="108"/>
        <v>-462963.15094563679</v>
      </c>
      <c r="L1371" s="455">
        <f t="shared" ca="1" si="109"/>
        <v>-111574119.37789847</v>
      </c>
      <c r="M1371" s="471">
        <f t="shared" si="111"/>
        <v>0.05</v>
      </c>
      <c r="N1371" s="475">
        <f t="shared" si="112"/>
        <v>92774</v>
      </c>
    </row>
    <row r="1372" spans="7:14" ht="11.25" customHeight="1" x14ac:dyDescent="0.3">
      <c r="G1372" s="470"/>
      <c r="H1372" s="470">
        <v>1365</v>
      </c>
      <c r="I1372" s="455">
        <f t="shared" ca="1" si="110"/>
        <v>-111574119.37789847</v>
      </c>
      <c r="J1372" s="455">
        <f t="array" ref="J1372">IFERROR(INDEX('Retirement Calculator'!K:K,MATCH('Lorri 401b'!N1372,'Retirement Calculator'!A:A,0),0),0)</f>
        <v>0</v>
      </c>
      <c r="K1372" s="455">
        <f t="shared" ca="1" si="108"/>
        <v>-464892.16407457698</v>
      </c>
      <c r="L1372" s="455">
        <f t="shared" ca="1" si="109"/>
        <v>-112039011.54197304</v>
      </c>
      <c r="M1372" s="471">
        <f t="shared" si="111"/>
        <v>0.05</v>
      </c>
      <c r="N1372" s="475">
        <f t="shared" si="112"/>
        <v>92805</v>
      </c>
    </row>
    <row r="1373" spans="7:14" ht="11.25" customHeight="1" x14ac:dyDescent="0.3">
      <c r="G1373" s="470"/>
      <c r="H1373" s="470">
        <v>1366</v>
      </c>
      <c r="I1373" s="455">
        <f t="shared" ca="1" si="110"/>
        <v>-112039011.54197304</v>
      </c>
      <c r="J1373" s="455">
        <f t="array" ref="J1373">IFERROR(INDEX('Retirement Calculator'!K:K,MATCH('Lorri 401b'!N1373,'Retirement Calculator'!A:A,0),0),0)</f>
        <v>0</v>
      </c>
      <c r="K1373" s="455">
        <f t="shared" ca="1" si="108"/>
        <v>-466829.214758221</v>
      </c>
      <c r="L1373" s="455">
        <f t="shared" ca="1" si="109"/>
        <v>-112505840.75673126</v>
      </c>
      <c r="M1373" s="471">
        <f t="shared" si="111"/>
        <v>0.05</v>
      </c>
      <c r="N1373" s="475">
        <f t="shared" si="112"/>
        <v>92833</v>
      </c>
    </row>
    <row r="1374" spans="7:14" ht="11.25" customHeight="1" x14ac:dyDescent="0.3">
      <c r="G1374" s="470"/>
      <c r="H1374" s="470">
        <v>1367</v>
      </c>
      <c r="I1374" s="455">
        <f t="shared" ca="1" si="110"/>
        <v>-112505840.75673126</v>
      </c>
      <c r="J1374" s="455">
        <f t="array" ref="J1374">IFERROR(INDEX('Retirement Calculator'!K:K,MATCH('Lorri 401b'!N1374,'Retirement Calculator'!A:A,0),0),0)</f>
        <v>0</v>
      </c>
      <c r="K1374" s="455">
        <f t="shared" ca="1" si="108"/>
        <v>-468774.33648638026</v>
      </c>
      <c r="L1374" s="455">
        <f t="shared" ca="1" si="109"/>
        <v>-112974615.09321764</v>
      </c>
      <c r="M1374" s="471">
        <f t="shared" si="111"/>
        <v>0.05</v>
      </c>
      <c r="N1374" s="475">
        <f t="shared" si="112"/>
        <v>92864</v>
      </c>
    </row>
    <row r="1375" spans="7:14" ht="11.25" customHeight="1" x14ac:dyDescent="0.3">
      <c r="G1375" s="470"/>
      <c r="H1375" s="470">
        <v>1368</v>
      </c>
      <c r="I1375" s="455">
        <f t="shared" ca="1" si="110"/>
        <v>-112974615.09321764</v>
      </c>
      <c r="J1375" s="455">
        <f t="array" ref="J1375">IFERROR(INDEX('Retirement Calculator'!K:K,MATCH('Lorri 401b'!N1375,'Retirement Calculator'!A:A,0),0),0)</f>
        <v>0</v>
      </c>
      <c r="K1375" s="455">
        <f t="shared" ca="1" si="108"/>
        <v>-470727.56288840692</v>
      </c>
      <c r="L1375" s="455">
        <f t="shared" ca="1" si="109"/>
        <v>-113445342.65610605</v>
      </c>
      <c r="M1375" s="471">
        <f t="shared" si="111"/>
        <v>0.05</v>
      </c>
      <c r="N1375" s="475">
        <f t="shared" si="112"/>
        <v>92894</v>
      </c>
    </row>
    <row r="1376" spans="7:14" ht="11.25" customHeight="1" x14ac:dyDescent="0.3">
      <c r="G1376" s="470"/>
      <c r="H1376" s="470">
        <v>1369</v>
      </c>
      <c r="I1376" s="455">
        <f t="shared" ca="1" si="110"/>
        <v>-113445342.65610605</v>
      </c>
      <c r="J1376" s="455">
        <f t="array" ref="J1376">IFERROR(INDEX('Retirement Calculator'!K:K,MATCH('Lorri 401b'!N1376,'Retirement Calculator'!A:A,0),0),0)</f>
        <v>0</v>
      </c>
      <c r="K1376" s="455">
        <f t="shared" ca="1" si="108"/>
        <v>-472688.92773377523</v>
      </c>
      <c r="L1376" s="455">
        <f t="shared" ca="1" si="109"/>
        <v>-113918031.58383983</v>
      </c>
      <c r="M1376" s="471">
        <f t="shared" si="111"/>
        <v>0.05</v>
      </c>
      <c r="N1376" s="475">
        <f t="shared" si="112"/>
        <v>92925</v>
      </c>
    </row>
    <row r="1377" spans="7:14" ht="11.25" customHeight="1" x14ac:dyDescent="0.3">
      <c r="G1377" s="470"/>
      <c r="H1377" s="470">
        <v>1370</v>
      </c>
      <c r="I1377" s="455">
        <f t="shared" ca="1" si="110"/>
        <v>-113918031.58383983</v>
      </c>
      <c r="J1377" s="455">
        <f t="array" ref="J1377">IFERROR(INDEX('Retirement Calculator'!K:K,MATCH('Lorri 401b'!N1377,'Retirement Calculator'!A:A,0),0),0)</f>
        <v>0</v>
      </c>
      <c r="K1377" s="455">
        <f t="shared" ca="1" si="108"/>
        <v>-474658.46493266599</v>
      </c>
      <c r="L1377" s="455">
        <f t="shared" ca="1" si="109"/>
        <v>-114392690.0487725</v>
      </c>
      <c r="M1377" s="471">
        <f t="shared" si="111"/>
        <v>0.05</v>
      </c>
      <c r="N1377" s="475">
        <f t="shared" si="112"/>
        <v>92955</v>
      </c>
    </row>
    <row r="1378" spans="7:14" ht="11.25" customHeight="1" x14ac:dyDescent="0.3">
      <c r="G1378" s="470"/>
      <c r="H1378" s="470">
        <v>1371</v>
      </c>
      <c r="I1378" s="455">
        <f t="shared" ca="1" si="110"/>
        <v>-114392690.0487725</v>
      </c>
      <c r="J1378" s="455">
        <f t="array" ref="J1378">IFERROR(INDEX('Retirement Calculator'!K:K,MATCH('Lorri 401b'!N1378,'Retirement Calculator'!A:A,0),0),0)</f>
        <v>0</v>
      </c>
      <c r="K1378" s="455">
        <f t="shared" ca="1" si="108"/>
        <v>-476636.20853655215</v>
      </c>
      <c r="L1378" s="455">
        <f t="shared" ca="1" si="109"/>
        <v>-114869326.25730905</v>
      </c>
      <c r="M1378" s="471">
        <f t="shared" si="111"/>
        <v>0.05</v>
      </c>
      <c r="N1378" s="475">
        <f t="shared" si="112"/>
        <v>92986</v>
      </c>
    </row>
    <row r="1379" spans="7:14" ht="11.25" customHeight="1" x14ac:dyDescent="0.3">
      <c r="G1379" s="470"/>
      <c r="H1379" s="470">
        <v>1372</v>
      </c>
      <c r="I1379" s="455">
        <f t="shared" ca="1" si="110"/>
        <v>-114869326.25730905</v>
      </c>
      <c r="J1379" s="455">
        <f t="array" ref="J1379">IFERROR(INDEX('Retirement Calculator'!K:K,MATCH('Lorri 401b'!N1379,'Retirement Calculator'!A:A,0),0),0)</f>
        <v>0</v>
      </c>
      <c r="K1379" s="455">
        <f t="shared" ca="1" si="108"/>
        <v>-478622.19273878774</v>
      </c>
      <c r="L1379" s="455">
        <f t="shared" ca="1" si="109"/>
        <v>-115347948.45004784</v>
      </c>
      <c r="M1379" s="471">
        <f t="shared" si="111"/>
        <v>0.05</v>
      </c>
      <c r="N1379" s="475">
        <f t="shared" si="112"/>
        <v>93017</v>
      </c>
    </row>
    <row r="1380" spans="7:14" ht="11.25" customHeight="1" x14ac:dyDescent="0.3">
      <c r="G1380" s="470"/>
      <c r="H1380" s="470">
        <v>1373</v>
      </c>
      <c r="I1380" s="455">
        <f t="shared" ca="1" si="110"/>
        <v>-115347948.45004784</v>
      </c>
      <c r="J1380" s="455">
        <f t="array" ref="J1380">IFERROR(INDEX('Retirement Calculator'!K:K,MATCH('Lorri 401b'!N1380,'Retirement Calculator'!A:A,0),0),0)</f>
        <v>0</v>
      </c>
      <c r="K1380" s="455">
        <f t="shared" ca="1" si="108"/>
        <v>-480616.45187519933</v>
      </c>
      <c r="L1380" s="455">
        <f t="shared" ca="1" si="109"/>
        <v>-115828564.90192303</v>
      </c>
      <c r="M1380" s="471">
        <f t="shared" si="111"/>
        <v>0.05</v>
      </c>
      <c r="N1380" s="475">
        <f t="shared" si="112"/>
        <v>93047</v>
      </c>
    </row>
    <row r="1381" spans="7:14" ht="11.25" customHeight="1" x14ac:dyDescent="0.3">
      <c r="G1381" s="470"/>
      <c r="H1381" s="470">
        <v>1374</v>
      </c>
      <c r="I1381" s="455">
        <f t="shared" ca="1" si="110"/>
        <v>-115828564.90192303</v>
      </c>
      <c r="J1381" s="455">
        <f t="array" ref="J1381">IFERROR(INDEX('Retirement Calculator'!K:K,MATCH('Lorri 401b'!N1381,'Retirement Calculator'!A:A,0),0),0)</f>
        <v>0</v>
      </c>
      <c r="K1381" s="455">
        <f t="shared" ca="1" si="108"/>
        <v>-482619.02042467927</v>
      </c>
      <c r="L1381" s="455">
        <f t="shared" ca="1" si="109"/>
        <v>-116311183.92234771</v>
      </c>
      <c r="M1381" s="471">
        <f t="shared" si="111"/>
        <v>0.05</v>
      </c>
      <c r="N1381" s="475">
        <f t="shared" si="112"/>
        <v>93078</v>
      </c>
    </row>
    <row r="1382" spans="7:14" ht="11.25" customHeight="1" x14ac:dyDescent="0.3">
      <c r="G1382" s="470"/>
      <c r="H1382" s="470">
        <v>1375</v>
      </c>
      <c r="I1382" s="455">
        <f t="shared" ca="1" si="110"/>
        <v>-116311183.92234771</v>
      </c>
      <c r="J1382" s="455">
        <f t="array" ref="J1382">IFERROR(INDEX('Retirement Calculator'!K:K,MATCH('Lorri 401b'!N1382,'Retirement Calculator'!A:A,0),0),0)</f>
        <v>0</v>
      </c>
      <c r="K1382" s="455">
        <f t="shared" ca="1" si="108"/>
        <v>-484629.93300978211</v>
      </c>
      <c r="L1382" s="455">
        <f t="shared" ca="1" si="109"/>
        <v>-116795813.8553575</v>
      </c>
      <c r="M1382" s="471">
        <f t="shared" si="111"/>
        <v>0.05</v>
      </c>
      <c r="N1382" s="475">
        <f t="shared" si="112"/>
        <v>93108</v>
      </c>
    </row>
    <row r="1383" spans="7:14" ht="11.25" customHeight="1" x14ac:dyDescent="0.3">
      <c r="G1383" s="470"/>
      <c r="H1383" s="470">
        <v>1376</v>
      </c>
      <c r="I1383" s="455">
        <f t="shared" ca="1" si="110"/>
        <v>-116795813.8553575</v>
      </c>
      <c r="J1383" s="455">
        <f t="array" ref="J1383">IFERROR(INDEX('Retirement Calculator'!K:K,MATCH('Lorri 401b'!N1383,'Retirement Calculator'!A:A,0),0),0)</f>
        <v>0</v>
      </c>
      <c r="K1383" s="455">
        <f t="shared" ca="1" si="108"/>
        <v>-486649.22439732292</v>
      </c>
      <c r="L1383" s="455">
        <f t="shared" ca="1" si="109"/>
        <v>-117282463.07975481</v>
      </c>
      <c r="M1383" s="471">
        <f t="shared" si="111"/>
        <v>0.05</v>
      </c>
      <c r="N1383" s="475">
        <f t="shared" si="112"/>
        <v>93139</v>
      </c>
    </row>
    <row r="1384" spans="7:14" ht="11.25" customHeight="1" x14ac:dyDescent="0.3">
      <c r="G1384" s="470"/>
      <c r="H1384" s="470">
        <v>1377</v>
      </c>
      <c r="I1384" s="455">
        <f t="shared" ca="1" si="110"/>
        <v>-117282463.07975481</v>
      </c>
      <c r="J1384" s="455">
        <f t="array" ref="J1384">IFERROR(INDEX('Retirement Calculator'!K:K,MATCH('Lorri 401b'!N1384,'Retirement Calculator'!A:A,0),0),0)</f>
        <v>0</v>
      </c>
      <c r="K1384" s="455">
        <f t="shared" ca="1" si="108"/>
        <v>-488676.92949897831</v>
      </c>
      <c r="L1384" s="455">
        <f t="shared" ca="1" si="109"/>
        <v>-117771140.0092538</v>
      </c>
      <c r="M1384" s="471">
        <f t="shared" si="111"/>
        <v>0.05</v>
      </c>
      <c r="N1384" s="475">
        <f t="shared" si="112"/>
        <v>93170</v>
      </c>
    </row>
    <row r="1385" spans="7:14" ht="11.25" customHeight="1" x14ac:dyDescent="0.3">
      <c r="G1385" s="470"/>
      <c r="H1385" s="470">
        <v>1378</v>
      </c>
      <c r="I1385" s="455">
        <f t="shared" ca="1" si="110"/>
        <v>-117771140.0092538</v>
      </c>
      <c r="J1385" s="455">
        <f t="array" ref="J1385">IFERROR(INDEX('Retirement Calculator'!K:K,MATCH('Lorri 401b'!N1385,'Retirement Calculator'!A:A,0),0),0)</f>
        <v>0</v>
      </c>
      <c r="K1385" s="455">
        <f t="shared" ca="1" si="108"/>
        <v>-490713.08337189083</v>
      </c>
      <c r="L1385" s="455">
        <f t="shared" ca="1" si="109"/>
        <v>-118261853.09262569</v>
      </c>
      <c r="M1385" s="471">
        <f t="shared" si="111"/>
        <v>0.05</v>
      </c>
      <c r="N1385" s="475">
        <f t="shared" si="112"/>
        <v>93198</v>
      </c>
    </row>
    <row r="1386" spans="7:14" ht="11.25" customHeight="1" x14ac:dyDescent="0.3">
      <c r="G1386" s="470"/>
      <c r="H1386" s="470">
        <v>1379</v>
      </c>
      <c r="I1386" s="455">
        <f t="shared" ca="1" si="110"/>
        <v>-118261853.09262569</v>
      </c>
      <c r="J1386" s="455">
        <f t="array" ref="J1386">IFERROR(INDEX('Retirement Calculator'!K:K,MATCH('Lorri 401b'!N1386,'Retirement Calculator'!A:A,0),0),0)</f>
        <v>0</v>
      </c>
      <c r="K1386" s="455">
        <f t="shared" ca="1" si="108"/>
        <v>-492757.72121927369</v>
      </c>
      <c r="L1386" s="455">
        <f t="shared" ca="1" si="109"/>
        <v>-118754610.81384496</v>
      </c>
      <c r="M1386" s="471">
        <f t="shared" si="111"/>
        <v>0.05</v>
      </c>
      <c r="N1386" s="475">
        <f t="shared" si="112"/>
        <v>93229</v>
      </c>
    </row>
    <row r="1387" spans="7:14" ht="11.25" customHeight="1" x14ac:dyDescent="0.3">
      <c r="G1387" s="470"/>
      <c r="H1387" s="470">
        <v>1380</v>
      </c>
      <c r="I1387" s="455">
        <f t="shared" ca="1" si="110"/>
        <v>-118754610.81384496</v>
      </c>
      <c r="J1387" s="455">
        <f t="array" ref="J1387">IFERROR(INDEX('Retirement Calculator'!K:K,MATCH('Lorri 401b'!N1387,'Retirement Calculator'!A:A,0),0),0)</f>
        <v>0</v>
      </c>
      <c r="K1387" s="455">
        <f t="shared" ca="1" si="108"/>
        <v>-494810.87839102076</v>
      </c>
      <c r="L1387" s="455">
        <f t="shared" ca="1" si="109"/>
        <v>-119249421.69223599</v>
      </c>
      <c r="M1387" s="471">
        <f t="shared" si="111"/>
        <v>0.05</v>
      </c>
      <c r="N1387" s="475">
        <f t="shared" si="112"/>
        <v>93259</v>
      </c>
    </row>
    <row r="1388" spans="7:14" ht="11.25" customHeight="1" x14ac:dyDescent="0.3">
      <c r="G1388" s="470"/>
      <c r="H1388" s="470">
        <v>1381</v>
      </c>
      <c r="I1388" s="455">
        <f t="shared" ca="1" si="110"/>
        <v>-119249421.69223599</v>
      </c>
      <c r="J1388" s="455">
        <f t="array" ref="J1388">IFERROR(INDEX('Retirement Calculator'!K:K,MATCH('Lorri 401b'!N1388,'Retirement Calculator'!A:A,0),0),0)</f>
        <v>0</v>
      </c>
      <c r="K1388" s="455">
        <f t="shared" ca="1" si="108"/>
        <v>-496872.59038431669</v>
      </c>
      <c r="L1388" s="455">
        <f t="shared" ca="1" si="109"/>
        <v>-119746294.28262031</v>
      </c>
      <c r="M1388" s="471">
        <f t="shared" si="111"/>
        <v>0.05</v>
      </c>
      <c r="N1388" s="475">
        <f t="shared" si="112"/>
        <v>93290</v>
      </c>
    </row>
    <row r="1389" spans="7:14" ht="11.25" customHeight="1" x14ac:dyDescent="0.3">
      <c r="G1389" s="470"/>
      <c r="H1389" s="470">
        <v>1382</v>
      </c>
      <c r="I1389" s="455">
        <f t="shared" ca="1" si="110"/>
        <v>-119746294.28262031</v>
      </c>
      <c r="J1389" s="455">
        <f t="array" ref="J1389">IFERROR(INDEX('Retirement Calculator'!K:K,MATCH('Lorri 401b'!N1389,'Retirement Calculator'!A:A,0),0),0)</f>
        <v>0</v>
      </c>
      <c r="K1389" s="455">
        <f t="shared" ca="1" si="108"/>
        <v>-498942.8928442513</v>
      </c>
      <c r="L1389" s="455">
        <f t="shared" ca="1" si="109"/>
        <v>-120245237.17546456</v>
      </c>
      <c r="M1389" s="471">
        <f t="shared" si="111"/>
        <v>0.05</v>
      </c>
      <c r="N1389" s="475">
        <f t="shared" si="112"/>
        <v>93320</v>
      </c>
    </row>
    <row r="1390" spans="7:14" ht="11.25" customHeight="1" x14ac:dyDescent="0.3">
      <c r="G1390" s="470"/>
      <c r="H1390" s="470">
        <v>1383</v>
      </c>
      <c r="I1390" s="455">
        <f t="shared" ca="1" si="110"/>
        <v>-120245237.17546456</v>
      </c>
      <c r="J1390" s="455">
        <f t="array" ref="J1390">IFERROR(INDEX('Retirement Calculator'!K:K,MATCH('Lorri 401b'!N1390,'Retirement Calculator'!A:A,0),0),0)</f>
        <v>0</v>
      </c>
      <c r="K1390" s="455">
        <f t="shared" ca="1" si="108"/>
        <v>-501021.82156443555</v>
      </c>
      <c r="L1390" s="455">
        <f t="shared" ca="1" si="109"/>
        <v>-120746258.99702899</v>
      </c>
      <c r="M1390" s="471">
        <f t="shared" si="111"/>
        <v>0.05</v>
      </c>
      <c r="N1390" s="475">
        <f t="shared" si="112"/>
        <v>93351</v>
      </c>
    </row>
    <row r="1391" spans="7:14" ht="11.25" customHeight="1" x14ac:dyDescent="0.3">
      <c r="G1391" s="470"/>
      <c r="H1391" s="470">
        <v>1384</v>
      </c>
      <c r="I1391" s="455">
        <f t="shared" ca="1" si="110"/>
        <v>-120746258.99702899</v>
      </c>
      <c r="J1391" s="455">
        <f t="array" ref="J1391">IFERROR(INDEX('Retirement Calculator'!K:K,MATCH('Lorri 401b'!N1391,'Retirement Calculator'!A:A,0),0),0)</f>
        <v>0</v>
      </c>
      <c r="K1391" s="455">
        <f t="shared" ca="1" si="108"/>
        <v>-503109.41248762078</v>
      </c>
      <c r="L1391" s="455">
        <f t="shared" ca="1" si="109"/>
        <v>-121249368.40951662</v>
      </c>
      <c r="M1391" s="471">
        <f t="shared" si="111"/>
        <v>0.05</v>
      </c>
      <c r="N1391" s="475">
        <f t="shared" si="112"/>
        <v>93382</v>
      </c>
    </row>
    <row r="1392" spans="7:14" ht="11.25" customHeight="1" x14ac:dyDescent="0.3">
      <c r="G1392" s="470"/>
      <c r="H1392" s="470">
        <v>1385</v>
      </c>
      <c r="I1392" s="455">
        <f t="shared" ca="1" si="110"/>
        <v>-121249368.40951662</v>
      </c>
      <c r="J1392" s="455">
        <f t="array" ref="J1392">IFERROR(INDEX('Retirement Calculator'!K:K,MATCH('Lorri 401b'!N1392,'Retirement Calculator'!A:A,0),0),0)</f>
        <v>0</v>
      </c>
      <c r="K1392" s="455">
        <f t="shared" ca="1" si="108"/>
        <v>-505205.70170631923</v>
      </c>
      <c r="L1392" s="455">
        <f t="shared" ca="1" si="109"/>
        <v>-121754574.11122294</v>
      </c>
      <c r="M1392" s="471">
        <f t="shared" si="111"/>
        <v>0.05</v>
      </c>
      <c r="N1392" s="475">
        <f t="shared" si="112"/>
        <v>93412</v>
      </c>
    </row>
    <row r="1393" spans="7:14" ht="11.25" customHeight="1" x14ac:dyDescent="0.3">
      <c r="G1393" s="470"/>
      <c r="H1393" s="470">
        <v>1386</v>
      </c>
      <c r="I1393" s="455">
        <f t="shared" ca="1" si="110"/>
        <v>-121754574.11122294</v>
      </c>
      <c r="J1393" s="455">
        <f t="array" ref="J1393">IFERROR(INDEX('Retirement Calculator'!K:K,MATCH('Lorri 401b'!N1393,'Retirement Calculator'!A:A,0),0),0)</f>
        <v>0</v>
      </c>
      <c r="K1393" s="455">
        <f t="shared" ca="1" si="108"/>
        <v>-507310.72546342888</v>
      </c>
      <c r="L1393" s="455">
        <f t="shared" ca="1" si="109"/>
        <v>-122261884.83668637</v>
      </c>
      <c r="M1393" s="471">
        <f t="shared" si="111"/>
        <v>0.05</v>
      </c>
      <c r="N1393" s="475">
        <f t="shared" si="112"/>
        <v>93443</v>
      </c>
    </row>
    <row r="1394" spans="7:14" ht="11.25" customHeight="1" x14ac:dyDescent="0.3">
      <c r="G1394" s="470"/>
      <c r="H1394" s="470">
        <v>1387</v>
      </c>
      <c r="I1394" s="455">
        <f t="shared" ca="1" si="110"/>
        <v>-122261884.83668637</v>
      </c>
      <c r="J1394" s="455">
        <f t="array" ref="J1394">IFERROR(INDEX('Retirement Calculator'!K:K,MATCH('Lorri 401b'!N1394,'Retirement Calculator'!A:A,0),0),0)</f>
        <v>0</v>
      </c>
      <c r="K1394" s="455">
        <f t="shared" ca="1" si="108"/>
        <v>-509424.52015285991</v>
      </c>
      <c r="L1394" s="455">
        <f t="shared" ca="1" si="109"/>
        <v>-122771309.35683924</v>
      </c>
      <c r="M1394" s="471">
        <f t="shared" si="111"/>
        <v>0.05</v>
      </c>
      <c r="N1394" s="475">
        <f t="shared" si="112"/>
        <v>93473</v>
      </c>
    </row>
    <row r="1395" spans="7:14" ht="11.25" customHeight="1" x14ac:dyDescent="0.3">
      <c r="G1395" s="470"/>
      <c r="H1395" s="470">
        <v>1388</v>
      </c>
      <c r="I1395" s="455">
        <f t="shared" ca="1" si="110"/>
        <v>-122771309.35683924</v>
      </c>
      <c r="J1395" s="455">
        <f t="array" ref="J1395">IFERROR(INDEX('Retirement Calculator'!K:K,MATCH('Lorri 401b'!N1395,'Retirement Calculator'!A:A,0),0),0)</f>
        <v>0</v>
      </c>
      <c r="K1395" s="455">
        <f t="shared" ca="1" si="108"/>
        <v>-511547.12232016347</v>
      </c>
      <c r="L1395" s="455">
        <f t="shared" ca="1" si="109"/>
        <v>-123282856.4791594</v>
      </c>
      <c r="M1395" s="471">
        <f t="shared" si="111"/>
        <v>0.05</v>
      </c>
      <c r="N1395" s="475">
        <f t="shared" si="112"/>
        <v>93504</v>
      </c>
    </row>
    <row r="1396" spans="7:14" ht="11.25" customHeight="1" x14ac:dyDescent="0.3">
      <c r="G1396" s="470"/>
      <c r="H1396" s="470">
        <v>1389</v>
      </c>
      <c r="I1396" s="455">
        <f t="shared" ca="1" si="110"/>
        <v>-123282856.4791594</v>
      </c>
      <c r="J1396" s="455">
        <f t="array" ref="J1396">IFERROR(INDEX('Retirement Calculator'!K:K,MATCH('Lorri 401b'!N1396,'Retirement Calculator'!A:A,0),0),0)</f>
        <v>0</v>
      </c>
      <c r="K1396" s="455">
        <f t="shared" ca="1" si="108"/>
        <v>-513678.56866316422</v>
      </c>
      <c r="L1396" s="455">
        <f t="shared" ca="1" si="109"/>
        <v>-123796535.04782256</v>
      </c>
      <c r="M1396" s="471">
        <f t="shared" si="111"/>
        <v>0.05</v>
      </c>
      <c r="N1396" s="475">
        <f t="shared" si="112"/>
        <v>93535</v>
      </c>
    </row>
    <row r="1397" spans="7:14" ht="11.25" customHeight="1" x14ac:dyDescent="0.3">
      <c r="G1397" s="470"/>
      <c r="H1397" s="470">
        <v>1390</v>
      </c>
      <c r="I1397" s="455">
        <f t="shared" ca="1" si="110"/>
        <v>-123796535.04782256</v>
      </c>
      <c r="J1397" s="455">
        <f t="array" ref="J1397">IFERROR(INDEX('Retirement Calculator'!K:K,MATCH('Lorri 401b'!N1397,'Retirement Calculator'!A:A,0),0),0)</f>
        <v>0</v>
      </c>
      <c r="K1397" s="455">
        <f t="shared" ca="1" si="108"/>
        <v>-515818.89603259403</v>
      </c>
      <c r="L1397" s="455">
        <f t="shared" ca="1" si="109"/>
        <v>-124312353.94385515</v>
      </c>
      <c r="M1397" s="471">
        <f t="shared" si="111"/>
        <v>0.05</v>
      </c>
      <c r="N1397" s="475">
        <f t="shared" si="112"/>
        <v>93564</v>
      </c>
    </row>
    <row r="1398" spans="7:14" ht="11.25" customHeight="1" x14ac:dyDescent="0.3">
      <c r="G1398" s="470"/>
      <c r="H1398" s="470">
        <v>1391</v>
      </c>
      <c r="I1398" s="455">
        <f t="shared" ca="1" si="110"/>
        <v>-124312353.94385515</v>
      </c>
      <c r="J1398" s="455">
        <f t="array" ref="J1398">IFERROR(INDEX('Retirement Calculator'!K:K,MATCH('Lorri 401b'!N1398,'Retirement Calculator'!A:A,0),0),0)</f>
        <v>0</v>
      </c>
      <c r="K1398" s="455">
        <f t="shared" ca="1" si="108"/>
        <v>-517968.14143272978</v>
      </c>
      <c r="L1398" s="455">
        <f t="shared" ca="1" si="109"/>
        <v>-124830322.08528788</v>
      </c>
      <c r="M1398" s="471">
        <f t="shared" si="111"/>
        <v>0.05</v>
      </c>
      <c r="N1398" s="475">
        <f t="shared" si="112"/>
        <v>93595</v>
      </c>
    </row>
    <row r="1399" spans="7:14" ht="11.25" customHeight="1" x14ac:dyDescent="0.3">
      <c r="G1399" s="470"/>
      <c r="H1399" s="470">
        <v>1392</v>
      </c>
      <c r="I1399" s="455">
        <f t="shared" ca="1" si="110"/>
        <v>-124830322.08528788</v>
      </c>
      <c r="J1399" s="455">
        <f t="array" ref="J1399">IFERROR(INDEX('Retirement Calculator'!K:K,MATCH('Lorri 401b'!N1399,'Retirement Calculator'!A:A,0),0),0)</f>
        <v>0</v>
      </c>
      <c r="K1399" s="455">
        <f t="shared" ca="1" si="108"/>
        <v>-520126.34202203283</v>
      </c>
      <c r="L1399" s="455">
        <f t="shared" ca="1" si="109"/>
        <v>-125350448.42730992</v>
      </c>
      <c r="M1399" s="471">
        <f t="shared" si="111"/>
        <v>0.05</v>
      </c>
      <c r="N1399" s="475">
        <f t="shared" si="112"/>
        <v>93625</v>
      </c>
    </row>
    <row r="1400" spans="7:14" ht="11.25" customHeight="1" x14ac:dyDescent="0.3">
      <c r="G1400" s="470"/>
      <c r="H1400" s="470">
        <v>1393</v>
      </c>
      <c r="I1400" s="455">
        <f t="shared" ca="1" si="110"/>
        <v>-125350448.42730992</v>
      </c>
      <c r="J1400" s="455">
        <f t="array" ref="J1400">IFERROR(INDEX('Retirement Calculator'!K:K,MATCH('Lorri 401b'!N1400,'Retirement Calculator'!A:A,0),0),0)</f>
        <v>0</v>
      </c>
      <c r="K1400" s="455">
        <f t="shared" ca="1" si="108"/>
        <v>-522293.53511379129</v>
      </c>
      <c r="L1400" s="455">
        <f t="shared" ca="1" si="109"/>
        <v>-125872741.96242371</v>
      </c>
      <c r="M1400" s="471">
        <f t="shared" si="111"/>
        <v>0.05</v>
      </c>
      <c r="N1400" s="475">
        <f t="shared" si="112"/>
        <v>93656</v>
      </c>
    </row>
    <row r="1401" spans="7:14" ht="11.25" customHeight="1" x14ac:dyDescent="0.3">
      <c r="G1401" s="470"/>
      <c r="H1401" s="470">
        <v>1394</v>
      </c>
      <c r="I1401" s="455">
        <f t="shared" ca="1" si="110"/>
        <v>-125872741.96242371</v>
      </c>
      <c r="J1401" s="455">
        <f t="array" ref="J1401">IFERROR(INDEX('Retirement Calculator'!K:K,MATCH('Lorri 401b'!N1401,'Retirement Calculator'!A:A,0),0),0)</f>
        <v>0</v>
      </c>
      <c r="K1401" s="455">
        <f t="shared" ca="1" si="108"/>
        <v>-524469.7581767654</v>
      </c>
      <c r="L1401" s="455">
        <f t="shared" ca="1" si="109"/>
        <v>-126397211.72060047</v>
      </c>
      <c r="M1401" s="471">
        <f t="shared" si="111"/>
        <v>0.05</v>
      </c>
      <c r="N1401" s="475">
        <f t="shared" si="112"/>
        <v>93686</v>
      </c>
    </row>
    <row r="1402" spans="7:14" ht="11.25" customHeight="1" x14ac:dyDescent="0.3">
      <c r="G1402" s="470"/>
      <c r="H1402" s="470">
        <v>1395</v>
      </c>
      <c r="I1402" s="455">
        <f t="shared" ca="1" si="110"/>
        <v>-126397211.72060047</v>
      </c>
      <c r="J1402" s="455">
        <f t="array" ref="J1402">IFERROR(INDEX('Retirement Calculator'!K:K,MATCH('Lorri 401b'!N1402,'Retirement Calculator'!A:A,0),0),0)</f>
        <v>0</v>
      </c>
      <c r="K1402" s="455">
        <f t="shared" ca="1" si="108"/>
        <v>-526655.0488358353</v>
      </c>
      <c r="L1402" s="455">
        <f t="shared" ca="1" si="109"/>
        <v>-126923866.7694363</v>
      </c>
      <c r="M1402" s="471">
        <f t="shared" si="111"/>
        <v>0.05</v>
      </c>
      <c r="N1402" s="475">
        <f t="shared" si="112"/>
        <v>93717</v>
      </c>
    </row>
    <row r="1403" spans="7:14" ht="11.25" customHeight="1" x14ac:dyDescent="0.3">
      <c r="G1403" s="470"/>
      <c r="H1403" s="470">
        <v>1396</v>
      </c>
      <c r="I1403" s="455">
        <f t="shared" ca="1" si="110"/>
        <v>-126923866.7694363</v>
      </c>
      <c r="J1403" s="455">
        <f t="array" ref="J1403">IFERROR(INDEX('Retirement Calculator'!K:K,MATCH('Lorri 401b'!N1403,'Retirement Calculator'!A:A,0),0),0)</f>
        <v>0</v>
      </c>
      <c r="K1403" s="455">
        <f t="shared" ca="1" si="108"/>
        <v>-528849.44487265125</v>
      </c>
      <c r="L1403" s="455">
        <f t="shared" ca="1" si="109"/>
        <v>-127452716.21430895</v>
      </c>
      <c r="M1403" s="471">
        <f t="shared" si="111"/>
        <v>0.05</v>
      </c>
      <c r="N1403" s="475">
        <f t="shared" si="112"/>
        <v>93748</v>
      </c>
    </row>
    <row r="1404" spans="7:14" ht="11.25" customHeight="1" x14ac:dyDescent="0.3">
      <c r="G1404" s="470"/>
      <c r="H1404" s="470">
        <v>1397</v>
      </c>
      <c r="I1404" s="455">
        <f t="shared" ca="1" si="110"/>
        <v>-127452716.21430895</v>
      </c>
      <c r="J1404" s="455">
        <f t="array" ref="J1404">IFERROR(INDEX('Retirement Calculator'!K:K,MATCH('Lorri 401b'!N1404,'Retirement Calculator'!A:A,0),0),0)</f>
        <v>0</v>
      </c>
      <c r="K1404" s="455">
        <f t="shared" ca="1" si="108"/>
        <v>-531052.98422628723</v>
      </c>
      <c r="L1404" s="455">
        <f t="shared" ca="1" si="109"/>
        <v>-127983769.19853523</v>
      </c>
      <c r="M1404" s="471">
        <f t="shared" si="111"/>
        <v>0.05</v>
      </c>
      <c r="N1404" s="475">
        <f t="shared" si="112"/>
        <v>93778</v>
      </c>
    </row>
    <row r="1405" spans="7:14" ht="11.25" customHeight="1" x14ac:dyDescent="0.3">
      <c r="G1405" s="470"/>
      <c r="H1405" s="470">
        <v>1398</v>
      </c>
      <c r="I1405" s="455">
        <f t="shared" ca="1" si="110"/>
        <v>-127983769.19853523</v>
      </c>
      <c r="J1405" s="455">
        <f t="array" ref="J1405">IFERROR(INDEX('Retirement Calculator'!K:K,MATCH('Lorri 401b'!N1405,'Retirement Calculator'!A:A,0),0),0)</f>
        <v>0</v>
      </c>
      <c r="K1405" s="455">
        <f t="shared" ca="1" si="108"/>
        <v>-533265.70499389677</v>
      </c>
      <c r="L1405" s="455">
        <f t="shared" ca="1" si="109"/>
        <v>-128517034.90352914</v>
      </c>
      <c r="M1405" s="471">
        <f t="shared" si="111"/>
        <v>0.05</v>
      </c>
      <c r="N1405" s="475">
        <f t="shared" si="112"/>
        <v>93809</v>
      </c>
    </row>
    <row r="1406" spans="7:14" ht="11.25" customHeight="1" x14ac:dyDescent="0.3">
      <c r="G1406" s="470"/>
      <c r="H1406" s="470">
        <v>1399</v>
      </c>
      <c r="I1406" s="455">
        <f t="shared" ca="1" si="110"/>
        <v>-128517034.90352914</v>
      </c>
      <c r="J1406" s="455">
        <f t="array" ref="J1406">IFERROR(INDEX('Retirement Calculator'!K:K,MATCH('Lorri 401b'!N1406,'Retirement Calculator'!A:A,0),0),0)</f>
        <v>0</v>
      </c>
      <c r="K1406" s="455">
        <f t="shared" ca="1" si="108"/>
        <v>-535487.64543137141</v>
      </c>
      <c r="L1406" s="455">
        <f t="shared" ca="1" si="109"/>
        <v>-129052522.54896051</v>
      </c>
      <c r="M1406" s="471">
        <f t="shared" si="111"/>
        <v>0.05</v>
      </c>
      <c r="N1406" s="475">
        <f t="shared" si="112"/>
        <v>93839</v>
      </c>
    </row>
    <row r="1407" spans="7:14" ht="11.25" customHeight="1" x14ac:dyDescent="0.3">
      <c r="G1407" s="470"/>
      <c r="H1407" s="470">
        <v>1400</v>
      </c>
      <c r="I1407" s="455">
        <f t="shared" ca="1" si="110"/>
        <v>-129052522.54896051</v>
      </c>
      <c r="J1407" s="455">
        <f t="array" ref="J1407">IFERROR(INDEX('Retirement Calculator'!K:K,MATCH('Lorri 401b'!N1407,'Retirement Calculator'!A:A,0),0),0)</f>
        <v>0</v>
      </c>
      <c r="K1407" s="455">
        <f t="shared" ca="1" si="108"/>
        <v>-537718.84395400214</v>
      </c>
      <c r="L1407" s="455">
        <f t="shared" ca="1" si="109"/>
        <v>-129590241.3929145</v>
      </c>
      <c r="M1407" s="471">
        <f t="shared" si="111"/>
        <v>0.05</v>
      </c>
      <c r="N1407" s="475">
        <f t="shared" si="112"/>
        <v>93870</v>
      </c>
    </row>
    <row r="1408" spans="7:14" ht="11.25" customHeight="1" x14ac:dyDescent="0.3">
      <c r="G1408" s="470"/>
      <c r="H1408" s="470">
        <v>1401</v>
      </c>
      <c r="I1408" s="455">
        <f t="shared" ca="1" si="110"/>
        <v>-129590241.3929145</v>
      </c>
      <c r="J1408" s="455">
        <f t="array" ref="J1408">IFERROR(INDEX('Retirement Calculator'!K:K,MATCH('Lorri 401b'!N1408,'Retirement Calculator'!A:A,0),0),0)</f>
        <v>0</v>
      </c>
      <c r="K1408" s="455">
        <f t="shared" ca="1" si="108"/>
        <v>-539959.33913714369</v>
      </c>
      <c r="L1408" s="455">
        <f t="shared" ca="1" si="109"/>
        <v>-130130200.73205164</v>
      </c>
      <c r="M1408" s="471">
        <f t="shared" si="111"/>
        <v>0.05</v>
      </c>
      <c r="N1408" s="475">
        <f t="shared" si="112"/>
        <v>93901</v>
      </c>
    </row>
    <row r="1409" spans="7:14" ht="11.25" customHeight="1" x14ac:dyDescent="0.3">
      <c r="G1409" s="470"/>
      <c r="H1409" s="470">
        <v>1402</v>
      </c>
      <c r="I1409" s="455">
        <f t="shared" ca="1" si="110"/>
        <v>-130130200.73205164</v>
      </c>
      <c r="J1409" s="455">
        <f t="array" ref="J1409">IFERROR(INDEX('Retirement Calculator'!K:K,MATCH('Lorri 401b'!N1409,'Retirement Calculator'!A:A,0),0),0)</f>
        <v>0</v>
      </c>
      <c r="K1409" s="455">
        <f t="shared" ca="1" si="108"/>
        <v>-542209.16971688194</v>
      </c>
      <c r="L1409" s="455">
        <f t="shared" ca="1" si="109"/>
        <v>-130672409.90176852</v>
      </c>
      <c r="M1409" s="471">
        <f t="shared" si="111"/>
        <v>0.05</v>
      </c>
      <c r="N1409" s="475">
        <f t="shared" si="112"/>
        <v>93929</v>
      </c>
    </row>
    <row r="1410" spans="7:14" ht="11.25" customHeight="1" x14ac:dyDescent="0.3">
      <c r="G1410" s="470"/>
      <c r="H1410" s="470">
        <v>1403</v>
      </c>
      <c r="I1410" s="455">
        <f t="shared" ca="1" si="110"/>
        <v>-130672409.90176852</v>
      </c>
      <c r="J1410" s="455">
        <f t="array" ref="J1410">IFERROR(INDEX('Retirement Calculator'!K:K,MATCH('Lorri 401b'!N1410,'Retirement Calculator'!A:A,0),0),0)</f>
        <v>0</v>
      </c>
      <c r="K1410" s="455">
        <f t="shared" ca="1" si="108"/>
        <v>-544468.37459070212</v>
      </c>
      <c r="L1410" s="455">
        <f t="shared" ca="1" si="109"/>
        <v>-131216878.27635922</v>
      </c>
      <c r="M1410" s="471">
        <f t="shared" si="111"/>
        <v>0.05</v>
      </c>
      <c r="N1410" s="475">
        <f t="shared" si="112"/>
        <v>93960</v>
      </c>
    </row>
    <row r="1411" spans="7:14" ht="11.25" customHeight="1" x14ac:dyDescent="0.3">
      <c r="G1411" s="470"/>
      <c r="H1411" s="470">
        <v>1404</v>
      </c>
      <c r="I1411" s="455">
        <f t="shared" ca="1" si="110"/>
        <v>-131216878.27635922</v>
      </c>
      <c r="J1411" s="455">
        <f t="array" ref="J1411">IFERROR(INDEX('Retirement Calculator'!K:K,MATCH('Lorri 401b'!N1411,'Retirement Calculator'!A:A,0),0),0)</f>
        <v>0</v>
      </c>
      <c r="K1411" s="455">
        <f t="shared" ca="1" si="108"/>
        <v>-546736.99281816336</v>
      </c>
      <c r="L1411" s="455">
        <f t="shared" ca="1" si="109"/>
        <v>-131763615.26917738</v>
      </c>
      <c r="M1411" s="471">
        <f t="shared" si="111"/>
        <v>0.05</v>
      </c>
      <c r="N1411" s="475">
        <f t="shared" si="112"/>
        <v>93990</v>
      </c>
    </row>
    <row r="1412" spans="7:14" ht="11.25" customHeight="1" x14ac:dyDescent="0.3">
      <c r="G1412" s="470"/>
      <c r="H1412" s="470">
        <v>1405</v>
      </c>
      <c r="I1412" s="455">
        <f t="shared" ca="1" si="110"/>
        <v>-131763615.26917738</v>
      </c>
      <c r="J1412" s="455">
        <f t="array" ref="J1412">IFERROR(INDEX('Retirement Calculator'!K:K,MATCH('Lorri 401b'!N1412,'Retirement Calculator'!A:A,0),0),0)</f>
        <v>0</v>
      </c>
      <c r="K1412" s="455">
        <f t="shared" ca="1" si="108"/>
        <v>-549015.06362157245</v>
      </c>
      <c r="L1412" s="455">
        <f t="shared" ca="1" si="109"/>
        <v>-132312630.33279894</v>
      </c>
      <c r="M1412" s="471">
        <f t="shared" si="111"/>
        <v>0.05</v>
      </c>
      <c r="N1412" s="475">
        <f t="shared" si="112"/>
        <v>94021</v>
      </c>
    </row>
    <row r="1413" spans="7:14" ht="11.25" customHeight="1" x14ac:dyDescent="0.3">
      <c r="G1413" s="470"/>
      <c r="H1413" s="470">
        <v>1406</v>
      </c>
      <c r="I1413" s="455">
        <f t="shared" ca="1" si="110"/>
        <v>-132312630.33279894</v>
      </c>
      <c r="J1413" s="455">
        <f t="array" ref="J1413">IFERROR(INDEX('Retirement Calculator'!K:K,MATCH('Lorri 401b'!N1413,'Retirement Calculator'!A:A,0),0),0)</f>
        <v>0</v>
      </c>
      <c r="K1413" s="455">
        <f t="shared" ca="1" si="108"/>
        <v>-551302.62638666236</v>
      </c>
      <c r="L1413" s="455">
        <f t="shared" ca="1" si="109"/>
        <v>-132863932.9591856</v>
      </c>
      <c r="M1413" s="471">
        <f t="shared" si="111"/>
        <v>0.05</v>
      </c>
      <c r="N1413" s="475">
        <f t="shared" si="112"/>
        <v>94051</v>
      </c>
    </row>
    <row r="1414" spans="7:14" ht="11.25" customHeight="1" x14ac:dyDescent="0.3">
      <c r="G1414" s="470"/>
      <c r="H1414" s="470">
        <v>1407</v>
      </c>
      <c r="I1414" s="455">
        <f t="shared" ca="1" si="110"/>
        <v>-132863932.9591856</v>
      </c>
      <c r="J1414" s="455">
        <f t="array" ref="J1414">IFERROR(INDEX('Retirement Calculator'!K:K,MATCH('Lorri 401b'!N1414,'Retirement Calculator'!A:A,0),0),0)</f>
        <v>0</v>
      </c>
      <c r="K1414" s="455">
        <f t="shared" ca="1" si="108"/>
        <v>-553599.72066327336</v>
      </c>
      <c r="L1414" s="455">
        <f t="shared" ca="1" si="109"/>
        <v>-133417532.67984888</v>
      </c>
      <c r="M1414" s="471">
        <f t="shared" si="111"/>
        <v>0.05</v>
      </c>
      <c r="N1414" s="475">
        <f t="shared" si="112"/>
        <v>94082</v>
      </c>
    </row>
    <row r="1415" spans="7:14" ht="11.25" customHeight="1" x14ac:dyDescent="0.3">
      <c r="G1415" s="470"/>
      <c r="H1415" s="470">
        <v>1408</v>
      </c>
      <c r="I1415" s="455">
        <f t="shared" ca="1" si="110"/>
        <v>-133417532.67984888</v>
      </c>
      <c r="J1415" s="455">
        <f t="array" ref="J1415">IFERROR(INDEX('Retirement Calculator'!K:K,MATCH('Lorri 401b'!N1415,'Retirement Calculator'!A:A,0),0),0)</f>
        <v>0</v>
      </c>
      <c r="K1415" s="455">
        <f t="shared" ca="1" si="108"/>
        <v>-555906.38616603694</v>
      </c>
      <c r="L1415" s="455">
        <f t="shared" ca="1" si="109"/>
        <v>-133973439.06601492</v>
      </c>
      <c r="M1415" s="471">
        <f t="shared" si="111"/>
        <v>0.05</v>
      </c>
      <c r="N1415" s="475">
        <f t="shared" si="112"/>
        <v>94113</v>
      </c>
    </row>
    <row r="1416" spans="7:14" ht="11.25" customHeight="1" x14ac:dyDescent="0.3">
      <c r="G1416" s="470"/>
      <c r="H1416" s="470">
        <v>1409</v>
      </c>
      <c r="I1416" s="455">
        <f t="shared" ca="1" si="110"/>
        <v>-133973439.06601492</v>
      </c>
      <c r="J1416" s="455">
        <f t="array" ref="J1416">IFERROR(INDEX('Retirement Calculator'!K:K,MATCH('Lorri 401b'!N1416,'Retirement Calculator'!A:A,0),0),0)</f>
        <v>0</v>
      </c>
      <c r="K1416" s="455">
        <f t="shared" ca="1" si="108"/>
        <v>-558222.66277506214</v>
      </c>
      <c r="L1416" s="455">
        <f t="shared" ca="1" si="109"/>
        <v>-134531661.72878999</v>
      </c>
      <c r="M1416" s="471">
        <f t="shared" si="111"/>
        <v>0.05</v>
      </c>
      <c r="N1416" s="475">
        <f t="shared" si="112"/>
        <v>94143</v>
      </c>
    </row>
    <row r="1417" spans="7:14" ht="11.25" customHeight="1" x14ac:dyDescent="0.3">
      <c r="G1417" s="470"/>
      <c r="H1417" s="470">
        <v>1410</v>
      </c>
      <c r="I1417" s="455">
        <f t="shared" ca="1" si="110"/>
        <v>-134531661.72878999</v>
      </c>
      <c r="J1417" s="455">
        <f t="array" ref="J1417">IFERROR(INDEX('Retirement Calculator'!K:K,MATCH('Lorri 401b'!N1417,'Retirement Calculator'!A:A,0),0),0)</f>
        <v>0</v>
      </c>
      <c r="K1417" s="455">
        <f t="shared" ca="1" si="108"/>
        <v>-560548.59053662489</v>
      </c>
      <c r="L1417" s="455">
        <f t="shared" ca="1" si="109"/>
        <v>-135092210.31932661</v>
      </c>
      <c r="M1417" s="471">
        <f t="shared" si="111"/>
        <v>0.05</v>
      </c>
      <c r="N1417" s="475">
        <f t="shared" si="112"/>
        <v>94174</v>
      </c>
    </row>
    <row r="1418" spans="7:14" ht="11.25" customHeight="1" x14ac:dyDescent="0.3">
      <c r="G1418" s="470"/>
      <c r="H1418" s="470">
        <v>1411</v>
      </c>
      <c r="I1418" s="455">
        <f t="shared" ca="1" si="110"/>
        <v>-135092210.31932661</v>
      </c>
      <c r="J1418" s="455">
        <f t="array" ref="J1418">IFERROR(INDEX('Retirement Calculator'!K:K,MATCH('Lorri 401b'!N1418,'Retirement Calculator'!A:A,0),0),0)</f>
        <v>0</v>
      </c>
      <c r="K1418" s="455">
        <f t="shared" ca="1" si="108"/>
        <v>-562884.20966386085</v>
      </c>
      <c r="L1418" s="455">
        <f t="shared" ca="1" si="109"/>
        <v>-135655094.52899048</v>
      </c>
      <c r="M1418" s="471">
        <f t="shared" si="111"/>
        <v>0.05</v>
      </c>
      <c r="N1418" s="475">
        <f t="shared" si="112"/>
        <v>94204</v>
      </c>
    </row>
    <row r="1419" spans="7:14" ht="11.25" customHeight="1" x14ac:dyDescent="0.3">
      <c r="G1419" s="470"/>
      <c r="H1419" s="470">
        <v>1412</v>
      </c>
      <c r="I1419" s="455">
        <f t="shared" ca="1" si="110"/>
        <v>-135655094.52899048</v>
      </c>
      <c r="J1419" s="455">
        <f t="array" ref="J1419">IFERROR(INDEX('Retirement Calculator'!K:K,MATCH('Lorri 401b'!N1419,'Retirement Calculator'!A:A,0),0),0)</f>
        <v>0</v>
      </c>
      <c r="K1419" s="455">
        <f t="shared" ca="1" si="108"/>
        <v>-565229.56053746026</v>
      </c>
      <c r="L1419" s="455">
        <f t="shared" ca="1" si="109"/>
        <v>-136220324.08952793</v>
      </c>
      <c r="M1419" s="471">
        <f t="shared" si="111"/>
        <v>0.05</v>
      </c>
      <c r="N1419" s="475">
        <f t="shared" si="112"/>
        <v>94235</v>
      </c>
    </row>
    <row r="1420" spans="7:14" ht="11.25" customHeight="1" x14ac:dyDescent="0.3">
      <c r="G1420" s="470"/>
      <c r="H1420" s="470">
        <v>1413</v>
      </c>
      <c r="I1420" s="455">
        <f t="shared" ca="1" si="110"/>
        <v>-136220324.08952793</v>
      </c>
      <c r="J1420" s="455">
        <f t="array" ref="J1420">IFERROR(INDEX('Retirement Calculator'!K:K,MATCH('Lorri 401b'!N1420,'Retirement Calculator'!A:A,0),0),0)</f>
        <v>0</v>
      </c>
      <c r="K1420" s="455">
        <f t="shared" ca="1" si="108"/>
        <v>-567584.68370636634</v>
      </c>
      <c r="L1420" s="455">
        <f t="shared" ca="1" si="109"/>
        <v>-136787908.77323431</v>
      </c>
      <c r="M1420" s="471">
        <f t="shared" si="111"/>
        <v>0.05</v>
      </c>
      <c r="N1420" s="475">
        <f t="shared" si="112"/>
        <v>94266</v>
      </c>
    </row>
    <row r="1421" spans="7:14" ht="11.25" customHeight="1" x14ac:dyDescent="0.3">
      <c r="G1421" s="470"/>
      <c r="H1421" s="470">
        <v>1414</v>
      </c>
      <c r="I1421" s="455">
        <f t="shared" ca="1" si="110"/>
        <v>-136787908.77323431</v>
      </c>
      <c r="J1421" s="455">
        <f t="array" ref="J1421">IFERROR(INDEX('Retirement Calculator'!K:K,MATCH('Lorri 401b'!N1421,'Retirement Calculator'!A:A,0),0),0)</f>
        <v>0</v>
      </c>
      <c r="K1421" s="455">
        <f t="shared" ca="1" si="108"/>
        <v>-569949.61988847633</v>
      </c>
      <c r="L1421" s="455">
        <f t="shared" ca="1" si="109"/>
        <v>-137357858.39312279</v>
      </c>
      <c r="M1421" s="471">
        <f t="shared" si="111"/>
        <v>0.05</v>
      </c>
      <c r="N1421" s="475">
        <f t="shared" si="112"/>
        <v>94294</v>
      </c>
    </row>
    <row r="1422" spans="7:14" ht="11.25" customHeight="1" x14ac:dyDescent="0.3">
      <c r="G1422" s="470"/>
      <c r="H1422" s="470">
        <v>1415</v>
      </c>
      <c r="I1422" s="455">
        <f t="shared" ca="1" si="110"/>
        <v>-137357858.39312279</v>
      </c>
      <c r="J1422" s="455">
        <f t="array" ref="J1422">IFERROR(INDEX('Retirement Calculator'!K:K,MATCH('Lorri 401b'!N1422,'Retirement Calculator'!A:A,0),0),0)</f>
        <v>0</v>
      </c>
      <c r="K1422" s="455">
        <f t="shared" ca="1" si="108"/>
        <v>-572324.40997134498</v>
      </c>
      <c r="L1422" s="455">
        <f t="shared" ca="1" si="109"/>
        <v>-137930182.80309415</v>
      </c>
      <c r="M1422" s="471">
        <f t="shared" si="111"/>
        <v>0.05</v>
      </c>
      <c r="N1422" s="475">
        <f t="shared" si="112"/>
        <v>94325</v>
      </c>
    </row>
    <row r="1423" spans="7:14" ht="11.25" customHeight="1" x14ac:dyDescent="0.3">
      <c r="G1423" s="470"/>
      <c r="H1423" s="470">
        <v>1416</v>
      </c>
      <c r="I1423" s="455">
        <f t="shared" ca="1" si="110"/>
        <v>-137930182.80309415</v>
      </c>
      <c r="J1423" s="455">
        <f t="array" ref="J1423">IFERROR(INDEX('Retirement Calculator'!K:K,MATCH('Lorri 401b'!N1423,'Retirement Calculator'!A:A,0),0),0)</f>
        <v>0</v>
      </c>
      <c r="K1423" s="455">
        <f t="shared" ca="1" si="108"/>
        <v>-574709.09501289227</v>
      </c>
      <c r="L1423" s="455">
        <f t="shared" ca="1" si="109"/>
        <v>-138504891.89810705</v>
      </c>
      <c r="M1423" s="471">
        <f t="shared" si="111"/>
        <v>0.05</v>
      </c>
      <c r="N1423" s="475">
        <f t="shared" si="112"/>
        <v>94355</v>
      </c>
    </row>
    <row r="1424" spans="7:14" ht="11.25" customHeight="1" x14ac:dyDescent="0.3">
      <c r="G1424" s="470"/>
      <c r="H1424" s="470">
        <v>1417</v>
      </c>
      <c r="I1424" s="455">
        <f t="shared" ca="1" si="110"/>
        <v>-138504891.89810705</v>
      </c>
      <c r="J1424" s="455">
        <f t="array" ref="J1424">IFERROR(INDEX('Retirement Calculator'!K:K,MATCH('Lorri 401b'!N1424,'Retirement Calculator'!A:A,0),0),0)</f>
        <v>0</v>
      </c>
      <c r="K1424" s="455">
        <f t="shared" ca="1" si="108"/>
        <v>-577103.71624211268</v>
      </c>
      <c r="L1424" s="455">
        <f t="shared" ca="1" si="109"/>
        <v>-139081995.61434916</v>
      </c>
      <c r="M1424" s="471">
        <f t="shared" si="111"/>
        <v>0.05</v>
      </c>
      <c r="N1424" s="475">
        <f t="shared" si="112"/>
        <v>94386</v>
      </c>
    </row>
    <row r="1425" spans="7:14" ht="11.25" customHeight="1" x14ac:dyDescent="0.3">
      <c r="G1425" s="470"/>
      <c r="H1425" s="470">
        <v>1418</v>
      </c>
      <c r="I1425" s="455">
        <f t="shared" ca="1" si="110"/>
        <v>-139081995.61434916</v>
      </c>
      <c r="J1425" s="455">
        <f t="array" ref="J1425">IFERROR(INDEX('Retirement Calculator'!K:K,MATCH('Lorri 401b'!N1425,'Retirement Calculator'!A:A,0),0),0)</f>
        <v>0</v>
      </c>
      <c r="K1425" s="455">
        <f t="shared" ca="1" si="108"/>
        <v>-579508.31505978818</v>
      </c>
      <c r="L1425" s="455">
        <f t="shared" ca="1" si="109"/>
        <v>-139661503.92940894</v>
      </c>
      <c r="M1425" s="471">
        <f t="shared" si="111"/>
        <v>0.05</v>
      </c>
      <c r="N1425" s="475">
        <f t="shared" si="112"/>
        <v>94416</v>
      </c>
    </row>
    <row r="1426" spans="7:14" ht="11.25" customHeight="1" x14ac:dyDescent="0.3">
      <c r="G1426" s="470"/>
      <c r="H1426" s="470">
        <v>1419</v>
      </c>
      <c r="I1426" s="455">
        <f t="shared" ca="1" si="110"/>
        <v>-139661503.92940894</v>
      </c>
      <c r="J1426" s="455">
        <f t="array" ref="J1426">IFERROR(INDEX('Retirement Calculator'!K:K,MATCH('Lorri 401b'!N1426,'Retirement Calculator'!A:A,0),0),0)</f>
        <v>0</v>
      </c>
      <c r="K1426" s="455">
        <f t="shared" ca="1" si="108"/>
        <v>-581922.93303920387</v>
      </c>
      <c r="L1426" s="455">
        <f t="shared" ca="1" si="109"/>
        <v>-140243426.86244816</v>
      </c>
      <c r="M1426" s="471">
        <f t="shared" si="111"/>
        <v>0.05</v>
      </c>
      <c r="N1426" s="475">
        <f t="shared" si="112"/>
        <v>94447</v>
      </c>
    </row>
    <row r="1427" spans="7:14" ht="11.25" customHeight="1" x14ac:dyDescent="0.3">
      <c r="G1427" s="470"/>
      <c r="H1427" s="470">
        <v>1420</v>
      </c>
      <c r="I1427" s="455">
        <f t="shared" ca="1" si="110"/>
        <v>-140243426.86244816</v>
      </c>
      <c r="J1427" s="455">
        <f t="array" ref="J1427">IFERROR(INDEX('Retirement Calculator'!K:K,MATCH('Lorri 401b'!N1427,'Retirement Calculator'!A:A,0),0),0)</f>
        <v>0</v>
      </c>
      <c r="K1427" s="455">
        <f t="shared" ca="1" si="108"/>
        <v>-584347.61192686728</v>
      </c>
      <c r="L1427" s="455">
        <f t="shared" ca="1" si="109"/>
        <v>-140827774.47437501</v>
      </c>
      <c r="M1427" s="471">
        <f t="shared" si="111"/>
        <v>0.05</v>
      </c>
      <c r="N1427" s="475">
        <f t="shared" si="112"/>
        <v>94478</v>
      </c>
    </row>
    <row r="1428" spans="7:14" ht="11.25" customHeight="1" x14ac:dyDescent="0.3">
      <c r="G1428" s="470"/>
      <c r="H1428" s="470">
        <v>1421</v>
      </c>
      <c r="I1428" s="455">
        <f t="shared" ca="1" si="110"/>
        <v>-140827774.47437501</v>
      </c>
      <c r="J1428" s="455">
        <f t="array" ref="J1428">IFERROR(INDEX('Retirement Calculator'!K:K,MATCH('Lorri 401b'!N1428,'Retirement Calculator'!A:A,0),0),0)</f>
        <v>0</v>
      </c>
      <c r="K1428" s="455">
        <f t="shared" ca="1" si="108"/>
        <v>-586782.39364322915</v>
      </c>
      <c r="L1428" s="455">
        <f t="shared" ca="1" si="109"/>
        <v>-141414556.86801824</v>
      </c>
      <c r="M1428" s="471">
        <f t="shared" si="111"/>
        <v>0.05</v>
      </c>
      <c r="N1428" s="475">
        <f t="shared" si="112"/>
        <v>94508</v>
      </c>
    </row>
    <row r="1429" spans="7:14" ht="11.25" customHeight="1" x14ac:dyDescent="0.3">
      <c r="G1429" s="470"/>
      <c r="H1429" s="470">
        <v>1422</v>
      </c>
      <c r="I1429" s="455">
        <f t="shared" ca="1" si="110"/>
        <v>-141414556.86801824</v>
      </c>
      <c r="J1429" s="455">
        <f t="array" ref="J1429">IFERROR(INDEX('Retirement Calculator'!K:K,MATCH('Lorri 401b'!N1429,'Retirement Calculator'!A:A,0),0),0)</f>
        <v>0</v>
      </c>
      <c r="K1429" s="455">
        <f t="shared" ca="1" si="108"/>
        <v>-589227.32028340932</v>
      </c>
      <c r="L1429" s="455">
        <f t="shared" ca="1" si="109"/>
        <v>-142003784.18830165</v>
      </c>
      <c r="M1429" s="471">
        <f t="shared" si="111"/>
        <v>0.05</v>
      </c>
      <c r="N1429" s="475">
        <f t="shared" si="112"/>
        <v>94539</v>
      </c>
    </row>
    <row r="1430" spans="7:14" ht="11.25" customHeight="1" x14ac:dyDescent="0.3">
      <c r="G1430" s="470"/>
      <c r="H1430" s="470">
        <v>1423</v>
      </c>
      <c r="I1430" s="455">
        <f t="shared" ca="1" si="110"/>
        <v>-142003784.18830165</v>
      </c>
      <c r="J1430" s="455">
        <f t="array" ref="J1430">IFERROR(INDEX('Retirement Calculator'!K:K,MATCH('Lorri 401b'!N1430,'Retirement Calculator'!A:A,0),0),0)</f>
        <v>0</v>
      </c>
      <c r="K1430" s="455">
        <f t="shared" ca="1" si="108"/>
        <v>-591682.43411792349</v>
      </c>
      <c r="L1430" s="455">
        <f t="shared" ca="1" si="109"/>
        <v>-142595466.62241957</v>
      </c>
      <c r="M1430" s="471">
        <f t="shared" si="111"/>
        <v>0.05</v>
      </c>
      <c r="N1430" s="475">
        <f t="shared" si="112"/>
        <v>94569</v>
      </c>
    </row>
    <row r="1431" spans="7:14" ht="11.25" customHeight="1" x14ac:dyDescent="0.3">
      <c r="G1431" s="470"/>
      <c r="H1431" s="470">
        <v>1424</v>
      </c>
      <c r="I1431" s="455">
        <f t="shared" ca="1" si="110"/>
        <v>-142595466.62241957</v>
      </c>
      <c r="J1431" s="455">
        <f t="array" ref="J1431">IFERROR(INDEX('Retirement Calculator'!K:K,MATCH('Lorri 401b'!N1431,'Retirement Calculator'!A:A,0),0),0)</f>
        <v>0</v>
      </c>
      <c r="K1431" s="455">
        <f t="shared" ca="1" si="108"/>
        <v>-594147.77759341488</v>
      </c>
      <c r="L1431" s="455">
        <f t="shared" ca="1" si="109"/>
        <v>-143189614.40001297</v>
      </c>
      <c r="M1431" s="471">
        <f t="shared" si="111"/>
        <v>0.05</v>
      </c>
      <c r="N1431" s="475">
        <f t="shared" si="112"/>
        <v>94600</v>
      </c>
    </row>
    <row r="1432" spans="7:14" ht="11.25" customHeight="1" x14ac:dyDescent="0.3">
      <c r="G1432" s="470"/>
      <c r="H1432" s="470">
        <v>1425</v>
      </c>
      <c r="I1432" s="455">
        <f t="shared" ca="1" si="110"/>
        <v>-143189614.40001297</v>
      </c>
      <c r="J1432" s="455">
        <f t="array" ref="J1432">IFERROR(INDEX('Retirement Calculator'!K:K,MATCH('Lorri 401b'!N1432,'Retirement Calculator'!A:A,0),0),0)</f>
        <v>0</v>
      </c>
      <c r="K1432" s="455">
        <f t="shared" ca="1" si="108"/>
        <v>-596623.39333338733</v>
      </c>
      <c r="L1432" s="455">
        <f t="shared" ca="1" si="109"/>
        <v>-143786237.79334635</v>
      </c>
      <c r="M1432" s="471">
        <f t="shared" si="111"/>
        <v>0.05</v>
      </c>
      <c r="N1432" s="475">
        <f t="shared" si="112"/>
        <v>94631</v>
      </c>
    </row>
    <row r="1433" spans="7:14" ht="11.25" customHeight="1" x14ac:dyDescent="0.3">
      <c r="G1433" s="470"/>
      <c r="H1433" s="470">
        <v>1426</v>
      </c>
      <c r="I1433" s="455">
        <f t="shared" ca="1" si="110"/>
        <v>-143786237.79334635</v>
      </c>
      <c r="J1433" s="455">
        <f t="array" ref="J1433">IFERROR(INDEX('Retirement Calculator'!K:K,MATCH('Lorri 401b'!N1433,'Retirement Calculator'!A:A,0),0),0)</f>
        <v>0</v>
      </c>
      <c r="K1433" s="455">
        <f t="shared" ca="1" si="108"/>
        <v>-599109.32413894311</v>
      </c>
      <c r="L1433" s="455">
        <f t="shared" ca="1" si="109"/>
        <v>-144385347.11748528</v>
      </c>
      <c r="M1433" s="471">
        <f t="shared" si="111"/>
        <v>0.05</v>
      </c>
      <c r="N1433" s="475">
        <f t="shared" si="112"/>
        <v>94659</v>
      </c>
    </row>
    <row r="1434" spans="7:14" ht="11.25" customHeight="1" x14ac:dyDescent="0.3">
      <c r="G1434" s="470"/>
      <c r="H1434" s="470">
        <v>1427</v>
      </c>
      <c r="I1434" s="455">
        <f t="shared" ca="1" si="110"/>
        <v>-144385347.11748528</v>
      </c>
      <c r="J1434" s="455">
        <f t="array" ref="J1434">IFERROR(INDEX('Retirement Calculator'!K:K,MATCH('Lorri 401b'!N1434,'Retirement Calculator'!A:A,0),0),0)</f>
        <v>0</v>
      </c>
      <c r="K1434" s="455">
        <f t="shared" ca="1" si="108"/>
        <v>-601605.61298952205</v>
      </c>
      <c r="L1434" s="455">
        <f t="shared" ca="1" si="109"/>
        <v>-144986952.7304748</v>
      </c>
      <c r="M1434" s="471">
        <f t="shared" si="111"/>
        <v>0.05</v>
      </c>
      <c r="N1434" s="475">
        <f t="shared" si="112"/>
        <v>94690</v>
      </c>
    </row>
    <row r="1435" spans="7:14" ht="11.25" customHeight="1" x14ac:dyDescent="0.3">
      <c r="G1435" s="470"/>
      <c r="H1435" s="470">
        <v>1428</v>
      </c>
      <c r="I1435" s="455">
        <f t="shared" ca="1" si="110"/>
        <v>-144986952.7304748</v>
      </c>
      <c r="J1435" s="455">
        <f t="array" ref="J1435">IFERROR(INDEX('Retirement Calculator'!K:K,MATCH('Lorri 401b'!N1435,'Retirement Calculator'!A:A,0),0),0)</f>
        <v>0</v>
      </c>
      <c r="K1435" s="455">
        <f t="shared" ca="1" si="108"/>
        <v>-604112.30304364499</v>
      </c>
      <c r="L1435" s="455">
        <f t="shared" ca="1" si="109"/>
        <v>-145591065.03351843</v>
      </c>
      <c r="M1435" s="471">
        <f t="shared" si="111"/>
        <v>0.05</v>
      </c>
      <c r="N1435" s="475">
        <f t="shared" si="112"/>
        <v>94720</v>
      </c>
    </row>
    <row r="1436" spans="7:14" ht="11.25" customHeight="1" x14ac:dyDescent="0.3">
      <c r="G1436" s="470"/>
      <c r="H1436" s="470">
        <v>1429</v>
      </c>
      <c r="I1436" s="455">
        <f t="shared" ca="1" si="110"/>
        <v>-145591065.03351843</v>
      </c>
      <c r="J1436" s="455">
        <f t="array" ref="J1436">IFERROR(INDEX('Retirement Calculator'!K:K,MATCH('Lorri 401b'!N1436,'Retirement Calculator'!A:A,0),0),0)</f>
        <v>0</v>
      </c>
      <c r="K1436" s="455">
        <f t="shared" ca="1" si="108"/>
        <v>-606629.43763966009</v>
      </c>
      <c r="L1436" s="455">
        <f t="shared" ca="1" si="109"/>
        <v>-146197694.47115809</v>
      </c>
      <c r="M1436" s="471">
        <f t="shared" si="111"/>
        <v>0.05</v>
      </c>
      <c r="N1436" s="475">
        <f t="shared" si="112"/>
        <v>94751</v>
      </c>
    </row>
    <row r="1437" spans="7:14" ht="11.25" customHeight="1" x14ac:dyDescent="0.3">
      <c r="G1437" s="470"/>
      <c r="H1437" s="470">
        <v>1430</v>
      </c>
      <c r="I1437" s="455">
        <f t="shared" ca="1" si="110"/>
        <v>-146197694.47115809</v>
      </c>
      <c r="J1437" s="455">
        <f t="array" ref="J1437">IFERROR(INDEX('Retirement Calculator'!K:K,MATCH('Lorri 401b'!N1437,'Retirement Calculator'!A:A,0),0),0)</f>
        <v>0</v>
      </c>
      <c r="K1437" s="455">
        <f t="shared" ca="1" si="108"/>
        <v>-609157.06029649207</v>
      </c>
      <c r="L1437" s="455">
        <f t="shared" ca="1" si="109"/>
        <v>-146806851.53145459</v>
      </c>
      <c r="M1437" s="471">
        <f t="shared" si="111"/>
        <v>0.05</v>
      </c>
      <c r="N1437" s="475">
        <f t="shared" si="112"/>
        <v>94781</v>
      </c>
    </row>
    <row r="1438" spans="7:14" ht="11.25" customHeight="1" x14ac:dyDescent="0.3">
      <c r="G1438" s="470"/>
      <c r="H1438" s="470">
        <v>1431</v>
      </c>
      <c r="I1438" s="455">
        <f t="shared" ca="1" si="110"/>
        <v>-146806851.53145459</v>
      </c>
      <c r="J1438" s="455">
        <f t="array" ref="J1438">IFERROR(INDEX('Retirement Calculator'!K:K,MATCH('Lorri 401b'!N1438,'Retirement Calculator'!A:A,0),0),0)</f>
        <v>0</v>
      </c>
      <c r="K1438" s="455">
        <f t="shared" ca="1" si="108"/>
        <v>-611695.21471439418</v>
      </c>
      <c r="L1438" s="455">
        <f t="shared" ca="1" si="109"/>
        <v>-147418546.746169</v>
      </c>
      <c r="M1438" s="471">
        <f t="shared" si="111"/>
        <v>0.05</v>
      </c>
      <c r="N1438" s="475">
        <f t="shared" si="112"/>
        <v>94812</v>
      </c>
    </row>
    <row r="1439" spans="7:14" ht="11.25" customHeight="1" x14ac:dyDescent="0.3">
      <c r="G1439" s="470"/>
      <c r="H1439" s="470">
        <v>1432</v>
      </c>
      <c r="I1439" s="455">
        <f t="shared" ca="1" si="110"/>
        <v>-147418546.746169</v>
      </c>
      <c r="J1439" s="455">
        <f t="array" ref="J1439">IFERROR(INDEX('Retirement Calculator'!K:K,MATCH('Lorri 401b'!N1439,'Retirement Calculator'!A:A,0),0),0)</f>
        <v>0</v>
      </c>
      <c r="K1439" s="455">
        <f t="shared" ca="1" si="108"/>
        <v>-614243.94477570418</v>
      </c>
      <c r="L1439" s="455">
        <f t="shared" ca="1" si="109"/>
        <v>-148032790.6909447</v>
      </c>
      <c r="M1439" s="471">
        <f t="shared" si="111"/>
        <v>0.05</v>
      </c>
      <c r="N1439" s="475">
        <f t="shared" si="112"/>
        <v>94843</v>
      </c>
    </row>
    <row r="1440" spans="7:14" ht="11.25" customHeight="1" x14ac:dyDescent="0.3">
      <c r="G1440" s="470"/>
      <c r="H1440" s="470">
        <v>1433</v>
      </c>
      <c r="I1440" s="455">
        <f t="shared" ca="1" si="110"/>
        <v>-148032790.6909447</v>
      </c>
      <c r="J1440" s="455">
        <f t="array" ref="J1440">IFERROR(INDEX('Retirement Calculator'!K:K,MATCH('Lorri 401b'!N1440,'Retirement Calculator'!A:A,0),0),0)</f>
        <v>0</v>
      </c>
      <c r="K1440" s="455">
        <f t="shared" ca="1" si="108"/>
        <v>-616803.29454560287</v>
      </c>
      <c r="L1440" s="455">
        <f t="shared" ca="1" si="109"/>
        <v>-148649593.98549029</v>
      </c>
      <c r="M1440" s="471">
        <f t="shared" si="111"/>
        <v>0.05</v>
      </c>
      <c r="N1440" s="475">
        <f t="shared" si="112"/>
        <v>94873</v>
      </c>
    </row>
    <row r="1441" spans="7:14" ht="11.25" customHeight="1" x14ac:dyDescent="0.3">
      <c r="G1441" s="470"/>
      <c r="H1441" s="470">
        <v>1434</v>
      </c>
      <c r="I1441" s="455">
        <f t="shared" ca="1" si="110"/>
        <v>-148649593.98549029</v>
      </c>
      <c r="J1441" s="455">
        <f t="array" ref="J1441">IFERROR(INDEX('Retirement Calculator'!K:K,MATCH('Lorri 401b'!N1441,'Retirement Calculator'!A:A,0),0),0)</f>
        <v>0</v>
      </c>
      <c r="K1441" s="455">
        <f t="shared" ca="1" si="108"/>
        <v>-619373.30827287619</v>
      </c>
      <c r="L1441" s="455">
        <f t="shared" ca="1" si="109"/>
        <v>-149268967.29376316</v>
      </c>
      <c r="M1441" s="471">
        <f t="shared" si="111"/>
        <v>0.05</v>
      </c>
      <c r="N1441" s="475">
        <f t="shared" si="112"/>
        <v>94904</v>
      </c>
    </row>
    <row r="1442" spans="7:14" ht="11.25" customHeight="1" x14ac:dyDescent="0.3">
      <c r="G1442" s="470"/>
      <c r="H1442" s="470">
        <v>1435</v>
      </c>
      <c r="I1442" s="455">
        <f t="shared" ca="1" si="110"/>
        <v>-149268967.29376316</v>
      </c>
      <c r="J1442" s="455">
        <f t="array" ref="J1442">IFERROR(INDEX('Retirement Calculator'!K:K,MATCH('Lorri 401b'!N1442,'Retirement Calculator'!A:A,0),0),0)</f>
        <v>0</v>
      </c>
      <c r="K1442" s="455">
        <f t="shared" ca="1" si="108"/>
        <v>-621954.03039067984</v>
      </c>
      <c r="L1442" s="455">
        <f t="shared" ca="1" si="109"/>
        <v>-149890921.32415384</v>
      </c>
      <c r="M1442" s="471">
        <f t="shared" si="111"/>
        <v>0.05</v>
      </c>
      <c r="N1442" s="475">
        <f t="shared" si="112"/>
        <v>94934</v>
      </c>
    </row>
    <row r="1443" spans="7:14" ht="11.25" customHeight="1" x14ac:dyDescent="0.3">
      <c r="G1443" s="470"/>
      <c r="H1443" s="470">
        <v>1436</v>
      </c>
      <c r="I1443" s="455">
        <f t="shared" ca="1" si="110"/>
        <v>-149890921.32415384</v>
      </c>
      <c r="J1443" s="455">
        <f t="array" ref="J1443">IFERROR(INDEX('Retirement Calculator'!K:K,MATCH('Lorri 401b'!N1443,'Retirement Calculator'!A:A,0),0),0)</f>
        <v>0</v>
      </c>
      <c r="K1443" s="455">
        <f t="shared" ca="1" si="108"/>
        <v>-624545.50551730767</v>
      </c>
      <c r="L1443" s="455">
        <f t="shared" ca="1" si="109"/>
        <v>-150515466.82967114</v>
      </c>
      <c r="M1443" s="471">
        <f t="shared" si="111"/>
        <v>0.05</v>
      </c>
      <c r="N1443" s="475">
        <f t="shared" si="112"/>
        <v>94965</v>
      </c>
    </row>
    <row r="1444" spans="7:14" ht="11.25" customHeight="1" x14ac:dyDescent="0.3">
      <c r="G1444" s="470"/>
      <c r="H1444" s="470">
        <v>1437</v>
      </c>
      <c r="I1444" s="455">
        <f t="shared" ca="1" si="110"/>
        <v>-150515466.82967114</v>
      </c>
      <c r="J1444" s="455">
        <f t="array" ref="J1444">IFERROR(INDEX('Retirement Calculator'!K:K,MATCH('Lorri 401b'!N1444,'Retirement Calculator'!A:A,0),0),0)</f>
        <v>0</v>
      </c>
      <c r="K1444" s="455">
        <f t="shared" ca="1" si="108"/>
        <v>-627147.77845696313</v>
      </c>
      <c r="L1444" s="455">
        <f t="shared" ca="1" si="109"/>
        <v>-151142614.6081281</v>
      </c>
      <c r="M1444" s="471">
        <f t="shared" si="111"/>
        <v>0.05</v>
      </c>
      <c r="N1444" s="475">
        <f t="shared" si="112"/>
        <v>94996</v>
      </c>
    </row>
    <row r="1445" spans="7:14" ht="11.25" customHeight="1" x14ac:dyDescent="0.3">
      <c r="G1445" s="470"/>
      <c r="H1445" s="470">
        <v>1438</v>
      </c>
      <c r="I1445" s="455">
        <f t="shared" ca="1" si="110"/>
        <v>-151142614.6081281</v>
      </c>
      <c r="J1445" s="455">
        <f t="array" ref="J1445">IFERROR(INDEX('Retirement Calculator'!K:K,MATCH('Lorri 401b'!N1445,'Retirement Calculator'!A:A,0),0),0)</f>
        <v>0</v>
      </c>
      <c r="K1445" s="455">
        <f t="shared" ca="1" si="108"/>
        <v>-629760.89420053374</v>
      </c>
      <c r="L1445" s="455">
        <f t="shared" ca="1" si="109"/>
        <v>-151772375.50232863</v>
      </c>
      <c r="M1445" s="471">
        <f t="shared" si="111"/>
        <v>0.05</v>
      </c>
      <c r="N1445" s="475">
        <f t="shared" si="112"/>
        <v>95025</v>
      </c>
    </row>
    <row r="1446" spans="7:14" ht="11.25" customHeight="1" x14ac:dyDescent="0.3">
      <c r="G1446" s="470"/>
      <c r="H1446" s="470">
        <v>1439</v>
      </c>
      <c r="I1446" s="455">
        <f t="shared" ca="1" si="110"/>
        <v>-151772375.50232863</v>
      </c>
      <c r="J1446" s="455">
        <f t="array" ref="J1446">IFERROR(INDEX('Retirement Calculator'!K:K,MATCH('Lorri 401b'!N1446,'Retirement Calculator'!A:A,0),0),0)</f>
        <v>0</v>
      </c>
      <c r="K1446" s="455">
        <f t="shared" ca="1" si="108"/>
        <v>-632384.89792636933</v>
      </c>
      <c r="L1446" s="455">
        <f t="shared" ca="1" si="109"/>
        <v>-152404760.40025499</v>
      </c>
      <c r="M1446" s="471">
        <f t="shared" si="111"/>
        <v>0.05</v>
      </c>
      <c r="N1446" s="475">
        <f t="shared" si="112"/>
        <v>95056</v>
      </c>
    </row>
    <row r="1447" spans="7:14" ht="11.25" customHeight="1" x14ac:dyDescent="0.3">
      <c r="G1447" s="470"/>
      <c r="H1447" s="470">
        <v>1440</v>
      </c>
      <c r="I1447" s="455">
        <f t="shared" ca="1" si="110"/>
        <v>-152404760.40025499</v>
      </c>
      <c r="J1447" s="455">
        <f t="array" ref="J1447">IFERROR(INDEX('Retirement Calculator'!K:K,MATCH('Lorri 401b'!N1447,'Retirement Calculator'!A:A,0),0),0)</f>
        <v>0</v>
      </c>
      <c r="K1447" s="455">
        <f t="shared" ca="1" si="108"/>
        <v>-635019.83500106249</v>
      </c>
      <c r="L1447" s="455">
        <f t="shared" ca="1" si="109"/>
        <v>-153039780.23525605</v>
      </c>
      <c r="M1447" s="471">
        <f t="shared" si="111"/>
        <v>0.05</v>
      </c>
      <c r="N1447" s="475">
        <f t="shared" si="112"/>
        <v>95086</v>
      </c>
    </row>
    <row r="1448" spans="7:14" ht="11.25" customHeight="1" x14ac:dyDescent="0.3">
      <c r="G1448" s="470"/>
      <c r="H1448" s="470">
        <v>1441</v>
      </c>
      <c r="I1448" s="455">
        <f t="shared" ca="1" si="110"/>
        <v>-153039780.23525605</v>
      </c>
      <c r="J1448" s="455">
        <f t="array" ref="J1448">IFERROR(INDEX('Retirement Calculator'!K:K,MATCH('Lorri 401b'!N1448,'Retirement Calculator'!A:A,0),0),0)</f>
        <v>0</v>
      </c>
      <c r="K1448" s="455">
        <f t="shared" ca="1" si="108"/>
        <v>-637665.75098023354</v>
      </c>
      <c r="L1448" s="455">
        <f t="shared" ca="1" si="109"/>
        <v>-153677445.98623627</v>
      </c>
      <c r="M1448" s="471">
        <f t="shared" si="111"/>
        <v>0.05</v>
      </c>
      <c r="N1448" s="475">
        <f t="shared" si="112"/>
        <v>95117</v>
      </c>
    </row>
    <row r="1449" spans="7:14" ht="11.25" customHeight="1" x14ac:dyDescent="0.3">
      <c r="G1449" s="470"/>
      <c r="H1449" s="470">
        <v>1442</v>
      </c>
      <c r="I1449" s="455">
        <f t="shared" ca="1" si="110"/>
        <v>-153677445.98623627</v>
      </c>
      <c r="J1449" s="455">
        <f t="array" ref="J1449">IFERROR(INDEX('Retirement Calculator'!K:K,MATCH('Lorri 401b'!N1449,'Retirement Calculator'!A:A,0),0),0)</f>
        <v>0</v>
      </c>
      <c r="K1449" s="455">
        <f t="shared" ca="1" si="108"/>
        <v>-640322.69160931779</v>
      </c>
      <c r="L1449" s="455">
        <f t="shared" ca="1" si="109"/>
        <v>-154317768.6778456</v>
      </c>
      <c r="M1449" s="471">
        <f t="shared" si="111"/>
        <v>0.05</v>
      </c>
      <c r="N1449" s="475">
        <f t="shared" si="112"/>
        <v>95147</v>
      </c>
    </row>
    <row r="1450" spans="7:14" ht="11.25" customHeight="1" x14ac:dyDescent="0.3">
      <c r="G1450" s="470"/>
      <c r="H1450" s="470">
        <v>1443</v>
      </c>
      <c r="I1450" s="455">
        <f t="shared" ca="1" si="110"/>
        <v>-154317768.6778456</v>
      </c>
      <c r="J1450" s="455">
        <f t="array" ref="J1450">IFERROR(INDEX('Retirement Calculator'!K:K,MATCH('Lorri 401b'!N1450,'Retirement Calculator'!A:A,0),0),0)</f>
        <v>0</v>
      </c>
      <c r="K1450" s="455">
        <f t="shared" ca="1" si="108"/>
        <v>-642990.70282435662</v>
      </c>
      <c r="L1450" s="455">
        <f t="shared" ca="1" si="109"/>
        <v>-154960759.38066995</v>
      </c>
      <c r="M1450" s="471">
        <f t="shared" si="111"/>
        <v>0.05</v>
      </c>
      <c r="N1450" s="475">
        <f t="shared" si="112"/>
        <v>95178</v>
      </c>
    </row>
    <row r="1451" spans="7:14" ht="11.25" customHeight="1" x14ac:dyDescent="0.3">
      <c r="G1451" s="470"/>
      <c r="H1451" s="470">
        <v>1444</v>
      </c>
      <c r="I1451" s="455">
        <f t="shared" ca="1" si="110"/>
        <v>-154960759.38066995</v>
      </c>
      <c r="J1451" s="455">
        <f t="array" ref="J1451">IFERROR(INDEX('Retirement Calculator'!K:K,MATCH('Lorri 401b'!N1451,'Retirement Calculator'!A:A,0),0),0)</f>
        <v>0</v>
      </c>
      <c r="K1451" s="455">
        <f t="shared" ca="1" si="108"/>
        <v>-645669.83075279149</v>
      </c>
      <c r="L1451" s="455">
        <f t="shared" ca="1" si="109"/>
        <v>-155606429.21142274</v>
      </c>
      <c r="M1451" s="471">
        <f t="shared" si="111"/>
        <v>0.05</v>
      </c>
      <c r="N1451" s="475">
        <f t="shared" si="112"/>
        <v>95209</v>
      </c>
    </row>
    <row r="1452" spans="7:14" ht="11.25" customHeight="1" x14ac:dyDescent="0.3">
      <c r="G1452" s="470"/>
      <c r="H1452" s="470">
        <v>1445</v>
      </c>
      <c r="I1452" s="455">
        <f t="shared" ca="1" si="110"/>
        <v>-155606429.21142274</v>
      </c>
      <c r="J1452" s="455">
        <f t="array" ref="J1452">IFERROR(INDEX('Retirement Calculator'!K:K,MATCH('Lorri 401b'!N1452,'Retirement Calculator'!A:A,0),0),0)</f>
        <v>0</v>
      </c>
      <c r="K1452" s="455">
        <f t="shared" ca="1" si="108"/>
        <v>-648360.12171426136</v>
      </c>
      <c r="L1452" s="455">
        <f t="shared" ca="1" si="109"/>
        <v>-156254789.33313701</v>
      </c>
      <c r="M1452" s="471">
        <f t="shared" si="111"/>
        <v>0.05</v>
      </c>
      <c r="N1452" s="475">
        <f t="shared" si="112"/>
        <v>95239</v>
      </c>
    </row>
    <row r="1453" spans="7:14" ht="11.25" customHeight="1" x14ac:dyDescent="0.3">
      <c r="G1453" s="470"/>
      <c r="H1453" s="470">
        <v>1446</v>
      </c>
      <c r="I1453" s="455">
        <f t="shared" ca="1" si="110"/>
        <v>-156254789.33313701</v>
      </c>
      <c r="J1453" s="455">
        <f t="array" ref="J1453">IFERROR(INDEX('Retirement Calculator'!K:K,MATCH('Lorri 401b'!N1453,'Retirement Calculator'!A:A,0),0),0)</f>
        <v>0</v>
      </c>
      <c r="K1453" s="455">
        <f t="shared" ca="1" si="108"/>
        <v>-651061.62222140422</v>
      </c>
      <c r="L1453" s="455">
        <f t="shared" ca="1" si="109"/>
        <v>-156905850.95535842</v>
      </c>
      <c r="M1453" s="471">
        <f t="shared" si="111"/>
        <v>0.05</v>
      </c>
      <c r="N1453" s="475">
        <f t="shared" si="112"/>
        <v>95270</v>
      </c>
    </row>
    <row r="1454" spans="7:14" ht="11.25" customHeight="1" x14ac:dyDescent="0.3">
      <c r="G1454" s="470"/>
      <c r="H1454" s="470">
        <v>1447</v>
      </c>
      <c r="I1454" s="455">
        <f t="shared" ca="1" si="110"/>
        <v>-156905850.95535842</v>
      </c>
      <c r="J1454" s="455">
        <f t="array" ref="J1454">IFERROR(INDEX('Retirement Calculator'!K:K,MATCH('Lorri 401b'!N1454,'Retirement Calculator'!A:A,0),0),0)</f>
        <v>0</v>
      </c>
      <c r="K1454" s="455">
        <f t="shared" ca="1" si="108"/>
        <v>-653774.37898066011</v>
      </c>
      <c r="L1454" s="455">
        <f t="shared" ca="1" si="109"/>
        <v>-157559625.33433908</v>
      </c>
      <c r="M1454" s="471">
        <f t="shared" si="111"/>
        <v>0.05</v>
      </c>
      <c r="N1454" s="475">
        <f t="shared" si="112"/>
        <v>95300</v>
      </c>
    </row>
    <row r="1455" spans="7:14" ht="11.25" customHeight="1" x14ac:dyDescent="0.3">
      <c r="G1455" s="470"/>
      <c r="H1455" s="470">
        <v>1448</v>
      </c>
      <c r="I1455" s="455">
        <f t="shared" ca="1" si="110"/>
        <v>-157559625.33433908</v>
      </c>
      <c r="J1455" s="455">
        <f t="array" ref="J1455">IFERROR(INDEX('Retirement Calculator'!K:K,MATCH('Lorri 401b'!N1455,'Retirement Calculator'!A:A,0),0),0)</f>
        <v>0</v>
      </c>
      <c r="K1455" s="455">
        <f t="shared" ca="1" si="108"/>
        <v>-656498.43889307952</v>
      </c>
      <c r="L1455" s="455">
        <f t="shared" ca="1" si="109"/>
        <v>-158216123.77323216</v>
      </c>
      <c r="M1455" s="471">
        <f t="shared" si="111"/>
        <v>0.05</v>
      </c>
      <c r="N1455" s="475">
        <f t="shared" si="112"/>
        <v>95331</v>
      </c>
    </row>
    <row r="1456" spans="7:14" ht="11.25" customHeight="1" x14ac:dyDescent="0.3">
      <c r="G1456" s="470"/>
      <c r="H1456" s="470">
        <v>1449</v>
      </c>
      <c r="I1456" s="455">
        <f t="shared" ca="1" si="110"/>
        <v>-158216123.77323216</v>
      </c>
      <c r="J1456" s="455">
        <f t="array" ref="J1456">IFERROR(INDEX('Retirement Calculator'!K:K,MATCH('Lorri 401b'!N1456,'Retirement Calculator'!A:A,0),0),0)</f>
        <v>0</v>
      </c>
      <c r="K1456" s="455">
        <f t="shared" ca="1" si="108"/>
        <v>-659233.84905513399</v>
      </c>
      <c r="L1456" s="455">
        <f t="shared" ca="1" si="109"/>
        <v>-158875357.6222873</v>
      </c>
      <c r="M1456" s="471">
        <f t="shared" si="111"/>
        <v>0.05</v>
      </c>
      <c r="N1456" s="475">
        <f t="shared" si="112"/>
        <v>95362</v>
      </c>
    </row>
    <row r="1457" spans="7:14" ht="11.25" customHeight="1" x14ac:dyDescent="0.3">
      <c r="G1457" s="470"/>
      <c r="H1457" s="470">
        <v>1450</v>
      </c>
      <c r="I1457" s="455">
        <f t="shared" ca="1" si="110"/>
        <v>-158875357.6222873</v>
      </c>
      <c r="J1457" s="455">
        <f t="array" ref="J1457">IFERROR(INDEX('Retirement Calculator'!K:K,MATCH('Lorri 401b'!N1457,'Retirement Calculator'!A:A,0),0),0)</f>
        <v>0</v>
      </c>
      <c r="K1457" s="455">
        <f t="shared" ca="1" si="108"/>
        <v>-661980.65675953042</v>
      </c>
      <c r="L1457" s="455">
        <f t="shared" ca="1" si="109"/>
        <v>-159537338.27904683</v>
      </c>
      <c r="M1457" s="471">
        <f t="shared" si="111"/>
        <v>0.05</v>
      </c>
      <c r="N1457" s="475">
        <f t="shared" si="112"/>
        <v>95390</v>
      </c>
    </row>
    <row r="1458" spans="7:14" ht="11.25" customHeight="1" x14ac:dyDescent="0.3">
      <c r="G1458" s="470"/>
      <c r="H1458" s="470">
        <v>1451</v>
      </c>
      <c r="I1458" s="455">
        <f t="shared" ca="1" si="110"/>
        <v>-159537338.27904683</v>
      </c>
      <c r="J1458" s="455">
        <f t="array" ref="J1458">IFERROR(INDEX('Retirement Calculator'!K:K,MATCH('Lorri 401b'!N1458,'Retirement Calculator'!A:A,0),0),0)</f>
        <v>0</v>
      </c>
      <c r="K1458" s="455">
        <f t="shared" ca="1" si="108"/>
        <v>-664738.90949602844</v>
      </c>
      <c r="L1458" s="455">
        <f t="shared" ca="1" si="109"/>
        <v>-160202077.18854287</v>
      </c>
      <c r="M1458" s="471">
        <f t="shared" si="111"/>
        <v>0.05</v>
      </c>
      <c r="N1458" s="475">
        <f t="shared" si="112"/>
        <v>95421</v>
      </c>
    </row>
    <row r="1459" spans="7:14" ht="11.25" customHeight="1" x14ac:dyDescent="0.3">
      <c r="G1459" s="470"/>
      <c r="H1459" s="470">
        <v>1452</v>
      </c>
      <c r="I1459" s="455">
        <f t="shared" ca="1" si="110"/>
        <v>-160202077.18854287</v>
      </c>
      <c r="J1459" s="455">
        <f t="array" ref="J1459">IFERROR(INDEX('Retirement Calculator'!K:K,MATCH('Lorri 401b'!N1459,'Retirement Calculator'!A:A,0),0),0)</f>
        <v>0</v>
      </c>
      <c r="K1459" s="455">
        <f t="shared" ca="1" si="108"/>
        <v>-667508.65495226195</v>
      </c>
      <c r="L1459" s="455">
        <f t="shared" ca="1" si="109"/>
        <v>-160869585.84349513</v>
      </c>
      <c r="M1459" s="471">
        <f t="shared" si="111"/>
        <v>0.05</v>
      </c>
      <c r="N1459" s="475">
        <f t="shared" si="112"/>
        <v>95451</v>
      </c>
    </row>
    <row r="1460" spans="7:14" ht="11.25" customHeight="1" x14ac:dyDescent="0.3">
      <c r="G1460" s="470"/>
      <c r="H1460" s="470">
        <v>1453</v>
      </c>
      <c r="I1460" s="455">
        <f t="shared" ca="1" si="110"/>
        <v>-160869585.84349513</v>
      </c>
      <c r="J1460" s="455">
        <f t="array" ref="J1460">IFERROR(INDEX('Retirement Calculator'!K:K,MATCH('Lorri 401b'!N1460,'Retirement Calculator'!A:A,0),0),0)</f>
        <v>0</v>
      </c>
      <c r="K1460" s="455">
        <f t="shared" ca="1" si="108"/>
        <v>-670289.94101456308</v>
      </c>
      <c r="L1460" s="455">
        <f t="shared" ca="1" si="109"/>
        <v>-161539875.78450969</v>
      </c>
      <c r="M1460" s="471">
        <f t="shared" si="111"/>
        <v>0.05</v>
      </c>
      <c r="N1460" s="475">
        <f t="shared" si="112"/>
        <v>95482</v>
      </c>
    </row>
    <row r="1461" spans="7:14" ht="11.25" customHeight="1" x14ac:dyDescent="0.3">
      <c r="G1461" s="470"/>
      <c r="H1461" s="470">
        <v>1454</v>
      </c>
      <c r="I1461" s="455">
        <f t="shared" ca="1" si="110"/>
        <v>-161539875.78450969</v>
      </c>
      <c r="J1461" s="455">
        <f t="array" ref="J1461">IFERROR(INDEX('Retirement Calculator'!K:K,MATCH('Lorri 401b'!N1461,'Retirement Calculator'!A:A,0),0),0)</f>
        <v>0</v>
      </c>
      <c r="K1461" s="455">
        <f t="shared" ca="1" si="108"/>
        <v>-673082.81576879031</v>
      </c>
      <c r="L1461" s="455">
        <f t="shared" ca="1" si="109"/>
        <v>-162212958.60027847</v>
      </c>
      <c r="M1461" s="471">
        <f t="shared" si="111"/>
        <v>0.05</v>
      </c>
      <c r="N1461" s="475">
        <f t="shared" si="112"/>
        <v>95512</v>
      </c>
    </row>
    <row r="1462" spans="7:14" ht="11.25" customHeight="1" x14ac:dyDescent="0.3">
      <c r="G1462" s="470"/>
      <c r="H1462" s="470">
        <v>1455</v>
      </c>
      <c r="I1462" s="455">
        <f t="shared" ca="1" si="110"/>
        <v>-162212958.60027847</v>
      </c>
      <c r="J1462" s="455">
        <f t="array" ref="J1462">IFERROR(INDEX('Retirement Calculator'!K:K,MATCH('Lorri 401b'!N1462,'Retirement Calculator'!A:A,0),0),0)</f>
        <v>0</v>
      </c>
      <c r="K1462" s="455">
        <f t="shared" ca="1" si="108"/>
        <v>-675887.32750116033</v>
      </c>
      <c r="L1462" s="455">
        <f t="shared" ca="1" si="109"/>
        <v>-162888845.92777961</v>
      </c>
      <c r="M1462" s="471">
        <f t="shared" si="111"/>
        <v>0.05</v>
      </c>
      <c r="N1462" s="475">
        <f t="shared" si="112"/>
        <v>95543</v>
      </c>
    </row>
    <row r="1463" spans="7:14" ht="11.25" customHeight="1" x14ac:dyDescent="0.3">
      <c r="G1463" s="470"/>
      <c r="H1463" s="470">
        <v>1456</v>
      </c>
      <c r="I1463" s="455">
        <f t="shared" ca="1" si="110"/>
        <v>-162888845.92777961</v>
      </c>
      <c r="J1463" s="455">
        <f t="array" ref="J1463">IFERROR(INDEX('Retirement Calculator'!K:K,MATCH('Lorri 401b'!N1463,'Retirement Calculator'!A:A,0),0),0)</f>
        <v>0</v>
      </c>
      <c r="K1463" s="455">
        <f t="shared" ca="1" si="108"/>
        <v>-678703.52469908167</v>
      </c>
      <c r="L1463" s="455">
        <f t="shared" ca="1" si="109"/>
        <v>-163567549.45247871</v>
      </c>
      <c r="M1463" s="471">
        <f t="shared" si="111"/>
        <v>0.05</v>
      </c>
      <c r="N1463" s="475">
        <f t="shared" si="112"/>
        <v>95574</v>
      </c>
    </row>
    <row r="1464" spans="7:14" ht="11.25" customHeight="1" x14ac:dyDescent="0.3">
      <c r="G1464" s="470"/>
      <c r="H1464" s="470">
        <v>1457</v>
      </c>
      <c r="I1464" s="455">
        <f t="shared" ca="1" si="110"/>
        <v>-163567549.45247871</v>
      </c>
      <c r="J1464" s="455">
        <f t="array" ref="J1464">IFERROR(INDEX('Retirement Calculator'!K:K,MATCH('Lorri 401b'!N1464,'Retirement Calculator'!A:A,0),0),0)</f>
        <v>0</v>
      </c>
      <c r="K1464" s="455">
        <f t="shared" ca="1" si="108"/>
        <v>-681531.45605199458</v>
      </c>
      <c r="L1464" s="455">
        <f t="shared" ca="1" si="109"/>
        <v>-164249080.90853071</v>
      </c>
      <c r="M1464" s="471">
        <f t="shared" si="111"/>
        <v>0.05</v>
      </c>
      <c r="N1464" s="475">
        <f t="shared" si="112"/>
        <v>95604</v>
      </c>
    </row>
    <row r="1465" spans="7:14" ht="11.25" customHeight="1" x14ac:dyDescent="0.3">
      <c r="G1465" s="470"/>
      <c r="H1465" s="470">
        <v>1458</v>
      </c>
      <c r="I1465" s="455">
        <f t="shared" ca="1" si="110"/>
        <v>-164249080.90853071</v>
      </c>
      <c r="J1465" s="455">
        <f t="array" ref="J1465">IFERROR(INDEX('Retirement Calculator'!K:K,MATCH('Lorri 401b'!N1465,'Retirement Calculator'!A:A,0),0),0)</f>
        <v>0</v>
      </c>
      <c r="K1465" s="455">
        <f t="shared" ca="1" si="108"/>
        <v>-684371.17045221129</v>
      </c>
      <c r="L1465" s="455">
        <f t="shared" ca="1" si="109"/>
        <v>-164933452.07898292</v>
      </c>
      <c r="M1465" s="471">
        <f t="shared" si="111"/>
        <v>0.05</v>
      </c>
      <c r="N1465" s="475">
        <f t="shared" si="112"/>
        <v>95635</v>
      </c>
    </row>
    <row r="1466" spans="7:14" ht="11.25" customHeight="1" x14ac:dyDescent="0.3">
      <c r="G1466" s="470"/>
      <c r="H1466" s="470">
        <v>1459</v>
      </c>
      <c r="I1466" s="455">
        <f t="shared" ca="1" si="110"/>
        <v>-164933452.07898292</v>
      </c>
      <c r="J1466" s="455">
        <f t="array" ref="J1466">IFERROR(INDEX('Retirement Calculator'!K:K,MATCH('Lorri 401b'!N1466,'Retirement Calculator'!A:A,0),0),0)</f>
        <v>0</v>
      </c>
      <c r="K1466" s="455">
        <f t="shared" ca="1" si="108"/>
        <v>-687222.7169957622</v>
      </c>
      <c r="L1466" s="455">
        <f t="shared" ca="1" si="109"/>
        <v>-165620674.7959787</v>
      </c>
      <c r="M1466" s="471">
        <f t="shared" si="111"/>
        <v>0.05</v>
      </c>
      <c r="N1466" s="475">
        <f t="shared" si="112"/>
        <v>95665</v>
      </c>
    </row>
    <row r="1467" spans="7:14" ht="11.25" customHeight="1" x14ac:dyDescent="0.3">
      <c r="G1467" s="470"/>
      <c r="H1467" s="470">
        <v>1460</v>
      </c>
      <c r="I1467" s="455">
        <f t="shared" ca="1" si="110"/>
        <v>-165620674.7959787</v>
      </c>
      <c r="J1467" s="455">
        <f t="array" ref="J1467">IFERROR(INDEX('Retirement Calculator'!K:K,MATCH('Lorri 401b'!N1467,'Retirement Calculator'!A:A,0),0),0)</f>
        <v>0</v>
      </c>
      <c r="K1467" s="455">
        <f t="shared" ca="1" si="108"/>
        <v>-690086.14498324459</v>
      </c>
      <c r="L1467" s="455">
        <f t="shared" ca="1" si="109"/>
        <v>-166310760.94096193</v>
      </c>
      <c r="M1467" s="471">
        <f t="shared" si="111"/>
        <v>0.05</v>
      </c>
      <c r="N1467" s="475">
        <f t="shared" si="112"/>
        <v>95696</v>
      </c>
    </row>
    <row r="1468" spans="7:14" ht="11.25" customHeight="1" x14ac:dyDescent="0.3">
      <c r="G1468" s="470"/>
      <c r="H1468" s="470">
        <v>1461</v>
      </c>
      <c r="I1468" s="455">
        <f t="shared" ca="1" si="110"/>
        <v>-166310760.94096193</v>
      </c>
      <c r="J1468" s="455">
        <f t="array" ref="J1468">IFERROR(INDEX('Retirement Calculator'!K:K,MATCH('Lorri 401b'!N1468,'Retirement Calculator'!A:A,0),0),0)</f>
        <v>0</v>
      </c>
      <c r="K1468" s="455">
        <f t="shared" ca="1" si="108"/>
        <v>-692961.50392067467</v>
      </c>
      <c r="L1468" s="455">
        <f t="shared" ca="1" si="109"/>
        <v>-167003722.4448826</v>
      </c>
      <c r="M1468" s="471">
        <f t="shared" si="111"/>
        <v>0.05</v>
      </c>
      <c r="N1468" s="475">
        <f t="shared" si="112"/>
        <v>95727</v>
      </c>
    </row>
    <row r="1469" spans="7:14" ht="11.25" customHeight="1" x14ac:dyDescent="0.3">
      <c r="G1469" s="470"/>
      <c r="H1469" s="470">
        <v>1462</v>
      </c>
      <c r="I1469" s="455">
        <f t="shared" ca="1" si="110"/>
        <v>-167003722.4448826</v>
      </c>
      <c r="J1469" s="455">
        <f t="array" ref="J1469">IFERROR(INDEX('Retirement Calculator'!K:K,MATCH('Lorri 401b'!N1469,'Retirement Calculator'!A:A,0),0),0)</f>
        <v>0</v>
      </c>
      <c r="K1469" s="455">
        <f t="shared" ca="1" si="108"/>
        <v>-695848.84352034412</v>
      </c>
      <c r="L1469" s="455">
        <f t="shared" ca="1" si="109"/>
        <v>-167699571.28840294</v>
      </c>
      <c r="M1469" s="471">
        <f t="shared" si="111"/>
        <v>0.05</v>
      </c>
      <c r="N1469" s="475">
        <f t="shared" si="112"/>
        <v>95755</v>
      </c>
    </row>
    <row r="1470" spans="7:14" ht="11.25" customHeight="1" x14ac:dyDescent="0.3">
      <c r="G1470" s="470"/>
      <c r="H1470" s="470">
        <v>1463</v>
      </c>
      <c r="I1470" s="455">
        <f t="shared" ca="1" si="110"/>
        <v>-167699571.28840294</v>
      </c>
      <c r="J1470" s="455">
        <f t="array" ref="J1470">IFERROR(INDEX('Retirement Calculator'!K:K,MATCH('Lorri 401b'!N1470,'Retirement Calculator'!A:A,0),0),0)</f>
        <v>0</v>
      </c>
      <c r="K1470" s="455">
        <f t="shared" ca="1" si="108"/>
        <v>-698748.21370167891</v>
      </c>
      <c r="L1470" s="455">
        <f t="shared" ca="1" si="109"/>
        <v>-168398319.50210461</v>
      </c>
      <c r="M1470" s="471">
        <f t="shared" si="111"/>
        <v>0.05</v>
      </c>
      <c r="N1470" s="475">
        <f t="shared" si="112"/>
        <v>95786</v>
      </c>
    </row>
    <row r="1471" spans="7:14" ht="11.25" customHeight="1" x14ac:dyDescent="0.3">
      <c r="G1471" s="470"/>
      <c r="H1471" s="470">
        <v>1464</v>
      </c>
      <c r="I1471" s="455">
        <f t="shared" ca="1" si="110"/>
        <v>-168398319.50210461</v>
      </c>
      <c r="J1471" s="455">
        <f t="array" ref="J1471">IFERROR(INDEX('Retirement Calculator'!K:K,MATCH('Lorri 401b'!N1471,'Retirement Calculator'!A:A,0),0),0)</f>
        <v>0</v>
      </c>
      <c r="K1471" s="455">
        <f t="shared" ca="1" si="108"/>
        <v>-701659.66459210252</v>
      </c>
      <c r="L1471" s="455">
        <f t="shared" ca="1" si="109"/>
        <v>-169099979.16669673</v>
      </c>
      <c r="M1471" s="471">
        <f t="shared" si="111"/>
        <v>0.05</v>
      </c>
      <c r="N1471" s="475">
        <f t="shared" si="112"/>
        <v>95816</v>
      </c>
    </row>
    <row r="1472" spans="7:14" ht="11.25" customHeight="1" x14ac:dyDescent="0.3">
      <c r="G1472" s="470"/>
      <c r="H1472" s="470">
        <v>1465</v>
      </c>
      <c r="I1472" s="455">
        <f t="shared" ca="1" si="110"/>
        <v>-169099979.16669673</v>
      </c>
      <c r="J1472" s="455">
        <f t="array" ref="J1472">IFERROR(INDEX('Retirement Calculator'!K:K,MATCH('Lorri 401b'!N1472,'Retirement Calculator'!A:A,0),0),0)</f>
        <v>0</v>
      </c>
      <c r="K1472" s="455">
        <f t="shared" ca="1" si="108"/>
        <v>-704583.24652790301</v>
      </c>
      <c r="L1472" s="455">
        <f t="shared" ca="1" si="109"/>
        <v>-169804562.41322464</v>
      </c>
      <c r="M1472" s="471">
        <f t="shared" si="111"/>
        <v>0.05</v>
      </c>
      <c r="N1472" s="475">
        <f t="shared" si="112"/>
        <v>95847</v>
      </c>
    </row>
    <row r="1473" spans="7:14" ht="11.25" customHeight="1" x14ac:dyDescent="0.3">
      <c r="G1473" s="470"/>
      <c r="H1473" s="470">
        <v>1466</v>
      </c>
      <c r="I1473" s="455">
        <f t="shared" ca="1" si="110"/>
        <v>-169804562.41322464</v>
      </c>
      <c r="J1473" s="455">
        <f t="array" ref="J1473">IFERROR(INDEX('Retirement Calculator'!K:K,MATCH('Lorri 401b'!N1473,'Retirement Calculator'!A:A,0),0),0)</f>
        <v>0</v>
      </c>
      <c r="K1473" s="455">
        <f t="shared" ca="1" si="108"/>
        <v>-707519.01005510264</v>
      </c>
      <c r="L1473" s="455">
        <f t="shared" ca="1" si="109"/>
        <v>-170512081.42327973</v>
      </c>
      <c r="M1473" s="471">
        <f t="shared" si="111"/>
        <v>0.05</v>
      </c>
      <c r="N1473" s="475">
        <f t="shared" si="112"/>
        <v>95877</v>
      </c>
    </row>
    <row r="1474" spans="7:14" ht="11.25" customHeight="1" x14ac:dyDescent="0.3">
      <c r="G1474" s="470"/>
      <c r="H1474" s="470">
        <v>1467</v>
      </c>
      <c r="I1474" s="455">
        <f t="shared" ca="1" si="110"/>
        <v>-170512081.42327973</v>
      </c>
      <c r="J1474" s="455">
        <f t="array" ref="J1474">IFERROR(INDEX('Retirement Calculator'!K:K,MATCH('Lorri 401b'!N1474,'Retirement Calculator'!A:A,0),0),0)</f>
        <v>0</v>
      </c>
      <c r="K1474" s="455">
        <f t="shared" ca="1" si="108"/>
        <v>-710467.00593033223</v>
      </c>
      <c r="L1474" s="455">
        <f t="shared" ca="1" si="109"/>
        <v>-171222548.42921007</v>
      </c>
      <c r="M1474" s="471">
        <f t="shared" si="111"/>
        <v>0.05</v>
      </c>
      <c r="N1474" s="475">
        <f t="shared" si="112"/>
        <v>95908</v>
      </c>
    </row>
    <row r="1475" spans="7:14" ht="11.25" customHeight="1" x14ac:dyDescent="0.3">
      <c r="G1475" s="470"/>
      <c r="H1475" s="470">
        <v>1468</v>
      </c>
      <c r="I1475" s="455">
        <f t="shared" ca="1" si="110"/>
        <v>-171222548.42921007</v>
      </c>
      <c r="J1475" s="455">
        <f t="array" ref="J1475">IFERROR(INDEX('Retirement Calculator'!K:K,MATCH('Lorri 401b'!N1475,'Retirement Calculator'!A:A,0),0),0)</f>
        <v>0</v>
      </c>
      <c r="K1475" s="455">
        <f t="shared" ca="1" si="108"/>
        <v>-713427.28512170864</v>
      </c>
      <c r="L1475" s="455">
        <f t="shared" ca="1" si="109"/>
        <v>-171935975.71433178</v>
      </c>
      <c r="M1475" s="471">
        <f t="shared" si="111"/>
        <v>0.05</v>
      </c>
      <c r="N1475" s="475">
        <f t="shared" si="112"/>
        <v>95939</v>
      </c>
    </row>
    <row r="1476" spans="7:14" ht="11.25" customHeight="1" x14ac:dyDescent="0.3">
      <c r="G1476" s="470"/>
      <c r="H1476" s="470">
        <v>1469</v>
      </c>
      <c r="I1476" s="455">
        <f t="shared" ca="1" si="110"/>
        <v>-171935975.71433178</v>
      </c>
      <c r="J1476" s="455">
        <f t="array" ref="J1476">IFERROR(INDEX('Retirement Calculator'!K:K,MATCH('Lorri 401b'!N1476,'Retirement Calculator'!A:A,0),0),0)</f>
        <v>0</v>
      </c>
      <c r="K1476" s="455">
        <f t="shared" ca="1" si="108"/>
        <v>-716399.89880971576</v>
      </c>
      <c r="L1476" s="455">
        <f t="shared" ca="1" si="109"/>
        <v>-172652375.61314148</v>
      </c>
      <c r="M1476" s="471">
        <f t="shared" si="111"/>
        <v>0.05</v>
      </c>
      <c r="N1476" s="475">
        <f t="shared" si="112"/>
        <v>95969</v>
      </c>
    </row>
    <row r="1477" spans="7:14" ht="11.25" customHeight="1" x14ac:dyDescent="0.3">
      <c r="G1477" s="470"/>
      <c r="H1477" s="470">
        <v>1470</v>
      </c>
      <c r="I1477" s="455">
        <f t="shared" ca="1" si="110"/>
        <v>-172652375.61314148</v>
      </c>
      <c r="J1477" s="455">
        <f t="array" ref="J1477">IFERROR(INDEX('Retirement Calculator'!K:K,MATCH('Lorri 401b'!N1477,'Retirement Calculator'!A:A,0),0),0)</f>
        <v>0</v>
      </c>
      <c r="K1477" s="455">
        <f t="shared" ca="1" si="108"/>
        <v>-719384.8983880895</v>
      </c>
      <c r="L1477" s="455">
        <f t="shared" ca="1" si="109"/>
        <v>-173371760.51152956</v>
      </c>
      <c r="M1477" s="471">
        <f t="shared" si="111"/>
        <v>0.05</v>
      </c>
      <c r="N1477" s="475">
        <f t="shared" si="112"/>
        <v>96000</v>
      </c>
    </row>
    <row r="1478" spans="7:14" ht="11.25" customHeight="1" x14ac:dyDescent="0.3">
      <c r="G1478" s="470"/>
      <c r="H1478" s="470">
        <v>1471</v>
      </c>
      <c r="I1478" s="455">
        <f t="shared" ca="1" si="110"/>
        <v>-173371760.51152956</v>
      </c>
      <c r="J1478" s="455">
        <f t="array" ref="J1478">IFERROR(INDEX('Retirement Calculator'!K:K,MATCH('Lorri 401b'!N1478,'Retirement Calculator'!A:A,0),0),0)</f>
        <v>0</v>
      </c>
      <c r="K1478" s="455">
        <f t="shared" ca="1" si="108"/>
        <v>-722382.33546470653</v>
      </c>
      <c r="L1478" s="455">
        <f t="shared" ca="1" si="109"/>
        <v>-174094142.84699428</v>
      </c>
      <c r="M1478" s="471">
        <f t="shared" si="111"/>
        <v>0.05</v>
      </c>
      <c r="N1478" s="475">
        <f t="shared" si="112"/>
        <v>96030</v>
      </c>
    </row>
    <row r="1479" spans="7:14" ht="11.25" customHeight="1" x14ac:dyDescent="0.3">
      <c r="G1479" s="470"/>
      <c r="H1479" s="470">
        <v>1472</v>
      </c>
      <c r="I1479" s="455">
        <f t="shared" ca="1" si="110"/>
        <v>-174094142.84699428</v>
      </c>
      <c r="J1479" s="455">
        <f t="array" ref="J1479">IFERROR(INDEX('Retirement Calculator'!K:K,MATCH('Lorri 401b'!N1479,'Retirement Calculator'!A:A,0),0),0)</f>
        <v>0</v>
      </c>
      <c r="K1479" s="455">
        <f t="shared" ca="1" si="108"/>
        <v>-725392.26186247612</v>
      </c>
      <c r="L1479" s="455">
        <f t="shared" ca="1" si="109"/>
        <v>-174819535.10885677</v>
      </c>
      <c r="M1479" s="471">
        <f t="shared" si="111"/>
        <v>0.05</v>
      </c>
      <c r="N1479" s="475">
        <f t="shared" si="112"/>
        <v>96061</v>
      </c>
    </row>
    <row r="1480" spans="7:14" ht="11.25" customHeight="1" x14ac:dyDescent="0.3">
      <c r="G1480" s="470"/>
      <c r="H1480" s="470">
        <v>1473</v>
      </c>
      <c r="I1480" s="455">
        <f t="shared" ca="1" si="110"/>
        <v>-174819535.10885677</v>
      </c>
      <c r="J1480" s="455">
        <f t="array" ref="J1480">IFERROR(INDEX('Retirement Calculator'!K:K,MATCH('Lorri 401b'!N1480,'Retirement Calculator'!A:A,0),0),0)</f>
        <v>0</v>
      </c>
      <c r="K1480" s="455">
        <f t="shared" ca="1" si="108"/>
        <v>-728414.72962023655</v>
      </c>
      <c r="L1480" s="455">
        <f t="shared" ca="1" si="109"/>
        <v>-175547949.83847702</v>
      </c>
      <c r="M1480" s="471">
        <f t="shared" si="111"/>
        <v>0.05</v>
      </c>
      <c r="N1480" s="475">
        <f t="shared" si="112"/>
        <v>96092</v>
      </c>
    </row>
    <row r="1481" spans="7:14" ht="11.25" customHeight="1" x14ac:dyDescent="0.3">
      <c r="G1481" s="470"/>
      <c r="H1481" s="470">
        <v>1474</v>
      </c>
      <c r="I1481" s="455">
        <f t="shared" ca="1" si="110"/>
        <v>-175547949.83847702</v>
      </c>
      <c r="J1481" s="455">
        <f t="array" ref="J1481">IFERROR(INDEX('Retirement Calculator'!K:K,MATCH('Lorri 401b'!N1481,'Retirement Calculator'!A:A,0),0),0)</f>
        <v>0</v>
      </c>
      <c r="K1481" s="455">
        <f t="shared" ca="1" si="108"/>
        <v>-731449.79099365417</v>
      </c>
      <c r="L1481" s="455">
        <f t="shared" ca="1" si="109"/>
        <v>-176279399.62947068</v>
      </c>
      <c r="M1481" s="471">
        <f t="shared" si="111"/>
        <v>0.05</v>
      </c>
      <c r="N1481" s="475">
        <f t="shared" si="112"/>
        <v>96120</v>
      </c>
    </row>
    <row r="1482" spans="7:14" ht="11.25" customHeight="1" x14ac:dyDescent="0.3">
      <c r="G1482" s="470"/>
      <c r="H1482" s="470">
        <v>1475</v>
      </c>
      <c r="I1482" s="455">
        <f t="shared" ca="1" si="110"/>
        <v>-176279399.62947068</v>
      </c>
      <c r="J1482" s="455">
        <f t="array" ref="J1482">IFERROR(INDEX('Retirement Calculator'!K:K,MATCH('Lorri 401b'!N1482,'Retirement Calculator'!A:A,0),0),0)</f>
        <v>0</v>
      </c>
      <c r="K1482" s="455">
        <f t="shared" ca="1" si="108"/>
        <v>-734497.49845612783</v>
      </c>
      <c r="L1482" s="455">
        <f t="shared" ca="1" si="109"/>
        <v>-177013897.1279268</v>
      </c>
      <c r="M1482" s="471">
        <f t="shared" si="111"/>
        <v>0.05</v>
      </c>
      <c r="N1482" s="475">
        <f t="shared" si="112"/>
        <v>96151</v>
      </c>
    </row>
    <row r="1483" spans="7:14" ht="11.25" customHeight="1" x14ac:dyDescent="0.3">
      <c r="G1483" s="470"/>
      <c r="H1483" s="470">
        <v>1476</v>
      </c>
      <c r="I1483" s="455">
        <f t="shared" ca="1" si="110"/>
        <v>-177013897.1279268</v>
      </c>
      <c r="J1483" s="455">
        <f t="array" ref="J1483">IFERROR(INDEX('Retirement Calculator'!K:K,MATCH('Lorri 401b'!N1483,'Retirement Calculator'!A:A,0),0),0)</f>
        <v>0</v>
      </c>
      <c r="K1483" s="455">
        <f t="shared" ca="1" si="108"/>
        <v>-737557.90469969495</v>
      </c>
      <c r="L1483" s="455">
        <f t="shared" ca="1" si="109"/>
        <v>-177751455.03262648</v>
      </c>
      <c r="M1483" s="471">
        <f t="shared" si="111"/>
        <v>0.05</v>
      </c>
      <c r="N1483" s="475">
        <f t="shared" si="112"/>
        <v>96181</v>
      </c>
    </row>
    <row r="1484" spans="7:14" ht="11.25" customHeight="1" x14ac:dyDescent="0.3">
      <c r="G1484" s="470"/>
      <c r="H1484" s="470">
        <v>1477</v>
      </c>
      <c r="I1484" s="455">
        <f t="shared" ca="1" si="110"/>
        <v>-177751455.03262648</v>
      </c>
      <c r="J1484" s="455">
        <f t="array" ref="J1484">IFERROR(INDEX('Retirement Calculator'!K:K,MATCH('Lorri 401b'!N1484,'Retirement Calculator'!A:A,0),0),0)</f>
        <v>0</v>
      </c>
      <c r="K1484" s="455">
        <f t="shared" ca="1" si="108"/>
        <v>-740631.06263594364</v>
      </c>
      <c r="L1484" s="455">
        <f t="shared" ca="1" si="109"/>
        <v>-178492086.09526244</v>
      </c>
      <c r="M1484" s="471">
        <f t="shared" si="111"/>
        <v>0.05</v>
      </c>
      <c r="N1484" s="475">
        <f t="shared" si="112"/>
        <v>96212</v>
      </c>
    </row>
    <row r="1485" spans="7:14" ht="11.25" customHeight="1" x14ac:dyDescent="0.3">
      <c r="G1485" s="470"/>
      <c r="H1485" s="470">
        <v>1478</v>
      </c>
      <c r="I1485" s="455">
        <f t="shared" ca="1" si="110"/>
        <v>-178492086.09526244</v>
      </c>
      <c r="J1485" s="455">
        <f t="array" ref="J1485">IFERROR(INDEX('Retirement Calculator'!K:K,MATCH('Lorri 401b'!N1485,'Retirement Calculator'!A:A,0),0),0)</f>
        <v>0</v>
      </c>
      <c r="K1485" s="455">
        <f t="shared" ca="1" si="108"/>
        <v>-743717.02539692679</v>
      </c>
      <c r="L1485" s="455">
        <f t="shared" ca="1" si="109"/>
        <v>-179235803.12065935</v>
      </c>
      <c r="M1485" s="471">
        <f t="shared" si="111"/>
        <v>0.05</v>
      </c>
      <c r="N1485" s="475">
        <f t="shared" si="112"/>
        <v>96242</v>
      </c>
    </row>
    <row r="1486" spans="7:14" ht="11.25" customHeight="1" x14ac:dyDescent="0.3">
      <c r="G1486" s="470"/>
      <c r="H1486" s="470">
        <v>1479</v>
      </c>
      <c r="I1486" s="455">
        <f t="shared" ca="1" si="110"/>
        <v>-179235803.12065935</v>
      </c>
      <c r="J1486" s="455">
        <f t="array" ref="J1486">IFERROR(INDEX('Retirement Calculator'!K:K,MATCH('Lorri 401b'!N1486,'Retirement Calculator'!A:A,0),0),0)</f>
        <v>0</v>
      </c>
      <c r="K1486" s="455">
        <f t="shared" ca="1" si="108"/>
        <v>-746815.84633608058</v>
      </c>
      <c r="L1486" s="455">
        <f t="shared" ca="1" si="109"/>
        <v>-179982618.96699542</v>
      </c>
      <c r="M1486" s="471">
        <f t="shared" si="111"/>
        <v>0.05</v>
      </c>
      <c r="N1486" s="475">
        <f t="shared" si="112"/>
        <v>96273</v>
      </c>
    </row>
    <row r="1487" spans="7:14" ht="11.25" customHeight="1" x14ac:dyDescent="0.3">
      <c r="G1487" s="470"/>
      <c r="H1487" s="470">
        <v>1480</v>
      </c>
      <c r="I1487" s="455">
        <f t="shared" ca="1" si="110"/>
        <v>-179982618.96699542</v>
      </c>
      <c r="J1487" s="455">
        <f t="array" ref="J1487">IFERROR(INDEX('Retirement Calculator'!K:K,MATCH('Lorri 401b'!N1487,'Retirement Calculator'!A:A,0),0),0)</f>
        <v>0</v>
      </c>
      <c r="K1487" s="455">
        <f t="shared" ca="1" si="108"/>
        <v>-749927.57902914751</v>
      </c>
      <c r="L1487" s="455">
        <f t="shared" ca="1" si="109"/>
        <v>-180732546.54602456</v>
      </c>
      <c r="M1487" s="471">
        <f t="shared" si="111"/>
        <v>0.05</v>
      </c>
      <c r="N1487" s="475">
        <f t="shared" si="112"/>
        <v>96304</v>
      </c>
    </row>
    <row r="1488" spans="7:14" ht="11.25" customHeight="1" x14ac:dyDescent="0.3">
      <c r="G1488" s="470"/>
      <c r="H1488" s="470">
        <v>1481</v>
      </c>
      <c r="I1488" s="455">
        <f t="shared" ca="1" si="110"/>
        <v>-180732546.54602456</v>
      </c>
      <c r="J1488" s="455">
        <f t="array" ref="J1488">IFERROR(INDEX('Retirement Calculator'!K:K,MATCH('Lorri 401b'!N1488,'Retirement Calculator'!A:A,0),0),0)</f>
        <v>0</v>
      </c>
      <c r="K1488" s="455">
        <f t="shared" ca="1" si="108"/>
        <v>-753052.27727510233</v>
      </c>
      <c r="L1488" s="455">
        <f t="shared" ca="1" si="109"/>
        <v>-181485598.82329968</v>
      </c>
      <c r="M1488" s="471">
        <f t="shared" si="111"/>
        <v>0.05</v>
      </c>
      <c r="N1488" s="475">
        <f t="shared" si="112"/>
        <v>96334</v>
      </c>
    </row>
    <row r="1489" spans="7:14" ht="11.25" customHeight="1" x14ac:dyDescent="0.3">
      <c r="G1489" s="470"/>
      <c r="H1489" s="470">
        <v>1482</v>
      </c>
      <c r="I1489" s="455">
        <f t="shared" ca="1" si="110"/>
        <v>-181485598.82329968</v>
      </c>
      <c r="J1489" s="455">
        <f t="array" ref="J1489">IFERROR(INDEX('Retirement Calculator'!K:K,MATCH('Lorri 401b'!N1489,'Retirement Calculator'!A:A,0),0),0)</f>
        <v>0</v>
      </c>
      <c r="K1489" s="455">
        <f t="shared" ca="1" si="108"/>
        <v>-756189.99509708199</v>
      </c>
      <c r="L1489" s="455">
        <f t="shared" ca="1" si="109"/>
        <v>-182241788.81839675</v>
      </c>
      <c r="M1489" s="471">
        <f t="shared" si="111"/>
        <v>0.05</v>
      </c>
      <c r="N1489" s="475">
        <f t="shared" si="112"/>
        <v>96365</v>
      </c>
    </row>
    <row r="1490" spans="7:14" ht="11.25" customHeight="1" x14ac:dyDescent="0.3">
      <c r="G1490" s="470"/>
      <c r="H1490" s="470">
        <v>1483</v>
      </c>
      <c r="I1490" s="455">
        <f t="shared" ca="1" si="110"/>
        <v>-182241788.81839675</v>
      </c>
      <c r="J1490" s="455">
        <f t="array" ref="J1490">IFERROR(INDEX('Retirement Calculator'!K:K,MATCH('Lorri 401b'!N1490,'Retirement Calculator'!A:A,0),0),0)</f>
        <v>0</v>
      </c>
      <c r="K1490" s="455">
        <f t="shared" ca="1" si="108"/>
        <v>-759340.78674331983</v>
      </c>
      <c r="L1490" s="455">
        <f t="shared" ca="1" si="109"/>
        <v>-183001129.60514006</v>
      </c>
      <c r="M1490" s="471">
        <f t="shared" si="111"/>
        <v>0.05</v>
      </c>
      <c r="N1490" s="475">
        <f t="shared" si="112"/>
        <v>96395</v>
      </c>
    </row>
    <row r="1491" spans="7:14" ht="11.25" customHeight="1" x14ac:dyDescent="0.3">
      <c r="G1491" s="470"/>
      <c r="H1491" s="470">
        <v>1484</v>
      </c>
      <c r="I1491" s="455">
        <f t="shared" ca="1" si="110"/>
        <v>-183001129.60514006</v>
      </c>
      <c r="J1491" s="455">
        <f t="array" ref="J1491">IFERROR(INDEX('Retirement Calculator'!K:K,MATCH('Lorri 401b'!N1491,'Retirement Calculator'!A:A,0),0),0)</f>
        <v>0</v>
      </c>
      <c r="K1491" s="455">
        <f t="shared" ca="1" si="108"/>
        <v>-762504.70668808359</v>
      </c>
      <c r="L1491" s="455">
        <f t="shared" ca="1" si="109"/>
        <v>-183763634.31182814</v>
      </c>
      <c r="M1491" s="471">
        <f t="shared" si="111"/>
        <v>0.05</v>
      </c>
      <c r="N1491" s="475">
        <f t="shared" si="112"/>
        <v>96426</v>
      </c>
    </row>
    <row r="1492" spans="7:14" ht="11.25" customHeight="1" x14ac:dyDescent="0.3">
      <c r="G1492" s="470"/>
      <c r="H1492" s="470">
        <v>1485</v>
      </c>
      <c r="I1492" s="455">
        <f t="shared" ca="1" si="110"/>
        <v>-183763634.31182814</v>
      </c>
      <c r="J1492" s="455">
        <f t="array" ref="J1492">IFERROR(INDEX('Retirement Calculator'!K:K,MATCH('Lorri 401b'!N1492,'Retirement Calculator'!A:A,0),0),0)</f>
        <v>0</v>
      </c>
      <c r="K1492" s="455">
        <f t="shared" ca="1" si="108"/>
        <v>-765681.80963261728</v>
      </c>
      <c r="L1492" s="455">
        <f t="shared" ca="1" si="109"/>
        <v>-184529316.12146077</v>
      </c>
      <c r="M1492" s="471">
        <f t="shared" si="111"/>
        <v>0.05</v>
      </c>
      <c r="N1492" s="475">
        <f t="shared" si="112"/>
        <v>96457</v>
      </c>
    </row>
    <row r="1493" spans="7:14" ht="11.25" customHeight="1" x14ac:dyDescent="0.3">
      <c r="G1493" s="470"/>
      <c r="H1493" s="470">
        <v>1486</v>
      </c>
      <c r="I1493" s="455">
        <f t="shared" ca="1" si="110"/>
        <v>-184529316.12146077</v>
      </c>
      <c r="J1493" s="455">
        <f t="array" ref="J1493">IFERROR(INDEX('Retirement Calculator'!K:K,MATCH('Lorri 401b'!N1493,'Retirement Calculator'!A:A,0),0),0)</f>
        <v>0</v>
      </c>
      <c r="K1493" s="455">
        <f t="shared" ca="1" si="108"/>
        <v>-768872.15050608653</v>
      </c>
      <c r="L1493" s="455">
        <f t="shared" ca="1" si="109"/>
        <v>-185298188.27196684</v>
      </c>
      <c r="M1493" s="471">
        <f t="shared" si="111"/>
        <v>0.05</v>
      </c>
      <c r="N1493" s="475">
        <f t="shared" si="112"/>
        <v>96486</v>
      </c>
    </row>
    <row r="1494" spans="7:14" ht="11.25" customHeight="1" x14ac:dyDescent="0.3">
      <c r="G1494" s="470"/>
      <c r="H1494" s="470">
        <v>1487</v>
      </c>
      <c r="I1494" s="455">
        <f t="shared" ca="1" si="110"/>
        <v>-185298188.27196684</v>
      </c>
      <c r="J1494" s="455">
        <f t="array" ref="J1494">IFERROR(INDEX('Retirement Calculator'!K:K,MATCH('Lorri 401b'!N1494,'Retirement Calculator'!A:A,0),0),0)</f>
        <v>0</v>
      </c>
      <c r="K1494" s="455">
        <f t="shared" ca="1" si="108"/>
        <v>-772075.78446652857</v>
      </c>
      <c r="L1494" s="455">
        <f t="shared" ca="1" si="109"/>
        <v>-186070264.05643338</v>
      </c>
      <c r="M1494" s="471">
        <f t="shared" si="111"/>
        <v>0.05</v>
      </c>
      <c r="N1494" s="475">
        <f t="shared" si="112"/>
        <v>96517</v>
      </c>
    </row>
    <row r="1495" spans="7:14" ht="11.25" customHeight="1" x14ac:dyDescent="0.3">
      <c r="G1495" s="470"/>
      <c r="H1495" s="470">
        <v>1488</v>
      </c>
      <c r="I1495" s="455">
        <f t="shared" ca="1" si="110"/>
        <v>-186070264.05643338</v>
      </c>
      <c r="J1495" s="455">
        <f t="array" ref="J1495">IFERROR(INDEX('Retirement Calculator'!K:K,MATCH('Lorri 401b'!N1495,'Retirement Calculator'!A:A,0),0),0)</f>
        <v>0</v>
      </c>
      <c r="K1495" s="455">
        <f t="shared" ca="1" si="108"/>
        <v>-775292.76690180576</v>
      </c>
      <c r="L1495" s="455">
        <f t="shared" ca="1" si="109"/>
        <v>-186845556.82333517</v>
      </c>
      <c r="M1495" s="471">
        <f t="shared" si="111"/>
        <v>0.05</v>
      </c>
      <c r="N1495" s="475">
        <f t="shared" si="112"/>
        <v>96547</v>
      </c>
    </row>
    <row r="1496" spans="7:14" ht="11.25" customHeight="1" x14ac:dyDescent="0.3">
      <c r="G1496" s="470"/>
      <c r="H1496" s="470">
        <v>1489</v>
      </c>
      <c r="I1496" s="455">
        <f t="shared" ca="1" si="110"/>
        <v>-186845556.82333517</v>
      </c>
      <c r="J1496" s="455">
        <f t="array" ref="J1496">IFERROR(INDEX('Retirement Calculator'!K:K,MATCH('Lorri 401b'!N1496,'Retirement Calculator'!A:A,0),0),0)</f>
        <v>0</v>
      </c>
      <c r="K1496" s="455">
        <f t="shared" ca="1" si="108"/>
        <v>-778523.15343056316</v>
      </c>
      <c r="L1496" s="455">
        <f t="shared" ca="1" si="109"/>
        <v>-187624079.97676572</v>
      </c>
      <c r="M1496" s="471">
        <f t="shared" si="111"/>
        <v>0.05</v>
      </c>
      <c r="N1496" s="475">
        <f t="shared" si="112"/>
        <v>96578</v>
      </c>
    </row>
    <row r="1497" spans="7:14" ht="11.25" customHeight="1" x14ac:dyDescent="0.3">
      <c r="G1497" s="470"/>
      <c r="H1497" s="470">
        <v>1490</v>
      </c>
      <c r="I1497" s="455">
        <f t="shared" ca="1" si="110"/>
        <v>-187624079.97676572</v>
      </c>
      <c r="J1497" s="455">
        <f t="array" ref="J1497">IFERROR(INDEX('Retirement Calculator'!K:K,MATCH('Lorri 401b'!N1497,'Retirement Calculator'!A:A,0),0),0)</f>
        <v>0</v>
      </c>
      <c r="K1497" s="455">
        <f t="shared" ca="1" si="108"/>
        <v>-781766.99990319053</v>
      </c>
      <c r="L1497" s="455">
        <f t="shared" ca="1" si="109"/>
        <v>-188405846.97666892</v>
      </c>
      <c r="M1497" s="471">
        <f t="shared" si="111"/>
        <v>0.05</v>
      </c>
      <c r="N1497" s="475">
        <f t="shared" si="112"/>
        <v>96608</v>
      </c>
    </row>
    <row r="1498" spans="7:14" ht="11.25" customHeight="1" x14ac:dyDescent="0.3">
      <c r="G1498" s="470"/>
      <c r="H1498" s="470">
        <v>1491</v>
      </c>
      <c r="I1498" s="455">
        <f t="shared" ca="1" si="110"/>
        <v>-188405846.97666892</v>
      </c>
      <c r="J1498" s="455">
        <f t="array" ref="J1498">IFERROR(INDEX('Retirement Calculator'!K:K,MATCH('Lorri 401b'!N1498,'Retirement Calculator'!A:A,0),0),0)</f>
        <v>0</v>
      </c>
      <c r="K1498" s="455">
        <f t="shared" ca="1" si="108"/>
        <v>-785024.3624027872</v>
      </c>
      <c r="L1498" s="455">
        <f t="shared" ca="1" si="109"/>
        <v>-189190871.33907172</v>
      </c>
      <c r="M1498" s="471">
        <f t="shared" si="111"/>
        <v>0.05</v>
      </c>
      <c r="N1498" s="475">
        <f t="shared" si="112"/>
        <v>96639</v>
      </c>
    </row>
    <row r="1499" spans="7:14" ht="11.25" customHeight="1" x14ac:dyDescent="0.3">
      <c r="G1499" s="470"/>
      <c r="H1499" s="470">
        <v>1492</v>
      </c>
      <c r="I1499" s="455">
        <f t="shared" ca="1" si="110"/>
        <v>-189190871.33907172</v>
      </c>
      <c r="J1499" s="455">
        <f t="array" ref="J1499">IFERROR(INDEX('Retirement Calculator'!K:K,MATCH('Lorri 401b'!N1499,'Retirement Calculator'!A:A,0),0),0)</f>
        <v>0</v>
      </c>
      <c r="K1499" s="455">
        <f t="shared" ca="1" si="108"/>
        <v>-788295.29724613216</v>
      </c>
      <c r="L1499" s="455">
        <f t="shared" ca="1" si="109"/>
        <v>-189979166.63631785</v>
      </c>
      <c r="M1499" s="471">
        <f t="shared" si="111"/>
        <v>0.05</v>
      </c>
      <c r="N1499" s="475">
        <f t="shared" si="112"/>
        <v>96670</v>
      </c>
    </row>
    <row r="1500" spans="7:14" ht="11.25" customHeight="1" x14ac:dyDescent="0.3">
      <c r="G1500" s="470"/>
      <c r="H1500" s="470">
        <v>1493</v>
      </c>
      <c r="I1500" s="455">
        <f t="shared" ca="1" si="110"/>
        <v>-189979166.63631785</v>
      </c>
      <c r="J1500" s="455">
        <f t="array" ref="J1500">IFERROR(INDEX('Retirement Calculator'!K:K,MATCH('Lorri 401b'!N1500,'Retirement Calculator'!A:A,0),0),0)</f>
        <v>0</v>
      </c>
      <c r="K1500" s="455">
        <f t="shared" ca="1" si="108"/>
        <v>-791579.86098465766</v>
      </c>
      <c r="L1500" s="455">
        <f t="shared" ca="1" si="109"/>
        <v>-190770746.4973025</v>
      </c>
      <c r="M1500" s="471">
        <f t="shared" si="111"/>
        <v>0.05</v>
      </c>
      <c r="N1500" s="475">
        <f t="shared" si="112"/>
        <v>96700</v>
      </c>
    </row>
    <row r="1501" spans="7:14" ht="11.25" customHeight="1" x14ac:dyDescent="0.3">
      <c r="G1501" s="470"/>
      <c r="H1501" s="470">
        <v>1494</v>
      </c>
      <c r="I1501" s="455">
        <f t="shared" ca="1" si="110"/>
        <v>-190770746.4973025</v>
      </c>
      <c r="J1501" s="455">
        <f t="array" ref="J1501">IFERROR(INDEX('Retirement Calculator'!K:K,MATCH('Lorri 401b'!N1501,'Retirement Calculator'!A:A,0),0),0)</f>
        <v>0</v>
      </c>
      <c r="K1501" s="455">
        <f t="shared" ca="1" si="108"/>
        <v>-794878.11040542705</v>
      </c>
      <c r="L1501" s="455">
        <f t="shared" ca="1" si="109"/>
        <v>-191565624.60770792</v>
      </c>
      <c r="M1501" s="471">
        <f t="shared" si="111"/>
        <v>0.05</v>
      </c>
      <c r="N1501" s="475">
        <f t="shared" si="112"/>
        <v>96731</v>
      </c>
    </row>
    <row r="1502" spans="7:14" ht="11.25" customHeight="1" x14ac:dyDescent="0.3">
      <c r="G1502" s="470"/>
      <c r="H1502" s="470">
        <v>1495</v>
      </c>
      <c r="I1502" s="455">
        <f t="shared" ca="1" si="110"/>
        <v>-191565624.60770792</v>
      </c>
      <c r="J1502" s="455">
        <f t="array" ref="J1502">IFERROR(INDEX('Retirement Calculator'!K:K,MATCH('Lorri 401b'!N1502,'Retirement Calculator'!A:A,0),0),0)</f>
        <v>0</v>
      </c>
      <c r="K1502" s="455">
        <f t="shared" ca="1" si="108"/>
        <v>-798190.10253211635</v>
      </c>
      <c r="L1502" s="455">
        <f t="shared" ca="1" si="109"/>
        <v>-192363814.71024004</v>
      </c>
      <c r="M1502" s="471">
        <f t="shared" si="111"/>
        <v>0.05</v>
      </c>
      <c r="N1502" s="475">
        <f t="shared" si="112"/>
        <v>96761</v>
      </c>
    </row>
    <row r="1503" spans="7:14" ht="11.25" customHeight="1" x14ac:dyDescent="0.3">
      <c r="G1503" s="470"/>
      <c r="H1503" s="470">
        <v>1496</v>
      </c>
      <c r="I1503" s="455">
        <f t="shared" ca="1" si="110"/>
        <v>-192363814.71024004</v>
      </c>
      <c r="J1503" s="455">
        <f t="array" ref="J1503">IFERROR(INDEX('Retirement Calculator'!K:K,MATCH('Lorri 401b'!N1503,'Retirement Calculator'!A:A,0),0),0)</f>
        <v>0</v>
      </c>
      <c r="K1503" s="455">
        <f t="shared" ca="1" si="108"/>
        <v>-801515.8946260002</v>
      </c>
      <c r="L1503" s="455">
        <f t="shared" ca="1" si="109"/>
        <v>-193165330.60486603</v>
      </c>
      <c r="M1503" s="471">
        <f t="shared" si="111"/>
        <v>0.05</v>
      </c>
      <c r="N1503" s="475">
        <f t="shared" si="112"/>
        <v>96792</v>
      </c>
    </row>
    <row r="1504" spans="7:14" ht="11.25" customHeight="1" x14ac:dyDescent="0.3">
      <c r="G1504" s="470"/>
      <c r="H1504" s="470">
        <v>1497</v>
      </c>
      <c r="I1504" s="455">
        <f t="shared" ca="1" si="110"/>
        <v>-193165330.60486603</v>
      </c>
      <c r="J1504" s="455">
        <f t="array" ref="J1504">IFERROR(INDEX('Retirement Calculator'!K:K,MATCH('Lorri 401b'!N1504,'Retirement Calculator'!A:A,0),0),0)</f>
        <v>0</v>
      </c>
      <c r="K1504" s="455">
        <f t="shared" ca="1" si="108"/>
        <v>-804855.54418694181</v>
      </c>
      <c r="L1504" s="455">
        <f t="shared" ca="1" si="109"/>
        <v>-193970186.14905298</v>
      </c>
      <c r="M1504" s="471">
        <f t="shared" si="111"/>
        <v>0.05</v>
      </c>
      <c r="N1504" s="475">
        <f t="shared" si="112"/>
        <v>96823</v>
      </c>
    </row>
    <row r="1505" spans="7:14" ht="11.25" customHeight="1" x14ac:dyDescent="0.3">
      <c r="G1505" s="470"/>
      <c r="H1505" s="470">
        <v>1498</v>
      </c>
      <c r="I1505" s="455">
        <f t="shared" ca="1" si="110"/>
        <v>-193970186.14905298</v>
      </c>
      <c r="J1505" s="455">
        <f t="array" ref="J1505">IFERROR(INDEX('Retirement Calculator'!K:K,MATCH('Lorri 401b'!N1505,'Retirement Calculator'!A:A,0),0),0)</f>
        <v>0</v>
      </c>
      <c r="K1505" s="455">
        <f t="shared" ca="1" si="108"/>
        <v>-808209.10895438737</v>
      </c>
      <c r="L1505" s="455">
        <f t="shared" ca="1" si="109"/>
        <v>-194778395.25800738</v>
      </c>
      <c r="M1505" s="471">
        <f t="shared" si="111"/>
        <v>0.05</v>
      </c>
      <c r="N1505" s="475">
        <f t="shared" si="112"/>
        <v>96851</v>
      </c>
    </row>
    <row r="1506" spans="7:14" ht="11.25" customHeight="1" x14ac:dyDescent="0.3">
      <c r="G1506" s="470"/>
      <c r="H1506" s="470">
        <v>1499</v>
      </c>
      <c r="I1506" s="455">
        <f t="shared" ca="1" si="110"/>
        <v>-194778395.25800738</v>
      </c>
      <c r="J1506" s="455">
        <f t="array" ref="J1506">IFERROR(INDEX('Retirement Calculator'!K:K,MATCH('Lorri 401b'!N1506,'Retirement Calculator'!A:A,0),0),0)</f>
        <v>0</v>
      </c>
      <c r="K1506" s="455">
        <f t="shared" ca="1" si="108"/>
        <v>-811576.64690836403</v>
      </c>
      <c r="L1506" s="455">
        <f t="shared" ca="1" si="109"/>
        <v>-195589971.90491575</v>
      </c>
      <c r="M1506" s="471">
        <f t="shared" si="111"/>
        <v>0.05</v>
      </c>
      <c r="N1506" s="475">
        <f t="shared" si="112"/>
        <v>96882</v>
      </c>
    </row>
    <row r="1507" spans="7:14" ht="11.25" customHeight="1" x14ac:dyDescent="0.3">
      <c r="G1507" s="470"/>
      <c r="H1507" s="470">
        <v>1500</v>
      </c>
      <c r="I1507" s="455">
        <f t="shared" ca="1" si="110"/>
        <v>-195589971.90491575</v>
      </c>
      <c r="J1507" s="455">
        <f t="array" ref="J1507">IFERROR(INDEX('Retirement Calculator'!K:K,MATCH('Lorri 401b'!N1507,'Retirement Calculator'!A:A,0),0),0)</f>
        <v>0</v>
      </c>
      <c r="K1507" s="455">
        <f t="shared" ca="1" si="108"/>
        <v>-814958.21627048228</v>
      </c>
      <c r="L1507" s="455">
        <f t="shared" ca="1" si="109"/>
        <v>-196404930.12118623</v>
      </c>
      <c r="M1507" s="471">
        <f t="shared" si="111"/>
        <v>0.05</v>
      </c>
      <c r="N1507" s="475">
        <f t="shared" si="112"/>
        <v>96912</v>
      </c>
    </row>
    <row r="1508" spans="7:14" ht="11.25" customHeight="1" x14ac:dyDescent="0.3">
      <c r="G1508" s="470"/>
      <c r="H1508" s="470">
        <v>1501</v>
      </c>
      <c r="I1508" s="455">
        <f t="shared" ca="1" si="110"/>
        <v>-196404930.12118623</v>
      </c>
      <c r="J1508" s="455">
        <f t="array" ref="J1508">IFERROR(INDEX('Retirement Calculator'!K:K,MATCH('Lorri 401b'!N1508,'Retirement Calculator'!A:A,0),0),0)</f>
        <v>0</v>
      </c>
      <c r="K1508" s="455">
        <f t="shared" ca="1" si="108"/>
        <v>-818353.87550494261</v>
      </c>
      <c r="L1508" s="455">
        <f t="shared" ca="1" si="109"/>
        <v>-197223283.99669117</v>
      </c>
      <c r="M1508" s="471">
        <f t="shared" si="111"/>
        <v>0.05</v>
      </c>
      <c r="N1508" s="475">
        <f t="shared" si="112"/>
        <v>96943</v>
      </c>
    </row>
    <row r="1509" spans="7:14" ht="11.25" customHeight="1" x14ac:dyDescent="0.3">
      <c r="G1509" s="470"/>
      <c r="H1509" s="470">
        <v>1502</v>
      </c>
      <c r="I1509" s="455">
        <f t="shared" ca="1" si="110"/>
        <v>-197223283.99669117</v>
      </c>
      <c r="J1509" s="455">
        <f t="array" ref="J1509">IFERROR(INDEX('Retirement Calculator'!K:K,MATCH('Lorri 401b'!N1509,'Retirement Calculator'!A:A,0),0),0)</f>
        <v>0</v>
      </c>
      <c r="K1509" s="455">
        <f t="shared" ca="1" si="108"/>
        <v>-821763.68331954652</v>
      </c>
      <c r="L1509" s="455">
        <f t="shared" ca="1" si="109"/>
        <v>-198045047.68001071</v>
      </c>
      <c r="M1509" s="471">
        <f t="shared" si="111"/>
        <v>0.05</v>
      </c>
      <c r="N1509" s="475">
        <f t="shared" si="112"/>
        <v>96973</v>
      </c>
    </row>
    <row r="1510" spans="7:14" ht="11.25" customHeight="1" x14ac:dyDescent="0.3">
      <c r="G1510" s="470"/>
      <c r="H1510" s="470">
        <v>1503</v>
      </c>
      <c r="I1510" s="455">
        <f t="shared" ca="1" si="110"/>
        <v>-198045047.68001071</v>
      </c>
      <c r="J1510" s="455">
        <f t="array" ref="J1510">IFERROR(INDEX('Retirement Calculator'!K:K,MATCH('Lorri 401b'!N1510,'Retirement Calculator'!A:A,0),0),0)</f>
        <v>0</v>
      </c>
      <c r="K1510" s="455">
        <f t="shared" ca="1" si="108"/>
        <v>-825187.69866671122</v>
      </c>
      <c r="L1510" s="455">
        <f t="shared" ca="1" si="109"/>
        <v>-198870235.37867743</v>
      </c>
      <c r="M1510" s="471">
        <f t="shared" si="111"/>
        <v>0.05</v>
      </c>
      <c r="N1510" s="475">
        <f t="shared" si="112"/>
        <v>97004</v>
      </c>
    </row>
    <row r="1511" spans="7:14" ht="11.25" customHeight="1" x14ac:dyDescent="0.3">
      <c r="G1511" s="470"/>
      <c r="H1511" s="470">
        <v>1504</v>
      </c>
      <c r="I1511" s="455">
        <f t="shared" ca="1" si="110"/>
        <v>-198870235.37867743</v>
      </c>
      <c r="J1511" s="455">
        <f t="array" ref="J1511">IFERROR(INDEX('Retirement Calculator'!K:K,MATCH('Lorri 401b'!N1511,'Retirement Calculator'!A:A,0),0),0)</f>
        <v>0</v>
      </c>
      <c r="K1511" s="455">
        <f t="shared" ca="1" si="108"/>
        <v>-828625.98074448924</v>
      </c>
      <c r="L1511" s="455">
        <f t="shared" ca="1" si="109"/>
        <v>-199698861.35942191</v>
      </c>
      <c r="M1511" s="471">
        <f t="shared" si="111"/>
        <v>0.05</v>
      </c>
      <c r="N1511" s="475">
        <f t="shared" si="112"/>
        <v>97035</v>
      </c>
    </row>
    <row r="1512" spans="7:14" ht="11.25" customHeight="1" x14ac:dyDescent="0.3">
      <c r="G1512" s="470"/>
      <c r="H1512" s="470">
        <v>1505</v>
      </c>
      <c r="I1512" s="455">
        <f t="shared" ca="1" si="110"/>
        <v>-199698861.35942191</v>
      </c>
      <c r="J1512" s="455">
        <f t="array" ref="J1512">IFERROR(INDEX('Retirement Calculator'!K:K,MATCH('Lorri 401b'!N1512,'Retirement Calculator'!A:A,0),0),0)</f>
        <v>0</v>
      </c>
      <c r="K1512" s="455">
        <f t="shared" ca="1" si="108"/>
        <v>-832078.58899759129</v>
      </c>
      <c r="L1512" s="455">
        <f t="shared" ca="1" si="109"/>
        <v>-200530939.94841951</v>
      </c>
      <c r="M1512" s="471">
        <f t="shared" si="111"/>
        <v>0.05</v>
      </c>
      <c r="N1512" s="475">
        <f t="shared" si="112"/>
        <v>97065</v>
      </c>
    </row>
    <row r="1513" spans="7:14" ht="11.25" customHeight="1" x14ac:dyDescent="0.3">
      <c r="G1513" s="470"/>
      <c r="H1513" s="470">
        <v>1506</v>
      </c>
      <c r="I1513" s="455">
        <f t="shared" ca="1" si="110"/>
        <v>-200530939.94841951</v>
      </c>
      <c r="J1513" s="455">
        <f t="array" ref="J1513">IFERROR(INDEX('Retirement Calculator'!K:K,MATCH('Lorri 401b'!N1513,'Retirement Calculator'!A:A,0),0),0)</f>
        <v>0</v>
      </c>
      <c r="K1513" s="455">
        <f t="shared" ca="1" si="108"/>
        <v>-835545.58311841462</v>
      </c>
      <c r="L1513" s="455">
        <f t="shared" ca="1" si="109"/>
        <v>-201366485.53153792</v>
      </c>
      <c r="M1513" s="471">
        <f t="shared" si="111"/>
        <v>0.05</v>
      </c>
      <c r="N1513" s="475">
        <f t="shared" si="112"/>
        <v>97096</v>
      </c>
    </row>
    <row r="1514" spans="7:14" ht="11.25" customHeight="1" x14ac:dyDescent="0.3">
      <c r="G1514" s="470"/>
      <c r="H1514" s="470">
        <v>1507</v>
      </c>
      <c r="I1514" s="455">
        <f t="shared" ca="1" si="110"/>
        <v>-201366485.53153792</v>
      </c>
      <c r="J1514" s="455">
        <f t="array" ref="J1514">IFERROR(INDEX('Retirement Calculator'!K:K,MATCH('Lorri 401b'!N1514,'Retirement Calculator'!A:A,0),0),0)</f>
        <v>0</v>
      </c>
      <c r="K1514" s="455">
        <f t="shared" ca="1" si="108"/>
        <v>-839027.02304807468</v>
      </c>
      <c r="L1514" s="455">
        <f t="shared" ca="1" si="109"/>
        <v>-202205512.55458599</v>
      </c>
      <c r="M1514" s="471">
        <f t="shared" si="111"/>
        <v>0.05</v>
      </c>
      <c r="N1514" s="475">
        <f t="shared" si="112"/>
        <v>97126</v>
      </c>
    </row>
    <row r="1515" spans="7:14" ht="11.25" customHeight="1" x14ac:dyDescent="0.3">
      <c r="G1515" s="470"/>
      <c r="H1515" s="470">
        <v>1508</v>
      </c>
      <c r="I1515" s="455">
        <f t="shared" ca="1" si="110"/>
        <v>-202205512.55458599</v>
      </c>
      <c r="J1515" s="455">
        <f t="array" ref="J1515">IFERROR(INDEX('Retirement Calculator'!K:K,MATCH('Lorri 401b'!N1515,'Retirement Calculator'!A:A,0),0),0)</f>
        <v>0</v>
      </c>
      <c r="K1515" s="455">
        <f t="shared" ca="1" si="108"/>
        <v>-842522.96897744166</v>
      </c>
      <c r="L1515" s="455">
        <f t="shared" ca="1" si="109"/>
        <v>-203048035.52356344</v>
      </c>
      <c r="M1515" s="471">
        <f t="shared" si="111"/>
        <v>0.05</v>
      </c>
      <c r="N1515" s="475">
        <f t="shared" si="112"/>
        <v>97157</v>
      </c>
    </row>
    <row r="1516" spans="7:14" ht="11.25" customHeight="1" x14ac:dyDescent="0.3">
      <c r="G1516" s="470"/>
      <c r="H1516" s="470">
        <v>1509</v>
      </c>
      <c r="I1516" s="455">
        <f t="shared" ca="1" si="110"/>
        <v>-203048035.52356344</v>
      </c>
      <c r="J1516" s="455">
        <f t="array" ref="J1516">IFERROR(INDEX('Retirement Calculator'!K:K,MATCH('Lorri 401b'!N1516,'Retirement Calculator'!A:A,0),0),0)</f>
        <v>0</v>
      </c>
      <c r="K1516" s="455">
        <f t="shared" ca="1" si="108"/>
        <v>-846033.48134818103</v>
      </c>
      <c r="L1516" s="455">
        <f t="shared" ca="1" si="109"/>
        <v>-203894069.00491163</v>
      </c>
      <c r="M1516" s="471">
        <f t="shared" si="111"/>
        <v>0.05</v>
      </c>
      <c r="N1516" s="475">
        <f t="shared" si="112"/>
        <v>97188</v>
      </c>
    </row>
    <row r="1517" spans="7:14" ht="11.25" customHeight="1" x14ac:dyDescent="0.3">
      <c r="G1517" s="470"/>
      <c r="H1517" s="470">
        <v>1510</v>
      </c>
      <c r="I1517" s="455">
        <f t="shared" ca="1" si="110"/>
        <v>-203894069.00491163</v>
      </c>
      <c r="J1517" s="455">
        <f t="array" ref="J1517">IFERROR(INDEX('Retirement Calculator'!K:K,MATCH('Lorri 401b'!N1517,'Retirement Calculator'!A:A,0),0),0)</f>
        <v>0</v>
      </c>
      <c r="K1517" s="455">
        <f t="shared" ca="1" si="108"/>
        <v>-849558.62085379846</v>
      </c>
      <c r="L1517" s="455">
        <f t="shared" ca="1" si="109"/>
        <v>-204743627.62576544</v>
      </c>
      <c r="M1517" s="471">
        <f t="shared" si="111"/>
        <v>0.05</v>
      </c>
      <c r="N1517" s="475">
        <f t="shared" si="112"/>
        <v>97216</v>
      </c>
    </row>
    <row r="1518" spans="7:14" ht="11.25" customHeight="1" x14ac:dyDescent="0.3">
      <c r="G1518" s="470"/>
      <c r="H1518" s="470">
        <v>1511</v>
      </c>
      <c r="I1518" s="455">
        <f t="shared" ca="1" si="110"/>
        <v>-204743627.62576544</v>
      </c>
      <c r="J1518" s="455">
        <f t="array" ref="J1518">IFERROR(INDEX('Retirement Calculator'!K:K,MATCH('Lorri 401b'!N1518,'Retirement Calculator'!A:A,0),0),0)</f>
        <v>0</v>
      </c>
      <c r="K1518" s="455">
        <f t="shared" ca="1" si="108"/>
        <v>-853098.44844068936</v>
      </c>
      <c r="L1518" s="455">
        <f t="shared" ca="1" si="109"/>
        <v>-205596726.07420614</v>
      </c>
      <c r="M1518" s="471">
        <f t="shared" si="111"/>
        <v>0.05</v>
      </c>
      <c r="N1518" s="475">
        <f t="shared" si="112"/>
        <v>97247</v>
      </c>
    </row>
    <row r="1519" spans="7:14" ht="11.25" customHeight="1" x14ac:dyDescent="0.3">
      <c r="G1519" s="470"/>
      <c r="H1519" s="470">
        <v>1512</v>
      </c>
      <c r="I1519" s="455">
        <f t="shared" ca="1" si="110"/>
        <v>-205596726.07420614</v>
      </c>
      <c r="J1519" s="455">
        <f t="array" ref="J1519">IFERROR(INDEX('Retirement Calculator'!K:K,MATCH('Lorri 401b'!N1519,'Retirement Calculator'!A:A,0),0),0)</f>
        <v>0</v>
      </c>
      <c r="K1519" s="455">
        <f t="shared" ca="1" si="108"/>
        <v>-856653.02530919225</v>
      </c>
      <c r="L1519" s="455">
        <f t="shared" ca="1" si="109"/>
        <v>-206453379.09951535</v>
      </c>
      <c r="M1519" s="471">
        <f t="shared" si="111"/>
        <v>0.05</v>
      </c>
      <c r="N1519" s="475">
        <f t="shared" si="112"/>
        <v>97277</v>
      </c>
    </row>
    <row r="1520" spans="7:14" ht="11.25" customHeight="1" x14ac:dyDescent="0.3">
      <c r="G1520" s="470"/>
      <c r="H1520" s="470">
        <v>1513</v>
      </c>
      <c r="I1520" s="455">
        <f t="shared" ca="1" si="110"/>
        <v>-206453379.09951535</v>
      </c>
      <c r="J1520" s="455">
        <f t="array" ref="J1520">IFERROR(INDEX('Retirement Calculator'!K:K,MATCH('Lorri 401b'!N1520,'Retirement Calculator'!A:A,0),0),0)</f>
        <v>0</v>
      </c>
      <c r="K1520" s="455">
        <f t="shared" ca="1" si="108"/>
        <v>-860222.41291464726</v>
      </c>
      <c r="L1520" s="455">
        <f t="shared" ca="1" si="109"/>
        <v>-207313601.51242998</v>
      </c>
      <c r="M1520" s="471">
        <f t="shared" si="111"/>
        <v>0.05</v>
      </c>
      <c r="N1520" s="475">
        <f t="shared" si="112"/>
        <v>97308</v>
      </c>
    </row>
    <row r="1521" spans="7:14" ht="11.25" customHeight="1" x14ac:dyDescent="0.3">
      <c r="G1521" s="470"/>
      <c r="H1521" s="470">
        <v>1514</v>
      </c>
      <c r="I1521" s="455">
        <f t="shared" ca="1" si="110"/>
        <v>-207313601.51242998</v>
      </c>
      <c r="J1521" s="455">
        <f t="array" ref="J1521">IFERROR(INDEX('Retirement Calculator'!K:K,MATCH('Lorri 401b'!N1521,'Retirement Calculator'!A:A,0),0),0)</f>
        <v>0</v>
      </c>
      <c r="K1521" s="455">
        <f t="shared" ca="1" si="108"/>
        <v>-863806.67296845827</v>
      </c>
      <c r="L1521" s="455">
        <f t="shared" ca="1" si="109"/>
        <v>-208177408.18539843</v>
      </c>
      <c r="M1521" s="471">
        <f t="shared" si="111"/>
        <v>0.05</v>
      </c>
      <c r="N1521" s="475">
        <f t="shared" si="112"/>
        <v>97338</v>
      </c>
    </row>
    <row r="1522" spans="7:14" ht="11.25" customHeight="1" x14ac:dyDescent="0.3">
      <c r="G1522" s="470"/>
      <c r="H1522" s="470">
        <v>1515</v>
      </c>
      <c r="I1522" s="455">
        <f t="shared" ca="1" si="110"/>
        <v>-208177408.18539843</v>
      </c>
      <c r="J1522" s="455">
        <f t="array" ref="J1522">IFERROR(INDEX('Retirement Calculator'!K:K,MATCH('Lorri 401b'!N1522,'Retirement Calculator'!A:A,0),0),0)</f>
        <v>0</v>
      </c>
      <c r="K1522" s="455">
        <f t="shared" ca="1" si="108"/>
        <v>-867405.86743916012</v>
      </c>
      <c r="L1522" s="455">
        <f t="shared" ca="1" si="109"/>
        <v>-209044814.05283758</v>
      </c>
      <c r="M1522" s="471">
        <f t="shared" si="111"/>
        <v>0.05</v>
      </c>
      <c r="N1522" s="475">
        <f t="shared" si="112"/>
        <v>97369</v>
      </c>
    </row>
    <row r="1523" spans="7:14" ht="11.25" customHeight="1" x14ac:dyDescent="0.3">
      <c r="G1523" s="470"/>
      <c r="H1523" s="470">
        <v>1516</v>
      </c>
      <c r="I1523" s="455">
        <f t="shared" ca="1" si="110"/>
        <v>-209044814.05283758</v>
      </c>
      <c r="J1523" s="455">
        <f t="array" ref="J1523">IFERROR(INDEX('Retirement Calculator'!K:K,MATCH('Lorri 401b'!N1523,'Retirement Calculator'!A:A,0),0),0)</f>
        <v>0</v>
      </c>
      <c r="K1523" s="455">
        <f t="shared" ca="1" si="108"/>
        <v>-871020.05855348997</v>
      </c>
      <c r="L1523" s="455">
        <f t="shared" ca="1" si="109"/>
        <v>-209915834.11139107</v>
      </c>
      <c r="M1523" s="471">
        <f t="shared" si="111"/>
        <v>0.05</v>
      </c>
      <c r="N1523" s="475">
        <f t="shared" si="112"/>
        <v>97400</v>
      </c>
    </row>
    <row r="1524" spans="7:14" ht="11.25" customHeight="1" x14ac:dyDescent="0.3">
      <c r="G1524" s="470"/>
      <c r="H1524" s="470">
        <v>1517</v>
      </c>
      <c r="I1524" s="455">
        <f t="shared" ca="1" si="110"/>
        <v>-209915834.11139107</v>
      </c>
      <c r="J1524" s="455">
        <f t="array" ref="J1524">IFERROR(INDEX('Retirement Calculator'!K:K,MATCH('Lorri 401b'!N1524,'Retirement Calculator'!A:A,0),0),0)</f>
        <v>0</v>
      </c>
      <c r="K1524" s="455">
        <f t="shared" ca="1" si="108"/>
        <v>-874649.30879746273</v>
      </c>
      <c r="L1524" s="455">
        <f t="shared" ca="1" si="109"/>
        <v>-210790483.42018852</v>
      </c>
      <c r="M1524" s="471">
        <f t="shared" si="111"/>
        <v>0.05</v>
      </c>
      <c r="N1524" s="475">
        <f t="shared" si="112"/>
        <v>97430</v>
      </c>
    </row>
    <row r="1525" spans="7:14" ht="11.25" customHeight="1" x14ac:dyDescent="0.3">
      <c r="G1525" s="470"/>
      <c r="H1525" s="470">
        <v>1518</v>
      </c>
      <c r="I1525" s="455">
        <f t="shared" ca="1" si="110"/>
        <v>-210790483.42018852</v>
      </c>
      <c r="J1525" s="455">
        <f t="array" ref="J1525">IFERROR(INDEX('Retirement Calculator'!K:K,MATCH('Lorri 401b'!N1525,'Retirement Calculator'!A:A,0),0),0)</f>
        <v>0</v>
      </c>
      <c r="K1525" s="455">
        <f t="shared" ca="1" si="108"/>
        <v>-878293.68091745221</v>
      </c>
      <c r="L1525" s="455">
        <f t="shared" ca="1" si="109"/>
        <v>-211668777.10110596</v>
      </c>
      <c r="M1525" s="471">
        <f t="shared" si="111"/>
        <v>0.05</v>
      </c>
      <c r="N1525" s="475">
        <f t="shared" si="112"/>
        <v>97461</v>
      </c>
    </row>
    <row r="1526" spans="7:14" ht="11.25" customHeight="1" x14ac:dyDescent="0.3">
      <c r="G1526" s="470"/>
      <c r="H1526" s="470">
        <v>1519</v>
      </c>
      <c r="I1526" s="455">
        <f t="shared" ca="1" si="110"/>
        <v>-211668777.10110596</v>
      </c>
      <c r="J1526" s="455">
        <f t="array" ref="J1526">IFERROR(INDEX('Retirement Calculator'!K:K,MATCH('Lorri 401b'!N1526,'Retirement Calculator'!A:A,0),0),0)</f>
        <v>0</v>
      </c>
      <c r="K1526" s="455">
        <f t="shared" ca="1" si="108"/>
        <v>-881953.23792127485</v>
      </c>
      <c r="L1526" s="455">
        <f t="shared" ca="1" si="109"/>
        <v>-212550730.33902723</v>
      </c>
      <c r="M1526" s="471">
        <f t="shared" si="111"/>
        <v>0.05</v>
      </c>
      <c r="N1526" s="475">
        <f t="shared" si="112"/>
        <v>97491</v>
      </c>
    </row>
    <row r="1527" spans="7:14" ht="11.25" customHeight="1" x14ac:dyDescent="0.3">
      <c r="G1527" s="470"/>
      <c r="H1527" s="470">
        <v>1520</v>
      </c>
      <c r="I1527" s="455">
        <f t="shared" ca="1" si="110"/>
        <v>-212550730.33902723</v>
      </c>
      <c r="J1527" s="455">
        <f t="array" ref="J1527">IFERROR(INDEX('Retirement Calculator'!K:K,MATCH('Lorri 401b'!N1527,'Retirement Calculator'!A:A,0),0),0)</f>
        <v>0</v>
      </c>
      <c r="K1527" s="455">
        <f t="shared" ca="1" si="108"/>
        <v>-885628.04307928018</v>
      </c>
      <c r="L1527" s="455">
        <f t="shared" ca="1" si="109"/>
        <v>-213436358.38210651</v>
      </c>
      <c r="M1527" s="471">
        <f t="shared" si="111"/>
        <v>0.05</v>
      </c>
      <c r="N1527" s="475">
        <f t="shared" si="112"/>
        <v>97522</v>
      </c>
    </row>
    <row r="1528" spans="7:14" ht="11.25" customHeight="1" x14ac:dyDescent="0.3">
      <c r="G1528" s="470"/>
      <c r="H1528" s="470">
        <v>1521</v>
      </c>
      <c r="I1528" s="455">
        <f t="shared" ca="1" si="110"/>
        <v>-213436358.38210651</v>
      </c>
      <c r="J1528" s="455">
        <f t="array" ref="J1528">IFERROR(INDEX('Retirement Calculator'!K:K,MATCH('Lorri 401b'!N1528,'Retirement Calculator'!A:A,0),0),0)</f>
        <v>0</v>
      </c>
      <c r="K1528" s="455">
        <f t="shared" ca="1" si="108"/>
        <v>-889318.15992544382</v>
      </c>
      <c r="L1528" s="455">
        <f t="shared" ca="1" si="109"/>
        <v>-214325676.54203194</v>
      </c>
      <c r="M1528" s="471">
        <f t="shared" si="111"/>
        <v>0.05</v>
      </c>
      <c r="N1528" s="475">
        <f t="shared" si="112"/>
        <v>97553</v>
      </c>
    </row>
    <row r="1529" spans="7:14" ht="11.25" customHeight="1" x14ac:dyDescent="0.3">
      <c r="G1529" s="470"/>
      <c r="H1529" s="470">
        <v>1522</v>
      </c>
      <c r="I1529" s="455">
        <f t="shared" ca="1" si="110"/>
        <v>-214325676.54203194</v>
      </c>
      <c r="J1529" s="455">
        <f t="array" ref="J1529">IFERROR(INDEX('Retirement Calculator'!K:K,MATCH('Lorri 401b'!N1529,'Retirement Calculator'!A:A,0),0),0)</f>
        <v>0</v>
      </c>
      <c r="K1529" s="455">
        <f t="shared" ca="1" si="108"/>
        <v>-893023.65225846658</v>
      </c>
      <c r="L1529" s="455">
        <f t="shared" ca="1" si="109"/>
        <v>-215218700.1942904</v>
      </c>
      <c r="M1529" s="471">
        <f t="shared" si="111"/>
        <v>0.05</v>
      </c>
      <c r="N1529" s="475">
        <f t="shared" si="112"/>
        <v>97581</v>
      </c>
    </row>
    <row r="1530" spans="7:14" ht="11.25" customHeight="1" x14ac:dyDescent="0.3">
      <c r="G1530" s="470"/>
      <c r="H1530" s="470">
        <v>1523</v>
      </c>
      <c r="I1530" s="455">
        <f t="shared" ca="1" si="110"/>
        <v>-215218700.1942904</v>
      </c>
      <c r="J1530" s="455">
        <f t="array" ref="J1530">IFERROR(INDEX('Retirement Calculator'!K:K,MATCH('Lorri 401b'!N1530,'Retirement Calculator'!A:A,0),0),0)</f>
        <v>0</v>
      </c>
      <c r="K1530" s="455">
        <f t="shared" ca="1" si="108"/>
        <v>-896744.58414287667</v>
      </c>
      <c r="L1530" s="455">
        <f t="shared" ca="1" si="109"/>
        <v>-216115444.77843326</v>
      </c>
      <c r="M1530" s="471">
        <f t="shared" si="111"/>
        <v>0.05</v>
      </c>
      <c r="N1530" s="475">
        <f t="shared" si="112"/>
        <v>97612</v>
      </c>
    </row>
    <row r="1531" spans="7:14" ht="11.25" customHeight="1" x14ac:dyDescent="0.3">
      <c r="G1531" s="470"/>
      <c r="H1531" s="470">
        <v>1524</v>
      </c>
      <c r="I1531" s="455">
        <f t="shared" ca="1" si="110"/>
        <v>-216115444.77843326</v>
      </c>
      <c r="J1531" s="455">
        <f t="array" ref="J1531">IFERROR(INDEX('Retirement Calculator'!K:K,MATCH('Lorri 401b'!N1531,'Retirement Calculator'!A:A,0),0),0)</f>
        <v>0</v>
      </c>
      <c r="K1531" s="455">
        <f t="shared" ca="1" si="108"/>
        <v>-900481.01991013857</v>
      </c>
      <c r="L1531" s="455">
        <f t="shared" ca="1" si="109"/>
        <v>-217015925.79834339</v>
      </c>
      <c r="M1531" s="471">
        <f t="shared" si="111"/>
        <v>0.05</v>
      </c>
      <c r="N1531" s="475">
        <f t="shared" si="112"/>
        <v>97642</v>
      </c>
    </row>
    <row r="1532" spans="7:14" ht="11.25" customHeight="1" x14ac:dyDescent="0.3">
      <c r="G1532" s="470"/>
      <c r="H1532" s="470">
        <v>1525</v>
      </c>
      <c r="I1532" s="455">
        <f t="shared" ca="1" si="110"/>
        <v>-217015925.79834339</v>
      </c>
      <c r="J1532" s="455">
        <f t="array" ref="J1532">IFERROR(INDEX('Retirement Calculator'!K:K,MATCH('Lorri 401b'!N1532,'Retirement Calculator'!A:A,0),0),0)</f>
        <v>0</v>
      </c>
      <c r="K1532" s="455">
        <f t="shared" ca="1" si="108"/>
        <v>-904233.02415976406</v>
      </c>
      <c r="L1532" s="455">
        <f t="shared" ca="1" si="109"/>
        <v>-217920158.82250315</v>
      </c>
      <c r="M1532" s="471">
        <f t="shared" si="111"/>
        <v>0.05</v>
      </c>
      <c r="N1532" s="475">
        <f t="shared" si="112"/>
        <v>97673</v>
      </c>
    </row>
    <row r="1533" spans="7:14" ht="11.25" customHeight="1" x14ac:dyDescent="0.3">
      <c r="G1533" s="470"/>
      <c r="H1533" s="470">
        <v>1526</v>
      </c>
      <c r="I1533" s="455">
        <f t="shared" ca="1" si="110"/>
        <v>-217920158.82250315</v>
      </c>
      <c r="J1533" s="455">
        <f t="array" ref="J1533">IFERROR(INDEX('Retirement Calculator'!K:K,MATCH('Lorri 401b'!N1533,'Retirement Calculator'!A:A,0),0),0)</f>
        <v>0</v>
      </c>
      <c r="K1533" s="455">
        <f t="shared" ca="1" si="108"/>
        <v>-908000.66176042974</v>
      </c>
      <c r="L1533" s="455">
        <f t="shared" ca="1" si="109"/>
        <v>-218828159.48426357</v>
      </c>
      <c r="M1533" s="471">
        <f t="shared" si="111"/>
        <v>0.05</v>
      </c>
      <c r="N1533" s="475">
        <f t="shared" si="112"/>
        <v>97703</v>
      </c>
    </row>
    <row r="1534" spans="7:14" ht="11.25" customHeight="1" x14ac:dyDescent="0.3">
      <c r="G1534" s="470"/>
      <c r="H1534" s="470">
        <v>1527</v>
      </c>
      <c r="I1534" s="455">
        <f t="shared" ca="1" si="110"/>
        <v>-218828159.48426357</v>
      </c>
      <c r="J1534" s="455">
        <f t="array" ref="J1534">IFERROR(INDEX('Retirement Calculator'!K:K,MATCH('Lorri 401b'!N1534,'Retirement Calculator'!A:A,0),0),0)</f>
        <v>0</v>
      </c>
      <c r="K1534" s="455">
        <f t="shared" ca="1" si="108"/>
        <v>-911783.99785109819</v>
      </c>
      <c r="L1534" s="455">
        <f t="shared" ca="1" si="109"/>
        <v>-219739943.48211467</v>
      </c>
      <c r="M1534" s="471">
        <f t="shared" si="111"/>
        <v>0.05</v>
      </c>
      <c r="N1534" s="475">
        <f t="shared" si="112"/>
        <v>97734</v>
      </c>
    </row>
    <row r="1535" spans="7:14" ht="11.25" customHeight="1" x14ac:dyDescent="0.3">
      <c r="G1535" s="470"/>
      <c r="H1535" s="470">
        <v>1528</v>
      </c>
      <c r="I1535" s="455">
        <f t="shared" ca="1" si="110"/>
        <v>-219739943.48211467</v>
      </c>
      <c r="J1535" s="455">
        <f t="array" ref="J1535">IFERROR(INDEX('Retirement Calculator'!K:K,MATCH('Lorri 401b'!N1535,'Retirement Calculator'!A:A,0),0),0)</f>
        <v>0</v>
      </c>
      <c r="K1535" s="455">
        <f t="shared" ca="1" si="108"/>
        <v>-915583.09784214455</v>
      </c>
      <c r="L1535" s="455">
        <f t="shared" ca="1" si="109"/>
        <v>-220655526.57995683</v>
      </c>
      <c r="M1535" s="471">
        <f t="shared" si="111"/>
        <v>0.05</v>
      </c>
      <c r="N1535" s="475">
        <f t="shared" si="112"/>
        <v>97765</v>
      </c>
    </row>
    <row r="1536" spans="7:14" ht="11.25" customHeight="1" x14ac:dyDescent="0.3">
      <c r="G1536" s="470"/>
      <c r="H1536" s="470">
        <v>1529</v>
      </c>
      <c r="I1536" s="455">
        <f t="shared" ca="1" si="110"/>
        <v>-220655526.57995683</v>
      </c>
      <c r="J1536" s="455">
        <f t="array" ref="J1536">IFERROR(INDEX('Retirement Calculator'!K:K,MATCH('Lorri 401b'!N1536,'Retirement Calculator'!A:A,0),0),0)</f>
        <v>0</v>
      </c>
      <c r="K1536" s="455">
        <f t="shared" ca="1" si="108"/>
        <v>-919398.02741648676</v>
      </c>
      <c r="L1536" s="455">
        <f t="shared" ca="1" si="109"/>
        <v>-221574924.60737333</v>
      </c>
      <c r="M1536" s="471">
        <f t="shared" si="111"/>
        <v>0.05</v>
      </c>
      <c r="N1536" s="475">
        <f t="shared" si="112"/>
        <v>97795</v>
      </c>
    </row>
    <row r="1537" spans="7:14" ht="11.25" customHeight="1" x14ac:dyDescent="0.3">
      <c r="G1537" s="470"/>
      <c r="H1537" s="470">
        <v>1530</v>
      </c>
      <c r="I1537" s="455">
        <f t="shared" ca="1" si="110"/>
        <v>-221574924.60737333</v>
      </c>
      <c r="J1537" s="455">
        <f t="array" ref="J1537">IFERROR(INDEX('Retirement Calculator'!K:K,MATCH('Lorri 401b'!N1537,'Retirement Calculator'!A:A,0),0),0)</f>
        <v>0</v>
      </c>
      <c r="K1537" s="455">
        <f t="shared" ca="1" si="108"/>
        <v>-923228.85253072216</v>
      </c>
      <c r="L1537" s="455">
        <f t="shared" ca="1" si="109"/>
        <v>-222498153.45990404</v>
      </c>
      <c r="M1537" s="471">
        <f t="shared" si="111"/>
        <v>0.05</v>
      </c>
      <c r="N1537" s="475">
        <f t="shared" si="112"/>
        <v>97826</v>
      </c>
    </row>
    <row r="1538" spans="7:14" ht="11.25" customHeight="1" x14ac:dyDescent="0.3">
      <c r="G1538" s="470"/>
      <c r="H1538" s="470">
        <v>1531</v>
      </c>
      <c r="I1538" s="455">
        <f t="shared" ca="1" si="110"/>
        <v>-222498153.45990404</v>
      </c>
      <c r="J1538" s="455">
        <f t="array" ref="J1538">IFERROR(INDEX('Retirement Calculator'!K:K,MATCH('Lorri 401b'!N1538,'Retirement Calculator'!A:A,0),0),0)</f>
        <v>0</v>
      </c>
      <c r="K1538" s="455">
        <f t="shared" ref="K1538:K1792" ca="1" si="113">IPMT(M1538/12,1,12,-I1538+J1538,,0)</f>
        <v>-927075.63941626693</v>
      </c>
      <c r="L1538" s="455">
        <f t="shared" ref="L1538:L1792" ca="1" si="114">I1538-J1538+K1538</f>
        <v>-223425229.09932032</v>
      </c>
      <c r="M1538" s="471">
        <f t="shared" si="111"/>
        <v>0.05</v>
      </c>
      <c r="N1538" s="475">
        <f t="shared" si="112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15">L1538</f>
        <v>-223425229.09932032</v>
      </c>
      <c r="J1539" s="455">
        <f t="array" ref="J1539">IFERROR(INDEX('Retirement Calculator'!K:K,MATCH('Lorri 401b'!N1539,'Retirement Calculator'!A:A,0),0),0)</f>
        <v>0</v>
      </c>
      <c r="K1539" s="455">
        <f t="shared" ca="1" si="113"/>
        <v>-930938.4545805013</v>
      </c>
      <c r="L1539" s="455">
        <f t="shared" ca="1" si="114"/>
        <v>-224356167.55390084</v>
      </c>
      <c r="M1539" s="471">
        <f t="shared" ref="M1539:M1793" si="116">M1538</f>
        <v>0.05</v>
      </c>
      <c r="N1539" s="475">
        <f t="shared" ref="N1539:N1793" si="117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15"/>
        <v>-224356167.55390084</v>
      </c>
      <c r="J1540" s="455">
        <f t="array" ref="J1540">IFERROR(INDEX('Retirement Calculator'!K:K,MATCH('Lorri 401b'!N1540,'Retirement Calculator'!A:A,0),0),0)</f>
        <v>0</v>
      </c>
      <c r="K1540" s="455">
        <f t="shared" ca="1" si="113"/>
        <v>-934817.3648079203</v>
      </c>
      <c r="L1540" s="455">
        <f t="shared" ca="1" si="114"/>
        <v>-225290984.91870877</v>
      </c>
      <c r="M1540" s="471">
        <f t="shared" si="116"/>
        <v>0.05</v>
      </c>
      <c r="N1540" s="475">
        <f t="shared" si="117"/>
        <v>97918</v>
      </c>
    </row>
    <row r="1541" spans="7:14" ht="11.25" customHeight="1" x14ac:dyDescent="0.3">
      <c r="G1541" s="470"/>
      <c r="H1541" s="470">
        <v>1534</v>
      </c>
      <c r="I1541" s="455">
        <f t="shared" ca="1" si="115"/>
        <v>-225290984.91870877</v>
      </c>
      <c r="J1541" s="455">
        <f t="array" ref="J1541">IFERROR(INDEX('Retirement Calculator'!K:K,MATCH('Lorri 401b'!N1541,'Retirement Calculator'!A:A,0),0),0)</f>
        <v>0</v>
      </c>
      <c r="K1541" s="455">
        <f t="shared" ca="1" si="113"/>
        <v>-938712.43716128648</v>
      </c>
      <c r="L1541" s="455">
        <f t="shared" ca="1" si="114"/>
        <v>-226229697.35587007</v>
      </c>
      <c r="M1541" s="471">
        <f t="shared" si="116"/>
        <v>0.05</v>
      </c>
      <c r="N1541" s="475">
        <f t="shared" si="117"/>
        <v>97947</v>
      </c>
    </row>
    <row r="1542" spans="7:14" ht="11.25" customHeight="1" x14ac:dyDescent="0.3">
      <c r="G1542" s="470"/>
      <c r="H1542" s="470">
        <v>1535</v>
      </c>
      <c r="I1542" s="455">
        <f t="shared" ca="1" si="115"/>
        <v>-226229697.35587007</v>
      </c>
      <c r="J1542" s="455">
        <f t="array" ref="J1542">IFERROR(INDEX('Retirement Calculator'!K:K,MATCH('Lorri 401b'!N1542,'Retirement Calculator'!A:A,0),0),0)</f>
        <v>0</v>
      </c>
      <c r="K1542" s="455">
        <f t="shared" ca="1" si="113"/>
        <v>-942623.7389827919</v>
      </c>
      <c r="L1542" s="455">
        <f t="shared" ca="1" si="114"/>
        <v>-227172321.09485286</v>
      </c>
      <c r="M1542" s="471">
        <f t="shared" si="116"/>
        <v>0.05</v>
      </c>
      <c r="N1542" s="475">
        <f t="shared" si="117"/>
        <v>97978</v>
      </c>
    </row>
    <row r="1543" spans="7:14" ht="11.25" customHeight="1" x14ac:dyDescent="0.3">
      <c r="G1543" s="470"/>
      <c r="H1543" s="470">
        <v>1536</v>
      </c>
      <c r="I1543" s="455">
        <f t="shared" ca="1" si="115"/>
        <v>-227172321.09485286</v>
      </c>
      <c r="J1543" s="455">
        <f t="array" ref="J1543">IFERROR(INDEX('Retirement Calculator'!K:K,MATCH('Lorri 401b'!N1543,'Retirement Calculator'!A:A,0),0),0)</f>
        <v>0</v>
      </c>
      <c r="K1543" s="455">
        <f t="shared" ca="1" si="113"/>
        <v>-946551.33789522015</v>
      </c>
      <c r="L1543" s="455">
        <f t="shared" ca="1" si="114"/>
        <v>-228118872.43274808</v>
      </c>
      <c r="M1543" s="471">
        <f t="shared" si="116"/>
        <v>0.05</v>
      </c>
      <c r="N1543" s="475">
        <f t="shared" si="117"/>
        <v>98008</v>
      </c>
    </row>
    <row r="1544" spans="7:14" ht="11.25" customHeight="1" x14ac:dyDescent="0.3">
      <c r="G1544" s="470"/>
      <c r="H1544" s="470">
        <v>1537</v>
      </c>
      <c r="I1544" s="455">
        <f t="shared" ca="1" si="115"/>
        <v>-228118872.43274808</v>
      </c>
      <c r="J1544" s="455">
        <f t="array" ref="J1544">IFERROR(INDEX('Retirement Calculator'!K:K,MATCH('Lorri 401b'!N1544,'Retirement Calculator'!A:A,0),0),0)</f>
        <v>0</v>
      </c>
      <c r="K1544" s="455">
        <f t="shared" ca="1" si="113"/>
        <v>-950495.30180311704</v>
      </c>
      <c r="L1544" s="455">
        <f t="shared" ca="1" si="114"/>
        <v>-229069367.73455119</v>
      </c>
      <c r="M1544" s="471">
        <f t="shared" si="116"/>
        <v>0.05</v>
      </c>
      <c r="N1544" s="475">
        <f t="shared" si="117"/>
        <v>98039</v>
      </c>
    </row>
    <row r="1545" spans="7:14" ht="11.25" customHeight="1" x14ac:dyDescent="0.3">
      <c r="G1545" s="470"/>
      <c r="H1545" s="470">
        <v>1538</v>
      </c>
      <c r="I1545" s="455">
        <f t="shared" ca="1" si="115"/>
        <v>-229069367.73455119</v>
      </c>
      <c r="J1545" s="455">
        <f t="array" ref="J1545">IFERROR(INDEX('Retirement Calculator'!K:K,MATCH('Lorri 401b'!N1545,'Retirement Calculator'!A:A,0),0),0)</f>
        <v>0</v>
      </c>
      <c r="K1545" s="455">
        <f t="shared" ca="1" si="113"/>
        <v>-954455.69889396324</v>
      </c>
      <c r="L1545" s="455">
        <f t="shared" ca="1" si="114"/>
        <v>-230023823.43344516</v>
      </c>
      <c r="M1545" s="471">
        <f t="shared" si="116"/>
        <v>0.05</v>
      </c>
      <c r="N1545" s="475">
        <f t="shared" si="117"/>
        <v>98069</v>
      </c>
    </row>
    <row r="1546" spans="7:14" ht="11.25" customHeight="1" x14ac:dyDescent="0.3">
      <c r="G1546" s="470"/>
      <c r="H1546" s="470">
        <v>1539</v>
      </c>
      <c r="I1546" s="455">
        <f t="shared" ca="1" si="115"/>
        <v>-230023823.43344516</v>
      </c>
      <c r="J1546" s="455">
        <f t="array" ref="J1546">IFERROR(INDEX('Retirement Calculator'!K:K,MATCH('Lorri 401b'!N1546,'Retirement Calculator'!A:A,0),0),0)</f>
        <v>0</v>
      </c>
      <c r="K1546" s="455">
        <f t="shared" ca="1" si="113"/>
        <v>-958432.59763935476</v>
      </c>
      <c r="L1546" s="455">
        <f t="shared" ca="1" si="114"/>
        <v>-230982256.03108451</v>
      </c>
      <c r="M1546" s="471">
        <f t="shared" si="116"/>
        <v>0.05</v>
      </c>
      <c r="N1546" s="475">
        <f t="shared" si="117"/>
        <v>98100</v>
      </c>
    </row>
    <row r="1547" spans="7:14" ht="11.25" customHeight="1" x14ac:dyDescent="0.3">
      <c r="G1547" s="470"/>
      <c r="H1547" s="470">
        <v>1540</v>
      </c>
      <c r="I1547" s="455">
        <f t="shared" ca="1" si="115"/>
        <v>-230982256.03108451</v>
      </c>
      <c r="J1547" s="455">
        <f t="array" ref="J1547">IFERROR(INDEX('Retirement Calculator'!K:K,MATCH('Lorri 401b'!N1547,'Retirement Calculator'!A:A,0),0),0)</f>
        <v>0</v>
      </c>
      <c r="K1547" s="455">
        <f t="shared" ca="1" si="113"/>
        <v>-962426.06679618533</v>
      </c>
      <c r="L1547" s="455">
        <f t="shared" ca="1" si="114"/>
        <v>-231944682.09788069</v>
      </c>
      <c r="M1547" s="471">
        <f t="shared" si="116"/>
        <v>0.05</v>
      </c>
      <c r="N1547" s="475">
        <f t="shared" si="117"/>
        <v>98131</v>
      </c>
    </row>
    <row r="1548" spans="7:14" ht="11.25" customHeight="1" x14ac:dyDescent="0.3">
      <c r="G1548" s="470"/>
      <c r="H1548" s="470">
        <v>1541</v>
      </c>
      <c r="I1548" s="455">
        <f t="shared" ca="1" si="115"/>
        <v>-231944682.09788069</v>
      </c>
      <c r="J1548" s="455">
        <f t="array" ref="J1548">IFERROR(INDEX('Retirement Calculator'!K:K,MATCH('Lorri 401b'!N1548,'Retirement Calculator'!A:A,0),0),0)</f>
        <v>0</v>
      </c>
      <c r="K1548" s="455">
        <f t="shared" ca="1" si="113"/>
        <v>-966436.17540783633</v>
      </c>
      <c r="L1548" s="455">
        <f t="shared" ca="1" si="114"/>
        <v>-232911118.27328852</v>
      </c>
      <c r="M1548" s="471">
        <f t="shared" si="116"/>
        <v>0.05</v>
      </c>
      <c r="N1548" s="475">
        <f t="shared" si="117"/>
        <v>98161</v>
      </c>
    </row>
    <row r="1549" spans="7:14" ht="11.25" customHeight="1" x14ac:dyDescent="0.3">
      <c r="G1549" s="470"/>
      <c r="H1549" s="470">
        <v>1542</v>
      </c>
      <c r="I1549" s="455">
        <f t="shared" ca="1" si="115"/>
        <v>-232911118.27328852</v>
      </c>
      <c r="J1549" s="455">
        <f t="array" ref="J1549">IFERROR(INDEX('Retirement Calculator'!K:K,MATCH('Lorri 401b'!N1549,'Retirement Calculator'!A:A,0),0),0)</f>
        <v>0</v>
      </c>
      <c r="K1549" s="455">
        <f t="shared" ca="1" si="113"/>
        <v>-970462.99280536885</v>
      </c>
      <c r="L1549" s="455">
        <f t="shared" ca="1" si="114"/>
        <v>-233881581.26609388</v>
      </c>
      <c r="M1549" s="471">
        <f t="shared" si="116"/>
        <v>0.05</v>
      </c>
      <c r="N1549" s="475">
        <f t="shared" si="117"/>
        <v>98192</v>
      </c>
    </row>
    <row r="1550" spans="7:14" ht="11.25" customHeight="1" x14ac:dyDescent="0.3">
      <c r="G1550" s="470"/>
      <c r="H1550" s="470">
        <v>1543</v>
      </c>
      <c r="I1550" s="455">
        <f t="shared" ca="1" si="115"/>
        <v>-233881581.26609388</v>
      </c>
      <c r="J1550" s="455">
        <f t="array" ref="J1550">IFERROR(INDEX('Retirement Calculator'!K:K,MATCH('Lorri 401b'!N1550,'Retirement Calculator'!A:A,0),0),0)</f>
        <v>0</v>
      </c>
      <c r="K1550" s="455">
        <f t="shared" ca="1" si="113"/>
        <v>-974506.58860872453</v>
      </c>
      <c r="L1550" s="455">
        <f t="shared" ca="1" si="114"/>
        <v>-234856087.85470259</v>
      </c>
      <c r="M1550" s="471">
        <f t="shared" si="116"/>
        <v>0.05</v>
      </c>
      <c r="N1550" s="475">
        <f t="shared" si="117"/>
        <v>98222</v>
      </c>
    </row>
    <row r="1551" spans="7:14" ht="11.25" customHeight="1" x14ac:dyDescent="0.3">
      <c r="G1551" s="470"/>
      <c r="H1551" s="470">
        <v>1544</v>
      </c>
      <c r="I1551" s="455">
        <f t="shared" ca="1" si="115"/>
        <v>-234856087.85470259</v>
      </c>
      <c r="J1551" s="455">
        <f t="array" ref="J1551">IFERROR(INDEX('Retirement Calculator'!K:K,MATCH('Lorri 401b'!N1551,'Retirement Calculator'!A:A,0),0),0)</f>
        <v>0</v>
      </c>
      <c r="K1551" s="455">
        <f t="shared" ca="1" si="113"/>
        <v>-978567.03272792744</v>
      </c>
      <c r="L1551" s="455">
        <f t="shared" ca="1" si="114"/>
        <v>-235834654.88743052</v>
      </c>
      <c r="M1551" s="471">
        <f t="shared" si="116"/>
        <v>0.05</v>
      </c>
      <c r="N1551" s="475">
        <f t="shared" si="117"/>
        <v>98253</v>
      </c>
    </row>
    <row r="1552" spans="7:14" ht="11.25" customHeight="1" x14ac:dyDescent="0.3">
      <c r="G1552" s="470"/>
      <c r="H1552" s="470">
        <v>1545</v>
      </c>
      <c r="I1552" s="455">
        <f t="shared" ca="1" si="115"/>
        <v>-235834654.88743052</v>
      </c>
      <c r="J1552" s="455">
        <f t="array" ref="J1552">IFERROR(INDEX('Retirement Calculator'!K:K,MATCH('Lorri 401b'!N1552,'Retirement Calculator'!A:A,0),0),0)</f>
        <v>0</v>
      </c>
      <c r="K1552" s="455">
        <f t="shared" ca="1" si="113"/>
        <v>-982644.39536429395</v>
      </c>
      <c r="L1552" s="455">
        <f t="shared" ca="1" si="114"/>
        <v>-236817299.2827948</v>
      </c>
      <c r="M1552" s="471">
        <f t="shared" si="116"/>
        <v>0.05</v>
      </c>
      <c r="N1552" s="475">
        <f t="shared" si="117"/>
        <v>98284</v>
      </c>
    </row>
    <row r="1553" spans="7:14" ht="11.25" customHeight="1" x14ac:dyDescent="0.3">
      <c r="G1553" s="470"/>
      <c r="H1553" s="470">
        <v>1546</v>
      </c>
      <c r="I1553" s="455">
        <f t="shared" ca="1" si="115"/>
        <v>-236817299.2827948</v>
      </c>
      <c r="J1553" s="455">
        <f t="array" ref="J1553">IFERROR(INDEX('Retirement Calculator'!K:K,MATCH('Lorri 401b'!N1553,'Retirement Calculator'!A:A,0),0),0)</f>
        <v>0</v>
      </c>
      <c r="K1553" s="455">
        <f t="shared" ca="1" si="113"/>
        <v>-986738.747011645</v>
      </c>
      <c r="L1553" s="455">
        <f t="shared" ca="1" si="114"/>
        <v>-237804038.02980644</v>
      </c>
      <c r="M1553" s="471">
        <f t="shared" si="116"/>
        <v>0.05</v>
      </c>
      <c r="N1553" s="475">
        <f t="shared" si="117"/>
        <v>98312</v>
      </c>
    </row>
    <row r="1554" spans="7:14" ht="11.25" customHeight="1" x14ac:dyDescent="0.3">
      <c r="G1554" s="470"/>
      <c r="H1554" s="470">
        <v>1547</v>
      </c>
      <c r="I1554" s="455">
        <f t="shared" ca="1" si="115"/>
        <v>-237804038.02980644</v>
      </c>
      <c r="J1554" s="455">
        <f t="array" ref="J1554">IFERROR(INDEX('Retirement Calculator'!K:K,MATCH('Lorri 401b'!N1554,'Retirement Calculator'!A:A,0),0),0)</f>
        <v>0</v>
      </c>
      <c r="K1554" s="455">
        <f t="shared" ca="1" si="113"/>
        <v>-990850.15845752682</v>
      </c>
      <c r="L1554" s="455">
        <f t="shared" ca="1" si="114"/>
        <v>-238794888.18826395</v>
      </c>
      <c r="M1554" s="471">
        <f t="shared" si="116"/>
        <v>0.05</v>
      </c>
      <c r="N1554" s="475">
        <f t="shared" si="117"/>
        <v>98343</v>
      </c>
    </row>
    <row r="1555" spans="7:14" ht="11.25" customHeight="1" x14ac:dyDescent="0.3">
      <c r="G1555" s="470"/>
      <c r="H1555" s="470">
        <v>1548</v>
      </c>
      <c r="I1555" s="455">
        <f t="shared" ca="1" si="115"/>
        <v>-238794888.18826395</v>
      </c>
      <c r="J1555" s="455">
        <f t="array" ref="J1555">IFERROR(INDEX('Retirement Calculator'!K:K,MATCH('Lorri 401b'!N1555,'Retirement Calculator'!A:A,0),0),0)</f>
        <v>0</v>
      </c>
      <c r="K1555" s="455">
        <f t="shared" ca="1" si="113"/>
        <v>-994978.70078443317</v>
      </c>
      <c r="L1555" s="455">
        <f t="shared" ca="1" si="114"/>
        <v>-239789866.8890484</v>
      </c>
      <c r="M1555" s="471">
        <f t="shared" si="116"/>
        <v>0.05</v>
      </c>
      <c r="N1555" s="475">
        <f t="shared" si="117"/>
        <v>98373</v>
      </c>
    </row>
    <row r="1556" spans="7:14" ht="11.25" customHeight="1" x14ac:dyDescent="0.3">
      <c r="G1556" s="470"/>
      <c r="H1556" s="470">
        <v>1549</v>
      </c>
      <c r="I1556" s="455">
        <f t="shared" ca="1" si="115"/>
        <v>-239789866.8890484</v>
      </c>
      <c r="J1556" s="455">
        <f t="array" ref="J1556">IFERROR(INDEX('Retirement Calculator'!K:K,MATCH('Lorri 401b'!N1556,'Retirement Calculator'!A:A,0),0),0)</f>
        <v>0</v>
      </c>
      <c r="K1556" s="455">
        <f t="shared" ca="1" si="113"/>
        <v>-999124.4453710349</v>
      </c>
      <c r="L1556" s="455">
        <f t="shared" ca="1" si="114"/>
        <v>-240788991.33441943</v>
      </c>
      <c r="M1556" s="471">
        <f t="shared" si="116"/>
        <v>0.05</v>
      </c>
      <c r="N1556" s="475">
        <f t="shared" si="117"/>
        <v>98404</v>
      </c>
    </row>
    <row r="1557" spans="7:14" ht="11.25" customHeight="1" x14ac:dyDescent="0.3">
      <c r="G1557" s="470"/>
      <c r="H1557" s="470">
        <v>1550</v>
      </c>
      <c r="I1557" s="455">
        <f t="shared" ca="1" si="115"/>
        <v>-240788991.33441943</v>
      </c>
      <c r="J1557" s="455">
        <f t="array" ref="J1557">IFERROR(INDEX('Retirement Calculator'!K:K,MATCH('Lorri 401b'!N1557,'Retirement Calculator'!A:A,0),0),0)</f>
        <v>0</v>
      </c>
      <c r="K1557" s="455">
        <f t="shared" ca="1" si="113"/>
        <v>-1003287.4638934142</v>
      </c>
      <c r="L1557" s="455">
        <f t="shared" ca="1" si="114"/>
        <v>-241792278.79831284</v>
      </c>
      <c r="M1557" s="471">
        <f t="shared" si="116"/>
        <v>0.05</v>
      </c>
      <c r="N1557" s="475">
        <f t="shared" si="117"/>
        <v>98434</v>
      </c>
    </row>
    <row r="1558" spans="7:14" ht="11.25" customHeight="1" x14ac:dyDescent="0.3">
      <c r="G1558" s="470"/>
      <c r="H1558" s="470">
        <v>1551</v>
      </c>
      <c r="I1558" s="455">
        <f t="shared" ca="1" si="115"/>
        <v>-241792278.79831284</v>
      </c>
      <c r="J1558" s="455">
        <f t="array" ref="J1558">IFERROR(INDEX('Retirement Calculator'!K:K,MATCH('Lorri 401b'!N1558,'Retirement Calculator'!A:A,0),0),0)</f>
        <v>0</v>
      </c>
      <c r="K1558" s="455">
        <f t="shared" ca="1" si="113"/>
        <v>-1007467.8283263034</v>
      </c>
      <c r="L1558" s="455">
        <f t="shared" ca="1" si="114"/>
        <v>-242799746.62663916</v>
      </c>
      <c r="M1558" s="471">
        <f t="shared" si="116"/>
        <v>0.05</v>
      </c>
      <c r="N1558" s="475">
        <f t="shared" si="117"/>
        <v>98465</v>
      </c>
    </row>
    <row r="1559" spans="7:14" ht="11.25" customHeight="1" x14ac:dyDescent="0.3">
      <c r="G1559" s="470"/>
      <c r="H1559" s="470">
        <v>1552</v>
      </c>
      <c r="I1559" s="455">
        <f t="shared" ca="1" si="115"/>
        <v>-242799746.62663916</v>
      </c>
      <c r="J1559" s="455">
        <f t="array" ref="J1559">IFERROR(INDEX('Retirement Calculator'!K:K,MATCH('Lorri 401b'!N1559,'Retirement Calculator'!A:A,0),0),0)</f>
        <v>0</v>
      </c>
      <c r="K1559" s="455">
        <f t="shared" ca="1" si="113"/>
        <v>-1011665.6109443298</v>
      </c>
      <c r="L1559" s="455">
        <f t="shared" ca="1" si="114"/>
        <v>-243811412.23758349</v>
      </c>
      <c r="M1559" s="471">
        <f t="shared" si="116"/>
        <v>0.05</v>
      </c>
      <c r="N1559" s="475">
        <f t="shared" si="117"/>
        <v>98496</v>
      </c>
    </row>
    <row r="1560" spans="7:14" ht="11.25" customHeight="1" x14ac:dyDescent="0.3">
      <c r="G1560" s="470"/>
      <c r="H1560" s="470">
        <v>1553</v>
      </c>
      <c r="I1560" s="455">
        <f t="shared" ca="1" si="115"/>
        <v>-243811412.23758349</v>
      </c>
      <c r="J1560" s="455">
        <f t="array" ref="J1560">IFERROR(INDEX('Retirement Calculator'!K:K,MATCH('Lorri 401b'!N1560,'Retirement Calculator'!A:A,0),0),0)</f>
        <v>0</v>
      </c>
      <c r="K1560" s="455">
        <f t="shared" ca="1" si="113"/>
        <v>-1015880.8843232645</v>
      </c>
      <c r="L1560" s="455">
        <f t="shared" ca="1" si="114"/>
        <v>-244827293.12190676</v>
      </c>
      <c r="M1560" s="471">
        <f t="shared" si="116"/>
        <v>0.05</v>
      </c>
      <c r="N1560" s="475">
        <f t="shared" si="117"/>
        <v>98526</v>
      </c>
    </row>
    <row r="1561" spans="7:14" ht="11.25" customHeight="1" x14ac:dyDescent="0.3">
      <c r="G1561" s="470"/>
      <c r="H1561" s="470">
        <v>1554</v>
      </c>
      <c r="I1561" s="455">
        <f t="shared" ca="1" si="115"/>
        <v>-244827293.12190676</v>
      </c>
      <c r="J1561" s="455">
        <f t="array" ref="J1561">IFERROR(INDEX('Retirement Calculator'!K:K,MATCH('Lorri 401b'!N1561,'Retirement Calculator'!A:A,0),0),0)</f>
        <v>0</v>
      </c>
      <c r="K1561" s="455">
        <f t="shared" ca="1" si="113"/>
        <v>-1020113.7213412782</v>
      </c>
      <c r="L1561" s="455">
        <f t="shared" ca="1" si="114"/>
        <v>-245847406.84324804</v>
      </c>
      <c r="M1561" s="471">
        <f t="shared" si="116"/>
        <v>0.05</v>
      </c>
      <c r="N1561" s="475">
        <f t="shared" si="117"/>
        <v>98557</v>
      </c>
    </row>
    <row r="1562" spans="7:14" ht="11.25" customHeight="1" x14ac:dyDescent="0.3">
      <c r="G1562" s="470"/>
      <c r="H1562" s="470">
        <v>1555</v>
      </c>
      <c r="I1562" s="455">
        <f t="shared" ca="1" si="115"/>
        <v>-245847406.84324804</v>
      </c>
      <c r="J1562" s="455">
        <f t="array" ref="J1562">IFERROR(INDEX('Retirement Calculator'!K:K,MATCH('Lorri 401b'!N1562,'Retirement Calculator'!A:A,0),0),0)</f>
        <v>0</v>
      </c>
      <c r="K1562" s="455">
        <f t="shared" ca="1" si="113"/>
        <v>-1024364.1951802002</v>
      </c>
      <c r="L1562" s="455">
        <f t="shared" ca="1" si="114"/>
        <v>-246871771.03842825</v>
      </c>
      <c r="M1562" s="471">
        <f t="shared" si="116"/>
        <v>0.05</v>
      </c>
      <c r="N1562" s="475">
        <f t="shared" si="117"/>
        <v>98587</v>
      </c>
    </row>
    <row r="1563" spans="7:14" ht="11.25" customHeight="1" x14ac:dyDescent="0.3">
      <c r="G1563" s="470"/>
      <c r="H1563" s="470">
        <v>1556</v>
      </c>
      <c r="I1563" s="455">
        <f t="shared" ca="1" si="115"/>
        <v>-246871771.03842825</v>
      </c>
      <c r="J1563" s="455">
        <f t="array" ref="J1563">IFERROR(INDEX('Retirement Calculator'!K:K,MATCH('Lorri 401b'!N1563,'Retirement Calculator'!A:A,0),0),0)</f>
        <v>0</v>
      </c>
      <c r="K1563" s="455">
        <f t="shared" ca="1" si="113"/>
        <v>-1028632.3793267844</v>
      </c>
      <c r="L1563" s="455">
        <f t="shared" ca="1" si="114"/>
        <v>-247900403.41775504</v>
      </c>
      <c r="M1563" s="471">
        <f t="shared" si="116"/>
        <v>0.05</v>
      </c>
      <c r="N1563" s="475">
        <f t="shared" si="117"/>
        <v>98618</v>
      </c>
    </row>
    <row r="1564" spans="7:14" ht="11.25" customHeight="1" x14ac:dyDescent="0.3">
      <c r="G1564" s="470"/>
      <c r="H1564" s="470">
        <v>1557</v>
      </c>
      <c r="I1564" s="455">
        <f t="shared" ca="1" si="115"/>
        <v>-247900403.41775504</v>
      </c>
      <c r="J1564" s="455">
        <f t="array" ref="J1564">IFERROR(INDEX('Retirement Calculator'!K:K,MATCH('Lorri 401b'!N1564,'Retirement Calculator'!A:A,0),0),0)</f>
        <v>0</v>
      </c>
      <c r="K1564" s="455">
        <f t="shared" ca="1" si="113"/>
        <v>-1032918.3475739793</v>
      </c>
      <c r="L1564" s="455">
        <f t="shared" ca="1" si="114"/>
        <v>-248933321.765329</v>
      </c>
      <c r="M1564" s="471">
        <f t="shared" si="116"/>
        <v>0.05</v>
      </c>
      <c r="N1564" s="475">
        <f t="shared" si="117"/>
        <v>98649</v>
      </c>
    </row>
    <row r="1565" spans="7:14" ht="11.25" customHeight="1" x14ac:dyDescent="0.3">
      <c r="G1565" s="470"/>
      <c r="H1565" s="470">
        <v>1558</v>
      </c>
      <c r="I1565" s="455">
        <f t="shared" ca="1" si="115"/>
        <v>-248933321.765329</v>
      </c>
      <c r="J1565" s="455">
        <f t="array" ref="J1565">IFERROR(INDEX('Retirement Calculator'!K:K,MATCH('Lorri 401b'!N1565,'Retirement Calculator'!A:A,0),0),0)</f>
        <v>0</v>
      </c>
      <c r="K1565" s="455">
        <f t="shared" ca="1" si="113"/>
        <v>-1037222.1740222041</v>
      </c>
      <c r="L1565" s="455">
        <f t="shared" ca="1" si="114"/>
        <v>-249970543.9393512</v>
      </c>
      <c r="M1565" s="471">
        <f t="shared" si="116"/>
        <v>0.05</v>
      </c>
      <c r="N1565" s="475">
        <f t="shared" si="117"/>
        <v>98677</v>
      </c>
    </row>
    <row r="1566" spans="7:14" ht="11.25" customHeight="1" x14ac:dyDescent="0.3">
      <c r="G1566" s="470"/>
      <c r="H1566" s="470">
        <v>1559</v>
      </c>
      <c r="I1566" s="455">
        <f t="shared" ca="1" si="115"/>
        <v>-249970543.9393512</v>
      </c>
      <c r="J1566" s="455">
        <f t="array" ref="J1566">IFERROR(INDEX('Retirement Calculator'!K:K,MATCH('Lorri 401b'!N1566,'Retirement Calculator'!A:A,0),0),0)</f>
        <v>0</v>
      </c>
      <c r="K1566" s="455">
        <f t="shared" ca="1" si="113"/>
        <v>-1041543.93308063</v>
      </c>
      <c r="L1566" s="455">
        <f t="shared" ca="1" si="114"/>
        <v>-251012087.87243184</v>
      </c>
      <c r="M1566" s="471">
        <f t="shared" si="116"/>
        <v>0.05</v>
      </c>
      <c r="N1566" s="475">
        <f t="shared" si="117"/>
        <v>98708</v>
      </c>
    </row>
    <row r="1567" spans="7:14" ht="11.25" customHeight="1" x14ac:dyDescent="0.3">
      <c r="G1567" s="470"/>
      <c r="H1567" s="470">
        <v>1560</v>
      </c>
      <c r="I1567" s="455">
        <f t="shared" ca="1" si="115"/>
        <v>-251012087.87243184</v>
      </c>
      <c r="J1567" s="455">
        <f t="array" ref="J1567">IFERROR(INDEX('Retirement Calculator'!K:K,MATCH('Lorri 401b'!N1567,'Retirement Calculator'!A:A,0),0),0)</f>
        <v>0</v>
      </c>
      <c r="K1567" s="455">
        <f t="shared" ca="1" si="113"/>
        <v>-1045883.699468466</v>
      </c>
      <c r="L1567" s="455">
        <f t="shared" ca="1" si="114"/>
        <v>-252057971.57190031</v>
      </c>
      <c r="M1567" s="471">
        <f t="shared" si="116"/>
        <v>0.05</v>
      </c>
      <c r="N1567" s="475">
        <f t="shared" si="117"/>
        <v>98738</v>
      </c>
    </row>
    <row r="1568" spans="7:14" ht="11.25" customHeight="1" x14ac:dyDescent="0.3">
      <c r="G1568" s="470"/>
      <c r="H1568" s="470">
        <v>1561</v>
      </c>
      <c r="I1568" s="455">
        <f t="shared" ca="1" si="115"/>
        <v>-252057971.57190031</v>
      </c>
      <c r="J1568" s="455">
        <f t="array" ref="J1568">IFERROR(INDEX('Retirement Calculator'!K:K,MATCH('Lorri 401b'!N1568,'Retirement Calculator'!A:A,0),0),0)</f>
        <v>0</v>
      </c>
      <c r="K1568" s="455">
        <f t="shared" ca="1" si="113"/>
        <v>-1050241.5482162512</v>
      </c>
      <c r="L1568" s="455">
        <f t="shared" ca="1" si="114"/>
        <v>-253108213.12011656</v>
      </c>
      <c r="M1568" s="471">
        <f t="shared" si="116"/>
        <v>0.05</v>
      </c>
      <c r="N1568" s="475">
        <f t="shared" si="117"/>
        <v>98769</v>
      </c>
    </row>
    <row r="1569" spans="7:14" ht="11.25" customHeight="1" x14ac:dyDescent="0.3">
      <c r="G1569" s="470"/>
      <c r="H1569" s="470">
        <v>1562</v>
      </c>
      <c r="I1569" s="455">
        <f t="shared" ca="1" si="115"/>
        <v>-253108213.12011656</v>
      </c>
      <c r="J1569" s="455">
        <f t="array" ref="J1569">IFERROR(INDEX('Retirement Calculator'!K:K,MATCH('Lorri 401b'!N1569,'Retirement Calculator'!A:A,0),0),0)</f>
        <v>0</v>
      </c>
      <c r="K1569" s="455">
        <f t="shared" ca="1" si="113"/>
        <v>-1054617.5546671522</v>
      </c>
      <c r="L1569" s="455">
        <f t="shared" ca="1" si="114"/>
        <v>-254162830.67478371</v>
      </c>
      <c r="M1569" s="471">
        <f t="shared" si="116"/>
        <v>0.05</v>
      </c>
      <c r="N1569" s="475">
        <f t="shared" si="117"/>
        <v>98799</v>
      </c>
    </row>
    <row r="1570" spans="7:14" ht="11.25" customHeight="1" x14ac:dyDescent="0.3">
      <c r="G1570" s="470"/>
      <c r="H1570" s="470">
        <v>1563</v>
      </c>
      <c r="I1570" s="455">
        <f t="shared" ca="1" si="115"/>
        <v>-254162830.67478371</v>
      </c>
      <c r="J1570" s="455">
        <f t="array" ref="J1570">IFERROR(INDEX('Retirement Calculator'!K:K,MATCH('Lorri 401b'!N1570,'Retirement Calculator'!A:A,0),0),0)</f>
        <v>0</v>
      </c>
      <c r="K1570" s="455">
        <f t="shared" ca="1" si="113"/>
        <v>-1059011.7944782653</v>
      </c>
      <c r="L1570" s="455">
        <f t="shared" ca="1" si="114"/>
        <v>-255221842.46926197</v>
      </c>
      <c r="M1570" s="471">
        <f t="shared" si="116"/>
        <v>0.05</v>
      </c>
      <c r="N1570" s="475">
        <f t="shared" si="117"/>
        <v>98830</v>
      </c>
    </row>
    <row r="1571" spans="7:14" ht="11.25" customHeight="1" x14ac:dyDescent="0.3">
      <c r="G1571" s="470"/>
      <c r="H1571" s="470">
        <v>1564</v>
      </c>
      <c r="I1571" s="455">
        <f t="shared" ca="1" si="115"/>
        <v>-255221842.46926197</v>
      </c>
      <c r="J1571" s="455">
        <f t="array" ref="J1571">IFERROR(INDEX('Retirement Calculator'!K:K,MATCH('Lorri 401b'!N1571,'Retirement Calculator'!A:A,0),0),0)</f>
        <v>0</v>
      </c>
      <c r="K1571" s="455">
        <f t="shared" ca="1" si="113"/>
        <v>-1063424.3436219248</v>
      </c>
      <c r="L1571" s="455">
        <f t="shared" ca="1" si="114"/>
        <v>-256285266.81288391</v>
      </c>
      <c r="M1571" s="471">
        <f t="shared" si="116"/>
        <v>0.05</v>
      </c>
      <c r="N1571" s="475">
        <f t="shared" si="117"/>
        <v>98861</v>
      </c>
    </row>
    <row r="1572" spans="7:14" ht="11.25" customHeight="1" x14ac:dyDescent="0.3">
      <c r="G1572" s="470"/>
      <c r="H1572" s="470">
        <v>1565</v>
      </c>
      <c r="I1572" s="455">
        <f t="shared" ca="1" si="115"/>
        <v>-256285266.81288391</v>
      </c>
      <c r="J1572" s="455">
        <f t="array" ref="J1572">IFERROR(INDEX('Retirement Calculator'!K:K,MATCH('Lorri 401b'!N1572,'Retirement Calculator'!A:A,0),0),0)</f>
        <v>0</v>
      </c>
      <c r="K1572" s="455">
        <f t="shared" ca="1" si="113"/>
        <v>-1067855.2783870164</v>
      </c>
      <c r="L1572" s="455">
        <f t="shared" ca="1" si="114"/>
        <v>-257353122.09127092</v>
      </c>
      <c r="M1572" s="471">
        <f t="shared" si="116"/>
        <v>0.05</v>
      </c>
      <c r="N1572" s="475">
        <f t="shared" si="117"/>
        <v>98891</v>
      </c>
    </row>
    <row r="1573" spans="7:14" ht="11.25" customHeight="1" x14ac:dyDescent="0.3">
      <c r="G1573" s="470"/>
      <c r="H1573" s="470">
        <v>1566</v>
      </c>
      <c r="I1573" s="455">
        <f t="shared" ca="1" si="115"/>
        <v>-257353122.09127092</v>
      </c>
      <c r="J1573" s="455">
        <f t="array" ref="J1573">IFERROR(INDEX('Retirement Calculator'!K:K,MATCH('Lorri 401b'!N1573,'Retirement Calculator'!A:A,0),0),0)</f>
        <v>0</v>
      </c>
      <c r="K1573" s="455">
        <f t="shared" ca="1" si="113"/>
        <v>-1072304.6753802956</v>
      </c>
      <c r="L1573" s="455">
        <f t="shared" ca="1" si="114"/>
        <v>-258425426.76665121</v>
      </c>
      <c r="M1573" s="471">
        <f t="shared" si="116"/>
        <v>0.05</v>
      </c>
      <c r="N1573" s="475">
        <f t="shared" si="117"/>
        <v>98922</v>
      </c>
    </row>
    <row r="1574" spans="7:14" ht="11.25" customHeight="1" x14ac:dyDescent="0.3">
      <c r="G1574" s="470"/>
      <c r="H1574" s="470">
        <v>1567</v>
      </c>
      <c r="I1574" s="455">
        <f t="shared" ca="1" si="115"/>
        <v>-258425426.76665121</v>
      </c>
      <c r="J1574" s="455">
        <f t="array" ref="J1574">IFERROR(INDEX('Retirement Calculator'!K:K,MATCH('Lorri 401b'!N1574,'Retirement Calculator'!A:A,0),0),0)</f>
        <v>0</v>
      </c>
      <c r="K1574" s="455">
        <f t="shared" ca="1" si="113"/>
        <v>-1076772.6115277135</v>
      </c>
      <c r="L1574" s="455">
        <f t="shared" ca="1" si="114"/>
        <v>-259502199.37817892</v>
      </c>
      <c r="M1574" s="471">
        <f t="shared" si="116"/>
        <v>0.05</v>
      </c>
      <c r="N1574" s="475">
        <f t="shared" si="117"/>
        <v>98952</v>
      </c>
    </row>
    <row r="1575" spans="7:14" ht="11.25" customHeight="1" x14ac:dyDescent="0.3">
      <c r="G1575" s="470"/>
      <c r="H1575" s="470">
        <v>1568</v>
      </c>
      <c r="I1575" s="455">
        <f t="shared" ca="1" si="115"/>
        <v>-259502199.37817892</v>
      </c>
      <c r="J1575" s="455">
        <f t="array" ref="J1575">IFERROR(INDEX('Retirement Calculator'!K:K,MATCH('Lorri 401b'!N1575,'Retirement Calculator'!A:A,0),0),0)</f>
        <v>0</v>
      </c>
      <c r="K1575" s="455">
        <f t="shared" ca="1" si="113"/>
        <v>-1081259.1640757455</v>
      </c>
      <c r="L1575" s="455">
        <f t="shared" ca="1" si="114"/>
        <v>-260583458.54225466</v>
      </c>
      <c r="M1575" s="471">
        <f t="shared" si="116"/>
        <v>0.05</v>
      </c>
      <c r="N1575" s="475">
        <f t="shared" si="117"/>
        <v>98983</v>
      </c>
    </row>
    <row r="1576" spans="7:14" ht="11.25" customHeight="1" x14ac:dyDescent="0.3">
      <c r="G1576" s="470"/>
      <c r="H1576" s="470">
        <v>1569</v>
      </c>
      <c r="I1576" s="455">
        <f t="shared" ca="1" si="115"/>
        <v>-260583458.54225466</v>
      </c>
      <c r="J1576" s="455">
        <f t="array" ref="J1576">IFERROR(INDEX('Retirement Calculator'!K:K,MATCH('Lorri 401b'!N1576,'Retirement Calculator'!A:A,0),0),0)</f>
        <v>0</v>
      </c>
      <c r="K1576" s="455">
        <f t="shared" ca="1" si="113"/>
        <v>-1085764.4105927278</v>
      </c>
      <c r="L1576" s="455">
        <f t="shared" ca="1" si="114"/>
        <v>-261669222.95284739</v>
      </c>
      <c r="M1576" s="471">
        <f t="shared" si="116"/>
        <v>0.05</v>
      </c>
      <c r="N1576" s="475">
        <f t="shared" si="117"/>
        <v>99014</v>
      </c>
    </row>
    <row r="1577" spans="7:14" ht="11.25" customHeight="1" x14ac:dyDescent="0.3">
      <c r="G1577" s="470"/>
      <c r="H1577" s="470">
        <v>1570</v>
      </c>
      <c r="I1577" s="455">
        <f t="shared" ca="1" si="115"/>
        <v>-261669222.95284739</v>
      </c>
      <c r="J1577" s="455">
        <f t="array" ref="J1577">IFERROR(INDEX('Retirement Calculator'!K:K,MATCH('Lorri 401b'!N1577,'Retirement Calculator'!A:A,0),0),0)</f>
        <v>0</v>
      </c>
      <c r="K1577" s="455">
        <f t="shared" ca="1" si="113"/>
        <v>-1090288.4289701977</v>
      </c>
      <c r="L1577" s="455">
        <f t="shared" ca="1" si="114"/>
        <v>-262759511.38181758</v>
      </c>
      <c r="M1577" s="471">
        <f t="shared" si="116"/>
        <v>0.05</v>
      </c>
      <c r="N1577" s="475">
        <f t="shared" si="117"/>
        <v>99042</v>
      </c>
    </row>
    <row r="1578" spans="7:14" ht="11.25" customHeight="1" x14ac:dyDescent="0.3">
      <c r="G1578" s="470"/>
      <c r="H1578" s="470">
        <v>1571</v>
      </c>
      <c r="I1578" s="455">
        <f t="shared" ca="1" si="115"/>
        <v>-262759511.38181758</v>
      </c>
      <c r="J1578" s="455">
        <f t="array" ref="J1578">IFERROR(INDEX('Retirement Calculator'!K:K,MATCH('Lorri 401b'!N1578,'Retirement Calculator'!A:A,0),0),0)</f>
        <v>0</v>
      </c>
      <c r="K1578" s="455">
        <f t="shared" ca="1" si="113"/>
        <v>-1094831.2974242398</v>
      </c>
      <c r="L1578" s="455">
        <f t="shared" ca="1" si="114"/>
        <v>-263854342.67924181</v>
      </c>
      <c r="M1578" s="471">
        <f t="shared" si="116"/>
        <v>0.05</v>
      </c>
      <c r="N1578" s="475">
        <f t="shared" si="117"/>
        <v>99073</v>
      </c>
    </row>
    <row r="1579" spans="7:14" ht="11.25" customHeight="1" x14ac:dyDescent="0.3">
      <c r="G1579" s="470"/>
      <c r="H1579" s="470">
        <v>1572</v>
      </c>
      <c r="I1579" s="455">
        <f t="shared" ca="1" si="115"/>
        <v>-263854342.67924181</v>
      </c>
      <c r="J1579" s="455">
        <f t="array" ref="J1579">IFERROR(INDEX('Retirement Calculator'!K:K,MATCH('Lorri 401b'!N1579,'Retirement Calculator'!A:A,0),0),0)</f>
        <v>0</v>
      </c>
      <c r="K1579" s="455">
        <f t="shared" ca="1" si="113"/>
        <v>-1099393.0944968408</v>
      </c>
      <c r="L1579" s="455">
        <f t="shared" ca="1" si="114"/>
        <v>-264953735.77373865</v>
      </c>
      <c r="M1579" s="471">
        <f t="shared" si="116"/>
        <v>0.05</v>
      </c>
      <c r="N1579" s="475">
        <f t="shared" si="117"/>
        <v>99103</v>
      </c>
    </row>
    <row r="1580" spans="7:14" ht="11.25" customHeight="1" x14ac:dyDescent="0.3">
      <c r="G1580" s="470"/>
      <c r="H1580" s="470">
        <v>1573</v>
      </c>
      <c r="I1580" s="455">
        <f t="shared" ca="1" si="115"/>
        <v>-264953735.77373865</v>
      </c>
      <c r="J1580" s="455">
        <f t="array" ref="J1580">IFERROR(INDEX('Retirement Calculator'!K:K,MATCH('Lorri 401b'!N1580,'Retirement Calculator'!A:A,0),0),0)</f>
        <v>0</v>
      </c>
      <c r="K1580" s="455">
        <f t="shared" ca="1" si="113"/>
        <v>-1103973.8990572444</v>
      </c>
      <c r="L1580" s="455">
        <f t="shared" ca="1" si="114"/>
        <v>-266057709.67279589</v>
      </c>
      <c r="M1580" s="471">
        <f t="shared" si="116"/>
        <v>0.05</v>
      </c>
      <c r="N1580" s="475">
        <f t="shared" si="117"/>
        <v>99134</v>
      </c>
    </row>
    <row r="1581" spans="7:14" ht="11.25" customHeight="1" x14ac:dyDescent="0.3">
      <c r="G1581" s="470"/>
      <c r="H1581" s="470">
        <v>1574</v>
      </c>
      <c r="I1581" s="455">
        <f t="shared" ca="1" si="115"/>
        <v>-266057709.67279589</v>
      </c>
      <c r="J1581" s="455">
        <f t="array" ref="J1581">IFERROR(INDEX('Retirement Calculator'!K:K,MATCH('Lorri 401b'!N1581,'Retirement Calculator'!A:A,0),0),0)</f>
        <v>0</v>
      </c>
      <c r="K1581" s="455">
        <f t="shared" ca="1" si="113"/>
        <v>-1108573.7903033162</v>
      </c>
      <c r="L1581" s="455">
        <f t="shared" ca="1" si="114"/>
        <v>-267166283.46309921</v>
      </c>
      <c r="M1581" s="471">
        <f t="shared" si="116"/>
        <v>0.05</v>
      </c>
      <c r="N1581" s="475">
        <f t="shared" si="117"/>
        <v>99164</v>
      </c>
    </row>
    <row r="1582" spans="7:14" ht="11.25" customHeight="1" x14ac:dyDescent="0.3">
      <c r="G1582" s="470"/>
      <c r="H1582" s="470">
        <v>1575</v>
      </c>
      <c r="I1582" s="455">
        <f t="shared" ca="1" si="115"/>
        <v>-267166283.46309921</v>
      </c>
      <c r="J1582" s="455">
        <f t="array" ref="J1582">IFERROR(INDEX('Retirement Calculator'!K:K,MATCH('Lorri 401b'!N1582,'Retirement Calculator'!A:A,0),0),0)</f>
        <v>0</v>
      </c>
      <c r="K1582" s="455">
        <f t="shared" ca="1" si="113"/>
        <v>-1113192.8477629134</v>
      </c>
      <c r="L1582" s="455">
        <f t="shared" ca="1" si="114"/>
        <v>-268279476.31086212</v>
      </c>
      <c r="M1582" s="471">
        <f t="shared" si="116"/>
        <v>0.05</v>
      </c>
      <c r="N1582" s="475">
        <f t="shared" si="117"/>
        <v>99195</v>
      </c>
    </row>
    <row r="1583" spans="7:14" ht="11.25" customHeight="1" x14ac:dyDescent="0.3">
      <c r="G1583" s="470"/>
      <c r="H1583" s="470">
        <v>1576</v>
      </c>
      <c r="I1583" s="455">
        <f t="shared" ca="1" si="115"/>
        <v>-268279476.31086212</v>
      </c>
      <c r="J1583" s="455">
        <f t="array" ref="J1583">IFERROR(INDEX('Retirement Calculator'!K:K,MATCH('Lorri 401b'!N1583,'Retirement Calculator'!A:A,0),0),0)</f>
        <v>0</v>
      </c>
      <c r="K1583" s="455">
        <f t="shared" ca="1" si="113"/>
        <v>-1117831.1512952587</v>
      </c>
      <c r="L1583" s="455">
        <f t="shared" ca="1" si="114"/>
        <v>-269397307.46215737</v>
      </c>
      <c r="M1583" s="471">
        <f t="shared" si="116"/>
        <v>0.05</v>
      </c>
      <c r="N1583" s="475">
        <f t="shared" si="117"/>
        <v>99226</v>
      </c>
    </row>
    <row r="1584" spans="7:14" ht="11.25" customHeight="1" x14ac:dyDescent="0.3">
      <c r="G1584" s="470"/>
      <c r="H1584" s="470">
        <v>1577</v>
      </c>
      <c r="I1584" s="455">
        <f t="shared" ca="1" si="115"/>
        <v>-269397307.46215737</v>
      </c>
      <c r="J1584" s="455">
        <f t="array" ref="J1584">IFERROR(INDEX('Retirement Calculator'!K:K,MATCH('Lorri 401b'!N1584,'Retirement Calculator'!A:A,0),0),0)</f>
        <v>0</v>
      </c>
      <c r="K1584" s="455">
        <f t="shared" ca="1" si="113"/>
        <v>-1122488.7810923224</v>
      </c>
      <c r="L1584" s="455">
        <f t="shared" ca="1" si="114"/>
        <v>-270519796.24324971</v>
      </c>
      <c r="M1584" s="471">
        <f t="shared" si="116"/>
        <v>0.05</v>
      </c>
      <c r="N1584" s="475">
        <f t="shared" si="117"/>
        <v>99256</v>
      </c>
    </row>
    <row r="1585" spans="7:14" ht="11.25" customHeight="1" x14ac:dyDescent="0.3">
      <c r="G1585" s="470"/>
      <c r="H1585" s="470">
        <v>1578</v>
      </c>
      <c r="I1585" s="455">
        <f t="shared" ca="1" si="115"/>
        <v>-270519796.24324971</v>
      </c>
      <c r="J1585" s="455">
        <f t="array" ref="J1585">IFERROR(INDEX('Retirement Calculator'!K:K,MATCH('Lorri 401b'!N1585,'Retirement Calculator'!A:A,0),0),0)</f>
        <v>0</v>
      </c>
      <c r="K1585" s="455">
        <f t="shared" ca="1" si="113"/>
        <v>-1127165.8176802071</v>
      </c>
      <c r="L1585" s="455">
        <f t="shared" ca="1" si="114"/>
        <v>-271646962.06092989</v>
      </c>
      <c r="M1585" s="471">
        <f t="shared" si="116"/>
        <v>0.05</v>
      </c>
      <c r="N1585" s="475">
        <f t="shared" si="117"/>
        <v>99287</v>
      </c>
    </row>
    <row r="1586" spans="7:14" ht="11.25" customHeight="1" x14ac:dyDescent="0.3">
      <c r="G1586" s="470"/>
      <c r="H1586" s="470">
        <v>1579</v>
      </c>
      <c r="I1586" s="455">
        <f t="shared" ca="1" si="115"/>
        <v>-271646962.06092989</v>
      </c>
      <c r="J1586" s="455">
        <f t="array" ref="J1586">IFERROR(INDEX('Retirement Calculator'!K:K,MATCH('Lorri 401b'!N1586,'Retirement Calculator'!A:A,0),0),0)</f>
        <v>0</v>
      </c>
      <c r="K1586" s="455">
        <f t="shared" ca="1" si="113"/>
        <v>-1131862.3419205411</v>
      </c>
      <c r="L1586" s="455">
        <f t="shared" ca="1" si="114"/>
        <v>-272778824.40285045</v>
      </c>
      <c r="M1586" s="471">
        <f t="shared" si="116"/>
        <v>0.05</v>
      </c>
      <c r="N1586" s="475">
        <f t="shared" si="117"/>
        <v>99317</v>
      </c>
    </row>
    <row r="1587" spans="7:14" ht="11.25" customHeight="1" x14ac:dyDescent="0.3">
      <c r="G1587" s="470"/>
      <c r="H1587" s="470">
        <v>1580</v>
      </c>
      <c r="I1587" s="455">
        <f t="shared" ca="1" si="115"/>
        <v>-272778824.40285045</v>
      </c>
      <c r="J1587" s="455">
        <f t="array" ref="J1587">IFERROR(INDEX('Retirement Calculator'!K:K,MATCH('Lorri 401b'!N1587,'Retirement Calculator'!A:A,0),0),0)</f>
        <v>0</v>
      </c>
      <c r="K1587" s="455">
        <f t="shared" ca="1" si="113"/>
        <v>-1136578.4350118767</v>
      </c>
      <c r="L1587" s="455">
        <f t="shared" ca="1" si="114"/>
        <v>-273915402.83786231</v>
      </c>
      <c r="M1587" s="471">
        <f t="shared" si="116"/>
        <v>0.05</v>
      </c>
      <c r="N1587" s="475">
        <f t="shared" si="117"/>
        <v>99348</v>
      </c>
    </row>
    <row r="1588" spans="7:14" ht="11.25" customHeight="1" x14ac:dyDescent="0.3">
      <c r="G1588" s="470"/>
      <c r="H1588" s="470">
        <v>1581</v>
      </c>
      <c r="I1588" s="455">
        <f t="shared" ca="1" si="115"/>
        <v>-273915402.83786231</v>
      </c>
      <c r="J1588" s="455">
        <f t="array" ref="J1588">IFERROR(INDEX('Retirement Calculator'!K:K,MATCH('Lorri 401b'!N1588,'Retirement Calculator'!A:A,0),0),0)</f>
        <v>0</v>
      </c>
      <c r="K1588" s="455">
        <f t="shared" ca="1" si="113"/>
        <v>-1141314.178491093</v>
      </c>
      <c r="L1588" s="455">
        <f t="shared" ca="1" si="114"/>
        <v>-275056717.01635343</v>
      </c>
      <c r="M1588" s="471">
        <f t="shared" si="116"/>
        <v>0.05</v>
      </c>
      <c r="N1588" s="475">
        <f t="shared" si="117"/>
        <v>99379</v>
      </c>
    </row>
    <row r="1589" spans="7:14" ht="11.25" customHeight="1" x14ac:dyDescent="0.3">
      <c r="G1589" s="470"/>
      <c r="H1589" s="470">
        <v>1582</v>
      </c>
      <c r="I1589" s="455">
        <f t="shared" ca="1" si="115"/>
        <v>-275056717.01635343</v>
      </c>
      <c r="J1589" s="455">
        <f t="array" ref="J1589">IFERROR(INDEX('Retirement Calculator'!K:K,MATCH('Lorri 401b'!N1589,'Retirement Calculator'!A:A,0),0),0)</f>
        <v>0</v>
      </c>
      <c r="K1589" s="455">
        <f t="shared" ca="1" si="113"/>
        <v>-1146069.6542348058</v>
      </c>
      <c r="L1589" s="455">
        <f t="shared" ca="1" si="114"/>
        <v>-276202786.67058825</v>
      </c>
      <c r="M1589" s="471">
        <f t="shared" si="116"/>
        <v>0.05</v>
      </c>
      <c r="N1589" s="475">
        <f t="shared" si="117"/>
        <v>99408</v>
      </c>
    </row>
    <row r="1590" spans="7:14" ht="11.25" customHeight="1" x14ac:dyDescent="0.3">
      <c r="G1590" s="470"/>
      <c r="H1590" s="470">
        <v>1583</v>
      </c>
      <c r="I1590" s="455">
        <f t="shared" ca="1" si="115"/>
        <v>-276202786.67058825</v>
      </c>
      <c r="J1590" s="455">
        <f t="array" ref="J1590">IFERROR(INDEX('Retirement Calculator'!K:K,MATCH('Lorri 401b'!N1590,'Retirement Calculator'!A:A,0),0),0)</f>
        <v>0</v>
      </c>
      <c r="K1590" s="455">
        <f t="shared" ca="1" si="113"/>
        <v>-1150844.9444607843</v>
      </c>
      <c r="L1590" s="455">
        <f t="shared" ca="1" si="114"/>
        <v>-277353631.61504906</v>
      </c>
      <c r="M1590" s="471">
        <f t="shared" si="116"/>
        <v>0.05</v>
      </c>
      <c r="N1590" s="475">
        <f t="shared" si="117"/>
        <v>99439</v>
      </c>
    </row>
    <row r="1591" spans="7:14" ht="11.25" customHeight="1" x14ac:dyDescent="0.3">
      <c r="G1591" s="470"/>
      <c r="H1591" s="470">
        <v>1584</v>
      </c>
      <c r="I1591" s="455">
        <f t="shared" ca="1" si="115"/>
        <v>-277353631.61504906</v>
      </c>
      <c r="J1591" s="455">
        <f t="array" ref="J1591">IFERROR(INDEX('Retirement Calculator'!K:K,MATCH('Lorri 401b'!N1591,'Retirement Calculator'!A:A,0),0),0)</f>
        <v>0</v>
      </c>
      <c r="K1591" s="455">
        <f t="shared" ca="1" si="113"/>
        <v>-1155640.1317293711</v>
      </c>
      <c r="L1591" s="455">
        <f t="shared" ca="1" si="114"/>
        <v>-278509271.74677843</v>
      </c>
      <c r="M1591" s="471">
        <f t="shared" si="116"/>
        <v>0.05</v>
      </c>
      <c r="N1591" s="475">
        <f t="shared" si="117"/>
        <v>99469</v>
      </c>
    </row>
    <row r="1592" spans="7:14" ht="11.25" customHeight="1" x14ac:dyDescent="0.3">
      <c r="G1592" s="470"/>
      <c r="H1592" s="470">
        <v>1585</v>
      </c>
      <c r="I1592" s="455">
        <f t="shared" ca="1" si="115"/>
        <v>-278509271.74677843</v>
      </c>
      <c r="J1592" s="455">
        <f t="array" ref="J1592">IFERROR(INDEX('Retirement Calculator'!K:K,MATCH('Lorri 401b'!N1592,'Retirement Calculator'!A:A,0),0),0)</f>
        <v>0</v>
      </c>
      <c r="K1592" s="455">
        <f t="shared" ca="1" si="113"/>
        <v>-1160455.2989449101</v>
      </c>
      <c r="L1592" s="455">
        <f t="shared" ca="1" si="114"/>
        <v>-279669727.04572332</v>
      </c>
      <c r="M1592" s="471">
        <f t="shared" si="116"/>
        <v>0.05</v>
      </c>
      <c r="N1592" s="475">
        <f t="shared" si="117"/>
        <v>99500</v>
      </c>
    </row>
    <row r="1593" spans="7:14" ht="11.25" customHeight="1" x14ac:dyDescent="0.3">
      <c r="G1593" s="470"/>
      <c r="H1593" s="470">
        <v>1586</v>
      </c>
      <c r="I1593" s="455">
        <f t="shared" ca="1" si="115"/>
        <v>-279669727.04572332</v>
      </c>
      <c r="J1593" s="455">
        <f t="array" ref="J1593">IFERROR(INDEX('Retirement Calculator'!K:K,MATCH('Lorri 401b'!N1593,'Retirement Calculator'!A:A,0),0),0)</f>
        <v>0</v>
      </c>
      <c r="K1593" s="455">
        <f t="shared" ca="1" si="113"/>
        <v>-1165290.5293571805</v>
      </c>
      <c r="L1593" s="455">
        <f t="shared" ca="1" si="114"/>
        <v>-280835017.57508051</v>
      </c>
      <c r="M1593" s="471">
        <f t="shared" si="116"/>
        <v>0.05</v>
      </c>
      <c r="N1593" s="475">
        <f t="shared" si="117"/>
        <v>99530</v>
      </c>
    </row>
    <row r="1594" spans="7:14" ht="11.25" customHeight="1" x14ac:dyDescent="0.3">
      <c r="G1594" s="470"/>
      <c r="H1594" s="470">
        <v>1587</v>
      </c>
      <c r="I1594" s="455">
        <f t="shared" ca="1" si="115"/>
        <v>-280835017.57508051</v>
      </c>
      <c r="J1594" s="455">
        <f t="array" ref="J1594">IFERROR(INDEX('Retirement Calculator'!K:K,MATCH('Lorri 401b'!N1594,'Retirement Calculator'!A:A,0),0),0)</f>
        <v>0</v>
      </c>
      <c r="K1594" s="455">
        <f t="shared" ca="1" si="113"/>
        <v>-1170145.9065628354</v>
      </c>
      <c r="L1594" s="455">
        <f t="shared" ca="1" si="114"/>
        <v>-282005163.48164338</v>
      </c>
      <c r="M1594" s="471">
        <f t="shared" si="116"/>
        <v>0.05</v>
      </c>
      <c r="N1594" s="475">
        <f t="shared" si="117"/>
        <v>99561</v>
      </c>
    </row>
    <row r="1595" spans="7:14" ht="11.25" customHeight="1" x14ac:dyDescent="0.3">
      <c r="G1595" s="470"/>
      <c r="H1595" s="470">
        <v>1588</v>
      </c>
      <c r="I1595" s="455">
        <f t="shared" ca="1" si="115"/>
        <v>-282005163.48164338</v>
      </c>
      <c r="J1595" s="455">
        <f t="array" ref="J1595">IFERROR(INDEX('Retirement Calculator'!K:K,MATCH('Lorri 401b'!N1595,'Retirement Calculator'!A:A,0),0),0)</f>
        <v>0</v>
      </c>
      <c r="K1595" s="455">
        <f t="shared" ca="1" si="113"/>
        <v>-1175021.5145068474</v>
      </c>
      <c r="L1595" s="455">
        <f t="shared" ca="1" si="114"/>
        <v>-283180184.99615026</v>
      </c>
      <c r="M1595" s="471">
        <f t="shared" si="116"/>
        <v>0.05</v>
      </c>
      <c r="N1595" s="475">
        <f t="shared" si="117"/>
        <v>99592</v>
      </c>
    </row>
    <row r="1596" spans="7:14" ht="11.25" customHeight="1" x14ac:dyDescent="0.3">
      <c r="G1596" s="470"/>
      <c r="H1596" s="470">
        <v>1589</v>
      </c>
      <c r="I1596" s="455">
        <f t="shared" ca="1" si="115"/>
        <v>-283180184.99615026</v>
      </c>
      <c r="J1596" s="455">
        <f t="array" ref="J1596">IFERROR(INDEX('Retirement Calculator'!K:K,MATCH('Lorri 401b'!N1596,'Retirement Calculator'!A:A,0),0),0)</f>
        <v>0</v>
      </c>
      <c r="K1596" s="455">
        <f t="shared" ca="1" si="113"/>
        <v>-1179917.4374839594</v>
      </c>
      <c r="L1596" s="455">
        <f t="shared" ca="1" si="114"/>
        <v>-284360102.43363422</v>
      </c>
      <c r="M1596" s="471">
        <f t="shared" si="116"/>
        <v>0.05</v>
      </c>
      <c r="N1596" s="475">
        <f t="shared" si="117"/>
        <v>99622</v>
      </c>
    </row>
    <row r="1597" spans="7:14" ht="11.25" customHeight="1" x14ac:dyDescent="0.3">
      <c r="G1597" s="470"/>
      <c r="H1597" s="470">
        <v>1590</v>
      </c>
      <c r="I1597" s="455">
        <f t="shared" ca="1" si="115"/>
        <v>-284360102.43363422</v>
      </c>
      <c r="J1597" s="455">
        <f t="array" ref="J1597">IFERROR(INDEX('Retirement Calculator'!K:K,MATCH('Lorri 401b'!N1597,'Retirement Calculator'!A:A,0),0),0)</f>
        <v>0</v>
      </c>
      <c r="K1597" s="455">
        <f t="shared" ca="1" si="113"/>
        <v>-1184833.7601401426</v>
      </c>
      <c r="L1597" s="455">
        <f t="shared" ca="1" si="114"/>
        <v>-285544936.19377434</v>
      </c>
      <c r="M1597" s="471">
        <f t="shared" si="116"/>
        <v>0.05</v>
      </c>
      <c r="N1597" s="475">
        <f t="shared" si="117"/>
        <v>99653</v>
      </c>
    </row>
    <row r="1598" spans="7:14" ht="11.25" customHeight="1" x14ac:dyDescent="0.3">
      <c r="G1598" s="470"/>
      <c r="H1598" s="470">
        <v>1591</v>
      </c>
      <c r="I1598" s="455">
        <f t="shared" ca="1" si="115"/>
        <v>-285544936.19377434</v>
      </c>
      <c r="J1598" s="455">
        <f t="array" ref="J1598">IFERROR(INDEX('Retirement Calculator'!K:K,MATCH('Lorri 401b'!N1598,'Retirement Calculator'!A:A,0),0),0)</f>
        <v>0</v>
      </c>
      <c r="K1598" s="455">
        <f t="shared" ca="1" si="113"/>
        <v>-1189770.5674740598</v>
      </c>
      <c r="L1598" s="455">
        <f t="shared" ca="1" si="114"/>
        <v>-286734706.76124841</v>
      </c>
      <c r="M1598" s="471">
        <f t="shared" si="116"/>
        <v>0.05</v>
      </c>
      <c r="N1598" s="475">
        <f t="shared" si="117"/>
        <v>99683</v>
      </c>
    </row>
    <row r="1599" spans="7:14" ht="11.25" customHeight="1" x14ac:dyDescent="0.3">
      <c r="G1599" s="470"/>
      <c r="H1599" s="470">
        <v>1592</v>
      </c>
      <c r="I1599" s="455">
        <f t="shared" ca="1" si="115"/>
        <v>-286734706.76124841</v>
      </c>
      <c r="J1599" s="455">
        <f t="array" ref="J1599">IFERROR(INDEX('Retirement Calculator'!K:K,MATCH('Lorri 401b'!N1599,'Retirement Calculator'!A:A,0),0),0)</f>
        <v>0</v>
      </c>
      <c r="K1599" s="455">
        <f t="shared" ca="1" si="113"/>
        <v>-1194727.944838535</v>
      </c>
      <c r="L1599" s="455">
        <f t="shared" ca="1" si="114"/>
        <v>-287929434.70608693</v>
      </c>
      <c r="M1599" s="471">
        <f t="shared" si="116"/>
        <v>0.05</v>
      </c>
      <c r="N1599" s="475">
        <f t="shared" si="117"/>
        <v>99714</v>
      </c>
    </row>
    <row r="1600" spans="7:14" ht="11.25" customHeight="1" x14ac:dyDescent="0.3">
      <c r="G1600" s="470"/>
      <c r="H1600" s="470">
        <v>1593</v>
      </c>
      <c r="I1600" s="455">
        <f t="shared" ca="1" si="115"/>
        <v>-287929434.70608693</v>
      </c>
      <c r="J1600" s="455">
        <f t="array" ref="J1600">IFERROR(INDEX('Retirement Calculator'!K:K,MATCH('Lorri 401b'!N1600,'Retirement Calculator'!A:A,0),0),0)</f>
        <v>0</v>
      </c>
      <c r="K1600" s="455">
        <f t="shared" ca="1" si="113"/>
        <v>-1199705.9779420288</v>
      </c>
      <c r="L1600" s="455">
        <f t="shared" ca="1" si="114"/>
        <v>-289129140.68402898</v>
      </c>
      <c r="M1600" s="471">
        <f t="shared" si="116"/>
        <v>0.05</v>
      </c>
      <c r="N1600" s="475">
        <f t="shared" si="117"/>
        <v>99745</v>
      </c>
    </row>
    <row r="1601" spans="7:14" ht="11.25" customHeight="1" x14ac:dyDescent="0.3">
      <c r="G1601" s="470"/>
      <c r="H1601" s="470">
        <v>1594</v>
      </c>
      <c r="I1601" s="455">
        <f t="shared" ca="1" si="115"/>
        <v>-289129140.68402898</v>
      </c>
      <c r="J1601" s="455">
        <f t="array" ref="J1601">IFERROR(INDEX('Retirement Calculator'!K:K,MATCH('Lorri 401b'!N1601,'Retirement Calculator'!A:A,0),0),0)</f>
        <v>0</v>
      </c>
      <c r="K1601" s="455">
        <f t="shared" ca="1" si="113"/>
        <v>-1204704.7528501207</v>
      </c>
      <c r="L1601" s="455">
        <f t="shared" ca="1" si="114"/>
        <v>-290333845.4368791</v>
      </c>
      <c r="M1601" s="471">
        <f t="shared" si="116"/>
        <v>0.05</v>
      </c>
      <c r="N1601" s="475">
        <f t="shared" si="117"/>
        <v>99773</v>
      </c>
    </row>
    <row r="1602" spans="7:14" ht="11.25" customHeight="1" x14ac:dyDescent="0.3">
      <c r="G1602" s="470"/>
      <c r="H1602" s="470">
        <v>1595</v>
      </c>
      <c r="I1602" s="455">
        <f t="shared" ca="1" si="115"/>
        <v>-290333845.4368791</v>
      </c>
      <c r="J1602" s="455">
        <f t="array" ref="J1602">IFERROR(INDEX('Retirement Calculator'!K:K,MATCH('Lorri 401b'!N1602,'Retirement Calculator'!A:A,0),0),0)</f>
        <v>0</v>
      </c>
      <c r="K1602" s="455">
        <f t="shared" ca="1" si="113"/>
        <v>-1209724.3559869963</v>
      </c>
      <c r="L1602" s="455">
        <f t="shared" ca="1" si="114"/>
        <v>-291543569.79286611</v>
      </c>
      <c r="M1602" s="471">
        <f t="shared" si="116"/>
        <v>0.05</v>
      </c>
      <c r="N1602" s="475">
        <f t="shared" si="117"/>
        <v>99804</v>
      </c>
    </row>
    <row r="1603" spans="7:14" ht="11.25" customHeight="1" x14ac:dyDescent="0.3">
      <c r="G1603" s="470"/>
      <c r="H1603" s="470">
        <v>1596</v>
      </c>
      <c r="I1603" s="455">
        <f t="shared" ca="1" si="115"/>
        <v>-291543569.79286611</v>
      </c>
      <c r="J1603" s="455">
        <f t="array" ref="J1603">IFERROR(INDEX('Retirement Calculator'!K:K,MATCH('Lorri 401b'!N1603,'Retirement Calculator'!A:A,0),0),0)</f>
        <v>0</v>
      </c>
      <c r="K1603" s="455">
        <f t="shared" ca="1" si="113"/>
        <v>-1214764.8741369422</v>
      </c>
      <c r="L1603" s="455">
        <f t="shared" ca="1" si="114"/>
        <v>-292758334.66700304</v>
      </c>
      <c r="M1603" s="471">
        <f t="shared" si="116"/>
        <v>0.05</v>
      </c>
      <c r="N1603" s="475">
        <f t="shared" si="117"/>
        <v>99834</v>
      </c>
    </row>
    <row r="1604" spans="7:14" ht="11.25" customHeight="1" x14ac:dyDescent="0.3">
      <c r="G1604" s="470"/>
      <c r="H1604" s="470">
        <v>1597</v>
      </c>
      <c r="I1604" s="455">
        <f t="shared" ca="1" si="115"/>
        <v>-292758334.66700304</v>
      </c>
      <c r="J1604" s="455">
        <f t="array" ref="J1604">IFERROR(INDEX('Retirement Calculator'!K:K,MATCH('Lorri 401b'!N1604,'Retirement Calculator'!A:A,0),0),0)</f>
        <v>0</v>
      </c>
      <c r="K1604" s="455">
        <f t="shared" ca="1" si="113"/>
        <v>-1219826.3944458459</v>
      </c>
      <c r="L1604" s="455">
        <f t="shared" ca="1" si="114"/>
        <v>-293978161.06144887</v>
      </c>
      <c r="M1604" s="471">
        <f t="shared" si="116"/>
        <v>0.05</v>
      </c>
      <c r="N1604" s="475">
        <f t="shared" si="117"/>
        <v>99865</v>
      </c>
    </row>
    <row r="1605" spans="7:14" ht="11.25" customHeight="1" x14ac:dyDescent="0.3">
      <c r="G1605" s="470"/>
      <c r="H1605" s="470">
        <v>1598</v>
      </c>
      <c r="I1605" s="455">
        <f t="shared" ca="1" si="115"/>
        <v>-293978161.06144887</v>
      </c>
      <c r="J1605" s="455">
        <f t="array" ref="J1605">IFERROR(INDEX('Retirement Calculator'!K:K,MATCH('Lorri 401b'!N1605,'Retirement Calculator'!A:A,0),0),0)</f>
        <v>0</v>
      </c>
      <c r="K1605" s="455">
        <f t="shared" ca="1" si="113"/>
        <v>-1224909.0044227035</v>
      </c>
      <c r="L1605" s="455">
        <f t="shared" ca="1" si="114"/>
        <v>-295203070.0658716</v>
      </c>
      <c r="M1605" s="471">
        <f t="shared" si="116"/>
        <v>0.05</v>
      </c>
      <c r="N1605" s="475">
        <f t="shared" si="117"/>
        <v>99895</v>
      </c>
    </row>
    <row r="1606" spans="7:14" ht="11.25" customHeight="1" x14ac:dyDescent="0.3">
      <c r="G1606" s="470"/>
      <c r="H1606" s="470">
        <v>1599</v>
      </c>
      <c r="I1606" s="455">
        <f t="shared" ca="1" si="115"/>
        <v>-295203070.0658716</v>
      </c>
      <c r="J1606" s="455">
        <f t="array" ref="J1606">IFERROR(INDEX('Retirement Calculator'!K:K,MATCH('Lorri 401b'!N1606,'Retirement Calculator'!A:A,0),0),0)</f>
        <v>0</v>
      </c>
      <c r="K1606" s="455">
        <f t="shared" ca="1" si="113"/>
        <v>-1230012.7919411317</v>
      </c>
      <c r="L1606" s="455">
        <f t="shared" ca="1" si="114"/>
        <v>-296433082.8578127</v>
      </c>
      <c r="M1606" s="471">
        <f t="shared" si="116"/>
        <v>0.05</v>
      </c>
      <c r="N1606" s="475">
        <f t="shared" si="117"/>
        <v>99926</v>
      </c>
    </row>
    <row r="1607" spans="7:14" ht="11.25" customHeight="1" x14ac:dyDescent="0.3">
      <c r="G1607" s="470"/>
      <c r="H1607" s="470">
        <v>1600</v>
      </c>
      <c r="I1607" s="455">
        <f t="shared" ca="1" si="115"/>
        <v>-296433082.8578127</v>
      </c>
      <c r="J1607" s="455">
        <f t="array" ref="J1607">IFERROR(INDEX('Retirement Calculator'!K:K,MATCH('Lorri 401b'!N1607,'Retirement Calculator'!A:A,0),0),0)</f>
        <v>0</v>
      </c>
      <c r="K1607" s="455">
        <f t="shared" ca="1" si="113"/>
        <v>-1235137.8452408863</v>
      </c>
      <c r="L1607" s="455">
        <f t="shared" ca="1" si="114"/>
        <v>-297668220.70305359</v>
      </c>
      <c r="M1607" s="471">
        <f t="shared" si="116"/>
        <v>0.05</v>
      </c>
      <c r="N1607" s="475">
        <f t="shared" si="117"/>
        <v>99957</v>
      </c>
    </row>
    <row r="1608" spans="7:14" ht="11.25" customHeight="1" x14ac:dyDescent="0.3">
      <c r="G1608" s="470"/>
      <c r="H1608" s="470">
        <v>1601</v>
      </c>
      <c r="I1608" s="455">
        <f t="shared" ca="1" si="115"/>
        <v>-297668220.70305359</v>
      </c>
      <c r="J1608" s="455">
        <f t="array" ref="J1608">IFERROR(INDEX('Retirement Calculator'!K:K,MATCH('Lorri 401b'!N1608,'Retirement Calculator'!A:A,0),0),0)</f>
        <v>0</v>
      </c>
      <c r="K1608" s="455">
        <f t="shared" ca="1" si="113"/>
        <v>-1240284.2529293899</v>
      </c>
      <c r="L1608" s="455">
        <f t="shared" ca="1" si="114"/>
        <v>-298908504.95598298</v>
      </c>
      <c r="M1608" s="471">
        <f t="shared" si="116"/>
        <v>0.05</v>
      </c>
      <c r="N1608" s="475">
        <f t="shared" si="117"/>
        <v>99987</v>
      </c>
    </row>
    <row r="1609" spans="7:14" ht="11.25" customHeight="1" x14ac:dyDescent="0.3">
      <c r="G1609" s="470"/>
      <c r="H1609" s="470">
        <v>1602</v>
      </c>
      <c r="I1609" s="455">
        <f t="shared" ca="1" si="115"/>
        <v>-298908504.95598298</v>
      </c>
      <c r="J1609" s="455">
        <f t="array" ref="J1609">IFERROR(INDEX('Retirement Calculator'!K:K,MATCH('Lorri 401b'!N1609,'Retirement Calculator'!A:A,0),0),0)</f>
        <v>0</v>
      </c>
      <c r="K1609" s="455">
        <f t="shared" ca="1" si="113"/>
        <v>-1245452.1039832623</v>
      </c>
      <c r="L1609" s="455">
        <f t="shared" ca="1" si="114"/>
        <v>-300153957.05996627</v>
      </c>
      <c r="M1609" s="471">
        <f t="shared" si="116"/>
        <v>0.05</v>
      </c>
      <c r="N1609" s="475">
        <f t="shared" si="117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15"/>
        <v>-300153957.05996627</v>
      </c>
      <c r="J1610" s="455">
        <f t="array" ref="J1610">IFERROR(INDEX('Retirement Calculator'!K:K,MATCH('Lorri 401b'!N1610,'Retirement Calculator'!A:A,0),0),0)</f>
        <v>0</v>
      </c>
      <c r="K1610" s="455">
        <f t="shared" ca="1" si="113"/>
        <v>-1250641.4877498595</v>
      </c>
      <c r="L1610" s="455">
        <f t="shared" ca="1" si="114"/>
        <v>-301404598.54771614</v>
      </c>
      <c r="M1610" s="471">
        <f t="shared" si="116"/>
        <v>0.05</v>
      </c>
      <c r="N1610" s="475">
        <f t="shared" si="117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15"/>
        <v>-301404598.54771614</v>
      </c>
      <c r="J1611" s="455">
        <f t="array" ref="J1611">IFERROR(INDEX('Retirement Calculator'!K:K,MATCH('Lorri 401b'!N1611,'Retirement Calculator'!A:A,0),0),0)</f>
        <v>0</v>
      </c>
      <c r="K1611" s="455">
        <f t="shared" ca="1" si="113"/>
        <v>-1255852.4939488173</v>
      </c>
      <c r="L1611" s="455">
        <f t="shared" ca="1" si="114"/>
        <v>-302660451.04166496</v>
      </c>
      <c r="M1611" s="471">
        <f t="shared" si="116"/>
        <v>0.05</v>
      </c>
      <c r="N1611" s="475">
        <f t="shared" si="117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15"/>
        <v>-302660451.04166496</v>
      </c>
      <c r="J1612" s="455">
        <f t="array" ref="J1612">IFERROR(INDEX('Retirement Calculator'!K:K,MATCH('Lorri 401b'!N1612,'Retirement Calculator'!A:A,0),0),0)</f>
        <v>0</v>
      </c>
      <c r="K1612" s="455">
        <f t="shared" ca="1" si="113"/>
        <v>-1261085.212673604</v>
      </c>
      <c r="L1612" s="455">
        <f t="shared" ca="1" si="114"/>
        <v>-303921536.25433856</v>
      </c>
      <c r="M1612" s="471">
        <f t="shared" si="116"/>
        <v>0.05</v>
      </c>
      <c r="N1612" s="475">
        <f t="shared" si="117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15"/>
        <v>-303921536.25433856</v>
      </c>
      <c r="J1613" s="455">
        <f t="array" ref="J1613">IFERROR(INDEX('Retirement Calculator'!K:K,MATCH('Lorri 401b'!N1613,'Retirement Calculator'!A:A,0),0),0)</f>
        <v>0</v>
      </c>
      <c r="K1613" s="455">
        <f t="shared" ca="1" si="113"/>
        <v>-1266339.7343930774</v>
      </c>
      <c r="L1613" s="455">
        <f t="shared" ca="1" si="114"/>
        <v>-305187875.98873162</v>
      </c>
      <c r="M1613" s="471">
        <f t="shared" si="116"/>
        <v>0.05</v>
      </c>
      <c r="N1613" s="475">
        <f t="shared" si="117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15"/>
        <v>-305187875.98873162</v>
      </c>
      <c r="J1614" s="455">
        <f t="array" ref="J1614">IFERROR(INDEX('Retirement Calculator'!K:K,MATCH('Lorri 401b'!N1614,'Retirement Calculator'!A:A,0),0),0)</f>
        <v>0</v>
      </c>
      <c r="K1614" s="455">
        <f t="shared" ca="1" si="113"/>
        <v>-1271616.1499530484</v>
      </c>
      <c r="L1614" s="455">
        <f t="shared" ca="1" si="114"/>
        <v>-306459492.13868469</v>
      </c>
      <c r="M1614" s="471">
        <f t="shared" si="116"/>
        <v>0.05</v>
      </c>
      <c r="N1614" s="475">
        <f t="shared" si="117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15"/>
        <v>-306459492.13868469</v>
      </c>
      <c r="J1615" s="455">
        <f t="array" ref="J1615">IFERROR(INDEX('Retirement Calculator'!K:K,MATCH('Lorri 401b'!N1615,'Retirement Calculator'!A:A,0),0),0)</f>
        <v>0</v>
      </c>
      <c r="K1615" s="455">
        <f t="shared" ca="1" si="113"/>
        <v>-1276914.5505778529</v>
      </c>
      <c r="L1615" s="455">
        <f t="shared" ca="1" si="114"/>
        <v>-307736406.68926257</v>
      </c>
      <c r="M1615" s="471">
        <f t="shared" si="116"/>
        <v>0.05</v>
      </c>
      <c r="N1615" s="475">
        <f t="shared" si="117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15"/>
        <v>-307736406.68926257</v>
      </c>
      <c r="J1616" s="455">
        <f t="array" ref="J1616">IFERROR(INDEX('Retirement Calculator'!K:K,MATCH('Lorri 401b'!N1616,'Retirement Calculator'!A:A,0),0),0)</f>
        <v>0</v>
      </c>
      <c r="K1616" s="455">
        <f t="shared" ca="1" si="113"/>
        <v>-1282235.0278719272</v>
      </c>
      <c r="L1616" s="455">
        <f t="shared" ca="1" si="114"/>
        <v>-309018641.71713448</v>
      </c>
      <c r="M1616" s="471">
        <f t="shared" si="116"/>
        <v>0.05</v>
      </c>
      <c r="N1616" s="475">
        <f t="shared" si="117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15"/>
        <v>-309018641.71713448</v>
      </c>
      <c r="J1617" s="455">
        <f t="array" ref="J1617">IFERROR(INDEX('Retirement Calculator'!K:K,MATCH('Lorri 401b'!N1617,'Retirement Calculator'!A:A,0),0),0)</f>
        <v>0</v>
      </c>
      <c r="K1617" s="455">
        <f t="shared" ca="1" si="113"/>
        <v>-1287577.6738213936</v>
      </c>
      <c r="L1617" s="455">
        <f t="shared" ca="1" si="114"/>
        <v>-310306219.39095587</v>
      </c>
      <c r="M1617" s="471">
        <f t="shared" si="116"/>
        <v>0.05</v>
      </c>
      <c r="N1617" s="475">
        <f t="shared" si="117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15"/>
        <v>-310306219.39095587</v>
      </c>
      <c r="J1618" s="455">
        <f t="array" ref="J1618">IFERROR(INDEX('Retirement Calculator'!K:K,MATCH('Lorri 401b'!N1618,'Retirement Calculator'!A:A,0),0),0)</f>
        <v>0</v>
      </c>
      <c r="K1618" s="455">
        <f t="shared" ca="1" si="113"/>
        <v>-1292942.5807956494</v>
      </c>
      <c r="L1618" s="455">
        <f t="shared" ca="1" si="114"/>
        <v>-311599161.97175151</v>
      </c>
      <c r="M1618" s="471">
        <f t="shared" si="116"/>
        <v>0.05</v>
      </c>
      <c r="N1618" s="475">
        <f t="shared" si="117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15"/>
        <v>-311599161.97175151</v>
      </c>
      <c r="J1619" s="455">
        <f t="array" ref="J1619">IFERROR(INDEX('Retirement Calculator'!K:K,MATCH('Lorri 401b'!N1619,'Retirement Calculator'!A:A,0),0),0)</f>
        <v>0</v>
      </c>
      <c r="K1619" s="455">
        <f t="shared" ca="1" si="113"/>
        <v>-1298329.8415489646</v>
      </c>
      <c r="L1619" s="455">
        <f t="shared" ca="1" si="114"/>
        <v>-312897491.81330049</v>
      </c>
      <c r="M1619" s="471">
        <f t="shared" si="116"/>
        <v>0.05</v>
      </c>
      <c r="N1619" s="475">
        <f t="shared" si="117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15"/>
        <v>-312897491.81330049</v>
      </c>
      <c r="J1620" s="455">
        <f t="array" ref="J1620">IFERROR(INDEX('Retirement Calculator'!K:K,MATCH('Lorri 401b'!N1620,'Retirement Calculator'!A:A,0),0),0)</f>
        <v>0</v>
      </c>
      <c r="K1620" s="455">
        <f t="shared" ca="1" si="113"/>
        <v>-1303739.5492220854</v>
      </c>
      <c r="L1620" s="455">
        <f t="shared" ca="1" si="114"/>
        <v>-314201231.3625226</v>
      </c>
      <c r="M1620" s="471">
        <f t="shared" si="116"/>
        <v>0.05</v>
      </c>
      <c r="N1620" s="475">
        <f t="shared" si="117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15"/>
        <v>-314201231.3625226</v>
      </c>
      <c r="J1621" s="455">
        <f t="array" ref="J1621">IFERROR(INDEX('Retirement Calculator'!K:K,MATCH('Lorri 401b'!N1621,'Retirement Calculator'!A:A,0),0),0)</f>
        <v>0</v>
      </c>
      <c r="K1621" s="455">
        <f t="shared" ca="1" si="113"/>
        <v>-1309171.7973438441</v>
      </c>
      <c r="L1621" s="455">
        <f t="shared" ca="1" si="114"/>
        <v>-315510403.15986645</v>
      </c>
      <c r="M1621" s="471">
        <f t="shared" si="116"/>
        <v>0.05</v>
      </c>
      <c r="N1621" s="475">
        <f t="shared" si="117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15"/>
        <v>-315510403.15986645</v>
      </c>
      <c r="J1622" s="455">
        <f t="array" ref="J1622">IFERROR(INDEX('Retirement Calculator'!K:K,MATCH('Lorri 401b'!N1622,'Retirement Calculator'!A:A,0),0),0)</f>
        <v>0</v>
      </c>
      <c r="K1622" s="455">
        <f t="shared" ca="1" si="113"/>
        <v>-1314626.6798327768</v>
      </c>
      <c r="L1622" s="455">
        <f t="shared" ca="1" si="114"/>
        <v>-316825029.83969921</v>
      </c>
      <c r="M1622" s="471">
        <f t="shared" si="116"/>
        <v>0.05</v>
      </c>
      <c r="N1622" s="475">
        <f t="shared" si="117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15"/>
        <v>-316825029.83969921</v>
      </c>
      <c r="J1623" s="455">
        <f t="array" ref="J1623">IFERROR(INDEX('Retirement Calculator'!K:K,MATCH('Lorri 401b'!N1623,'Retirement Calculator'!A:A,0),0),0)</f>
        <v>0</v>
      </c>
      <c r="K1623" s="455">
        <f t="shared" ca="1" si="113"/>
        <v>-1320104.2909987466</v>
      </c>
      <c r="L1623" s="455">
        <f t="shared" ca="1" si="114"/>
        <v>-318145134.13069797</v>
      </c>
      <c r="M1623" s="471">
        <f t="shared" si="116"/>
        <v>0.05</v>
      </c>
      <c r="N1623" s="475">
        <f t="shared" si="117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15"/>
        <v>-318145134.13069797</v>
      </c>
      <c r="J1624" s="455">
        <f t="array" ref="J1624">IFERROR(INDEX('Retirement Calculator'!K:K,MATCH('Lorri 401b'!N1624,'Retirement Calculator'!A:A,0),0),0)</f>
        <v>0</v>
      </c>
      <c r="K1624" s="455">
        <f t="shared" ca="1" si="113"/>
        <v>-1325604.7255445749</v>
      </c>
      <c r="L1624" s="455">
        <f t="shared" ca="1" si="114"/>
        <v>-319470738.85624254</v>
      </c>
      <c r="M1624" s="471">
        <f t="shared" si="116"/>
        <v>0.05</v>
      </c>
      <c r="N1624" s="475">
        <f t="shared" si="117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15"/>
        <v>-319470738.85624254</v>
      </c>
      <c r="J1625" s="455">
        <f t="array" ref="J1625">IFERROR(INDEX('Retirement Calculator'!K:K,MATCH('Lorri 401b'!N1625,'Retirement Calculator'!A:A,0),0),0)</f>
        <v>0</v>
      </c>
      <c r="K1625" s="455">
        <f t="shared" ca="1" si="113"/>
        <v>-1331128.0785676772</v>
      </c>
      <c r="L1625" s="455">
        <f t="shared" ca="1" si="114"/>
        <v>-320801866.93481022</v>
      </c>
      <c r="M1625" s="471">
        <f t="shared" si="116"/>
        <v>0.05</v>
      </c>
      <c r="N1625" s="475">
        <f t="shared" si="117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15"/>
        <v>-320801866.93481022</v>
      </c>
      <c r="J1626" s="455">
        <f t="array" ref="J1626">IFERROR(INDEX('Retirement Calculator'!K:K,MATCH('Lorri 401b'!N1626,'Retirement Calculator'!A:A,0),0),0)</f>
        <v>0</v>
      </c>
      <c r="K1626" s="455">
        <f t="shared" ca="1" si="113"/>
        <v>-1336674.4455617093</v>
      </c>
      <c r="L1626" s="455">
        <f t="shared" ca="1" si="114"/>
        <v>-322138541.38037193</v>
      </c>
      <c r="M1626" s="471">
        <f t="shared" si="116"/>
        <v>0.05</v>
      </c>
      <c r="N1626" s="475">
        <f t="shared" si="117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15"/>
        <v>-322138541.38037193</v>
      </c>
      <c r="J1627" s="455">
        <f t="array" ref="J1627">IFERROR(INDEX('Retirement Calculator'!K:K,MATCH('Lorri 401b'!N1627,'Retirement Calculator'!A:A,0),0),0)</f>
        <v>0</v>
      </c>
      <c r="K1627" s="455">
        <f t="shared" ca="1" si="113"/>
        <v>-1342243.9224182162</v>
      </c>
      <c r="L1627" s="455">
        <f t="shared" ca="1" si="114"/>
        <v>-323480785.30279016</v>
      </c>
      <c r="M1627" s="471">
        <f t="shared" si="116"/>
        <v>0.05</v>
      </c>
      <c r="N1627" s="475">
        <f t="shared" si="117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15"/>
        <v>-323480785.30279016</v>
      </c>
      <c r="J1628" s="455">
        <f t="array" ref="J1628">IFERROR(INDEX('Retirement Calculator'!K:K,MATCH('Lorri 401b'!N1628,'Retirement Calculator'!A:A,0),0),0)</f>
        <v>0</v>
      </c>
      <c r="K1628" s="455">
        <f t="shared" ca="1" si="113"/>
        <v>-1347836.6054282924</v>
      </c>
      <c r="L1628" s="455">
        <f t="shared" ca="1" si="114"/>
        <v>-324828621.90821844</v>
      </c>
      <c r="M1628" s="471">
        <f t="shared" si="116"/>
        <v>0.05</v>
      </c>
      <c r="N1628" s="475">
        <f t="shared" si="117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15"/>
        <v>-324828621.90821844</v>
      </c>
      <c r="J1629" s="455">
        <f t="array" ref="J1629">IFERROR(INDEX('Retirement Calculator'!K:K,MATCH('Lorri 401b'!N1629,'Retirement Calculator'!A:A,0),0),0)</f>
        <v>0</v>
      </c>
      <c r="K1629" s="455">
        <f t="shared" ca="1" si="113"/>
        <v>-1353452.5912842434</v>
      </c>
      <c r="L1629" s="455">
        <f t="shared" ca="1" si="114"/>
        <v>-326182074.49950266</v>
      </c>
      <c r="M1629" s="471">
        <f t="shared" si="116"/>
        <v>0.05</v>
      </c>
      <c r="N1629" s="475">
        <f t="shared" si="117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15"/>
        <v>-326182074.49950266</v>
      </c>
      <c r="J1630" s="455">
        <f t="array" ref="J1630">IFERROR(INDEX('Retirement Calculator'!K:K,MATCH('Lorri 401b'!N1630,'Retirement Calculator'!A:A,0),0),0)</f>
        <v>0</v>
      </c>
      <c r="K1630" s="455">
        <f t="shared" ca="1" si="113"/>
        <v>-1359091.9770812611</v>
      </c>
      <c r="L1630" s="455">
        <f t="shared" ca="1" si="114"/>
        <v>-327541166.4765839</v>
      </c>
      <c r="M1630" s="471">
        <f t="shared" si="116"/>
        <v>0.05</v>
      </c>
      <c r="N1630" s="475">
        <f t="shared" si="117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15"/>
        <v>-327541166.4765839</v>
      </c>
      <c r="J1631" s="455">
        <f t="array" ref="J1631">IFERROR(INDEX('Retirement Calculator'!K:K,MATCH('Lorri 401b'!N1631,'Retirement Calculator'!A:A,0),0),0)</f>
        <v>0</v>
      </c>
      <c r="K1631" s="455">
        <f t="shared" ca="1" si="113"/>
        <v>-1364754.8603190996</v>
      </c>
      <c r="L1631" s="455">
        <f t="shared" ca="1" si="114"/>
        <v>-328905921.33690298</v>
      </c>
      <c r="M1631" s="471">
        <f t="shared" si="116"/>
        <v>0.05</v>
      </c>
      <c r="N1631" s="475">
        <f t="shared" si="117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15"/>
        <v>-328905921.33690298</v>
      </c>
      <c r="J1632" s="455">
        <f t="array" ref="J1632">IFERROR(INDEX('Retirement Calculator'!K:K,MATCH('Lorri 401b'!N1632,'Retirement Calculator'!A:A,0),0),0)</f>
        <v>0</v>
      </c>
      <c r="K1632" s="455">
        <f t="shared" ca="1" si="113"/>
        <v>-1370441.3389037624</v>
      </c>
      <c r="L1632" s="455">
        <f t="shared" ca="1" si="114"/>
        <v>-330276362.67580676</v>
      </c>
      <c r="M1632" s="471">
        <f t="shared" si="116"/>
        <v>0.05</v>
      </c>
      <c r="N1632" s="475">
        <f t="shared" si="117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15"/>
        <v>-330276362.67580676</v>
      </c>
      <c r="J1633" s="455">
        <f t="array" ref="J1633">IFERROR(INDEX('Retirement Calculator'!K:K,MATCH('Lorri 401b'!N1633,'Retirement Calculator'!A:A,0),0),0)</f>
        <v>0</v>
      </c>
      <c r="K1633" s="455">
        <f t="shared" ca="1" si="113"/>
        <v>-1376151.5111491948</v>
      </c>
      <c r="L1633" s="455">
        <f t="shared" ca="1" si="114"/>
        <v>-331652514.18695593</v>
      </c>
      <c r="M1633" s="471">
        <f t="shared" si="116"/>
        <v>0.05</v>
      </c>
      <c r="N1633" s="475">
        <f t="shared" si="117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15"/>
        <v>-331652514.18695593</v>
      </c>
      <c r="J1634" s="455">
        <f t="array" ref="J1634">IFERROR(INDEX('Retirement Calculator'!K:K,MATCH('Lorri 401b'!N1634,'Retirement Calculator'!A:A,0),0),0)</f>
        <v>0</v>
      </c>
      <c r="K1634" s="455">
        <f t="shared" ca="1" si="113"/>
        <v>-1381885.475778983</v>
      </c>
      <c r="L1634" s="455">
        <f t="shared" ca="1" si="114"/>
        <v>-333034399.66273493</v>
      </c>
      <c r="M1634" s="471">
        <f t="shared" si="116"/>
        <v>0.05</v>
      </c>
      <c r="N1634" s="475">
        <f t="shared" si="117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15"/>
        <v>-333034399.66273493</v>
      </c>
      <c r="J1635" s="455">
        <f t="array" ref="J1635">IFERROR(INDEX('Retirement Calculator'!K:K,MATCH('Lorri 401b'!N1635,'Retirement Calculator'!A:A,0),0),0)</f>
        <v>0</v>
      </c>
      <c r="K1635" s="455">
        <f t="shared" ca="1" si="113"/>
        <v>-1387643.3319280623</v>
      </c>
      <c r="L1635" s="455">
        <f t="shared" ca="1" si="114"/>
        <v>-334422042.994663</v>
      </c>
      <c r="M1635" s="471">
        <f t="shared" si="116"/>
        <v>0.05</v>
      </c>
      <c r="N1635" s="475">
        <f t="shared" si="117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15"/>
        <v>-334422042.994663</v>
      </c>
      <c r="J1636" s="455">
        <f t="array" ref="J1636">IFERROR(INDEX('Retirement Calculator'!K:K,MATCH('Lorri 401b'!N1636,'Retirement Calculator'!A:A,0),0),0)</f>
        <v>0</v>
      </c>
      <c r="K1636" s="455">
        <f t="shared" ca="1" si="113"/>
        <v>-1393425.179144429</v>
      </c>
      <c r="L1636" s="455">
        <f t="shared" ca="1" si="114"/>
        <v>-335815468.17380744</v>
      </c>
      <c r="M1636" s="471">
        <f t="shared" si="116"/>
        <v>0.05</v>
      </c>
      <c r="N1636" s="475">
        <f t="shared" si="117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15"/>
        <v>-335815468.17380744</v>
      </c>
      <c r="J1637" s="455">
        <f t="array" ref="J1637">IFERROR(INDEX('Retirement Calculator'!K:K,MATCH('Lorri 401b'!N1637,'Retirement Calculator'!A:A,0),0),0)</f>
        <v>0</v>
      </c>
      <c r="K1637" s="455">
        <f t="shared" ca="1" si="113"/>
        <v>-1399231.1173908643</v>
      </c>
      <c r="L1637" s="455">
        <f t="shared" ca="1" si="114"/>
        <v>-337214699.29119831</v>
      </c>
      <c r="M1637" s="471">
        <f t="shared" si="116"/>
        <v>0.05</v>
      </c>
      <c r="N1637" s="475">
        <f t="shared" si="117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15"/>
        <v>-337214699.29119831</v>
      </c>
      <c r="J1638" s="455">
        <f t="array" ref="J1638">IFERROR(INDEX('Retirement Calculator'!K:K,MATCH('Lorri 401b'!N1638,'Retirement Calculator'!A:A,0),0),0)</f>
        <v>0</v>
      </c>
      <c r="K1638" s="455">
        <f t="shared" ca="1" si="113"/>
        <v>-1405061.2470466597</v>
      </c>
      <c r="L1638" s="455">
        <f t="shared" ca="1" si="114"/>
        <v>-338619760.53824496</v>
      </c>
      <c r="M1638" s="471">
        <f t="shared" si="116"/>
        <v>0.05</v>
      </c>
      <c r="N1638" s="475">
        <f t="shared" si="117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15"/>
        <v>-338619760.53824496</v>
      </c>
      <c r="J1639" s="455">
        <f t="array" ref="J1639">IFERROR(INDEX('Retirement Calculator'!K:K,MATCH('Lorri 401b'!N1639,'Retirement Calculator'!A:A,0),0),0)</f>
        <v>0</v>
      </c>
      <c r="K1639" s="455">
        <f t="shared" ca="1" si="113"/>
        <v>-1410915.6689093539</v>
      </c>
      <c r="L1639" s="455">
        <f t="shared" ca="1" si="114"/>
        <v>-340030676.20715433</v>
      </c>
      <c r="M1639" s="471">
        <f t="shared" si="116"/>
        <v>0.05</v>
      </c>
      <c r="N1639" s="475">
        <f t="shared" si="117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15"/>
        <v>-340030676.20715433</v>
      </c>
      <c r="J1640" s="455">
        <f t="array" ref="J1640">IFERROR(INDEX('Retirement Calculator'!K:K,MATCH('Lorri 401b'!N1640,'Retirement Calculator'!A:A,0),0),0)</f>
        <v>0</v>
      </c>
      <c r="K1640" s="455">
        <f t="shared" ca="1" si="113"/>
        <v>-1416794.4841964764</v>
      </c>
      <c r="L1640" s="455">
        <f t="shared" ca="1" si="114"/>
        <v>-341447470.69135082</v>
      </c>
      <c r="M1640" s="471">
        <f t="shared" si="116"/>
        <v>0.05</v>
      </c>
      <c r="N1640" s="475">
        <f t="shared" si="117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15"/>
        <v>-341447470.69135082</v>
      </c>
      <c r="J1641" s="455">
        <f t="array" ref="J1641">IFERROR(INDEX('Retirement Calculator'!K:K,MATCH('Lorri 401b'!N1641,'Retirement Calculator'!A:A,0),0),0)</f>
        <v>0</v>
      </c>
      <c r="K1641" s="455">
        <f t="shared" ca="1" si="113"/>
        <v>-1422697.794547295</v>
      </c>
      <c r="L1641" s="455">
        <f t="shared" ca="1" si="114"/>
        <v>-342870168.48589814</v>
      </c>
      <c r="M1641" s="471">
        <f t="shared" si="116"/>
        <v>0.05</v>
      </c>
      <c r="N1641" s="475">
        <f t="shared" si="117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15"/>
        <v>-342870168.48589814</v>
      </c>
      <c r="J1642" s="455">
        <f t="array" ref="J1642">IFERROR(INDEX('Retirement Calculator'!K:K,MATCH('Lorri 401b'!N1642,'Retirement Calculator'!A:A,0),0),0)</f>
        <v>0</v>
      </c>
      <c r="K1642" s="455">
        <f t="shared" ca="1" si="113"/>
        <v>-1428625.7020245756</v>
      </c>
      <c r="L1642" s="455">
        <f t="shared" ca="1" si="114"/>
        <v>-344298794.18792272</v>
      </c>
      <c r="M1642" s="471">
        <f t="shared" si="116"/>
        <v>0.05</v>
      </c>
      <c r="N1642" s="475">
        <f t="shared" si="117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15"/>
        <v>-344298794.18792272</v>
      </c>
      <c r="J1643" s="455">
        <f t="array" ref="J1643">IFERROR(INDEX('Retirement Calculator'!K:K,MATCH('Lorri 401b'!N1643,'Retirement Calculator'!A:A,0),0),0)</f>
        <v>0</v>
      </c>
      <c r="K1643" s="455">
        <f t="shared" ca="1" si="113"/>
        <v>-1434578.3091163447</v>
      </c>
      <c r="L1643" s="455">
        <f t="shared" ca="1" si="114"/>
        <v>-345733372.49703908</v>
      </c>
      <c r="M1643" s="471">
        <f t="shared" si="116"/>
        <v>0.05</v>
      </c>
      <c r="N1643" s="475">
        <f t="shared" si="117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15"/>
        <v>-345733372.49703908</v>
      </c>
      <c r="J1644" s="455">
        <f t="array" ref="J1644">IFERROR(INDEX('Retirement Calculator'!K:K,MATCH('Lorri 401b'!N1644,'Retirement Calculator'!A:A,0),0),0)</f>
        <v>0</v>
      </c>
      <c r="K1644" s="455">
        <f t="shared" ca="1" si="113"/>
        <v>-1440555.7187376628</v>
      </c>
      <c r="L1644" s="455">
        <f t="shared" ca="1" si="114"/>
        <v>-347173928.21577674</v>
      </c>
      <c r="M1644" s="471">
        <f t="shared" si="116"/>
        <v>0.05</v>
      </c>
      <c r="N1644" s="475">
        <f t="shared" si="117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15"/>
        <v>-347173928.21577674</v>
      </c>
      <c r="J1645" s="455">
        <f t="array" ref="J1645">IFERROR(INDEX('Retirement Calculator'!K:K,MATCH('Lorri 401b'!N1645,'Retirement Calculator'!A:A,0),0),0)</f>
        <v>0</v>
      </c>
      <c r="K1645" s="455">
        <f t="shared" ca="1" si="113"/>
        <v>-1446558.0342324032</v>
      </c>
      <c r="L1645" s="455">
        <f t="shared" ca="1" si="114"/>
        <v>-348620486.25000912</v>
      </c>
      <c r="M1645" s="471">
        <f t="shared" si="116"/>
        <v>0.05</v>
      </c>
      <c r="N1645" s="475">
        <f t="shared" si="117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15"/>
        <v>-348620486.25000912</v>
      </c>
      <c r="J1646" s="455">
        <f t="array" ref="J1646">IFERROR(INDEX('Retirement Calculator'!K:K,MATCH('Lorri 401b'!N1646,'Retirement Calculator'!A:A,0),0),0)</f>
        <v>0</v>
      </c>
      <c r="K1646" s="455">
        <f t="shared" ca="1" si="113"/>
        <v>-1452585.359375038</v>
      </c>
      <c r="L1646" s="455">
        <f t="shared" ca="1" si="114"/>
        <v>-350073071.60938418</v>
      </c>
      <c r="M1646" s="471">
        <f t="shared" si="116"/>
        <v>0.05</v>
      </c>
      <c r="N1646" s="475">
        <f t="shared" si="117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15"/>
        <v>-350073071.60938418</v>
      </c>
      <c r="J1647" s="455">
        <f t="array" ref="J1647">IFERROR(INDEX('Retirement Calculator'!K:K,MATCH('Lorri 401b'!N1647,'Retirement Calculator'!A:A,0),0),0)</f>
        <v>0</v>
      </c>
      <c r="K1647" s="455">
        <f t="shared" ca="1" si="113"/>
        <v>-1458637.798372434</v>
      </c>
      <c r="L1647" s="455">
        <f t="shared" ca="1" si="114"/>
        <v>-351531709.40775663</v>
      </c>
      <c r="M1647" s="471">
        <f t="shared" si="116"/>
        <v>0.05</v>
      </c>
      <c r="N1647" s="475">
        <f t="shared" si="117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15"/>
        <v>-351531709.40775663</v>
      </c>
      <c r="J1648" s="455">
        <f t="array" ref="J1648">IFERROR(INDEX('Retirement Calculator'!K:K,MATCH('Lorri 401b'!N1648,'Retirement Calculator'!A:A,0),0),0)</f>
        <v>0</v>
      </c>
      <c r="K1648" s="455">
        <f t="shared" ca="1" si="113"/>
        <v>-1464715.4558656525</v>
      </c>
      <c r="L1648" s="455">
        <f t="shared" ca="1" si="114"/>
        <v>-352996424.86362231</v>
      </c>
      <c r="M1648" s="471">
        <f t="shared" si="116"/>
        <v>0.05</v>
      </c>
      <c r="N1648" s="475">
        <f t="shared" si="117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15"/>
        <v>-352996424.86362231</v>
      </c>
      <c r="J1649" s="455">
        <f t="array" ref="J1649">IFERROR(INDEX('Retirement Calculator'!K:K,MATCH('Lorri 401b'!N1649,'Retirement Calculator'!A:A,0),0),0)</f>
        <v>0</v>
      </c>
      <c r="K1649" s="455">
        <f t="shared" ca="1" si="113"/>
        <v>-1470818.4369317596</v>
      </c>
      <c r="L1649" s="455">
        <f t="shared" ca="1" si="114"/>
        <v>-354467243.3005541</v>
      </c>
      <c r="M1649" s="471">
        <f t="shared" si="116"/>
        <v>0.05</v>
      </c>
      <c r="N1649" s="475">
        <f t="shared" si="117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15"/>
        <v>-354467243.3005541</v>
      </c>
      <c r="J1650" s="455">
        <f t="array" ref="J1650">IFERROR(INDEX('Retirement Calculator'!K:K,MATCH('Lorri 401b'!N1650,'Retirement Calculator'!A:A,0),0),0)</f>
        <v>0</v>
      </c>
      <c r="K1650" s="455">
        <f t="shared" ca="1" si="113"/>
        <v>-1476946.8470856422</v>
      </c>
      <c r="L1650" s="455">
        <f t="shared" ca="1" si="114"/>
        <v>-355944190.14763975</v>
      </c>
      <c r="M1650" s="471">
        <f t="shared" si="116"/>
        <v>0.05</v>
      </c>
      <c r="N1650" s="475">
        <f t="shared" si="117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15"/>
        <v>-355944190.14763975</v>
      </c>
      <c r="J1651" s="455">
        <f t="array" ref="J1651">IFERROR(INDEX('Retirement Calculator'!K:K,MATCH('Lorri 401b'!N1651,'Retirement Calculator'!A:A,0),0),0)</f>
        <v>0</v>
      </c>
      <c r="K1651" s="455">
        <f t="shared" ca="1" si="113"/>
        <v>-1483100.7922818323</v>
      </c>
      <c r="L1651" s="455">
        <f t="shared" ca="1" si="114"/>
        <v>-357427290.93992156</v>
      </c>
      <c r="M1651" s="471">
        <f t="shared" si="116"/>
        <v>0.05</v>
      </c>
      <c r="N1651" s="475">
        <f t="shared" si="117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15"/>
        <v>-357427290.93992156</v>
      </c>
      <c r="J1652" s="455">
        <f t="array" ref="J1652">IFERROR(INDEX('Retirement Calculator'!K:K,MATCH('Lorri 401b'!N1652,'Retirement Calculator'!A:A,0),0),0)</f>
        <v>0</v>
      </c>
      <c r="K1652" s="455">
        <f t="shared" ca="1" si="113"/>
        <v>-1489280.3789163397</v>
      </c>
      <c r="L1652" s="455">
        <f t="shared" ca="1" si="114"/>
        <v>-358916571.31883788</v>
      </c>
      <c r="M1652" s="471">
        <f t="shared" si="116"/>
        <v>0.05</v>
      </c>
      <c r="N1652" s="475">
        <f t="shared" si="117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15"/>
        <v>-358916571.31883788</v>
      </c>
      <c r="J1653" s="455">
        <f t="array" ref="J1653">IFERROR(INDEX('Retirement Calculator'!K:K,MATCH('Lorri 401b'!N1653,'Retirement Calculator'!A:A,0),0),0)</f>
        <v>0</v>
      </c>
      <c r="K1653" s="455">
        <f t="shared" ca="1" si="113"/>
        <v>-1495485.713828491</v>
      </c>
      <c r="L1653" s="455">
        <f t="shared" ca="1" si="114"/>
        <v>-360412057.03266639</v>
      </c>
      <c r="M1653" s="471">
        <f t="shared" si="116"/>
        <v>0.05</v>
      </c>
      <c r="N1653" s="475">
        <f t="shared" si="117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15"/>
        <v>-360412057.03266639</v>
      </c>
      <c r="J1654" s="455">
        <f t="array" ref="J1654">IFERROR(INDEX('Retirement Calculator'!K:K,MATCH('Lorri 401b'!N1654,'Retirement Calculator'!A:A,0),0),0)</f>
        <v>0</v>
      </c>
      <c r="K1654" s="455">
        <f t="shared" ca="1" si="113"/>
        <v>-1501716.9043027766</v>
      </c>
      <c r="L1654" s="455">
        <f t="shared" ca="1" si="114"/>
        <v>-361913773.93696916</v>
      </c>
      <c r="M1654" s="471">
        <f t="shared" si="116"/>
        <v>0.05</v>
      </c>
      <c r="N1654" s="475">
        <f t="shared" si="117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15"/>
        <v>-361913773.93696916</v>
      </c>
      <c r="J1655" s="455">
        <f t="array" ref="J1655">IFERROR(INDEX('Retirement Calculator'!K:K,MATCH('Lorri 401b'!N1655,'Retirement Calculator'!A:A,0),0),0)</f>
        <v>0</v>
      </c>
      <c r="K1655" s="455">
        <f t="shared" ca="1" si="113"/>
        <v>-1507974.0580707048</v>
      </c>
      <c r="L1655" s="455">
        <f t="shared" ca="1" si="114"/>
        <v>-363421747.99503988</v>
      </c>
      <c r="M1655" s="471">
        <f t="shared" si="116"/>
        <v>0.05</v>
      </c>
      <c r="N1655" s="475">
        <f t="shared" si="117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15"/>
        <v>-363421747.99503988</v>
      </c>
      <c r="J1656" s="455">
        <f t="array" ref="J1656">IFERROR(INDEX('Retirement Calculator'!K:K,MATCH('Lorri 401b'!N1656,'Retirement Calculator'!A:A,0),0),0)</f>
        <v>0</v>
      </c>
      <c r="K1656" s="455">
        <f t="shared" ca="1" si="113"/>
        <v>-1514257.2833126662</v>
      </c>
      <c r="L1656" s="455">
        <f t="shared" ca="1" si="114"/>
        <v>-364936005.27835256</v>
      </c>
      <c r="M1656" s="471">
        <f t="shared" si="116"/>
        <v>0.05</v>
      </c>
      <c r="N1656" s="475">
        <f t="shared" si="117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15"/>
        <v>-364936005.27835256</v>
      </c>
      <c r="J1657" s="455">
        <f t="array" ref="J1657">IFERROR(INDEX('Retirement Calculator'!K:K,MATCH('Lorri 401b'!N1657,'Retirement Calculator'!A:A,0),0),0)</f>
        <v>0</v>
      </c>
      <c r="K1657" s="455">
        <f t="shared" ca="1" si="113"/>
        <v>-1520566.6886598023</v>
      </c>
      <c r="L1657" s="455">
        <f t="shared" ca="1" si="114"/>
        <v>-366456571.96701235</v>
      </c>
      <c r="M1657" s="471">
        <f t="shared" si="116"/>
        <v>0.05</v>
      </c>
      <c r="N1657" s="475">
        <f t="shared" si="117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15"/>
        <v>-366456571.96701235</v>
      </c>
      <c r="J1658" s="455">
        <f t="array" ref="J1658">IFERROR(INDEX('Retirement Calculator'!K:K,MATCH('Lorri 401b'!N1658,'Retirement Calculator'!A:A,0),0),0)</f>
        <v>0</v>
      </c>
      <c r="K1658" s="455">
        <f t="shared" ca="1" si="113"/>
        <v>-1526902.3831958848</v>
      </c>
      <c r="L1658" s="455">
        <f t="shared" ca="1" si="114"/>
        <v>-367983474.35020822</v>
      </c>
      <c r="M1658" s="471">
        <f t="shared" si="116"/>
        <v>0.05</v>
      </c>
      <c r="N1658" s="475">
        <f t="shared" si="117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15"/>
        <v>-367983474.35020822</v>
      </c>
      <c r="J1659" s="455">
        <f t="array" ref="J1659">IFERROR(INDEX('Retirement Calculator'!K:K,MATCH('Lorri 401b'!N1659,'Retirement Calculator'!A:A,0),0),0)</f>
        <v>0</v>
      </c>
      <c r="K1659" s="455">
        <f t="shared" ca="1" si="113"/>
        <v>-1533264.476459201</v>
      </c>
      <c r="L1659" s="455">
        <f t="shared" ca="1" si="114"/>
        <v>-369516738.82666743</v>
      </c>
      <c r="M1659" s="471">
        <f t="shared" si="116"/>
        <v>0.05</v>
      </c>
      <c r="N1659" s="475">
        <f t="shared" si="117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15"/>
        <v>-369516738.82666743</v>
      </c>
      <c r="J1660" s="455">
        <f t="array" ref="J1660">IFERROR(INDEX('Retirement Calculator'!K:K,MATCH('Lorri 401b'!N1660,'Retirement Calculator'!A:A,0),0),0)</f>
        <v>0</v>
      </c>
      <c r="K1660" s="455">
        <f t="shared" ca="1" si="113"/>
        <v>-1539653.0784444476</v>
      </c>
      <c r="L1660" s="455">
        <f t="shared" ca="1" si="114"/>
        <v>-371056391.90511185</v>
      </c>
      <c r="M1660" s="471">
        <f t="shared" si="116"/>
        <v>0.05</v>
      </c>
      <c r="N1660" s="475">
        <f t="shared" si="117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15"/>
        <v>-371056391.90511185</v>
      </c>
      <c r="J1661" s="455">
        <f t="array" ref="J1661">IFERROR(INDEX('Retirement Calculator'!K:K,MATCH('Lorri 401b'!N1661,'Retirement Calculator'!A:A,0),0),0)</f>
        <v>0</v>
      </c>
      <c r="K1661" s="455">
        <f t="shared" ca="1" si="113"/>
        <v>-1546068.2996046327</v>
      </c>
      <c r="L1661" s="455">
        <f t="shared" ca="1" si="114"/>
        <v>-372602460.2047165</v>
      </c>
      <c r="M1661" s="471">
        <f t="shared" si="116"/>
        <v>0.05</v>
      </c>
      <c r="N1661" s="475">
        <f t="shared" si="117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15"/>
        <v>-372602460.2047165</v>
      </c>
      <c r="J1662" s="455">
        <f t="array" ref="J1662">IFERROR(INDEX('Retirement Calculator'!K:K,MATCH('Lorri 401b'!N1662,'Retirement Calculator'!A:A,0),0),0)</f>
        <v>0</v>
      </c>
      <c r="K1662" s="455">
        <f t="shared" ca="1" si="113"/>
        <v>-1552510.2508529853</v>
      </c>
      <c r="L1662" s="455">
        <f t="shared" ca="1" si="114"/>
        <v>-374154970.45556951</v>
      </c>
      <c r="M1662" s="471">
        <f t="shared" si="116"/>
        <v>0.05</v>
      </c>
      <c r="N1662" s="475">
        <f t="shared" si="117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15"/>
        <v>-374154970.45556951</v>
      </c>
      <c r="J1663" s="455">
        <f t="array" ref="J1663">IFERROR(INDEX('Retirement Calculator'!K:K,MATCH('Lorri 401b'!N1663,'Retirement Calculator'!A:A,0),0),0)</f>
        <v>0</v>
      </c>
      <c r="K1663" s="455">
        <f t="shared" ca="1" si="113"/>
        <v>-1558979.0435648728</v>
      </c>
      <c r="L1663" s="455">
        <f t="shared" ca="1" si="114"/>
        <v>-375713949.49913436</v>
      </c>
      <c r="M1663" s="471">
        <f t="shared" si="116"/>
        <v>0.05</v>
      </c>
      <c r="N1663" s="475">
        <f t="shared" si="117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15"/>
        <v>-375713949.49913436</v>
      </c>
      <c r="J1664" s="455">
        <f t="array" ref="J1664">IFERROR(INDEX('Retirement Calculator'!K:K,MATCH('Lorri 401b'!N1664,'Retirement Calculator'!A:A,0),0),0)</f>
        <v>0</v>
      </c>
      <c r="K1664" s="455">
        <f t="shared" ca="1" si="113"/>
        <v>-1565474.7895797265</v>
      </c>
      <c r="L1664" s="455">
        <f t="shared" ca="1" si="114"/>
        <v>-377279424.28871411</v>
      </c>
      <c r="M1664" s="471">
        <f t="shared" si="116"/>
        <v>0.05</v>
      </c>
      <c r="N1664" s="475">
        <f t="shared" si="117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15"/>
        <v>-377279424.28871411</v>
      </c>
      <c r="J1665" s="455">
        <f t="array" ref="J1665">IFERROR(INDEX('Retirement Calculator'!K:K,MATCH('Lorri 401b'!N1665,'Retirement Calculator'!A:A,0),0),0)</f>
        <v>0</v>
      </c>
      <c r="K1665" s="455">
        <f t="shared" ca="1" si="113"/>
        <v>-1571997.6012029755</v>
      </c>
      <c r="L1665" s="455">
        <f t="shared" ca="1" si="114"/>
        <v>-378851421.88991708</v>
      </c>
      <c r="M1665" s="471">
        <f t="shared" si="116"/>
        <v>0.05</v>
      </c>
      <c r="N1665" s="475">
        <f t="shared" si="117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15"/>
        <v>-378851421.88991708</v>
      </c>
      <c r="J1666" s="455">
        <f t="array" ref="J1666">IFERROR(INDEX('Retirement Calculator'!K:K,MATCH('Lorri 401b'!N1666,'Retirement Calculator'!A:A,0),0),0)</f>
        <v>0</v>
      </c>
      <c r="K1666" s="455">
        <f t="shared" ca="1" si="113"/>
        <v>-1578547.5912079879</v>
      </c>
      <c r="L1666" s="455">
        <f t="shared" ca="1" si="114"/>
        <v>-380429969.48112506</v>
      </c>
      <c r="M1666" s="471">
        <f t="shared" si="116"/>
        <v>0.05</v>
      </c>
      <c r="N1666" s="475">
        <f t="shared" si="117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15"/>
        <v>-380429969.48112506</v>
      </c>
      <c r="J1667" s="455">
        <f t="array" ref="J1667">IFERROR(INDEX('Retirement Calculator'!K:K,MATCH('Lorri 401b'!N1667,'Retirement Calculator'!A:A,0),0),0)</f>
        <v>0</v>
      </c>
      <c r="K1667" s="455">
        <f t="shared" ca="1" si="113"/>
        <v>-1585124.872838021</v>
      </c>
      <c r="L1667" s="455">
        <f t="shared" ca="1" si="114"/>
        <v>-382015094.35396308</v>
      </c>
      <c r="M1667" s="471">
        <f t="shared" si="116"/>
        <v>0.05</v>
      </c>
      <c r="N1667" s="475">
        <f t="shared" si="117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15"/>
        <v>-382015094.35396308</v>
      </c>
      <c r="J1668" s="455">
        <f t="array" ref="J1668">IFERROR(INDEX('Retirement Calculator'!K:K,MATCH('Lorri 401b'!N1668,'Retirement Calculator'!A:A,0),0),0)</f>
        <v>0</v>
      </c>
      <c r="K1668" s="455">
        <f t="shared" ca="1" si="113"/>
        <v>-1591729.5598081795</v>
      </c>
      <c r="L1668" s="455">
        <f t="shared" ca="1" si="114"/>
        <v>-383606823.91377127</v>
      </c>
      <c r="M1668" s="471">
        <f t="shared" si="116"/>
        <v>0.05</v>
      </c>
      <c r="N1668" s="475">
        <f t="shared" si="117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15"/>
        <v>-383606823.91377127</v>
      </c>
      <c r="J1669" s="455">
        <f t="array" ref="J1669">IFERROR(INDEX('Retirement Calculator'!K:K,MATCH('Lorri 401b'!N1669,'Retirement Calculator'!A:A,0),0),0)</f>
        <v>0</v>
      </c>
      <c r="K1669" s="455">
        <f t="shared" ca="1" si="113"/>
        <v>-1598361.7663073803</v>
      </c>
      <c r="L1669" s="455">
        <f t="shared" ca="1" si="114"/>
        <v>-385205185.68007863</v>
      </c>
      <c r="M1669" s="471">
        <f t="shared" si="116"/>
        <v>0.05</v>
      </c>
      <c r="N1669" s="475">
        <f t="shared" si="117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15"/>
        <v>-385205185.68007863</v>
      </c>
      <c r="J1670" s="455">
        <f t="array" ref="J1670">IFERROR(INDEX('Retirement Calculator'!K:K,MATCH('Lorri 401b'!N1670,'Retirement Calculator'!A:A,0),0),0)</f>
        <v>0</v>
      </c>
      <c r="K1670" s="455">
        <f t="shared" ca="1" si="113"/>
        <v>-1605021.6070003277</v>
      </c>
      <c r="L1670" s="455">
        <f t="shared" ca="1" si="114"/>
        <v>-386810207.28707898</v>
      </c>
      <c r="M1670" s="471">
        <f t="shared" si="116"/>
        <v>0.05</v>
      </c>
      <c r="N1670" s="475">
        <f t="shared" si="117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15"/>
        <v>-386810207.28707898</v>
      </c>
      <c r="J1671" s="455">
        <f t="array" ref="J1671">IFERROR(INDEX('Retirement Calculator'!K:K,MATCH('Lorri 401b'!N1671,'Retirement Calculator'!A:A,0),0),0)</f>
        <v>0</v>
      </c>
      <c r="K1671" s="455">
        <f t="shared" ca="1" si="113"/>
        <v>-1611709.1970294956</v>
      </c>
      <c r="L1671" s="455">
        <f t="shared" ca="1" si="114"/>
        <v>-388421916.48410845</v>
      </c>
      <c r="M1671" s="471">
        <f t="shared" si="116"/>
        <v>0.05</v>
      </c>
      <c r="N1671" s="475">
        <f t="shared" si="117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15"/>
        <v>-388421916.48410845</v>
      </c>
      <c r="J1672" s="455">
        <f t="array" ref="J1672">IFERROR(INDEX('Retirement Calculator'!K:K,MATCH('Lorri 401b'!N1672,'Retirement Calculator'!A:A,0),0),0)</f>
        <v>0</v>
      </c>
      <c r="K1672" s="455">
        <f t="shared" ca="1" si="113"/>
        <v>-1618424.6520171184</v>
      </c>
      <c r="L1672" s="455">
        <f t="shared" ca="1" si="114"/>
        <v>-390040341.13612556</v>
      </c>
      <c r="M1672" s="471">
        <f t="shared" si="116"/>
        <v>0.05</v>
      </c>
      <c r="N1672" s="475">
        <f t="shared" si="117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15"/>
        <v>-390040341.13612556</v>
      </c>
      <c r="J1673" s="455">
        <f t="array" ref="J1673">IFERROR(INDEX('Retirement Calculator'!K:K,MATCH('Lorri 401b'!N1673,'Retirement Calculator'!A:A,0),0),0)</f>
        <v>0</v>
      </c>
      <c r="K1673" s="455">
        <f t="shared" ca="1" si="113"/>
        <v>-1625168.0880671898</v>
      </c>
      <c r="L1673" s="455">
        <f t="shared" ca="1" si="114"/>
        <v>-391665509.22419274</v>
      </c>
      <c r="M1673" s="471">
        <f t="shared" si="116"/>
        <v>0.05</v>
      </c>
      <c r="N1673" s="475">
        <f t="shared" si="117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15"/>
        <v>-391665509.22419274</v>
      </c>
      <c r="J1674" s="455">
        <f t="array" ref="J1674">IFERROR(INDEX('Retirement Calculator'!K:K,MATCH('Lorri 401b'!N1674,'Retirement Calculator'!A:A,0),0),0)</f>
        <v>0</v>
      </c>
      <c r="K1674" s="455">
        <f t="shared" ca="1" si="113"/>
        <v>-1631939.6217674697</v>
      </c>
      <c r="L1674" s="455">
        <f t="shared" ca="1" si="114"/>
        <v>-393297448.8459602</v>
      </c>
      <c r="M1674" s="471">
        <f t="shared" si="116"/>
        <v>0.05</v>
      </c>
      <c r="N1674" s="475">
        <f t="shared" si="117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15"/>
        <v>-393297448.8459602</v>
      </c>
      <c r="J1675" s="455">
        <f t="array" ref="J1675">IFERROR(INDEX('Retirement Calculator'!K:K,MATCH('Lorri 401b'!N1675,'Retirement Calculator'!A:A,0),0),0)</f>
        <v>0</v>
      </c>
      <c r="K1675" s="455">
        <f t="shared" ca="1" si="113"/>
        <v>-1638739.3701915008</v>
      </c>
      <c r="L1675" s="455">
        <f t="shared" ca="1" si="114"/>
        <v>-394936188.21615171</v>
      </c>
      <c r="M1675" s="471">
        <f t="shared" si="116"/>
        <v>0.05</v>
      </c>
      <c r="N1675" s="475">
        <f t="shared" si="117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15"/>
        <v>-394936188.21615171</v>
      </c>
      <c r="J1676" s="455">
        <f t="array" ref="J1676">IFERROR(INDEX('Retirement Calculator'!K:K,MATCH('Lorri 401b'!N1676,'Retirement Calculator'!A:A,0),0),0)</f>
        <v>0</v>
      </c>
      <c r="K1676" s="455">
        <f t="shared" ca="1" si="113"/>
        <v>-1645567.4509006322</v>
      </c>
      <c r="L1676" s="455">
        <f t="shared" ca="1" si="114"/>
        <v>-396581755.66705233</v>
      </c>
      <c r="M1676" s="471">
        <f t="shared" si="116"/>
        <v>0.05</v>
      </c>
      <c r="N1676" s="475">
        <f t="shared" si="117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15"/>
        <v>-396581755.66705233</v>
      </c>
      <c r="J1677" s="455">
        <f t="array" ref="J1677">IFERROR(INDEX('Retirement Calculator'!K:K,MATCH('Lorri 401b'!N1677,'Retirement Calculator'!A:A,0),0),0)</f>
        <v>0</v>
      </c>
      <c r="K1677" s="455">
        <f t="shared" ca="1" si="113"/>
        <v>-1652423.9819460514</v>
      </c>
      <c r="L1677" s="455">
        <f t="shared" ca="1" si="114"/>
        <v>-398234179.64899838</v>
      </c>
      <c r="M1677" s="471">
        <f t="shared" si="116"/>
        <v>0.05</v>
      </c>
      <c r="N1677" s="475">
        <f t="shared" si="117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15"/>
        <v>-398234179.64899838</v>
      </c>
      <c r="J1678" s="455">
        <f t="array" ref="J1678">IFERROR(INDEX('Retirement Calculator'!K:K,MATCH('Lorri 401b'!N1678,'Retirement Calculator'!A:A,0),0),0)</f>
        <v>0</v>
      </c>
      <c r="K1678" s="455">
        <f t="shared" ca="1" si="113"/>
        <v>-1659309.0818708267</v>
      </c>
      <c r="L1678" s="455">
        <f t="shared" ca="1" si="114"/>
        <v>-399893488.73086923</v>
      </c>
      <c r="M1678" s="471">
        <f t="shared" si="116"/>
        <v>0.05</v>
      </c>
      <c r="N1678" s="475">
        <f t="shared" si="117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15"/>
        <v>-399893488.73086923</v>
      </c>
      <c r="J1679" s="455">
        <f t="array" ref="J1679">IFERROR(INDEX('Retirement Calculator'!K:K,MATCH('Lorri 401b'!N1679,'Retirement Calculator'!A:A,0),0),0)</f>
        <v>0</v>
      </c>
      <c r="K1679" s="455">
        <f t="shared" ca="1" si="113"/>
        <v>-1666222.8697119551</v>
      </c>
      <c r="L1679" s="455">
        <f t="shared" ca="1" si="114"/>
        <v>-401559711.60058117</v>
      </c>
      <c r="M1679" s="471">
        <f t="shared" si="116"/>
        <v>0.05</v>
      </c>
      <c r="N1679" s="475">
        <f t="shared" si="117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15"/>
        <v>-401559711.60058117</v>
      </c>
      <c r="J1680" s="455">
        <f t="array" ref="J1680">IFERROR(INDEX('Retirement Calculator'!K:K,MATCH('Lorri 401b'!N1680,'Retirement Calculator'!A:A,0),0),0)</f>
        <v>0</v>
      </c>
      <c r="K1680" s="455">
        <f t="shared" ca="1" si="113"/>
        <v>-1673165.4650024215</v>
      </c>
      <c r="L1680" s="455">
        <f t="shared" ca="1" si="114"/>
        <v>-403232877.06558359</v>
      </c>
      <c r="M1680" s="471">
        <f t="shared" si="116"/>
        <v>0.05</v>
      </c>
      <c r="N1680" s="475">
        <f t="shared" si="117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15"/>
        <v>-403232877.06558359</v>
      </c>
      <c r="J1681" s="455">
        <f t="array" ref="J1681">IFERROR(INDEX('Retirement Calculator'!K:K,MATCH('Lorri 401b'!N1681,'Retirement Calculator'!A:A,0),0),0)</f>
        <v>0</v>
      </c>
      <c r="K1681" s="455">
        <f t="shared" ca="1" si="113"/>
        <v>-1680136.987773265</v>
      </c>
      <c r="L1681" s="455">
        <f t="shared" ca="1" si="114"/>
        <v>-404913014.05335683</v>
      </c>
      <c r="M1681" s="471">
        <f t="shared" si="116"/>
        <v>0.05</v>
      </c>
      <c r="N1681" s="475">
        <f t="shared" si="117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15"/>
        <v>-404913014.05335683</v>
      </c>
      <c r="J1682" s="455">
        <f t="array" ref="J1682">IFERROR(INDEX('Retirement Calculator'!K:K,MATCH('Lorri 401b'!N1682,'Retirement Calculator'!A:A,0),0),0)</f>
        <v>0</v>
      </c>
      <c r="K1682" s="455">
        <f t="shared" ca="1" si="113"/>
        <v>-1687137.5585556533</v>
      </c>
      <c r="L1682" s="455">
        <f t="shared" ca="1" si="114"/>
        <v>-406600151.61191249</v>
      </c>
      <c r="M1682" s="471">
        <f t="shared" si="116"/>
        <v>0.05</v>
      </c>
      <c r="N1682" s="475">
        <f t="shared" si="117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15"/>
        <v>-406600151.61191249</v>
      </c>
      <c r="J1683" s="455">
        <f t="array" ref="J1683">IFERROR(INDEX('Retirement Calculator'!K:K,MATCH('Lorri 401b'!N1683,'Retirement Calculator'!A:A,0),0),0)</f>
        <v>0</v>
      </c>
      <c r="K1683" s="455">
        <f t="shared" ca="1" si="113"/>
        <v>-1694167.2983829686</v>
      </c>
      <c r="L1683" s="455">
        <f t="shared" ca="1" si="114"/>
        <v>-408294318.91029549</v>
      </c>
      <c r="M1683" s="471">
        <f t="shared" si="116"/>
        <v>0.05</v>
      </c>
      <c r="N1683" s="475">
        <f t="shared" si="117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15"/>
        <v>-408294318.91029549</v>
      </c>
      <c r="J1684" s="455">
        <f t="array" ref="J1684">IFERROR(INDEX('Retirement Calculator'!K:K,MATCH('Lorri 401b'!N1684,'Retirement Calculator'!A:A,0),0),0)</f>
        <v>0</v>
      </c>
      <c r="K1684" s="455">
        <f t="shared" ca="1" si="113"/>
        <v>-1701226.3287928978</v>
      </c>
      <c r="L1684" s="455">
        <f t="shared" ca="1" si="114"/>
        <v>-409995545.23908836</v>
      </c>
      <c r="M1684" s="471">
        <f t="shared" si="116"/>
        <v>0.05</v>
      </c>
      <c r="N1684" s="475">
        <f t="shared" si="117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15"/>
        <v>-409995545.23908836</v>
      </c>
      <c r="J1685" s="455">
        <f t="array" ref="J1685">IFERROR(INDEX('Retirement Calculator'!K:K,MATCH('Lorri 401b'!N1685,'Retirement Calculator'!A:A,0),0),0)</f>
        <v>0</v>
      </c>
      <c r="K1685" s="455">
        <f t="shared" ca="1" si="113"/>
        <v>-1708314.7718295348</v>
      </c>
      <c r="L1685" s="455">
        <f t="shared" ca="1" si="114"/>
        <v>-411703860.0109179</v>
      </c>
      <c r="M1685" s="471">
        <f t="shared" si="116"/>
        <v>0.05</v>
      </c>
      <c r="N1685" s="475">
        <f t="shared" si="117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15"/>
        <v>-411703860.0109179</v>
      </c>
      <c r="J1686" s="455">
        <f t="array" ref="J1686">IFERROR(INDEX('Retirement Calculator'!K:K,MATCH('Lorri 401b'!N1686,'Retirement Calculator'!A:A,0),0),0)</f>
        <v>0</v>
      </c>
      <c r="K1686" s="455">
        <f t="shared" ca="1" si="113"/>
        <v>-1715432.7500454911</v>
      </c>
      <c r="L1686" s="455">
        <f t="shared" ca="1" si="114"/>
        <v>-413419292.76096338</v>
      </c>
      <c r="M1686" s="471">
        <f t="shared" si="116"/>
        <v>0.05</v>
      </c>
      <c r="N1686" s="475">
        <f t="shared" si="117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15"/>
        <v>-413419292.76096338</v>
      </c>
      <c r="J1687" s="455">
        <f t="array" ref="J1687">IFERROR(INDEX('Retirement Calculator'!K:K,MATCH('Lorri 401b'!N1687,'Retirement Calculator'!A:A,0),0),0)</f>
        <v>0</v>
      </c>
      <c r="K1687" s="455">
        <f t="shared" ca="1" si="113"/>
        <v>-1722580.386504014</v>
      </c>
      <c r="L1687" s="455">
        <f t="shared" ca="1" si="114"/>
        <v>-415141873.14746737</v>
      </c>
      <c r="M1687" s="471">
        <f t="shared" si="116"/>
        <v>0.05</v>
      </c>
      <c r="N1687" s="475">
        <f t="shared" si="117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15"/>
        <v>-415141873.14746737</v>
      </c>
      <c r="J1688" s="455">
        <f t="array" ref="J1688">IFERROR(INDEX('Retirement Calculator'!K:K,MATCH('Lorri 401b'!N1688,'Retirement Calculator'!A:A,0),0),0)</f>
        <v>0</v>
      </c>
      <c r="K1688" s="455">
        <f t="shared" ca="1" si="113"/>
        <v>-1729757.804781114</v>
      </c>
      <c r="L1688" s="455">
        <f t="shared" ca="1" si="114"/>
        <v>-416871630.95224851</v>
      </c>
      <c r="M1688" s="471">
        <f t="shared" si="116"/>
        <v>0.05</v>
      </c>
      <c r="N1688" s="475">
        <f t="shared" si="117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15"/>
        <v>-416871630.95224851</v>
      </c>
      <c r="J1689" s="455">
        <f t="array" ref="J1689">IFERROR(INDEX('Retirement Calculator'!K:K,MATCH('Lorri 401b'!N1689,'Retirement Calculator'!A:A,0),0),0)</f>
        <v>0</v>
      </c>
      <c r="K1689" s="455">
        <f t="shared" ca="1" si="113"/>
        <v>-1736965.1289677022</v>
      </c>
      <c r="L1689" s="455">
        <f t="shared" ca="1" si="114"/>
        <v>-418608596.08121622</v>
      </c>
      <c r="M1689" s="471">
        <f t="shared" si="116"/>
        <v>0.05</v>
      </c>
      <c r="N1689" s="475">
        <f t="shared" si="117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15"/>
        <v>-418608596.08121622</v>
      </c>
      <c r="J1690" s="455">
        <f t="array" ref="J1690">IFERROR(INDEX('Retirement Calculator'!K:K,MATCH('Lorri 401b'!N1690,'Retirement Calculator'!A:A,0),0),0)</f>
        <v>0</v>
      </c>
      <c r="K1690" s="455">
        <f t="shared" ca="1" si="113"/>
        <v>-1744202.4836717339</v>
      </c>
      <c r="L1690" s="455">
        <f t="shared" ca="1" si="114"/>
        <v>-420352798.56488794</v>
      </c>
      <c r="M1690" s="471">
        <f t="shared" si="116"/>
        <v>0.05</v>
      </c>
      <c r="N1690" s="475">
        <f t="shared" si="117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15"/>
        <v>-420352798.56488794</v>
      </c>
      <c r="J1691" s="455">
        <f t="array" ref="J1691">IFERROR(INDEX('Retirement Calculator'!K:K,MATCH('Lorri 401b'!N1691,'Retirement Calculator'!A:A,0),0),0)</f>
        <v>0</v>
      </c>
      <c r="K1691" s="455">
        <f t="shared" ca="1" si="113"/>
        <v>-1751469.9940203661</v>
      </c>
      <c r="L1691" s="455">
        <f t="shared" ca="1" si="114"/>
        <v>-422104268.55890828</v>
      </c>
      <c r="M1691" s="471">
        <f t="shared" si="116"/>
        <v>0.05</v>
      </c>
      <c r="N1691" s="475">
        <f t="shared" si="117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15"/>
        <v>-422104268.55890828</v>
      </c>
      <c r="J1692" s="455">
        <f t="array" ref="J1692">IFERROR(INDEX('Retirement Calculator'!K:K,MATCH('Lorri 401b'!N1692,'Retirement Calculator'!A:A,0),0),0)</f>
        <v>0</v>
      </c>
      <c r="K1692" s="455">
        <f t="shared" ca="1" si="113"/>
        <v>-1758767.7856621176</v>
      </c>
      <c r="L1692" s="455">
        <f t="shared" ca="1" si="114"/>
        <v>-423863036.3445704</v>
      </c>
      <c r="M1692" s="471">
        <f t="shared" si="116"/>
        <v>0.05</v>
      </c>
      <c r="N1692" s="475">
        <f t="shared" si="117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15"/>
        <v>-423863036.3445704</v>
      </c>
      <c r="J1693" s="455">
        <f t="array" ref="J1693">IFERROR(INDEX('Retirement Calculator'!K:K,MATCH('Lorri 401b'!N1693,'Retirement Calculator'!A:A,0),0),0)</f>
        <v>0</v>
      </c>
      <c r="K1693" s="455">
        <f t="shared" ca="1" si="113"/>
        <v>-1766095.9847690433</v>
      </c>
      <c r="L1693" s="455">
        <f t="shared" ca="1" si="114"/>
        <v>-425629132.32933944</v>
      </c>
      <c r="M1693" s="471">
        <f t="shared" si="116"/>
        <v>0.05</v>
      </c>
      <c r="N1693" s="475">
        <f t="shared" si="117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15"/>
        <v>-425629132.32933944</v>
      </c>
      <c r="J1694" s="455">
        <f t="array" ref="J1694">IFERROR(INDEX('Retirement Calculator'!K:K,MATCH('Lorri 401b'!N1694,'Retirement Calculator'!A:A,0),0),0)</f>
        <v>0</v>
      </c>
      <c r="K1694" s="455">
        <f t="shared" ca="1" si="113"/>
        <v>-1773454.7180389145</v>
      </c>
      <c r="L1694" s="455">
        <f t="shared" ca="1" si="114"/>
        <v>-427402587.04737836</v>
      </c>
      <c r="M1694" s="471">
        <f t="shared" si="116"/>
        <v>0.05</v>
      </c>
      <c r="N1694" s="475">
        <f t="shared" si="117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15"/>
        <v>-427402587.04737836</v>
      </c>
      <c r="J1695" s="455">
        <f t="array" ref="J1695">IFERROR(INDEX('Retirement Calculator'!K:K,MATCH('Lorri 401b'!N1695,'Retirement Calculator'!A:A,0),0),0)</f>
        <v>0</v>
      </c>
      <c r="K1695" s="455">
        <f t="shared" ca="1" si="113"/>
        <v>-1780844.1126974097</v>
      </c>
      <c r="L1695" s="455">
        <f t="shared" ca="1" si="114"/>
        <v>-429183431.16007578</v>
      </c>
      <c r="M1695" s="471">
        <f t="shared" si="116"/>
        <v>0.05</v>
      </c>
      <c r="N1695" s="475">
        <f t="shared" si="117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15"/>
        <v>-429183431.16007578</v>
      </c>
      <c r="J1696" s="455">
        <f t="array" ref="J1696">IFERROR(INDEX('Retirement Calculator'!K:K,MATCH('Lorri 401b'!N1696,'Retirement Calculator'!A:A,0),0),0)</f>
        <v>0</v>
      </c>
      <c r="K1696" s="455">
        <f t="shared" ca="1" si="113"/>
        <v>-1788264.2965003157</v>
      </c>
      <c r="L1696" s="455">
        <f t="shared" ca="1" si="114"/>
        <v>-430971695.45657611</v>
      </c>
      <c r="M1696" s="471">
        <f t="shared" si="116"/>
        <v>0.05</v>
      </c>
      <c r="N1696" s="475">
        <f t="shared" si="117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15"/>
        <v>-430971695.45657611</v>
      </c>
      <c r="J1697" s="455">
        <f t="array" ref="J1697">IFERROR(INDEX('Retirement Calculator'!K:K,MATCH('Lorri 401b'!N1697,'Retirement Calculator'!A:A,0),0),0)</f>
        <v>0</v>
      </c>
      <c r="K1697" s="455">
        <f t="shared" ca="1" si="113"/>
        <v>-1795715.397735734</v>
      </c>
      <c r="L1697" s="455">
        <f t="shared" ca="1" si="114"/>
        <v>-432767410.85431182</v>
      </c>
      <c r="M1697" s="471">
        <f t="shared" si="116"/>
        <v>0.05</v>
      </c>
      <c r="N1697" s="475">
        <f t="shared" si="117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15"/>
        <v>-432767410.85431182</v>
      </c>
      <c r="J1698" s="455">
        <f t="array" ref="J1698">IFERROR(INDEX('Retirement Calculator'!K:K,MATCH('Lorri 401b'!N1698,'Retirement Calculator'!A:A,0),0),0)</f>
        <v>0</v>
      </c>
      <c r="K1698" s="455">
        <f t="shared" ca="1" si="113"/>
        <v>-1803197.5452262992</v>
      </c>
      <c r="L1698" s="455">
        <f t="shared" ca="1" si="114"/>
        <v>-434570608.3995381</v>
      </c>
      <c r="M1698" s="471">
        <f t="shared" si="116"/>
        <v>0.05</v>
      </c>
      <c r="N1698" s="475">
        <f t="shared" si="117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15"/>
        <v>-434570608.3995381</v>
      </c>
      <c r="J1699" s="455">
        <f t="array" ref="J1699">IFERROR(INDEX('Retirement Calculator'!K:K,MATCH('Lorri 401b'!N1699,'Retirement Calculator'!A:A,0),0),0)</f>
        <v>0</v>
      </c>
      <c r="K1699" s="455">
        <f t="shared" ca="1" si="113"/>
        <v>-1810710.8683314084</v>
      </c>
      <c r="L1699" s="455">
        <f t="shared" ca="1" si="114"/>
        <v>-436381319.26786953</v>
      </c>
      <c r="M1699" s="471">
        <f t="shared" si="116"/>
        <v>0.05</v>
      </c>
      <c r="N1699" s="475">
        <f t="shared" si="117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15"/>
        <v>-436381319.26786953</v>
      </c>
      <c r="J1700" s="455">
        <f t="array" ref="J1700">IFERROR(INDEX('Retirement Calculator'!K:K,MATCH('Lorri 401b'!N1700,'Retirement Calculator'!A:A,0),0),0)</f>
        <v>0</v>
      </c>
      <c r="K1700" s="455">
        <f t="shared" ca="1" si="113"/>
        <v>-1818255.4969494564</v>
      </c>
      <c r="L1700" s="455">
        <f t="shared" ca="1" si="114"/>
        <v>-438199574.76481897</v>
      </c>
      <c r="M1700" s="471">
        <f t="shared" si="116"/>
        <v>0.05</v>
      </c>
      <c r="N1700" s="475">
        <f t="shared" si="117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15"/>
        <v>-438199574.76481897</v>
      </c>
      <c r="J1701" s="455">
        <f t="array" ref="J1701">IFERROR(INDEX('Retirement Calculator'!K:K,MATCH('Lorri 401b'!N1701,'Retirement Calculator'!A:A,0),0),0)</f>
        <v>0</v>
      </c>
      <c r="K1701" s="455">
        <f t="shared" ca="1" si="113"/>
        <v>-1825831.5615200789</v>
      </c>
      <c r="L1701" s="455">
        <f t="shared" ca="1" si="114"/>
        <v>-440025406.32633907</v>
      </c>
      <c r="M1701" s="471">
        <f t="shared" si="116"/>
        <v>0.05</v>
      </c>
      <c r="N1701" s="475">
        <f t="shared" si="117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15"/>
        <v>-440025406.32633907</v>
      </c>
      <c r="J1702" s="455">
        <f t="array" ref="J1702">IFERROR(INDEX('Retirement Calculator'!K:K,MATCH('Lorri 401b'!N1702,'Retirement Calculator'!A:A,0),0),0)</f>
        <v>0</v>
      </c>
      <c r="K1702" s="455">
        <f t="shared" ca="1" si="113"/>
        <v>-1833439.1930264127</v>
      </c>
      <c r="L1702" s="455">
        <f t="shared" ca="1" si="114"/>
        <v>-441858845.51936549</v>
      </c>
      <c r="M1702" s="471">
        <f t="shared" si="116"/>
        <v>0.05</v>
      </c>
      <c r="N1702" s="475">
        <f t="shared" si="117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15"/>
        <v>-441858845.51936549</v>
      </c>
      <c r="J1703" s="455">
        <f t="array" ref="J1703">IFERROR(INDEX('Retirement Calculator'!K:K,MATCH('Lorri 401b'!N1703,'Retirement Calculator'!A:A,0),0),0)</f>
        <v>0</v>
      </c>
      <c r="K1703" s="455">
        <f t="shared" ca="1" si="113"/>
        <v>-1841078.5229973565</v>
      </c>
      <c r="L1703" s="455">
        <f t="shared" ca="1" si="114"/>
        <v>-443699924.04236287</v>
      </c>
      <c r="M1703" s="471">
        <f t="shared" si="116"/>
        <v>0.05</v>
      </c>
      <c r="N1703" s="475">
        <f t="shared" si="117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15"/>
        <v>-443699924.04236287</v>
      </c>
      <c r="J1704" s="455">
        <f t="array" ref="J1704">IFERROR(INDEX('Retirement Calculator'!K:K,MATCH('Lorri 401b'!N1704,'Retirement Calculator'!A:A,0),0),0)</f>
        <v>0</v>
      </c>
      <c r="K1704" s="455">
        <f t="shared" ca="1" si="113"/>
        <v>-1848749.6835098453</v>
      </c>
      <c r="L1704" s="455">
        <f t="shared" ca="1" si="114"/>
        <v>-445548673.7258727</v>
      </c>
      <c r="M1704" s="471">
        <f t="shared" si="116"/>
        <v>0.05</v>
      </c>
      <c r="N1704" s="475">
        <f t="shared" si="117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15"/>
        <v>-445548673.7258727</v>
      </c>
      <c r="J1705" s="455">
        <f t="array" ref="J1705">IFERROR(INDEX('Retirement Calculator'!K:K,MATCH('Lorri 401b'!N1705,'Retirement Calculator'!A:A,0),0),0)</f>
        <v>0</v>
      </c>
      <c r="K1705" s="455">
        <f t="shared" ca="1" si="113"/>
        <v>-1856452.8071911365</v>
      </c>
      <c r="L1705" s="455">
        <f t="shared" ca="1" si="114"/>
        <v>-447405126.53306383</v>
      </c>
      <c r="M1705" s="471">
        <f t="shared" si="116"/>
        <v>0.05</v>
      </c>
      <c r="N1705" s="475">
        <f t="shared" si="117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15"/>
        <v>-447405126.53306383</v>
      </c>
      <c r="J1706" s="455">
        <f t="array" ref="J1706">IFERROR(INDEX('Retirement Calculator'!K:K,MATCH('Lorri 401b'!N1706,'Retirement Calculator'!A:A,0),0),0)</f>
        <v>0</v>
      </c>
      <c r="K1706" s="455">
        <f t="shared" ca="1" si="113"/>
        <v>-1864188.0272210992</v>
      </c>
      <c r="L1706" s="455">
        <f t="shared" ca="1" si="114"/>
        <v>-449269314.56028491</v>
      </c>
      <c r="M1706" s="471">
        <f t="shared" si="116"/>
        <v>0.05</v>
      </c>
      <c r="N1706" s="475">
        <f t="shared" si="117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15"/>
        <v>-449269314.56028491</v>
      </c>
      <c r="J1707" s="455">
        <f t="array" ref="J1707">IFERROR(INDEX('Retirement Calculator'!K:K,MATCH('Lorri 401b'!N1707,'Retirement Calculator'!A:A,0),0),0)</f>
        <v>0</v>
      </c>
      <c r="K1707" s="455">
        <f t="shared" ca="1" si="113"/>
        <v>-1871955.4773345201</v>
      </c>
      <c r="L1707" s="455">
        <f t="shared" ca="1" si="114"/>
        <v>-451141270.03761941</v>
      </c>
      <c r="M1707" s="471">
        <f t="shared" si="116"/>
        <v>0.05</v>
      </c>
      <c r="N1707" s="475">
        <f t="shared" si="117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15"/>
        <v>-451141270.03761941</v>
      </c>
      <c r="J1708" s="455">
        <f t="array" ref="J1708">IFERROR(INDEX('Retirement Calculator'!K:K,MATCH('Lorri 401b'!N1708,'Retirement Calculator'!A:A,0),0),0)</f>
        <v>0</v>
      </c>
      <c r="K1708" s="455">
        <f t="shared" ca="1" si="113"/>
        <v>-1879755.2918234142</v>
      </c>
      <c r="L1708" s="455">
        <f t="shared" ca="1" si="114"/>
        <v>-453021025.3294428</v>
      </c>
      <c r="M1708" s="471">
        <f t="shared" si="116"/>
        <v>0.05</v>
      </c>
      <c r="N1708" s="475">
        <f t="shared" si="117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15"/>
        <v>-453021025.3294428</v>
      </c>
      <c r="J1709" s="455">
        <f t="array" ref="J1709">IFERROR(INDEX('Retirement Calculator'!K:K,MATCH('Lorri 401b'!N1709,'Retirement Calculator'!A:A,0),0),0)</f>
        <v>0</v>
      </c>
      <c r="K1709" s="455">
        <f t="shared" ca="1" si="113"/>
        <v>-1887587.6055393449</v>
      </c>
      <c r="L1709" s="455">
        <f t="shared" ca="1" si="114"/>
        <v>-454908612.93498212</v>
      </c>
      <c r="M1709" s="471">
        <f t="shared" si="116"/>
        <v>0.05</v>
      </c>
      <c r="N1709" s="475">
        <f t="shared" si="117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15"/>
        <v>-454908612.93498212</v>
      </c>
      <c r="J1710" s="455">
        <f t="array" ref="J1710">IFERROR(INDEX('Retirement Calculator'!K:K,MATCH('Lorri 401b'!N1710,'Retirement Calculator'!A:A,0),0),0)</f>
        <v>0</v>
      </c>
      <c r="K1710" s="455">
        <f t="shared" ca="1" si="113"/>
        <v>-1895452.5538957587</v>
      </c>
      <c r="L1710" s="455">
        <f t="shared" ca="1" si="114"/>
        <v>-456804065.48887789</v>
      </c>
      <c r="M1710" s="471">
        <f t="shared" si="116"/>
        <v>0.05</v>
      </c>
      <c r="N1710" s="475">
        <f t="shared" si="117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15"/>
        <v>-456804065.48887789</v>
      </c>
      <c r="J1711" s="455">
        <f t="array" ref="J1711">IFERROR(INDEX('Retirement Calculator'!K:K,MATCH('Lorri 401b'!N1711,'Retirement Calculator'!A:A,0),0),0)</f>
        <v>0</v>
      </c>
      <c r="K1711" s="455">
        <f t="shared" ca="1" si="113"/>
        <v>-1903350.2728703246</v>
      </c>
      <c r="L1711" s="455">
        <f t="shared" ca="1" si="114"/>
        <v>-458707415.76174819</v>
      </c>
      <c r="M1711" s="471">
        <f t="shared" si="116"/>
        <v>0.05</v>
      </c>
      <c r="N1711" s="475">
        <f t="shared" si="117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15"/>
        <v>-458707415.76174819</v>
      </c>
      <c r="J1712" s="455">
        <f t="array" ref="J1712">IFERROR(INDEX('Retirement Calculator'!K:K,MATCH('Lorri 401b'!N1712,'Retirement Calculator'!A:A,0),0),0)</f>
        <v>0</v>
      </c>
      <c r="K1712" s="455">
        <f t="shared" ca="1" si="113"/>
        <v>-1911280.8990072838</v>
      </c>
      <c r="L1712" s="455">
        <f t="shared" ca="1" si="114"/>
        <v>-460618696.66075546</v>
      </c>
      <c r="M1712" s="471">
        <f t="shared" si="116"/>
        <v>0.05</v>
      </c>
      <c r="N1712" s="475">
        <f t="shared" si="117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15"/>
        <v>-460618696.66075546</v>
      </c>
      <c r="J1713" s="455">
        <f t="array" ref="J1713">IFERROR(INDEX('Retirement Calculator'!K:K,MATCH('Lorri 401b'!N1713,'Retirement Calculator'!A:A,0),0),0)</f>
        <v>0</v>
      </c>
      <c r="K1713" s="455">
        <f t="shared" ca="1" si="113"/>
        <v>-1919244.5694198143</v>
      </c>
      <c r="L1713" s="455">
        <f t="shared" ca="1" si="114"/>
        <v>-462537941.23017526</v>
      </c>
      <c r="M1713" s="471">
        <f t="shared" si="116"/>
        <v>0.05</v>
      </c>
      <c r="N1713" s="475">
        <f t="shared" si="117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15"/>
        <v>-462537941.23017526</v>
      </c>
      <c r="J1714" s="455">
        <f t="array" ref="J1714">IFERROR(INDEX('Retirement Calculator'!K:K,MATCH('Lorri 401b'!N1714,'Retirement Calculator'!A:A,0),0),0)</f>
        <v>0</v>
      </c>
      <c r="K1714" s="455">
        <f t="shared" ca="1" si="113"/>
        <v>-1927241.4217923968</v>
      </c>
      <c r="L1714" s="455">
        <f t="shared" ca="1" si="114"/>
        <v>-464465182.65196764</v>
      </c>
      <c r="M1714" s="471">
        <f t="shared" si="116"/>
        <v>0.05</v>
      </c>
      <c r="N1714" s="475">
        <f t="shared" si="117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15"/>
        <v>-464465182.65196764</v>
      </c>
      <c r="J1715" s="455">
        <f t="array" ref="J1715">IFERROR(INDEX('Retirement Calculator'!K:K,MATCH('Lorri 401b'!N1715,'Retirement Calculator'!A:A,0),0),0)</f>
        <v>0</v>
      </c>
      <c r="K1715" s="455">
        <f t="shared" ca="1" si="113"/>
        <v>-1935271.5943831985</v>
      </c>
      <c r="L1715" s="455">
        <f t="shared" ca="1" si="114"/>
        <v>-466400454.24635082</v>
      </c>
      <c r="M1715" s="471">
        <f t="shared" si="116"/>
        <v>0.05</v>
      </c>
      <c r="N1715" s="475">
        <f t="shared" si="117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15"/>
        <v>-466400454.24635082</v>
      </c>
      <c r="J1716" s="455">
        <f t="array" ref="J1716">IFERROR(INDEX('Retirement Calculator'!K:K,MATCH('Lorri 401b'!N1716,'Retirement Calculator'!A:A,0),0),0)</f>
        <v>0</v>
      </c>
      <c r="K1716" s="455">
        <f t="shared" ca="1" si="113"/>
        <v>-1943335.2260264617</v>
      </c>
      <c r="L1716" s="455">
        <f t="shared" ca="1" si="114"/>
        <v>-468343789.4723773</v>
      </c>
      <c r="M1716" s="471">
        <f t="shared" si="116"/>
        <v>0.05</v>
      </c>
      <c r="N1716" s="475">
        <f t="shared" si="117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15"/>
        <v>-468343789.4723773</v>
      </c>
      <c r="J1717" s="455">
        <f t="array" ref="J1717">IFERROR(INDEX('Retirement Calculator'!K:K,MATCH('Lorri 401b'!N1717,'Retirement Calculator'!A:A,0),0),0)</f>
        <v>0</v>
      </c>
      <c r="K1717" s="455">
        <f t="shared" ca="1" si="113"/>
        <v>-1951432.4561349053</v>
      </c>
      <c r="L1717" s="455">
        <f t="shared" ca="1" si="114"/>
        <v>-470295221.92851222</v>
      </c>
      <c r="M1717" s="471">
        <f t="shared" si="116"/>
        <v>0.05</v>
      </c>
      <c r="N1717" s="475">
        <f t="shared" si="117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15"/>
        <v>-470295221.92851222</v>
      </c>
      <c r="J1718" s="455">
        <f t="array" ref="J1718">IFERROR(INDEX('Retirement Calculator'!K:K,MATCH('Lorri 401b'!N1718,'Retirement Calculator'!A:A,0),0),0)</f>
        <v>0</v>
      </c>
      <c r="K1718" s="455">
        <f t="shared" ca="1" si="113"/>
        <v>-1959563.4247021342</v>
      </c>
      <c r="L1718" s="455">
        <f t="shared" ca="1" si="114"/>
        <v>-472254785.35321432</v>
      </c>
      <c r="M1718" s="471">
        <f t="shared" si="116"/>
        <v>0.05</v>
      </c>
      <c r="N1718" s="475">
        <f t="shared" si="117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15"/>
        <v>-472254785.35321432</v>
      </c>
      <c r="J1719" s="455">
        <f t="array" ref="J1719">IFERROR(INDEX('Retirement Calculator'!K:K,MATCH('Lorri 401b'!N1719,'Retirement Calculator'!A:A,0),0),0)</f>
        <v>0</v>
      </c>
      <c r="K1719" s="455">
        <f t="shared" ca="1" si="113"/>
        <v>-1967728.2723050597</v>
      </c>
      <c r="L1719" s="455">
        <f t="shared" ca="1" si="114"/>
        <v>-474222513.62551939</v>
      </c>
      <c r="M1719" s="471">
        <f t="shared" si="116"/>
        <v>0.05</v>
      </c>
      <c r="N1719" s="475">
        <f t="shared" si="117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15"/>
        <v>-474222513.62551939</v>
      </c>
      <c r="J1720" s="455">
        <f t="array" ref="J1720">IFERROR(INDEX('Retirement Calculator'!K:K,MATCH('Lorri 401b'!N1720,'Retirement Calculator'!A:A,0),0),0)</f>
        <v>0</v>
      </c>
      <c r="K1720" s="455">
        <f t="shared" ca="1" si="113"/>
        <v>-1975927.1401063309</v>
      </c>
      <c r="L1720" s="455">
        <f t="shared" ca="1" si="114"/>
        <v>-476198440.76562572</v>
      </c>
      <c r="M1720" s="471">
        <f t="shared" si="116"/>
        <v>0.05</v>
      </c>
      <c r="N1720" s="475">
        <f t="shared" si="117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15"/>
        <v>-476198440.76562572</v>
      </c>
      <c r="J1721" s="455">
        <f t="array" ref="J1721">IFERROR(INDEX('Retirement Calculator'!K:K,MATCH('Lorri 401b'!N1721,'Retirement Calculator'!A:A,0),0),0)</f>
        <v>0</v>
      </c>
      <c r="K1721" s="455">
        <f t="shared" ca="1" si="113"/>
        <v>-1984160.1698567737</v>
      </c>
      <c r="L1721" s="455">
        <f t="shared" ca="1" si="114"/>
        <v>-478182600.9354825</v>
      </c>
      <c r="M1721" s="471">
        <f t="shared" si="116"/>
        <v>0.05</v>
      </c>
      <c r="N1721" s="475">
        <f t="shared" si="117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15"/>
        <v>-478182600.9354825</v>
      </c>
      <c r="J1722" s="455">
        <f t="array" ref="J1722">IFERROR(INDEX('Retirement Calculator'!K:K,MATCH('Lorri 401b'!N1722,'Retirement Calculator'!A:A,0),0),0)</f>
        <v>0</v>
      </c>
      <c r="K1722" s="455">
        <f t="shared" ca="1" si="113"/>
        <v>-1992427.5038978436</v>
      </c>
      <c r="L1722" s="455">
        <f t="shared" ca="1" si="114"/>
        <v>-480175028.43938035</v>
      </c>
      <c r="M1722" s="471">
        <f t="shared" si="116"/>
        <v>0.05</v>
      </c>
      <c r="N1722" s="475">
        <f t="shared" si="117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15"/>
        <v>-480175028.43938035</v>
      </c>
      <c r="J1723" s="455">
        <f t="array" ref="J1723">IFERROR(INDEX('Retirement Calculator'!K:K,MATCH('Lorri 401b'!N1723,'Retirement Calculator'!A:A,0),0),0)</f>
        <v>0</v>
      </c>
      <c r="K1723" s="455">
        <f t="shared" ca="1" si="113"/>
        <v>-2000729.2851640848</v>
      </c>
      <c r="L1723" s="455">
        <f t="shared" ca="1" si="114"/>
        <v>-482175757.72454441</v>
      </c>
      <c r="M1723" s="471">
        <f t="shared" si="116"/>
        <v>0.05</v>
      </c>
      <c r="N1723" s="475">
        <f t="shared" si="117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15"/>
        <v>-482175757.72454441</v>
      </c>
      <c r="J1724" s="455">
        <f t="array" ref="J1724">IFERROR(INDEX('Retirement Calculator'!K:K,MATCH('Lorri 401b'!N1724,'Retirement Calculator'!A:A,0),0),0)</f>
        <v>0</v>
      </c>
      <c r="K1724" s="455">
        <f t="shared" ca="1" si="113"/>
        <v>-2009065.657185602</v>
      </c>
      <c r="L1724" s="455">
        <f t="shared" ca="1" si="114"/>
        <v>-484184823.38173002</v>
      </c>
      <c r="M1724" s="471">
        <f t="shared" si="116"/>
        <v>0.05</v>
      </c>
      <c r="N1724" s="475">
        <f t="shared" si="117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15"/>
        <v>-484184823.38173002</v>
      </c>
      <c r="J1725" s="455">
        <f t="array" ref="J1725">IFERROR(INDEX('Retirement Calculator'!K:K,MATCH('Lorri 401b'!N1725,'Retirement Calculator'!A:A,0),0),0)</f>
        <v>0</v>
      </c>
      <c r="K1725" s="455">
        <f t="shared" ca="1" si="113"/>
        <v>-2017436.7640905415</v>
      </c>
      <c r="L1725" s="455">
        <f t="shared" ca="1" si="114"/>
        <v>-486202260.14582056</v>
      </c>
      <c r="M1725" s="471">
        <f t="shared" si="116"/>
        <v>0.05</v>
      </c>
      <c r="N1725" s="475">
        <f t="shared" si="117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15"/>
        <v>-486202260.14582056</v>
      </c>
      <c r="J1726" s="455">
        <f t="array" ref="J1726">IFERROR(INDEX('Retirement Calculator'!K:K,MATCH('Lorri 401b'!N1726,'Retirement Calculator'!A:A,0),0),0)</f>
        <v>0</v>
      </c>
      <c r="K1726" s="455">
        <f t="shared" ca="1" si="113"/>
        <v>-2025842.7506075853</v>
      </c>
      <c r="L1726" s="455">
        <f t="shared" ca="1" si="114"/>
        <v>-488228102.89642817</v>
      </c>
      <c r="M1726" s="471">
        <f t="shared" si="116"/>
        <v>0.05</v>
      </c>
      <c r="N1726" s="475">
        <f t="shared" si="117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15"/>
        <v>-488228102.89642817</v>
      </c>
      <c r="J1727" s="455">
        <f t="array" ref="J1727">IFERROR(INDEX('Retirement Calculator'!K:K,MATCH('Lorri 401b'!N1727,'Retirement Calculator'!A:A,0),0),0)</f>
        <v>0</v>
      </c>
      <c r="K1727" s="455">
        <f t="shared" ca="1" si="113"/>
        <v>-2034283.7620684509</v>
      </c>
      <c r="L1727" s="455">
        <f t="shared" ca="1" si="114"/>
        <v>-490262386.65849662</v>
      </c>
      <c r="M1727" s="471">
        <f t="shared" si="116"/>
        <v>0.05</v>
      </c>
      <c r="N1727" s="475">
        <f t="shared" si="117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15"/>
        <v>-490262386.65849662</v>
      </c>
      <c r="J1728" s="455">
        <f t="array" ref="J1728">IFERROR(INDEX('Retirement Calculator'!K:K,MATCH('Lorri 401b'!N1728,'Retirement Calculator'!A:A,0),0),0)</f>
        <v>0</v>
      </c>
      <c r="K1728" s="455">
        <f t="shared" ca="1" si="113"/>
        <v>-2042759.9444104026</v>
      </c>
      <c r="L1728" s="455">
        <f t="shared" ca="1" si="114"/>
        <v>-492305146.602907</v>
      </c>
      <c r="M1728" s="471">
        <f t="shared" si="116"/>
        <v>0.05</v>
      </c>
      <c r="N1728" s="475">
        <f t="shared" si="117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15"/>
        <v>-492305146.602907</v>
      </c>
      <c r="J1729" s="455">
        <f t="array" ref="J1729">IFERROR(INDEX('Retirement Calculator'!K:K,MATCH('Lorri 401b'!N1729,'Retirement Calculator'!A:A,0),0),0)</f>
        <v>0</v>
      </c>
      <c r="K1729" s="455">
        <f t="shared" ca="1" si="113"/>
        <v>-2051271.4441787794</v>
      </c>
      <c r="L1729" s="455">
        <f t="shared" ca="1" si="114"/>
        <v>-494356418.04708576</v>
      </c>
      <c r="M1729" s="471">
        <f t="shared" si="116"/>
        <v>0.05</v>
      </c>
      <c r="N1729" s="475">
        <f t="shared" si="117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15"/>
        <v>-494356418.04708576</v>
      </c>
      <c r="J1730" s="455">
        <f t="array" ref="J1730">IFERROR(INDEX('Retirement Calculator'!K:K,MATCH('Lorri 401b'!N1730,'Retirement Calculator'!A:A,0),0),0)</f>
        <v>0</v>
      </c>
      <c r="K1730" s="455">
        <f t="shared" ca="1" si="113"/>
        <v>-2059818.408529524</v>
      </c>
      <c r="L1730" s="455">
        <f t="shared" ca="1" si="114"/>
        <v>-496416236.45561528</v>
      </c>
      <c r="M1730" s="471">
        <f t="shared" si="116"/>
        <v>0.05</v>
      </c>
      <c r="N1730" s="475">
        <f t="shared" si="117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15"/>
        <v>-496416236.45561528</v>
      </c>
      <c r="J1731" s="455">
        <f t="array" ref="J1731">IFERROR(INDEX('Retirement Calculator'!K:K,MATCH('Lorri 401b'!N1731,'Retirement Calculator'!A:A,0),0),0)</f>
        <v>0</v>
      </c>
      <c r="K1731" s="455">
        <f t="shared" ca="1" si="113"/>
        <v>-2068400.9852317302</v>
      </c>
      <c r="L1731" s="455">
        <f t="shared" ca="1" si="114"/>
        <v>-498484637.44084704</v>
      </c>
      <c r="M1731" s="471">
        <f t="shared" si="116"/>
        <v>0.05</v>
      </c>
      <c r="N1731" s="475">
        <f t="shared" si="117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15"/>
        <v>-498484637.44084704</v>
      </c>
      <c r="J1732" s="455">
        <f t="array" ref="J1732">IFERROR(INDEX('Retirement Calculator'!K:K,MATCH('Lorri 401b'!N1732,'Retirement Calculator'!A:A,0),0),0)</f>
        <v>0</v>
      </c>
      <c r="K1732" s="455">
        <f t="shared" ca="1" si="113"/>
        <v>-2077019.322670196</v>
      </c>
      <c r="L1732" s="455">
        <f t="shared" ca="1" si="114"/>
        <v>-500561656.76351726</v>
      </c>
      <c r="M1732" s="471">
        <f t="shared" si="116"/>
        <v>0.05</v>
      </c>
      <c r="N1732" s="475">
        <f t="shared" si="117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15"/>
        <v>-500561656.76351726</v>
      </c>
      <c r="J1733" s="455">
        <f t="array" ref="J1733">IFERROR(INDEX('Retirement Calculator'!K:K,MATCH('Lorri 401b'!N1733,'Retirement Calculator'!A:A,0),0),0)</f>
        <v>0</v>
      </c>
      <c r="K1733" s="455">
        <f t="shared" ca="1" si="113"/>
        <v>-2085673.5698479889</v>
      </c>
      <c r="L1733" s="455">
        <f t="shared" ca="1" si="114"/>
        <v>-502647330.33336526</v>
      </c>
      <c r="M1733" s="471">
        <f t="shared" si="116"/>
        <v>0.05</v>
      </c>
      <c r="N1733" s="475">
        <f t="shared" si="117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15"/>
        <v>-502647330.33336526</v>
      </c>
      <c r="J1734" s="455">
        <f t="array" ref="J1734">IFERROR(INDEX('Retirement Calculator'!K:K,MATCH('Lorri 401b'!N1734,'Retirement Calculator'!A:A,0),0),0)</f>
        <v>0</v>
      </c>
      <c r="K1734" s="455">
        <f t="shared" ca="1" si="113"/>
        <v>-2094363.8763890218</v>
      </c>
      <c r="L1734" s="455">
        <f t="shared" ca="1" si="114"/>
        <v>-504741694.20975429</v>
      </c>
      <c r="M1734" s="471">
        <f t="shared" si="116"/>
        <v>0.05</v>
      </c>
      <c r="N1734" s="475">
        <f t="shared" si="117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15"/>
        <v>-504741694.20975429</v>
      </c>
      <c r="J1735" s="455">
        <f t="array" ref="J1735">IFERROR(INDEX('Retirement Calculator'!K:K,MATCH('Lorri 401b'!N1735,'Retirement Calculator'!A:A,0),0),0)</f>
        <v>0</v>
      </c>
      <c r="K1735" s="455">
        <f t="shared" ca="1" si="113"/>
        <v>-2103090.392540643</v>
      </c>
      <c r="L1735" s="455">
        <f t="shared" ca="1" si="114"/>
        <v>-506844784.60229492</v>
      </c>
      <c r="M1735" s="471">
        <f t="shared" si="116"/>
        <v>0.05</v>
      </c>
      <c r="N1735" s="475">
        <f t="shared" si="117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15"/>
        <v>-506844784.60229492</v>
      </c>
      <c r="J1736" s="455">
        <f t="array" ref="J1736">IFERROR(INDEX('Retirement Calculator'!K:K,MATCH('Lorri 401b'!N1736,'Retirement Calculator'!A:A,0),0),0)</f>
        <v>0</v>
      </c>
      <c r="K1736" s="455">
        <f t="shared" ca="1" si="113"/>
        <v>-2111853.2691762289</v>
      </c>
      <c r="L1736" s="455">
        <f t="shared" ca="1" si="114"/>
        <v>-508956637.87147117</v>
      </c>
      <c r="M1736" s="471">
        <f t="shared" si="116"/>
        <v>0.05</v>
      </c>
      <c r="N1736" s="475">
        <f t="shared" si="117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15"/>
        <v>-508956637.87147117</v>
      </c>
      <c r="J1737" s="455">
        <f t="array" ref="J1737">IFERROR(INDEX('Retirement Calculator'!K:K,MATCH('Lorri 401b'!N1737,'Retirement Calculator'!A:A,0),0),0)</f>
        <v>0</v>
      </c>
      <c r="K1737" s="455">
        <f t="shared" ca="1" si="113"/>
        <v>-2120652.6577977967</v>
      </c>
      <c r="L1737" s="455">
        <f t="shared" ca="1" si="114"/>
        <v>-511077290.52926898</v>
      </c>
      <c r="M1737" s="471">
        <f t="shared" si="116"/>
        <v>0.05</v>
      </c>
      <c r="N1737" s="475">
        <f t="shared" si="117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15"/>
        <v>-511077290.52926898</v>
      </c>
      <c r="J1738" s="455">
        <f t="array" ref="J1738">IFERROR(INDEX('Retirement Calculator'!K:K,MATCH('Lorri 401b'!N1738,'Retirement Calculator'!A:A,0),0),0)</f>
        <v>0</v>
      </c>
      <c r="K1738" s="455">
        <f t="shared" ca="1" si="113"/>
        <v>-2129488.7105386211</v>
      </c>
      <c r="L1738" s="455">
        <f t="shared" ca="1" si="114"/>
        <v>-513206779.23980761</v>
      </c>
      <c r="M1738" s="471">
        <f t="shared" si="116"/>
        <v>0.05</v>
      </c>
      <c r="N1738" s="475">
        <f t="shared" si="117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15"/>
        <v>-513206779.23980761</v>
      </c>
      <c r="J1739" s="455">
        <f t="array" ref="J1739">IFERROR(INDEX('Retirement Calculator'!K:K,MATCH('Lorri 401b'!N1739,'Retirement Calculator'!A:A,0),0),0)</f>
        <v>0</v>
      </c>
      <c r="K1739" s="455">
        <f t="shared" ca="1" si="113"/>
        <v>-2138361.5801658649</v>
      </c>
      <c r="L1739" s="455">
        <f t="shared" ca="1" si="114"/>
        <v>-515345140.81997347</v>
      </c>
      <c r="M1739" s="471">
        <f t="shared" si="116"/>
        <v>0.05</v>
      </c>
      <c r="N1739" s="475">
        <f t="shared" si="117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15"/>
        <v>-515345140.81997347</v>
      </c>
      <c r="J1740" s="455">
        <f t="array" ref="J1740">IFERROR(INDEX('Retirement Calculator'!K:K,MATCH('Lorri 401b'!N1740,'Retirement Calculator'!A:A,0),0),0)</f>
        <v>0</v>
      </c>
      <c r="K1740" s="455">
        <f t="shared" ca="1" si="113"/>
        <v>-2147271.4200832229</v>
      </c>
      <c r="L1740" s="455">
        <f t="shared" ca="1" si="114"/>
        <v>-517492412.24005669</v>
      </c>
      <c r="M1740" s="471">
        <f t="shared" si="116"/>
        <v>0.05</v>
      </c>
      <c r="N1740" s="475">
        <f t="shared" si="117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15"/>
        <v>-517492412.24005669</v>
      </c>
      <c r="J1741" s="455">
        <f t="array" ref="J1741">IFERROR(INDEX('Retirement Calculator'!K:K,MATCH('Lorri 401b'!N1741,'Retirement Calculator'!A:A,0),0),0)</f>
        <v>0</v>
      </c>
      <c r="K1741" s="455">
        <f t="shared" ca="1" si="113"/>
        <v>-2156218.3843335696</v>
      </c>
      <c r="L1741" s="455">
        <f t="shared" ca="1" si="114"/>
        <v>-519648630.62439024</v>
      </c>
      <c r="M1741" s="471">
        <f t="shared" si="116"/>
        <v>0.05</v>
      </c>
      <c r="N1741" s="475">
        <f t="shared" si="117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15"/>
        <v>-519648630.62439024</v>
      </c>
      <c r="J1742" s="455">
        <f t="array" ref="J1742">IFERROR(INDEX('Retirement Calculator'!K:K,MATCH('Lorri 401b'!N1742,'Retirement Calculator'!A:A,0),0),0)</f>
        <v>0</v>
      </c>
      <c r="K1742" s="455">
        <f t="shared" ca="1" si="113"/>
        <v>-2165202.6276016259</v>
      </c>
      <c r="L1742" s="455">
        <f t="shared" ca="1" si="114"/>
        <v>-521813833.25199187</v>
      </c>
      <c r="M1742" s="471">
        <f t="shared" si="116"/>
        <v>0.05</v>
      </c>
      <c r="N1742" s="475">
        <f t="shared" si="117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15"/>
        <v>-521813833.25199187</v>
      </c>
      <c r="J1743" s="455">
        <f t="array" ref="J1743">IFERROR(INDEX('Retirement Calculator'!K:K,MATCH('Lorri 401b'!N1743,'Retirement Calculator'!A:A,0),0),0)</f>
        <v>0</v>
      </c>
      <c r="K1743" s="455">
        <f t="shared" ca="1" si="113"/>
        <v>-2174224.3052166328</v>
      </c>
      <c r="L1743" s="455">
        <f t="shared" ca="1" si="114"/>
        <v>-523988057.55720848</v>
      </c>
      <c r="M1743" s="471">
        <f t="shared" si="116"/>
        <v>0.05</v>
      </c>
      <c r="N1743" s="475">
        <f t="shared" si="117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15"/>
        <v>-523988057.55720848</v>
      </c>
      <c r="J1744" s="455">
        <f t="array" ref="J1744">IFERROR(INDEX('Retirement Calculator'!K:K,MATCH('Lorri 401b'!N1744,'Retirement Calculator'!A:A,0),0),0)</f>
        <v>0</v>
      </c>
      <c r="K1744" s="455">
        <f t="shared" ca="1" si="113"/>
        <v>-2183283.5731550353</v>
      </c>
      <c r="L1744" s="455">
        <f t="shared" ca="1" si="114"/>
        <v>-526171341.13036352</v>
      </c>
      <c r="M1744" s="471">
        <f t="shared" si="116"/>
        <v>0.05</v>
      </c>
      <c r="N1744" s="475">
        <f t="shared" si="117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15"/>
        <v>-526171341.13036352</v>
      </c>
      <c r="J1745" s="455">
        <f t="array" ref="J1745">IFERROR(INDEX('Retirement Calculator'!K:K,MATCH('Lorri 401b'!N1745,'Retirement Calculator'!A:A,0),0),0)</f>
        <v>0</v>
      </c>
      <c r="K1745" s="455">
        <f t="shared" ca="1" si="113"/>
        <v>-2192380.5880431812</v>
      </c>
      <c r="L1745" s="455">
        <f t="shared" ca="1" si="114"/>
        <v>-528363721.71840668</v>
      </c>
      <c r="M1745" s="471">
        <f t="shared" si="116"/>
        <v>0.05</v>
      </c>
      <c r="N1745" s="475">
        <f t="shared" si="117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15"/>
        <v>-528363721.71840668</v>
      </c>
      <c r="J1746" s="455">
        <f t="array" ref="J1746">IFERROR(INDEX('Retirement Calculator'!K:K,MATCH('Lorri 401b'!N1746,'Retirement Calculator'!A:A,0),0),0)</f>
        <v>0</v>
      </c>
      <c r="K1746" s="455">
        <f t="shared" ca="1" si="113"/>
        <v>-2201515.507160028</v>
      </c>
      <c r="L1746" s="455">
        <f t="shared" ca="1" si="114"/>
        <v>-530565237.22556669</v>
      </c>
      <c r="M1746" s="471">
        <f t="shared" si="116"/>
        <v>0.05</v>
      </c>
      <c r="N1746" s="475">
        <f t="shared" si="117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15"/>
        <v>-530565237.22556669</v>
      </c>
      <c r="J1747" s="455">
        <f t="array" ref="J1747">IFERROR(INDEX('Retirement Calculator'!K:K,MATCH('Lorri 401b'!N1747,'Retirement Calculator'!A:A,0),0),0)</f>
        <v>0</v>
      </c>
      <c r="K1747" s="455">
        <f t="shared" ca="1" si="113"/>
        <v>-2210688.4884398612</v>
      </c>
      <c r="L1747" s="455">
        <f t="shared" ca="1" si="114"/>
        <v>-532775925.71400654</v>
      </c>
      <c r="M1747" s="471">
        <f t="shared" si="116"/>
        <v>0.05</v>
      </c>
      <c r="N1747" s="475">
        <f t="shared" si="117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15"/>
        <v>-532775925.71400654</v>
      </c>
      <c r="J1748" s="455">
        <f t="array" ref="J1748">IFERROR(INDEX('Retirement Calculator'!K:K,MATCH('Lorri 401b'!N1748,'Retirement Calculator'!A:A,0),0),0)</f>
        <v>0</v>
      </c>
      <c r="K1748" s="455">
        <f t="shared" ca="1" si="113"/>
        <v>-2219899.6904750271</v>
      </c>
      <c r="L1748" s="455">
        <f t="shared" ca="1" si="114"/>
        <v>-534995825.40448159</v>
      </c>
      <c r="M1748" s="471">
        <f t="shared" si="116"/>
        <v>0.05</v>
      </c>
      <c r="N1748" s="475">
        <f t="shared" si="117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15"/>
        <v>-534995825.40448159</v>
      </c>
      <c r="J1749" s="455">
        <f t="array" ref="J1749">IFERROR(INDEX('Retirement Calculator'!K:K,MATCH('Lorri 401b'!N1749,'Retirement Calculator'!A:A,0),0),0)</f>
        <v>0</v>
      </c>
      <c r="K1749" s="455">
        <f t="shared" ca="1" si="113"/>
        <v>-2229149.2725186734</v>
      </c>
      <c r="L1749" s="455">
        <f t="shared" ca="1" si="114"/>
        <v>-537224974.67700028</v>
      </c>
      <c r="M1749" s="471">
        <f t="shared" si="116"/>
        <v>0.05</v>
      </c>
      <c r="N1749" s="475">
        <f t="shared" si="117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15"/>
        <v>-537224974.67700028</v>
      </c>
      <c r="J1750" s="455">
        <f t="array" ref="J1750">IFERROR(INDEX('Retirement Calculator'!K:K,MATCH('Lorri 401b'!N1750,'Retirement Calculator'!A:A,0),0),0)</f>
        <v>0</v>
      </c>
      <c r="K1750" s="455">
        <f t="shared" ca="1" si="113"/>
        <v>-2238437.3944875011</v>
      </c>
      <c r="L1750" s="455">
        <f t="shared" ca="1" si="114"/>
        <v>-539463412.07148778</v>
      </c>
      <c r="M1750" s="471">
        <f t="shared" si="116"/>
        <v>0.05</v>
      </c>
      <c r="N1750" s="475">
        <f t="shared" si="117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15"/>
        <v>-539463412.07148778</v>
      </c>
      <c r="J1751" s="455">
        <f t="array" ref="J1751">IFERROR(INDEX('Retirement Calculator'!K:K,MATCH('Lorri 401b'!N1751,'Retirement Calculator'!A:A,0),0),0)</f>
        <v>0</v>
      </c>
      <c r="K1751" s="455">
        <f t="shared" ca="1" si="113"/>
        <v>-2247764.2169645326</v>
      </c>
      <c r="L1751" s="455">
        <f t="shared" ca="1" si="114"/>
        <v>-541711176.28845227</v>
      </c>
      <c r="M1751" s="471">
        <f t="shared" si="116"/>
        <v>0.05</v>
      </c>
      <c r="N1751" s="475">
        <f t="shared" si="117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15"/>
        <v>-541711176.28845227</v>
      </c>
      <c r="J1752" s="455">
        <f t="array" ref="J1752">IFERROR(INDEX('Retirement Calculator'!K:K,MATCH('Lorri 401b'!N1752,'Retirement Calculator'!A:A,0),0),0)</f>
        <v>0</v>
      </c>
      <c r="K1752" s="455">
        <f t="shared" ca="1" si="113"/>
        <v>-2257129.9012018843</v>
      </c>
      <c r="L1752" s="455">
        <f t="shared" ca="1" si="114"/>
        <v>-543968306.18965411</v>
      </c>
      <c r="M1752" s="471">
        <f t="shared" si="116"/>
        <v>0.05</v>
      </c>
      <c r="N1752" s="475">
        <f t="shared" si="117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15"/>
        <v>-543968306.18965411</v>
      </c>
      <c r="J1753" s="455">
        <f t="array" ref="J1753">IFERROR(INDEX('Retirement Calculator'!K:K,MATCH('Lorri 401b'!N1753,'Retirement Calculator'!A:A,0),0),0)</f>
        <v>0</v>
      </c>
      <c r="K1753" s="455">
        <f t="shared" ca="1" si="113"/>
        <v>-2266534.6091235587</v>
      </c>
      <c r="L1753" s="455">
        <f t="shared" ca="1" si="114"/>
        <v>-546234840.7987777</v>
      </c>
      <c r="M1753" s="471">
        <f t="shared" si="116"/>
        <v>0.05</v>
      </c>
      <c r="N1753" s="475">
        <f t="shared" si="117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15"/>
        <v>-546234840.7987777</v>
      </c>
      <c r="J1754" s="455">
        <f t="array" ref="J1754">IFERROR(INDEX('Retirement Calculator'!K:K,MATCH('Lorri 401b'!N1754,'Retirement Calculator'!A:A,0),0),0)</f>
        <v>0</v>
      </c>
      <c r="K1754" s="455">
        <f t="shared" ca="1" si="113"/>
        <v>-2275978.5033282405</v>
      </c>
      <c r="L1754" s="455">
        <f t="shared" ca="1" si="114"/>
        <v>-548510819.3021059</v>
      </c>
      <c r="M1754" s="471">
        <f t="shared" si="116"/>
        <v>0.05</v>
      </c>
      <c r="N1754" s="475">
        <f t="shared" si="117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15"/>
        <v>-548510819.3021059</v>
      </c>
      <c r="J1755" s="455">
        <f t="array" ref="J1755">IFERROR(INDEX('Retirement Calculator'!K:K,MATCH('Lorri 401b'!N1755,'Retirement Calculator'!A:A,0),0),0)</f>
        <v>0</v>
      </c>
      <c r="K1755" s="455">
        <f t="shared" ca="1" si="113"/>
        <v>-2285461.7470921078</v>
      </c>
      <c r="L1755" s="455">
        <f t="shared" ca="1" si="114"/>
        <v>-550796281.04919803</v>
      </c>
      <c r="M1755" s="471">
        <f t="shared" si="116"/>
        <v>0.05</v>
      </c>
      <c r="N1755" s="475">
        <f t="shared" si="117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15"/>
        <v>-550796281.04919803</v>
      </c>
      <c r="J1756" s="455">
        <f t="array" ref="J1756">IFERROR(INDEX('Retirement Calculator'!K:K,MATCH('Lorri 401b'!N1756,'Retirement Calculator'!A:A,0),0),0)</f>
        <v>0</v>
      </c>
      <c r="K1756" s="455">
        <f t="shared" ca="1" si="113"/>
        <v>-2294984.5043716584</v>
      </c>
      <c r="L1756" s="455">
        <f t="shared" ca="1" si="114"/>
        <v>-553091265.55356967</v>
      </c>
      <c r="M1756" s="471">
        <f t="shared" si="116"/>
        <v>0.05</v>
      </c>
      <c r="N1756" s="475">
        <f t="shared" si="117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15"/>
        <v>-553091265.55356967</v>
      </c>
      <c r="J1757" s="455">
        <f t="array" ref="J1757">IFERROR(INDEX('Retirement Calculator'!K:K,MATCH('Lorri 401b'!N1757,'Retirement Calculator'!A:A,0),0),0)</f>
        <v>0</v>
      </c>
      <c r="K1757" s="455">
        <f t="shared" ca="1" si="113"/>
        <v>-2304546.9398065405</v>
      </c>
      <c r="L1757" s="455">
        <f t="shared" ca="1" si="114"/>
        <v>-555395812.49337626</v>
      </c>
      <c r="M1757" s="471">
        <f t="shared" si="116"/>
        <v>0.05</v>
      </c>
      <c r="N1757" s="475">
        <f t="shared" si="117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15"/>
        <v>-555395812.49337626</v>
      </c>
      <c r="J1758" s="455">
        <f t="array" ref="J1758">IFERROR(INDEX('Retirement Calculator'!K:K,MATCH('Lorri 401b'!N1758,'Retirement Calculator'!A:A,0),0),0)</f>
        <v>0</v>
      </c>
      <c r="K1758" s="455">
        <f t="shared" ca="1" si="113"/>
        <v>-2314149.2187224012</v>
      </c>
      <c r="L1758" s="455">
        <f t="shared" ca="1" si="114"/>
        <v>-557709961.7120986</v>
      </c>
      <c r="M1758" s="471">
        <f t="shared" si="116"/>
        <v>0.05</v>
      </c>
      <c r="N1758" s="475">
        <f t="shared" si="117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15"/>
        <v>-557709961.7120986</v>
      </c>
      <c r="J1759" s="455">
        <f t="array" ref="J1759">IFERROR(INDEX('Retirement Calculator'!K:K,MATCH('Lorri 401b'!N1759,'Retirement Calculator'!A:A,0),0),0)</f>
        <v>0</v>
      </c>
      <c r="K1759" s="455">
        <f t="shared" ca="1" si="113"/>
        <v>-2323791.5071337442</v>
      </c>
      <c r="L1759" s="455">
        <f t="shared" ca="1" si="114"/>
        <v>-560033753.21923232</v>
      </c>
      <c r="M1759" s="471">
        <f t="shared" si="116"/>
        <v>0.05</v>
      </c>
      <c r="N1759" s="475">
        <f t="shared" si="117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15"/>
        <v>-560033753.21923232</v>
      </c>
      <c r="J1760" s="455">
        <f t="array" ref="J1760">IFERROR(INDEX('Retirement Calculator'!K:K,MATCH('Lorri 401b'!N1760,'Retirement Calculator'!A:A,0),0),0)</f>
        <v>0</v>
      </c>
      <c r="K1760" s="455">
        <f t="shared" ca="1" si="113"/>
        <v>-2333473.9717468014</v>
      </c>
      <c r="L1760" s="455">
        <f t="shared" ca="1" si="114"/>
        <v>-562367227.19097912</v>
      </c>
      <c r="M1760" s="471">
        <f t="shared" si="116"/>
        <v>0.05</v>
      </c>
      <c r="N1760" s="475">
        <f t="shared" si="117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15"/>
        <v>-562367227.19097912</v>
      </c>
      <c r="J1761" s="455">
        <f t="array" ref="J1761">IFERROR(INDEX('Retirement Calculator'!K:K,MATCH('Lorri 401b'!N1761,'Retirement Calculator'!A:A,0),0),0)</f>
        <v>0</v>
      </c>
      <c r="K1761" s="455">
        <f t="shared" ca="1" si="113"/>
        <v>-2343196.779962413</v>
      </c>
      <c r="L1761" s="455">
        <f t="shared" ca="1" si="114"/>
        <v>-564710423.97094154</v>
      </c>
      <c r="M1761" s="471">
        <f t="shared" si="116"/>
        <v>0.05</v>
      </c>
      <c r="N1761" s="475">
        <f t="shared" si="117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15"/>
        <v>-564710423.97094154</v>
      </c>
      <c r="J1762" s="455">
        <f t="array" ref="J1762">IFERROR(INDEX('Retirement Calculator'!K:K,MATCH('Lorri 401b'!N1762,'Retirement Calculator'!A:A,0),0),0)</f>
        <v>0</v>
      </c>
      <c r="K1762" s="455">
        <f t="shared" ca="1" si="113"/>
        <v>-2352960.099878923</v>
      </c>
      <c r="L1762" s="455">
        <f t="shared" ca="1" si="114"/>
        <v>-567063384.07082045</v>
      </c>
      <c r="M1762" s="471">
        <f t="shared" si="116"/>
        <v>0.05</v>
      </c>
      <c r="N1762" s="475">
        <f t="shared" si="117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15"/>
        <v>-567063384.07082045</v>
      </c>
      <c r="J1763" s="455">
        <f t="array" ref="J1763">IFERROR(INDEX('Retirement Calculator'!K:K,MATCH('Lorri 401b'!N1763,'Retirement Calculator'!A:A,0),0),0)</f>
        <v>0</v>
      </c>
      <c r="K1763" s="455">
        <f t="shared" ca="1" si="113"/>
        <v>-2362764.100295085</v>
      </c>
      <c r="L1763" s="455">
        <f t="shared" ca="1" si="114"/>
        <v>-569426148.17111552</v>
      </c>
      <c r="M1763" s="471">
        <f t="shared" si="116"/>
        <v>0.05</v>
      </c>
      <c r="N1763" s="475">
        <f t="shared" si="117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15"/>
        <v>-569426148.17111552</v>
      </c>
      <c r="J1764" s="455">
        <f t="array" ref="J1764">IFERROR(INDEX('Retirement Calculator'!K:K,MATCH('Lorri 401b'!N1764,'Retirement Calculator'!A:A,0),0),0)</f>
        <v>0</v>
      </c>
      <c r="K1764" s="455">
        <f t="shared" ca="1" si="113"/>
        <v>-2372608.9507129812</v>
      </c>
      <c r="L1764" s="455">
        <f t="shared" ca="1" si="114"/>
        <v>-571798757.12182856</v>
      </c>
      <c r="M1764" s="471">
        <f t="shared" si="116"/>
        <v>0.05</v>
      </c>
      <c r="N1764" s="475">
        <f t="shared" si="117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15"/>
        <v>-571798757.12182856</v>
      </c>
      <c r="J1765" s="455">
        <f t="array" ref="J1765">IFERROR(INDEX('Retirement Calculator'!K:K,MATCH('Lorri 401b'!N1765,'Retirement Calculator'!A:A,0),0),0)</f>
        <v>0</v>
      </c>
      <c r="K1765" s="455">
        <f t="shared" ca="1" si="113"/>
        <v>-2382494.8213409521</v>
      </c>
      <c r="L1765" s="455">
        <f t="shared" ca="1" si="114"/>
        <v>-574181251.94316947</v>
      </c>
      <c r="M1765" s="471">
        <f t="shared" si="116"/>
        <v>0.05</v>
      </c>
      <c r="N1765" s="475">
        <f t="shared" si="117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15"/>
        <v>-574181251.94316947</v>
      </c>
      <c r="J1766" s="455">
        <f t="array" ref="J1766">IFERROR(INDEX('Retirement Calculator'!K:K,MATCH('Lorri 401b'!N1766,'Retirement Calculator'!A:A,0),0),0)</f>
        <v>0</v>
      </c>
      <c r="K1766" s="455">
        <f t="shared" ca="1" si="113"/>
        <v>-2392421.8830965394</v>
      </c>
      <c r="L1766" s="455">
        <f t="shared" ca="1" si="114"/>
        <v>-576573673.82626605</v>
      </c>
      <c r="M1766" s="471">
        <f t="shared" si="116"/>
        <v>0.05</v>
      </c>
      <c r="N1766" s="475">
        <f t="shared" si="117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15"/>
        <v>-576573673.82626605</v>
      </c>
      <c r="J1767" s="455">
        <f t="array" ref="J1767">IFERROR(INDEX('Retirement Calculator'!K:K,MATCH('Lorri 401b'!N1767,'Retirement Calculator'!A:A,0),0),0)</f>
        <v>0</v>
      </c>
      <c r="K1767" s="455">
        <f t="shared" ca="1" si="113"/>
        <v>-2402390.3076094417</v>
      </c>
      <c r="L1767" s="455">
        <f t="shared" ca="1" si="114"/>
        <v>-578976064.13387549</v>
      </c>
      <c r="M1767" s="471">
        <f t="shared" si="116"/>
        <v>0.05</v>
      </c>
      <c r="N1767" s="475">
        <f t="shared" si="117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15"/>
        <v>-578976064.13387549</v>
      </c>
      <c r="J1768" s="455">
        <f t="array" ref="J1768">IFERROR(INDEX('Retirement Calculator'!K:K,MATCH('Lorri 401b'!N1768,'Retirement Calculator'!A:A,0),0),0)</f>
        <v>0</v>
      </c>
      <c r="K1768" s="455">
        <f t="shared" ca="1" si="113"/>
        <v>-2412400.2672244813</v>
      </c>
      <c r="L1768" s="455">
        <f t="shared" ca="1" si="114"/>
        <v>-581388464.40109992</v>
      </c>
      <c r="M1768" s="471">
        <f t="shared" si="116"/>
        <v>0.05</v>
      </c>
      <c r="N1768" s="475">
        <f t="shared" si="117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15"/>
        <v>-581388464.40109992</v>
      </c>
      <c r="J1769" s="455">
        <f t="array" ref="J1769">IFERROR(INDEX('Retirement Calculator'!K:K,MATCH('Lorri 401b'!N1769,'Retirement Calculator'!A:A,0),0),0)</f>
        <v>0</v>
      </c>
      <c r="K1769" s="455">
        <f t="shared" ca="1" si="113"/>
        <v>-2422451.9350045831</v>
      </c>
      <c r="L1769" s="455">
        <f t="shared" ca="1" si="114"/>
        <v>-583810916.33610451</v>
      </c>
      <c r="M1769" s="471">
        <f t="shared" si="116"/>
        <v>0.05</v>
      </c>
      <c r="N1769" s="475">
        <f t="shared" si="117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15"/>
        <v>-583810916.33610451</v>
      </c>
      <c r="J1770" s="455">
        <f t="array" ref="J1770">IFERROR(INDEX('Retirement Calculator'!K:K,MATCH('Lorri 401b'!N1770,'Retirement Calculator'!A:A,0),0),0)</f>
        <v>0</v>
      </c>
      <c r="K1770" s="455">
        <f t="shared" ca="1" si="113"/>
        <v>-2432545.4847337687</v>
      </c>
      <c r="L1770" s="455">
        <f t="shared" ca="1" si="114"/>
        <v>-586243461.82083833</v>
      </c>
      <c r="M1770" s="471">
        <f t="shared" si="116"/>
        <v>0.05</v>
      </c>
      <c r="N1770" s="475">
        <f t="shared" si="117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15"/>
        <v>-586243461.82083833</v>
      </c>
      <c r="J1771" s="455">
        <f t="array" ref="J1771">IFERROR(INDEX('Retirement Calculator'!K:K,MATCH('Lorri 401b'!N1771,'Retirement Calculator'!A:A,0),0),0)</f>
        <v>0</v>
      </c>
      <c r="K1771" s="455">
        <f t="shared" ca="1" si="113"/>
        <v>-2442681.0909201596</v>
      </c>
      <c r="L1771" s="455">
        <f t="shared" ca="1" si="114"/>
        <v>-588686142.91175854</v>
      </c>
      <c r="M1771" s="471">
        <f t="shared" si="116"/>
        <v>0.05</v>
      </c>
      <c r="N1771" s="475">
        <f t="shared" si="117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15"/>
        <v>-588686142.91175854</v>
      </c>
      <c r="J1772" s="455">
        <f t="array" ref="J1772">IFERROR(INDEX('Retirement Calculator'!K:K,MATCH('Lorri 401b'!N1772,'Retirement Calculator'!A:A,0),0),0)</f>
        <v>0</v>
      </c>
      <c r="K1772" s="455">
        <f t="shared" ca="1" si="113"/>
        <v>-2452858.928798994</v>
      </c>
      <c r="L1772" s="455">
        <f t="shared" ca="1" si="114"/>
        <v>-591139001.84055758</v>
      </c>
      <c r="M1772" s="471">
        <f t="shared" si="116"/>
        <v>0.05</v>
      </c>
      <c r="N1772" s="475">
        <f t="shared" si="117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15"/>
        <v>-591139001.84055758</v>
      </c>
      <c r="J1773" s="455">
        <f t="array" ref="J1773">IFERROR(INDEX('Retirement Calculator'!K:K,MATCH('Lorri 401b'!N1773,'Retirement Calculator'!A:A,0),0),0)</f>
        <v>0</v>
      </c>
      <c r="K1773" s="455">
        <f t="shared" ca="1" si="113"/>
        <v>-2463079.1743356567</v>
      </c>
      <c r="L1773" s="455">
        <f t="shared" ca="1" si="114"/>
        <v>-593602081.01489317</v>
      </c>
      <c r="M1773" s="471">
        <f t="shared" si="116"/>
        <v>0.05</v>
      </c>
      <c r="N1773" s="475">
        <f t="shared" si="117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15"/>
        <v>-593602081.01489317</v>
      </c>
      <c r="J1774" s="455">
        <f t="array" ref="J1774">IFERROR(INDEX('Retirement Calculator'!K:K,MATCH('Lorri 401b'!N1774,'Retirement Calculator'!A:A,0),0),0)</f>
        <v>0</v>
      </c>
      <c r="K1774" s="455">
        <f t="shared" ca="1" si="113"/>
        <v>-2473342.0042287214</v>
      </c>
      <c r="L1774" s="455">
        <f t="shared" ca="1" si="114"/>
        <v>-596075423.01912189</v>
      </c>
      <c r="M1774" s="471">
        <f t="shared" si="116"/>
        <v>0.05</v>
      </c>
      <c r="N1774" s="475">
        <f t="shared" si="117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15"/>
        <v>-596075423.01912189</v>
      </c>
      <c r="J1775" s="455">
        <f t="array" ref="J1775">IFERROR(INDEX('Retirement Calculator'!K:K,MATCH('Lorri 401b'!N1775,'Retirement Calculator'!A:A,0),0),0)</f>
        <v>0</v>
      </c>
      <c r="K1775" s="455">
        <f t="shared" ca="1" si="113"/>
        <v>-2483647.5959130079</v>
      </c>
      <c r="L1775" s="455">
        <f t="shared" ca="1" si="114"/>
        <v>-598559070.61503494</v>
      </c>
      <c r="M1775" s="471">
        <f t="shared" si="116"/>
        <v>0.05</v>
      </c>
      <c r="N1775" s="475">
        <f t="shared" si="117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15"/>
        <v>-598559070.61503494</v>
      </c>
      <c r="J1776" s="455">
        <f t="array" ref="J1776">IFERROR(INDEX('Retirement Calculator'!K:K,MATCH('Lorri 401b'!N1776,'Retirement Calculator'!A:A,0),0),0)</f>
        <v>0</v>
      </c>
      <c r="K1776" s="455">
        <f t="shared" ca="1" si="113"/>
        <v>-2493996.1275626454</v>
      </c>
      <c r="L1776" s="455">
        <f t="shared" ca="1" si="114"/>
        <v>-601053066.74259758</v>
      </c>
      <c r="M1776" s="471">
        <f t="shared" si="116"/>
        <v>0.05</v>
      </c>
      <c r="N1776" s="475">
        <f t="shared" si="117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15"/>
        <v>-601053066.74259758</v>
      </c>
      <c r="J1777" s="455">
        <f t="array" ref="J1777">IFERROR(INDEX('Retirement Calculator'!K:K,MATCH('Lorri 401b'!N1777,'Retirement Calculator'!A:A,0),0),0)</f>
        <v>0</v>
      </c>
      <c r="K1777" s="455">
        <f t="shared" ca="1" si="113"/>
        <v>-2504387.7780941566</v>
      </c>
      <c r="L1777" s="455">
        <f t="shared" ca="1" si="114"/>
        <v>-603557454.52069175</v>
      </c>
      <c r="M1777" s="471">
        <f t="shared" si="116"/>
        <v>0.05</v>
      </c>
      <c r="N1777" s="475">
        <f t="shared" si="117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15"/>
        <v>-603557454.52069175</v>
      </c>
      <c r="J1778" s="455">
        <f t="array" ref="J1778">IFERROR(INDEX('Retirement Calculator'!K:K,MATCH('Lorri 401b'!N1778,'Retirement Calculator'!A:A,0),0),0)</f>
        <v>0</v>
      </c>
      <c r="K1778" s="455">
        <f t="shared" ca="1" si="113"/>
        <v>-2514822.7271695491</v>
      </c>
      <c r="L1778" s="455">
        <f t="shared" ca="1" si="114"/>
        <v>-606072277.24786127</v>
      </c>
      <c r="M1778" s="471">
        <f t="shared" si="116"/>
        <v>0.05</v>
      </c>
      <c r="N1778" s="475">
        <f t="shared" si="117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15"/>
        <v>-606072277.24786127</v>
      </c>
      <c r="J1779" s="455">
        <f t="array" ref="J1779">IFERROR(INDEX('Retirement Calculator'!K:K,MATCH('Lorri 401b'!N1779,'Retirement Calculator'!A:A,0),0),0)</f>
        <v>0</v>
      </c>
      <c r="K1779" s="455">
        <f t="shared" ca="1" si="113"/>
        <v>-2525301.155199422</v>
      </c>
      <c r="L1779" s="455">
        <f t="shared" ca="1" si="114"/>
        <v>-608597578.40306067</v>
      </c>
      <c r="M1779" s="471">
        <f t="shared" si="116"/>
        <v>0.05</v>
      </c>
      <c r="N1779" s="475">
        <f t="shared" si="117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15"/>
        <v>-608597578.40306067</v>
      </c>
      <c r="J1780" s="455">
        <f t="array" ref="J1780">IFERROR(INDEX('Retirement Calculator'!K:K,MATCH('Lorri 401b'!N1780,'Retirement Calculator'!A:A,0),0),0)</f>
        <v>0</v>
      </c>
      <c r="K1780" s="455">
        <f t="shared" ca="1" si="113"/>
        <v>-2535823.2433460862</v>
      </c>
      <c r="L1780" s="455">
        <f t="shared" ca="1" si="114"/>
        <v>-611133401.64640677</v>
      </c>
      <c r="M1780" s="471">
        <f t="shared" si="116"/>
        <v>0.05</v>
      </c>
      <c r="N1780" s="475">
        <f t="shared" si="117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15"/>
        <v>-611133401.64640677</v>
      </c>
      <c r="J1781" s="455">
        <f t="array" ref="J1781">IFERROR(INDEX('Retirement Calculator'!K:K,MATCH('Lorri 401b'!N1781,'Retirement Calculator'!A:A,0),0),0)</f>
        <v>0</v>
      </c>
      <c r="K1781" s="455">
        <f t="shared" ca="1" si="113"/>
        <v>-2546389.173526695</v>
      </c>
      <c r="L1781" s="455">
        <f t="shared" ca="1" si="114"/>
        <v>-613679790.81993341</v>
      </c>
      <c r="M1781" s="471">
        <f t="shared" si="116"/>
        <v>0.05</v>
      </c>
      <c r="N1781" s="475">
        <f t="shared" si="117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15"/>
        <v>-613679790.81993341</v>
      </c>
      <c r="J1782" s="455">
        <f t="array" ref="J1782">IFERROR(INDEX('Retirement Calculator'!K:K,MATCH('Lorri 401b'!N1782,'Retirement Calculator'!A:A,0),0),0)</f>
        <v>0</v>
      </c>
      <c r="K1782" s="455">
        <f t="shared" ca="1" si="113"/>
        <v>-2556999.1284163892</v>
      </c>
      <c r="L1782" s="455">
        <f t="shared" ca="1" si="114"/>
        <v>-616236789.94834983</v>
      </c>
      <c r="M1782" s="471">
        <f t="shared" si="116"/>
        <v>0.05</v>
      </c>
      <c r="N1782" s="475">
        <f t="shared" si="117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15"/>
        <v>-616236789.94834983</v>
      </c>
      <c r="J1783" s="455">
        <f t="array" ref="J1783">IFERROR(INDEX('Retirement Calculator'!K:K,MATCH('Lorri 401b'!N1783,'Retirement Calculator'!A:A,0),0),0)</f>
        <v>0</v>
      </c>
      <c r="K1783" s="455">
        <f t="shared" ca="1" si="113"/>
        <v>-2567653.2914514574</v>
      </c>
      <c r="L1783" s="455">
        <f t="shared" ca="1" si="114"/>
        <v>-618804443.23980129</v>
      </c>
      <c r="M1783" s="471">
        <f t="shared" si="116"/>
        <v>0.05</v>
      </c>
      <c r="N1783" s="475">
        <f t="shared" si="117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15"/>
        <v>-618804443.23980129</v>
      </c>
      <c r="J1784" s="455">
        <f t="array" ref="J1784">IFERROR(INDEX('Retirement Calculator'!K:K,MATCH('Lorri 401b'!N1784,'Retirement Calculator'!A:A,0),0),0)</f>
        <v>0</v>
      </c>
      <c r="K1784" s="455">
        <f t="shared" ca="1" si="113"/>
        <v>-2578351.8468325054</v>
      </c>
      <c r="L1784" s="455">
        <f t="shared" ca="1" si="114"/>
        <v>-621382795.0866338</v>
      </c>
      <c r="M1784" s="471">
        <f t="shared" si="116"/>
        <v>0.05</v>
      </c>
      <c r="N1784" s="475">
        <f t="shared" si="117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15"/>
        <v>-621382795.0866338</v>
      </c>
      <c r="J1785" s="455">
        <f t="array" ref="J1785">IFERROR(INDEX('Retirement Calculator'!K:K,MATCH('Lorri 401b'!N1785,'Retirement Calculator'!A:A,0),0),0)</f>
        <v>0</v>
      </c>
      <c r="K1785" s="455">
        <f t="shared" ca="1" si="113"/>
        <v>-2589094.9795276406</v>
      </c>
      <c r="L1785" s="455">
        <f t="shared" ca="1" si="114"/>
        <v>-623971890.06616139</v>
      </c>
      <c r="M1785" s="471">
        <f t="shared" si="116"/>
        <v>0.05</v>
      </c>
      <c r="N1785" s="475">
        <f t="shared" si="117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15"/>
        <v>-623971890.06616139</v>
      </c>
      <c r="J1786" s="455">
        <f t="array" ref="J1786">IFERROR(INDEX('Retirement Calculator'!K:K,MATCH('Lorri 401b'!N1786,'Retirement Calculator'!A:A,0),0),0)</f>
        <v>0</v>
      </c>
      <c r="K1786" s="455">
        <f t="shared" ca="1" si="113"/>
        <v>-2599882.8752756724</v>
      </c>
      <c r="L1786" s="455">
        <f t="shared" ca="1" si="114"/>
        <v>-626571772.94143713</v>
      </c>
      <c r="M1786" s="471">
        <f t="shared" si="116"/>
        <v>0.05</v>
      </c>
      <c r="N1786" s="475">
        <f t="shared" si="117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15"/>
        <v>-626571772.94143713</v>
      </c>
      <c r="J1787" s="455">
        <f t="array" ref="J1787">IFERROR(INDEX('Retirement Calculator'!K:K,MATCH('Lorri 401b'!N1787,'Retirement Calculator'!A:A,0),0),0)</f>
        <v>0</v>
      </c>
      <c r="K1787" s="455">
        <f t="shared" ca="1" si="113"/>
        <v>-2610715.7205893211</v>
      </c>
      <c r="L1787" s="455">
        <f t="shared" ca="1" si="114"/>
        <v>-629182488.66202641</v>
      </c>
      <c r="M1787" s="471">
        <f t="shared" si="116"/>
        <v>0.05</v>
      </c>
      <c r="N1787" s="475">
        <f t="shared" si="117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15"/>
        <v>-629182488.66202641</v>
      </c>
      <c r="J1788" s="455">
        <f t="array" ref="J1788">IFERROR(INDEX('Retirement Calculator'!K:K,MATCH('Lorri 401b'!N1788,'Retirement Calculator'!A:A,0),0),0)</f>
        <v>0</v>
      </c>
      <c r="K1788" s="455">
        <f t="shared" ca="1" si="113"/>
        <v>-2621593.7027584435</v>
      </c>
      <c r="L1788" s="455">
        <f t="shared" ca="1" si="114"/>
        <v>-631804082.36478484</v>
      </c>
      <c r="M1788" s="471">
        <f t="shared" si="116"/>
        <v>0.05</v>
      </c>
      <c r="N1788" s="475">
        <f t="shared" si="117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15"/>
        <v>-631804082.36478484</v>
      </c>
      <c r="J1789" s="455">
        <f t="array" ref="J1789">IFERROR(INDEX('Retirement Calculator'!K:K,MATCH('Lorri 401b'!N1789,'Retirement Calculator'!A:A,0),0),0)</f>
        <v>0</v>
      </c>
      <c r="K1789" s="455">
        <f t="shared" ca="1" si="113"/>
        <v>-2632517.0098532699</v>
      </c>
      <c r="L1789" s="455">
        <f t="shared" ca="1" si="114"/>
        <v>-634436599.37463808</v>
      </c>
      <c r="M1789" s="471">
        <f t="shared" si="116"/>
        <v>0.05</v>
      </c>
      <c r="N1789" s="475">
        <f t="shared" si="117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15"/>
        <v>-634436599.37463808</v>
      </c>
      <c r="J1790" s="455">
        <f t="array" ref="J1790">IFERROR(INDEX('Retirement Calculator'!K:K,MATCH('Lorri 401b'!N1790,'Retirement Calculator'!A:A,0),0),0)</f>
        <v>0</v>
      </c>
      <c r="K1790" s="455">
        <f t="shared" ca="1" si="113"/>
        <v>-2643485.8307276587</v>
      </c>
      <c r="L1790" s="455">
        <f t="shared" ca="1" si="114"/>
        <v>-637080085.20536578</v>
      </c>
      <c r="M1790" s="471">
        <f t="shared" si="116"/>
        <v>0.05</v>
      </c>
      <c r="N1790" s="475">
        <f t="shared" si="117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15"/>
        <v>-637080085.20536578</v>
      </c>
      <c r="J1791" s="455">
        <f t="array" ref="J1791">IFERROR(INDEX('Retirement Calculator'!K:K,MATCH('Lorri 401b'!N1791,'Retirement Calculator'!A:A,0),0),0)</f>
        <v>0</v>
      </c>
      <c r="K1791" s="455">
        <f t="shared" ca="1" si="113"/>
        <v>-2654500.3550223573</v>
      </c>
      <c r="L1791" s="455">
        <f t="shared" ca="1" si="114"/>
        <v>-639734585.56038809</v>
      </c>
      <c r="M1791" s="471">
        <f t="shared" si="116"/>
        <v>0.05</v>
      </c>
      <c r="N1791" s="475">
        <f t="shared" si="117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15"/>
        <v>-639734585.56038809</v>
      </c>
      <c r="J1792" s="455">
        <f t="array" ref="J1792">IFERROR(INDEX('Retirement Calculator'!K:K,MATCH('Lorri 401b'!N1792,'Retirement Calculator'!A:A,0),0),0)</f>
        <v>0</v>
      </c>
      <c r="K1792" s="455">
        <f t="shared" ca="1" si="113"/>
        <v>-2665560.7731682835</v>
      </c>
      <c r="L1792" s="455">
        <f t="shared" ca="1" si="114"/>
        <v>-642400146.33355641</v>
      </c>
      <c r="M1792" s="471">
        <f t="shared" si="116"/>
        <v>0.05</v>
      </c>
      <c r="N1792" s="475">
        <f t="shared" si="117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15"/>
        <v>-642400146.33355641</v>
      </c>
      <c r="J1793" s="455">
        <f t="array" ref="J1793">IFERROR(INDEX('Retirement Calculator'!K:K,MATCH('Lorri 401b'!N1793,'Retirement Calculator'!A:A,0),0),0)</f>
        <v>0</v>
      </c>
      <c r="K1793" s="455">
        <f t="shared" ref="K1793:K2047" ca="1" si="118">IPMT(M1793/12,1,12,-I1793+J1793,,0)</f>
        <v>-2676667.2763898182</v>
      </c>
      <c r="L1793" s="455">
        <f t="shared" ref="L1793:L2047" ca="1" si="119">I1793-J1793+K1793</f>
        <v>-645076813.60994625</v>
      </c>
      <c r="M1793" s="471">
        <f t="shared" si="116"/>
        <v>0.05</v>
      </c>
      <c r="N1793" s="475">
        <f t="shared" si="117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20">L1793</f>
        <v>-645076813.60994625</v>
      </c>
      <c r="J1794" s="455">
        <f t="array" ref="J1794">IFERROR(INDEX('Retirement Calculator'!K:K,MATCH('Lorri 401b'!N1794,'Retirement Calculator'!A:A,0),0),0)</f>
        <v>0</v>
      </c>
      <c r="K1794" s="455">
        <f t="shared" ca="1" si="118"/>
        <v>-2687820.0567081096</v>
      </c>
      <c r="L1794" s="455">
        <f t="shared" ca="1" si="119"/>
        <v>-647764633.66665435</v>
      </c>
      <c r="M1794" s="471">
        <f t="shared" ref="M1794:M2048" si="121">M1793</f>
        <v>0.05</v>
      </c>
      <c r="N1794" s="475">
        <f t="shared" ref="N1794:N2048" si="122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20"/>
        <v>-647764633.66665435</v>
      </c>
      <c r="J1795" s="455">
        <f t="array" ref="J1795">IFERROR(INDEX('Retirement Calculator'!K:K,MATCH('Lorri 401b'!N1795,'Retirement Calculator'!A:A,0),0),0)</f>
        <v>0</v>
      </c>
      <c r="K1795" s="455">
        <f t="shared" ca="1" si="118"/>
        <v>-2699019.3069443931</v>
      </c>
      <c r="L1795" s="455">
        <f t="shared" ca="1" si="119"/>
        <v>-650463652.97359872</v>
      </c>
      <c r="M1795" s="471">
        <f t="shared" si="121"/>
        <v>0.05</v>
      </c>
      <c r="N1795" s="475">
        <f t="shared" si="122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20"/>
        <v>-650463652.97359872</v>
      </c>
      <c r="J1796" s="455">
        <f t="array" ref="J1796">IFERROR(INDEX('Retirement Calculator'!K:K,MATCH('Lorri 401b'!N1796,'Retirement Calculator'!A:A,0),0),0)</f>
        <v>0</v>
      </c>
      <c r="K1796" s="455">
        <f t="shared" ca="1" si="118"/>
        <v>-2710265.2207233282</v>
      </c>
      <c r="L1796" s="455">
        <f t="shared" ca="1" si="119"/>
        <v>-653173918.19432199</v>
      </c>
      <c r="M1796" s="471">
        <f t="shared" si="121"/>
        <v>0.05</v>
      </c>
      <c r="N1796" s="475">
        <f t="shared" si="122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20"/>
        <v>-653173918.19432199</v>
      </c>
      <c r="J1797" s="455">
        <f t="array" ref="J1797">IFERROR(INDEX('Retirement Calculator'!K:K,MATCH('Lorri 401b'!N1797,'Retirement Calculator'!A:A,0),0),0)</f>
        <v>0</v>
      </c>
      <c r="K1797" s="455">
        <f t="shared" ca="1" si="118"/>
        <v>-2721557.9924763418</v>
      </c>
      <c r="L1797" s="455">
        <f t="shared" ca="1" si="119"/>
        <v>-655895476.18679833</v>
      </c>
      <c r="M1797" s="471">
        <f t="shared" si="121"/>
        <v>0.05</v>
      </c>
      <c r="N1797" s="475">
        <f t="shared" si="122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20"/>
        <v>-655895476.18679833</v>
      </c>
      <c r="J1798" s="455">
        <f t="array" ref="J1798">IFERROR(INDEX('Retirement Calculator'!K:K,MATCH('Lorri 401b'!N1798,'Retirement Calculator'!A:A,0),0),0)</f>
        <v>0</v>
      </c>
      <c r="K1798" s="455">
        <f t="shared" ca="1" si="118"/>
        <v>-2732897.8174449932</v>
      </c>
      <c r="L1798" s="455">
        <f t="shared" ca="1" si="119"/>
        <v>-658628374.00424337</v>
      </c>
      <c r="M1798" s="471">
        <f t="shared" si="121"/>
        <v>0.05</v>
      </c>
      <c r="N1798" s="475">
        <f t="shared" si="122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20"/>
        <v>-658628374.00424337</v>
      </c>
      <c r="J1799" s="455">
        <f t="array" ref="J1799">IFERROR(INDEX('Retirement Calculator'!K:K,MATCH('Lorri 401b'!N1799,'Retirement Calculator'!A:A,0),0),0)</f>
        <v>0</v>
      </c>
      <c r="K1799" s="455">
        <f t="shared" ca="1" si="118"/>
        <v>-2744284.8916843473</v>
      </c>
      <c r="L1799" s="455">
        <f t="shared" ca="1" si="119"/>
        <v>-661372658.89592767</v>
      </c>
      <c r="M1799" s="471">
        <f t="shared" si="121"/>
        <v>0.05</v>
      </c>
      <c r="N1799" s="475">
        <f t="shared" si="122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20"/>
        <v>-661372658.89592767</v>
      </c>
      <c r="J1800" s="455">
        <f t="array" ref="J1800">IFERROR(INDEX('Retirement Calculator'!K:K,MATCH('Lorri 401b'!N1800,'Retirement Calculator'!A:A,0),0),0)</f>
        <v>0</v>
      </c>
      <c r="K1800" s="455">
        <f t="shared" ca="1" si="118"/>
        <v>-2755719.4120663651</v>
      </c>
      <c r="L1800" s="455">
        <f t="shared" ca="1" si="119"/>
        <v>-664128378.30799401</v>
      </c>
      <c r="M1800" s="471">
        <f t="shared" si="121"/>
        <v>0.05</v>
      </c>
      <c r="N1800" s="475">
        <f t="shared" si="122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20"/>
        <v>-664128378.30799401</v>
      </c>
      <c r="J1801" s="455">
        <f t="array" ref="J1801">IFERROR(INDEX('Retirement Calculator'!K:K,MATCH('Lorri 401b'!N1801,'Retirement Calculator'!A:A,0),0),0)</f>
        <v>0</v>
      </c>
      <c r="K1801" s="455">
        <f t="shared" ca="1" si="118"/>
        <v>-2767201.5762833082</v>
      </c>
      <c r="L1801" s="455">
        <f t="shared" ca="1" si="119"/>
        <v>-666895579.88427734</v>
      </c>
      <c r="M1801" s="471">
        <f t="shared" si="121"/>
        <v>0.05</v>
      </c>
      <c r="N1801" s="475">
        <f t="shared" si="122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20"/>
        <v>-666895579.88427734</v>
      </c>
      <c r="J1802" s="455">
        <f t="array" ref="J1802">IFERROR(INDEX('Retirement Calculator'!K:K,MATCH('Lorri 401b'!N1802,'Retirement Calculator'!A:A,0),0),0)</f>
        <v>0</v>
      </c>
      <c r="K1802" s="455">
        <f t="shared" ca="1" si="118"/>
        <v>-2778731.5828511557</v>
      </c>
      <c r="L1802" s="455">
        <f t="shared" ca="1" si="119"/>
        <v>-669674311.46712852</v>
      </c>
      <c r="M1802" s="471">
        <f t="shared" si="121"/>
        <v>0.05</v>
      </c>
      <c r="N1802" s="475">
        <f t="shared" si="122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20"/>
        <v>-669674311.46712852</v>
      </c>
      <c r="J1803" s="455">
        <f t="array" ref="J1803">IFERROR(INDEX('Retirement Calculator'!K:K,MATCH('Lorri 401b'!N1803,'Retirement Calculator'!A:A,0),0),0)</f>
        <v>0</v>
      </c>
      <c r="K1803" s="455">
        <f t="shared" ca="1" si="118"/>
        <v>-2790309.6311130356</v>
      </c>
      <c r="L1803" s="455">
        <f t="shared" ca="1" si="119"/>
        <v>-672464621.09824157</v>
      </c>
      <c r="M1803" s="471">
        <f t="shared" si="121"/>
        <v>0.05</v>
      </c>
      <c r="N1803" s="475">
        <f t="shared" si="122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20"/>
        <v>-672464621.09824157</v>
      </c>
      <c r="J1804" s="455">
        <f t="array" ref="J1804">IFERROR(INDEX('Retirement Calculator'!K:K,MATCH('Lorri 401b'!N1804,'Retirement Calculator'!A:A,0),0),0)</f>
        <v>0</v>
      </c>
      <c r="K1804" s="455">
        <f t="shared" ca="1" si="118"/>
        <v>-2801935.921242673</v>
      </c>
      <c r="L1804" s="455">
        <f t="shared" ca="1" si="119"/>
        <v>-675266557.01948428</v>
      </c>
      <c r="M1804" s="471">
        <f t="shared" si="121"/>
        <v>0.05</v>
      </c>
      <c r="N1804" s="475">
        <f t="shared" si="122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20"/>
        <v>-675266557.01948428</v>
      </c>
      <c r="J1805" s="455">
        <f t="array" ref="J1805">IFERROR(INDEX('Retirement Calculator'!K:K,MATCH('Lorri 401b'!N1805,'Retirement Calculator'!A:A,0),0),0)</f>
        <v>0</v>
      </c>
      <c r="K1805" s="455">
        <f t="shared" ca="1" si="118"/>
        <v>-2813610.6542478511</v>
      </c>
      <c r="L1805" s="455">
        <f t="shared" ca="1" si="119"/>
        <v>-678080167.67373216</v>
      </c>
      <c r="M1805" s="471">
        <f t="shared" si="121"/>
        <v>0.05</v>
      </c>
      <c r="N1805" s="475">
        <f t="shared" si="122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20"/>
        <v>-678080167.67373216</v>
      </c>
      <c r="J1806" s="455">
        <f t="array" ref="J1806">IFERROR(INDEX('Retirement Calculator'!K:K,MATCH('Lorri 401b'!N1806,'Retirement Calculator'!A:A,0),0),0)</f>
        <v>0</v>
      </c>
      <c r="K1806" s="455">
        <f t="shared" ca="1" si="118"/>
        <v>-2825334.031973884</v>
      </c>
      <c r="L1806" s="455">
        <f t="shared" ca="1" si="119"/>
        <v>-680905501.705706</v>
      </c>
      <c r="M1806" s="471">
        <f t="shared" si="121"/>
        <v>0.05</v>
      </c>
      <c r="N1806" s="475">
        <f t="shared" si="122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20"/>
        <v>-680905501.705706</v>
      </c>
      <c r="J1807" s="455">
        <f t="array" ref="J1807">IFERROR(INDEX('Retirement Calculator'!K:K,MATCH('Lorri 401b'!N1807,'Retirement Calculator'!A:A,0),0),0)</f>
        <v>0</v>
      </c>
      <c r="K1807" s="455">
        <f t="shared" ca="1" si="118"/>
        <v>-2837106.2571071084</v>
      </c>
      <c r="L1807" s="455">
        <f t="shared" ca="1" si="119"/>
        <v>-683742607.96281314</v>
      </c>
      <c r="M1807" s="471">
        <f t="shared" si="121"/>
        <v>0.05</v>
      </c>
      <c r="N1807" s="475">
        <f t="shared" si="122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20"/>
        <v>-683742607.96281314</v>
      </c>
      <c r="J1808" s="455">
        <f t="array" ref="J1808">IFERROR(INDEX('Retirement Calculator'!K:K,MATCH('Lorri 401b'!N1808,'Retirement Calculator'!A:A,0),0),0)</f>
        <v>0</v>
      </c>
      <c r="K1808" s="455">
        <f t="shared" ca="1" si="118"/>
        <v>-2848927.5331783881</v>
      </c>
      <c r="L1808" s="455">
        <f t="shared" ca="1" si="119"/>
        <v>-686591535.49599147</v>
      </c>
      <c r="M1808" s="471">
        <f t="shared" si="121"/>
        <v>0.05</v>
      </c>
      <c r="N1808" s="475">
        <f t="shared" si="122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20"/>
        <v>-686591535.49599147</v>
      </c>
      <c r="J1809" s="455">
        <f t="array" ref="J1809">IFERROR(INDEX('Retirement Calculator'!K:K,MATCH('Lorri 401b'!N1809,'Retirement Calculator'!A:A,0),0),0)</f>
        <v>0</v>
      </c>
      <c r="K1809" s="455">
        <f t="shared" ca="1" si="118"/>
        <v>-2860798.0645666309</v>
      </c>
      <c r="L1809" s="455">
        <f t="shared" ca="1" si="119"/>
        <v>-689452333.56055808</v>
      </c>
      <c r="M1809" s="471">
        <f t="shared" si="121"/>
        <v>0.05</v>
      </c>
      <c r="N1809" s="475">
        <f t="shared" si="122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20"/>
        <v>-689452333.56055808</v>
      </c>
      <c r="J1810" s="455">
        <f t="array" ref="J1810">IFERROR(INDEX('Retirement Calculator'!K:K,MATCH('Lorri 401b'!N1810,'Retirement Calculator'!A:A,0),0),0)</f>
        <v>0</v>
      </c>
      <c r="K1810" s="455">
        <f t="shared" ca="1" si="118"/>
        <v>-2872718.0565023255</v>
      </c>
      <c r="L1810" s="455">
        <f t="shared" ca="1" si="119"/>
        <v>-692325051.61706042</v>
      </c>
      <c r="M1810" s="471">
        <f t="shared" si="121"/>
        <v>0.05</v>
      </c>
      <c r="N1810" s="475">
        <f t="shared" si="122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20"/>
        <v>-692325051.61706042</v>
      </c>
      <c r="J1811" s="455">
        <f t="array" ref="J1811">IFERROR(INDEX('Retirement Calculator'!K:K,MATCH('Lorri 401b'!N1811,'Retirement Calculator'!A:A,0),0),0)</f>
        <v>0</v>
      </c>
      <c r="K1811" s="455">
        <f t="shared" ca="1" si="118"/>
        <v>-2884687.7150710849</v>
      </c>
      <c r="L1811" s="455">
        <f t="shared" ca="1" si="119"/>
        <v>-695209739.33213151</v>
      </c>
      <c r="M1811" s="471">
        <f t="shared" si="121"/>
        <v>0.05</v>
      </c>
      <c r="N1811" s="475">
        <f t="shared" si="122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20"/>
        <v>-695209739.33213151</v>
      </c>
      <c r="J1812" s="455">
        <f t="array" ref="J1812">IFERROR(INDEX('Retirement Calculator'!K:K,MATCH('Lorri 401b'!N1812,'Retirement Calculator'!A:A,0),0),0)</f>
        <v>0</v>
      </c>
      <c r="K1812" s="455">
        <f t="shared" ca="1" si="118"/>
        <v>-2896707.2472172147</v>
      </c>
      <c r="L1812" s="455">
        <f t="shared" ca="1" si="119"/>
        <v>-698106446.57934868</v>
      </c>
      <c r="M1812" s="471">
        <f t="shared" si="121"/>
        <v>0.05</v>
      </c>
      <c r="N1812" s="475">
        <f t="shared" si="122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20"/>
        <v>-698106446.57934868</v>
      </c>
      <c r="J1813" s="455">
        <f t="array" ref="J1813">IFERROR(INDEX('Retirement Calculator'!K:K,MATCH('Lorri 401b'!N1813,'Retirement Calculator'!A:A,0),0),0)</f>
        <v>0</v>
      </c>
      <c r="K1813" s="455">
        <f t="shared" ca="1" si="118"/>
        <v>-2908776.8607472861</v>
      </c>
      <c r="L1813" s="455">
        <f t="shared" ca="1" si="119"/>
        <v>-701015223.44009602</v>
      </c>
      <c r="M1813" s="471">
        <f t="shared" si="121"/>
        <v>0.05</v>
      </c>
      <c r="N1813" s="475">
        <f t="shared" si="122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20"/>
        <v>-701015223.44009602</v>
      </c>
      <c r="J1814" s="455">
        <f t="array" ref="J1814">IFERROR(INDEX('Retirement Calculator'!K:K,MATCH('Lorri 401b'!N1814,'Retirement Calculator'!A:A,0),0),0)</f>
        <v>0</v>
      </c>
      <c r="K1814" s="455">
        <f t="shared" ca="1" si="118"/>
        <v>-2920896.7643337334</v>
      </c>
      <c r="L1814" s="455">
        <f t="shared" ca="1" si="119"/>
        <v>-703936120.20442975</v>
      </c>
      <c r="M1814" s="471">
        <f t="shared" si="121"/>
        <v>0.05</v>
      </c>
      <c r="N1814" s="475">
        <f t="shared" si="122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20"/>
        <v>-703936120.20442975</v>
      </c>
      <c r="J1815" s="455">
        <f t="array" ref="J1815">IFERROR(INDEX('Retirement Calculator'!K:K,MATCH('Lorri 401b'!N1815,'Retirement Calculator'!A:A,0),0),0)</f>
        <v>0</v>
      </c>
      <c r="K1815" s="455">
        <f t="shared" ca="1" si="118"/>
        <v>-2933067.1675184574</v>
      </c>
      <c r="L1815" s="455">
        <f t="shared" ca="1" si="119"/>
        <v>-706869187.37194824</v>
      </c>
      <c r="M1815" s="471">
        <f t="shared" si="121"/>
        <v>0.05</v>
      </c>
      <c r="N1815" s="475">
        <f t="shared" si="122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20"/>
        <v>-706869187.37194824</v>
      </c>
      <c r="J1816" s="455">
        <f t="array" ref="J1816">IFERROR(INDEX('Retirement Calculator'!K:K,MATCH('Lorri 401b'!N1816,'Retirement Calculator'!A:A,0),0),0)</f>
        <v>0</v>
      </c>
      <c r="K1816" s="455">
        <f t="shared" ca="1" si="118"/>
        <v>-2945288.2807164509</v>
      </c>
      <c r="L1816" s="455">
        <f t="shared" ca="1" si="119"/>
        <v>-709814475.65266466</v>
      </c>
      <c r="M1816" s="471">
        <f t="shared" si="121"/>
        <v>0.05</v>
      </c>
      <c r="N1816" s="475">
        <f t="shared" si="122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20"/>
        <v>-709814475.65266466</v>
      </c>
      <c r="J1817" s="455">
        <f t="array" ref="J1817">IFERROR(INDEX('Retirement Calculator'!K:K,MATCH('Lorri 401b'!N1817,'Retirement Calculator'!A:A,0),0),0)</f>
        <v>0</v>
      </c>
      <c r="K1817" s="455">
        <f t="shared" ca="1" si="118"/>
        <v>-2957560.3152194358</v>
      </c>
      <c r="L1817" s="455">
        <f t="shared" ca="1" si="119"/>
        <v>-712772035.96788406</v>
      </c>
      <c r="M1817" s="471">
        <f t="shared" si="121"/>
        <v>0.05</v>
      </c>
      <c r="N1817" s="475">
        <f t="shared" si="122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20"/>
        <v>-712772035.96788406</v>
      </c>
      <c r="J1818" s="455">
        <f t="array" ref="J1818">IFERROR(INDEX('Retirement Calculator'!K:K,MATCH('Lorri 401b'!N1818,'Retirement Calculator'!A:A,0),0),0)</f>
        <v>0</v>
      </c>
      <c r="K1818" s="455">
        <f t="shared" ca="1" si="118"/>
        <v>-2969883.4831995168</v>
      </c>
      <c r="L1818" s="455">
        <f t="shared" ca="1" si="119"/>
        <v>-715741919.45108354</v>
      </c>
      <c r="M1818" s="471">
        <f t="shared" si="121"/>
        <v>0.05</v>
      </c>
      <c r="N1818" s="475">
        <f t="shared" si="122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20"/>
        <v>-715741919.45108354</v>
      </c>
      <c r="J1819" s="455">
        <f t="array" ref="J1819">IFERROR(INDEX('Retirement Calculator'!K:K,MATCH('Lorri 401b'!N1819,'Retirement Calculator'!A:A,0),0),0)</f>
        <v>0</v>
      </c>
      <c r="K1819" s="455">
        <f t="shared" ca="1" si="118"/>
        <v>-2982257.9977128482</v>
      </c>
      <c r="L1819" s="455">
        <f t="shared" ca="1" si="119"/>
        <v>-718724177.44879639</v>
      </c>
      <c r="M1819" s="471">
        <f t="shared" si="121"/>
        <v>0.05</v>
      </c>
      <c r="N1819" s="475">
        <f t="shared" si="122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20"/>
        <v>-718724177.44879639</v>
      </c>
      <c r="J1820" s="455">
        <f t="array" ref="J1820">IFERROR(INDEX('Retirement Calculator'!K:K,MATCH('Lorri 401b'!N1820,'Retirement Calculator'!A:A,0),0),0)</f>
        <v>0</v>
      </c>
      <c r="K1820" s="455">
        <f t="shared" ca="1" si="118"/>
        <v>-2994684.0727033182</v>
      </c>
      <c r="L1820" s="455">
        <f t="shared" ca="1" si="119"/>
        <v>-721718861.52149975</v>
      </c>
      <c r="M1820" s="471">
        <f t="shared" si="121"/>
        <v>0.05</v>
      </c>
      <c r="N1820" s="475">
        <f t="shared" si="122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20"/>
        <v>-721718861.52149975</v>
      </c>
      <c r="J1821" s="455">
        <f t="array" ref="J1821">IFERROR(INDEX('Retirement Calculator'!K:K,MATCH('Lorri 401b'!N1821,'Retirement Calculator'!A:A,0),0),0)</f>
        <v>0</v>
      </c>
      <c r="K1821" s="455">
        <f t="shared" ca="1" si="118"/>
        <v>-3007161.9230062491</v>
      </c>
      <c r="L1821" s="455">
        <f t="shared" ca="1" si="119"/>
        <v>-724726023.44450605</v>
      </c>
      <c r="M1821" s="471">
        <f t="shared" si="121"/>
        <v>0.05</v>
      </c>
      <c r="N1821" s="475">
        <f t="shared" si="122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20"/>
        <v>-724726023.44450605</v>
      </c>
      <c r="J1822" s="455">
        <f t="array" ref="J1822">IFERROR(INDEX('Retirement Calculator'!K:K,MATCH('Lorri 401b'!N1822,'Retirement Calculator'!A:A,0),0),0)</f>
        <v>0</v>
      </c>
      <c r="K1822" s="455">
        <f t="shared" ca="1" si="118"/>
        <v>-3019691.7643521084</v>
      </c>
      <c r="L1822" s="455">
        <f t="shared" ca="1" si="119"/>
        <v>-727745715.20885813</v>
      </c>
      <c r="M1822" s="471">
        <f t="shared" si="121"/>
        <v>0.05</v>
      </c>
      <c r="N1822" s="475">
        <f t="shared" si="122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20"/>
        <v>-727745715.20885813</v>
      </c>
      <c r="J1823" s="455">
        <f t="array" ref="J1823">IFERROR(INDEX('Retirement Calculator'!K:K,MATCH('Lorri 401b'!N1823,'Retirement Calculator'!A:A,0),0),0)</f>
        <v>0</v>
      </c>
      <c r="K1823" s="455">
        <f t="shared" ca="1" si="118"/>
        <v>-3032273.8133702422</v>
      </c>
      <c r="L1823" s="455">
        <f t="shared" ca="1" si="119"/>
        <v>-730777989.02222836</v>
      </c>
      <c r="M1823" s="471">
        <f t="shared" si="121"/>
        <v>0.05</v>
      </c>
      <c r="N1823" s="475">
        <f t="shared" si="122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20"/>
        <v>-730777989.02222836</v>
      </c>
      <c r="J1824" s="455">
        <f t="array" ref="J1824">IFERROR(INDEX('Retirement Calculator'!K:K,MATCH('Lorri 401b'!N1824,'Retirement Calculator'!A:A,0),0),0)</f>
        <v>0</v>
      </c>
      <c r="K1824" s="455">
        <f t="shared" ca="1" si="118"/>
        <v>-3044908.2875926183</v>
      </c>
      <c r="L1824" s="455">
        <f t="shared" ca="1" si="119"/>
        <v>-733822897.30982101</v>
      </c>
      <c r="M1824" s="471">
        <f t="shared" si="121"/>
        <v>0.05</v>
      </c>
      <c r="N1824" s="475">
        <f t="shared" si="122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20"/>
        <v>-733822897.30982101</v>
      </c>
      <c r="J1825" s="455">
        <f t="array" ref="J1825">IFERROR(INDEX('Retirement Calculator'!K:K,MATCH('Lorri 401b'!N1825,'Retirement Calculator'!A:A,0),0),0)</f>
        <v>0</v>
      </c>
      <c r="K1825" s="455">
        <f t="shared" ca="1" si="118"/>
        <v>-3057595.4054575874</v>
      </c>
      <c r="L1825" s="455">
        <f t="shared" ca="1" si="119"/>
        <v>-736880492.71527863</v>
      </c>
      <c r="M1825" s="471">
        <f t="shared" si="121"/>
        <v>0.05</v>
      </c>
      <c r="N1825" s="475">
        <f t="shared" si="122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20"/>
        <v>-736880492.71527863</v>
      </c>
      <c r="J1826" s="455">
        <f t="array" ref="J1826">IFERROR(INDEX('Retirement Calculator'!K:K,MATCH('Lorri 401b'!N1826,'Retirement Calculator'!A:A,0),0),0)</f>
        <v>0</v>
      </c>
      <c r="K1826" s="455">
        <f t="shared" ca="1" si="118"/>
        <v>-3070335.386313661</v>
      </c>
      <c r="L1826" s="455">
        <f t="shared" ca="1" si="119"/>
        <v>-739950828.1015923</v>
      </c>
      <c r="M1826" s="471">
        <f t="shared" si="121"/>
        <v>0.05</v>
      </c>
      <c r="N1826" s="475">
        <f t="shared" si="122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20"/>
        <v>-739950828.1015923</v>
      </c>
      <c r="J1827" s="455">
        <f t="array" ref="J1827">IFERROR(INDEX('Retirement Calculator'!K:K,MATCH('Lorri 401b'!N1827,'Retirement Calculator'!A:A,0),0),0)</f>
        <v>0</v>
      </c>
      <c r="K1827" s="455">
        <f t="shared" ca="1" si="118"/>
        <v>-3083128.4504233012</v>
      </c>
      <c r="L1827" s="455">
        <f t="shared" ca="1" si="119"/>
        <v>-743033956.55201566</v>
      </c>
      <c r="M1827" s="471">
        <f t="shared" si="121"/>
        <v>0.05</v>
      </c>
      <c r="N1827" s="475">
        <f t="shared" si="122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20"/>
        <v>-743033956.55201566</v>
      </c>
      <c r="J1828" s="455">
        <f t="array" ref="J1828">IFERROR(INDEX('Retirement Calculator'!K:K,MATCH('Lorri 401b'!N1828,'Retirement Calculator'!A:A,0),0),0)</f>
        <v>0</v>
      </c>
      <c r="K1828" s="455">
        <f t="shared" ca="1" si="118"/>
        <v>-3095974.8189667319</v>
      </c>
      <c r="L1828" s="455">
        <f t="shared" ca="1" si="119"/>
        <v>-746129931.37098241</v>
      </c>
      <c r="M1828" s="471">
        <f t="shared" si="121"/>
        <v>0.05</v>
      </c>
      <c r="N1828" s="475">
        <f t="shared" si="122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20"/>
        <v>-746129931.37098241</v>
      </c>
      <c r="J1829" s="455">
        <f t="array" ref="J1829">IFERROR(INDEX('Retirement Calculator'!K:K,MATCH('Lorri 401b'!N1829,'Retirement Calculator'!A:A,0),0),0)</f>
        <v>0</v>
      </c>
      <c r="K1829" s="455">
        <f t="shared" ca="1" si="118"/>
        <v>-3108874.7140457602</v>
      </c>
      <c r="L1829" s="455">
        <f t="shared" ca="1" si="119"/>
        <v>-749238806.08502817</v>
      </c>
      <c r="M1829" s="471">
        <f t="shared" si="121"/>
        <v>0.05</v>
      </c>
      <c r="N1829" s="475">
        <f t="shared" si="122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20"/>
        <v>-749238806.08502817</v>
      </c>
      <c r="J1830" s="455">
        <f t="array" ref="J1830">IFERROR(INDEX('Retirement Calculator'!K:K,MATCH('Lorri 401b'!N1830,'Retirement Calculator'!A:A,0),0),0)</f>
        <v>0</v>
      </c>
      <c r="K1830" s="455">
        <f t="shared" ca="1" si="118"/>
        <v>-3121828.3586876174</v>
      </c>
      <c r="L1830" s="455">
        <f t="shared" ca="1" si="119"/>
        <v>-752360634.44371581</v>
      </c>
      <c r="M1830" s="471">
        <f t="shared" si="121"/>
        <v>0.05</v>
      </c>
      <c r="N1830" s="475">
        <f t="shared" si="122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20"/>
        <v>-752360634.44371581</v>
      </c>
      <c r="J1831" s="455">
        <f t="array" ref="J1831">IFERROR(INDEX('Retirement Calculator'!K:K,MATCH('Lorri 401b'!N1831,'Retirement Calculator'!A:A,0),0),0)</f>
        <v>0</v>
      </c>
      <c r="K1831" s="455">
        <f t="shared" ca="1" si="118"/>
        <v>-3134835.976848816</v>
      </c>
      <c r="L1831" s="455">
        <f t="shared" ca="1" si="119"/>
        <v>-755495470.42056465</v>
      </c>
      <c r="M1831" s="471">
        <f t="shared" si="121"/>
        <v>0.05</v>
      </c>
      <c r="N1831" s="475">
        <f t="shared" si="122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20"/>
        <v>-755495470.42056465</v>
      </c>
      <c r="J1832" s="455">
        <f t="array" ref="J1832">IFERROR(INDEX('Retirement Calculator'!K:K,MATCH('Lorri 401b'!N1832,'Retirement Calculator'!A:A,0),0),0)</f>
        <v>0</v>
      </c>
      <c r="K1832" s="455">
        <f t="shared" ca="1" si="118"/>
        <v>-3147897.7934190193</v>
      </c>
      <c r="L1832" s="455">
        <f t="shared" ca="1" si="119"/>
        <v>-758643368.21398365</v>
      </c>
      <c r="M1832" s="471">
        <f t="shared" si="121"/>
        <v>0.05</v>
      </c>
      <c r="N1832" s="475">
        <f t="shared" si="122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20"/>
        <v>-758643368.21398365</v>
      </c>
      <c r="J1833" s="455">
        <f t="array" ref="J1833">IFERROR(INDEX('Retirement Calculator'!K:K,MATCH('Lorri 401b'!N1833,'Retirement Calculator'!A:A,0),0),0)</f>
        <v>0</v>
      </c>
      <c r="K1833" s="455">
        <f t="shared" ca="1" si="118"/>
        <v>-3161014.0342249321</v>
      </c>
      <c r="L1833" s="455">
        <f t="shared" ca="1" si="119"/>
        <v>-761804382.24820864</v>
      </c>
      <c r="M1833" s="471">
        <f t="shared" si="121"/>
        <v>0.05</v>
      </c>
      <c r="N1833" s="475">
        <f t="shared" si="122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20"/>
        <v>-761804382.24820864</v>
      </c>
      <c r="J1834" s="455">
        <f t="array" ref="J1834">IFERROR(INDEX('Retirement Calculator'!K:K,MATCH('Lorri 401b'!N1834,'Retirement Calculator'!A:A,0),0),0)</f>
        <v>0</v>
      </c>
      <c r="K1834" s="455">
        <f t="shared" ca="1" si="118"/>
        <v>-3174184.9260342028</v>
      </c>
      <c r="L1834" s="455">
        <f t="shared" ca="1" si="119"/>
        <v>-764978567.17424285</v>
      </c>
      <c r="M1834" s="471">
        <f t="shared" si="121"/>
        <v>0.05</v>
      </c>
      <c r="N1834" s="475">
        <f t="shared" si="122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20"/>
        <v>-764978567.17424285</v>
      </c>
      <c r="J1835" s="455">
        <f t="array" ref="J1835">IFERROR(INDEX('Retirement Calculator'!K:K,MATCH('Lorri 401b'!N1835,'Retirement Calculator'!A:A,0),0),0)</f>
        <v>0</v>
      </c>
      <c r="K1835" s="455">
        <f t="shared" ca="1" si="118"/>
        <v>-3187410.6965593453</v>
      </c>
      <c r="L1835" s="455">
        <f t="shared" ca="1" si="119"/>
        <v>-768165977.87080216</v>
      </c>
      <c r="M1835" s="471">
        <f t="shared" si="121"/>
        <v>0.05</v>
      </c>
      <c r="N1835" s="475">
        <f t="shared" si="122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20"/>
        <v>-768165977.87080216</v>
      </c>
      <c r="J1836" s="455">
        <f t="array" ref="J1836">IFERROR(INDEX('Retirement Calculator'!K:K,MATCH('Lorri 401b'!N1836,'Retirement Calculator'!A:A,0),0),0)</f>
        <v>0</v>
      </c>
      <c r="K1836" s="455">
        <f t="shared" ca="1" si="118"/>
        <v>-3200691.5744616757</v>
      </c>
      <c r="L1836" s="455">
        <f t="shared" ca="1" si="119"/>
        <v>-771366669.44526386</v>
      </c>
      <c r="M1836" s="471">
        <f t="shared" si="121"/>
        <v>0.05</v>
      </c>
      <c r="N1836" s="475">
        <f t="shared" si="122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20"/>
        <v>-771366669.44526386</v>
      </c>
      <c r="J1837" s="455">
        <f t="array" ref="J1837">IFERROR(INDEX('Retirement Calculator'!K:K,MATCH('Lorri 401b'!N1837,'Retirement Calculator'!A:A,0),0),0)</f>
        <v>0</v>
      </c>
      <c r="K1837" s="455">
        <f t="shared" ca="1" si="118"/>
        <v>-3214027.7893552659</v>
      </c>
      <c r="L1837" s="455">
        <f t="shared" ca="1" si="119"/>
        <v>-774580697.23461914</v>
      </c>
      <c r="M1837" s="471">
        <f t="shared" si="121"/>
        <v>0.05</v>
      </c>
      <c r="N1837" s="475">
        <f t="shared" si="122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20"/>
        <v>-774580697.23461914</v>
      </c>
      <c r="J1838" s="455">
        <f t="array" ref="J1838">IFERROR(INDEX('Retirement Calculator'!K:K,MATCH('Lorri 401b'!N1838,'Retirement Calculator'!A:A,0),0),0)</f>
        <v>0</v>
      </c>
      <c r="K1838" s="455">
        <f t="shared" ca="1" si="118"/>
        <v>-3227419.5718109133</v>
      </c>
      <c r="L1838" s="455">
        <f t="shared" ca="1" si="119"/>
        <v>-777808116.8064301</v>
      </c>
      <c r="M1838" s="471">
        <f t="shared" si="121"/>
        <v>0.05</v>
      </c>
      <c r="N1838" s="475">
        <f t="shared" si="122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20"/>
        <v>-777808116.8064301</v>
      </c>
      <c r="J1839" s="455">
        <f t="array" ref="J1839">IFERROR(INDEX('Retirement Calculator'!K:K,MATCH('Lorri 401b'!N1839,'Retirement Calculator'!A:A,0),0),0)</f>
        <v>0</v>
      </c>
      <c r="K1839" s="455">
        <f t="shared" ca="1" si="118"/>
        <v>-3240867.1533601256</v>
      </c>
      <c r="L1839" s="455">
        <f t="shared" ca="1" si="119"/>
        <v>-781048983.95979023</v>
      </c>
      <c r="M1839" s="471">
        <f t="shared" si="121"/>
        <v>0.05</v>
      </c>
      <c r="N1839" s="475">
        <f t="shared" si="122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20"/>
        <v>-781048983.95979023</v>
      </c>
      <c r="J1840" s="455">
        <f t="array" ref="J1840">IFERROR(INDEX('Retirement Calculator'!K:K,MATCH('Lorri 401b'!N1840,'Retirement Calculator'!A:A,0),0),0)</f>
        <v>0</v>
      </c>
      <c r="K1840" s="455">
        <f t="shared" ca="1" si="118"/>
        <v>-3254370.7664991259</v>
      </c>
      <c r="L1840" s="455">
        <f t="shared" ca="1" si="119"/>
        <v>-784303354.72628939</v>
      </c>
      <c r="M1840" s="471">
        <f t="shared" si="121"/>
        <v>0.05</v>
      </c>
      <c r="N1840" s="475">
        <f t="shared" si="122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20"/>
        <v>-784303354.72628939</v>
      </c>
      <c r="J1841" s="455">
        <f t="array" ref="J1841">IFERROR(INDEX('Retirement Calculator'!K:K,MATCH('Lorri 401b'!N1841,'Retirement Calculator'!A:A,0),0),0)</f>
        <v>0</v>
      </c>
      <c r="K1841" s="455">
        <f t="shared" ca="1" si="118"/>
        <v>-3267930.6446928727</v>
      </c>
      <c r="L1841" s="455">
        <f t="shared" ca="1" si="119"/>
        <v>-787571285.37098229</v>
      </c>
      <c r="M1841" s="471">
        <f t="shared" si="121"/>
        <v>0.05</v>
      </c>
      <c r="N1841" s="475">
        <f t="shared" si="122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20"/>
        <v>-787571285.37098229</v>
      </c>
      <c r="J1842" s="455">
        <f t="array" ref="J1842">IFERROR(INDEX('Retirement Calculator'!K:K,MATCH('Lorri 401b'!N1842,'Retirement Calculator'!A:A,0),0),0)</f>
        <v>0</v>
      </c>
      <c r="K1842" s="455">
        <f t="shared" ca="1" si="118"/>
        <v>-3281547.0223790929</v>
      </c>
      <c r="L1842" s="455">
        <f t="shared" ca="1" si="119"/>
        <v>-790852832.39336133</v>
      </c>
      <c r="M1842" s="471">
        <f t="shared" si="121"/>
        <v>0.05</v>
      </c>
      <c r="N1842" s="475">
        <f t="shared" si="122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20"/>
        <v>-790852832.39336133</v>
      </c>
      <c r="J1843" s="455">
        <f t="array" ref="J1843">IFERROR(INDEX('Retirement Calculator'!K:K,MATCH('Lorri 401b'!N1843,'Retirement Calculator'!A:A,0),0),0)</f>
        <v>0</v>
      </c>
      <c r="K1843" s="455">
        <f t="shared" ca="1" si="118"/>
        <v>-3295220.134972339</v>
      </c>
      <c r="L1843" s="455">
        <f t="shared" ca="1" si="119"/>
        <v>-794148052.52833366</v>
      </c>
      <c r="M1843" s="471">
        <f t="shared" si="121"/>
        <v>0.05</v>
      </c>
      <c r="N1843" s="475">
        <f t="shared" si="122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20"/>
        <v>-794148052.52833366</v>
      </c>
      <c r="J1844" s="455">
        <f t="array" ref="J1844">IFERROR(INDEX('Retirement Calculator'!K:K,MATCH('Lorri 401b'!N1844,'Retirement Calculator'!A:A,0),0),0)</f>
        <v>0</v>
      </c>
      <c r="K1844" s="455">
        <f t="shared" ca="1" si="118"/>
        <v>-3308950.2188680568</v>
      </c>
      <c r="L1844" s="455">
        <f t="shared" ca="1" si="119"/>
        <v>-797457002.74720168</v>
      </c>
      <c r="M1844" s="471">
        <f t="shared" si="121"/>
        <v>0.05</v>
      </c>
      <c r="N1844" s="475">
        <f t="shared" si="122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20"/>
        <v>-797457002.74720168</v>
      </c>
      <c r="J1845" s="455">
        <f t="array" ref="J1845">IFERROR(INDEX('Retirement Calculator'!K:K,MATCH('Lorri 401b'!N1845,'Retirement Calculator'!A:A,0),0),0)</f>
        <v>0</v>
      </c>
      <c r="K1845" s="455">
        <f t="shared" ca="1" si="118"/>
        <v>-3322737.5114466734</v>
      </c>
      <c r="L1845" s="455">
        <f t="shared" ca="1" si="119"/>
        <v>-800779740.2586484</v>
      </c>
      <c r="M1845" s="471">
        <f t="shared" si="121"/>
        <v>0.05</v>
      </c>
      <c r="N1845" s="475">
        <f t="shared" si="122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20"/>
        <v>-800779740.2586484</v>
      </c>
      <c r="J1846" s="455">
        <f t="array" ref="J1846">IFERROR(INDEX('Retirement Calculator'!K:K,MATCH('Lorri 401b'!N1846,'Retirement Calculator'!A:A,0),0),0)</f>
        <v>0</v>
      </c>
      <c r="K1846" s="455">
        <f t="shared" ca="1" si="118"/>
        <v>-3336582.2510777018</v>
      </c>
      <c r="L1846" s="455">
        <f t="shared" ca="1" si="119"/>
        <v>-804116322.50972605</v>
      </c>
      <c r="M1846" s="471">
        <f t="shared" si="121"/>
        <v>0.05</v>
      </c>
      <c r="N1846" s="475">
        <f t="shared" si="122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20"/>
        <v>-804116322.50972605</v>
      </c>
      <c r="J1847" s="455">
        <f t="array" ref="J1847">IFERROR(INDEX('Retirement Calculator'!K:K,MATCH('Lorri 401b'!N1847,'Retirement Calculator'!A:A,0),0),0)</f>
        <v>0</v>
      </c>
      <c r="K1847" s="455">
        <f t="shared" ca="1" si="118"/>
        <v>-3350484.6771238586</v>
      </c>
      <c r="L1847" s="455">
        <f t="shared" ca="1" si="119"/>
        <v>-807466807.18684995</v>
      </c>
      <c r="M1847" s="471">
        <f t="shared" si="121"/>
        <v>0.05</v>
      </c>
      <c r="N1847" s="475">
        <f t="shared" si="122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20"/>
        <v>-807466807.18684995</v>
      </c>
      <c r="J1848" s="455">
        <f t="array" ref="J1848">IFERROR(INDEX('Retirement Calculator'!K:K,MATCH('Lorri 401b'!N1848,'Retirement Calculator'!A:A,0),0),0)</f>
        <v>0</v>
      </c>
      <c r="K1848" s="455">
        <f t="shared" ca="1" si="118"/>
        <v>-3364445.0299452082</v>
      </c>
      <c r="L1848" s="455">
        <f t="shared" ca="1" si="119"/>
        <v>-810831252.21679521</v>
      </c>
      <c r="M1848" s="471">
        <f t="shared" si="121"/>
        <v>0.05</v>
      </c>
      <c r="N1848" s="475">
        <f t="shared" si="122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20"/>
        <v>-810831252.21679521</v>
      </c>
      <c r="J1849" s="455">
        <f t="array" ref="J1849">IFERROR(INDEX('Retirement Calculator'!K:K,MATCH('Lorri 401b'!N1849,'Retirement Calculator'!A:A,0),0),0)</f>
        <v>0</v>
      </c>
      <c r="K1849" s="455">
        <f t="shared" ca="1" si="118"/>
        <v>-3378463.5509033133</v>
      </c>
      <c r="L1849" s="455">
        <f t="shared" ca="1" si="119"/>
        <v>-814209715.76769853</v>
      </c>
      <c r="M1849" s="471">
        <f t="shared" si="121"/>
        <v>0.05</v>
      </c>
      <c r="N1849" s="475">
        <f t="shared" si="122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20"/>
        <v>-814209715.76769853</v>
      </c>
      <c r="J1850" s="455">
        <f t="array" ref="J1850">IFERROR(INDEX('Retirement Calculator'!K:K,MATCH('Lorri 401b'!N1850,'Retirement Calculator'!A:A,0),0),0)</f>
        <v>0</v>
      </c>
      <c r="K1850" s="455">
        <f t="shared" ca="1" si="118"/>
        <v>-3392540.4823654103</v>
      </c>
      <c r="L1850" s="455">
        <f t="shared" ca="1" si="119"/>
        <v>-817602256.2500639</v>
      </c>
      <c r="M1850" s="471">
        <f t="shared" si="121"/>
        <v>0.05</v>
      </c>
      <c r="N1850" s="475">
        <f t="shared" si="122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20"/>
        <v>-817602256.2500639</v>
      </c>
      <c r="J1851" s="455">
        <f t="array" ref="J1851">IFERROR(INDEX('Retirement Calculator'!K:K,MATCH('Lorri 401b'!N1851,'Retirement Calculator'!A:A,0),0),0)</f>
        <v>0</v>
      </c>
      <c r="K1851" s="455">
        <f t="shared" ca="1" si="118"/>
        <v>-3406676.0677085994</v>
      </c>
      <c r="L1851" s="455">
        <f t="shared" ca="1" si="119"/>
        <v>-821008932.31777251</v>
      </c>
      <c r="M1851" s="471">
        <f t="shared" si="121"/>
        <v>0.05</v>
      </c>
      <c r="N1851" s="475">
        <f t="shared" si="122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20"/>
        <v>-821008932.31777251</v>
      </c>
      <c r="J1852" s="455">
        <f t="array" ref="J1852">IFERROR(INDEX('Retirement Calculator'!K:K,MATCH('Lorri 401b'!N1852,'Retirement Calculator'!A:A,0),0),0)</f>
        <v>0</v>
      </c>
      <c r="K1852" s="455">
        <f t="shared" ca="1" si="118"/>
        <v>-3420870.5513240523</v>
      </c>
      <c r="L1852" s="455">
        <f t="shared" ca="1" si="119"/>
        <v>-824429802.86909652</v>
      </c>
      <c r="M1852" s="471">
        <f t="shared" si="121"/>
        <v>0.05</v>
      </c>
      <c r="N1852" s="475">
        <f t="shared" si="122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20"/>
        <v>-824429802.86909652</v>
      </c>
      <c r="J1853" s="455">
        <f t="array" ref="J1853">IFERROR(INDEX('Retirement Calculator'!K:K,MATCH('Lorri 401b'!N1853,'Retirement Calculator'!A:A,0),0),0)</f>
        <v>0</v>
      </c>
      <c r="K1853" s="455">
        <f t="shared" ca="1" si="118"/>
        <v>-3435124.1786212353</v>
      </c>
      <c r="L1853" s="455">
        <f t="shared" ca="1" si="119"/>
        <v>-827864927.04771781</v>
      </c>
      <c r="M1853" s="471">
        <f t="shared" si="121"/>
        <v>0.05</v>
      </c>
      <c r="N1853" s="475">
        <f t="shared" si="122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20"/>
        <v>-827864927.04771781</v>
      </c>
      <c r="J1854" s="455">
        <f t="array" ref="J1854">IFERROR(INDEX('Retirement Calculator'!K:K,MATCH('Lorri 401b'!N1854,'Retirement Calculator'!A:A,0),0),0)</f>
        <v>0</v>
      </c>
      <c r="K1854" s="455">
        <f t="shared" ca="1" si="118"/>
        <v>-3449437.1960321576</v>
      </c>
      <c r="L1854" s="455">
        <f t="shared" ca="1" si="119"/>
        <v>-831314364.24374998</v>
      </c>
      <c r="M1854" s="471">
        <f t="shared" si="121"/>
        <v>0.05</v>
      </c>
      <c r="N1854" s="475">
        <f t="shared" si="122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20"/>
        <v>-831314364.24374998</v>
      </c>
      <c r="J1855" s="455">
        <f t="array" ref="J1855">IFERROR(INDEX('Retirement Calculator'!K:K,MATCH('Lorri 401b'!N1855,'Retirement Calculator'!A:A,0),0),0)</f>
        <v>0</v>
      </c>
      <c r="K1855" s="455">
        <f t="shared" ca="1" si="118"/>
        <v>-3463809.8510156251</v>
      </c>
      <c r="L1855" s="455">
        <f t="shared" ca="1" si="119"/>
        <v>-834778174.09476554</v>
      </c>
      <c r="M1855" s="471">
        <f t="shared" si="121"/>
        <v>0.05</v>
      </c>
      <c r="N1855" s="475">
        <f t="shared" si="122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20"/>
        <v>-834778174.09476554</v>
      </c>
      <c r="J1856" s="455">
        <f t="array" ref="J1856">IFERROR(INDEX('Retirement Calculator'!K:K,MATCH('Lorri 401b'!N1856,'Retirement Calculator'!A:A,0),0),0)</f>
        <v>0</v>
      </c>
      <c r="K1856" s="455">
        <f t="shared" ca="1" si="118"/>
        <v>-3478242.3920615232</v>
      </c>
      <c r="L1856" s="455">
        <f t="shared" ca="1" si="119"/>
        <v>-838256416.48682702</v>
      </c>
      <c r="M1856" s="471">
        <f t="shared" si="121"/>
        <v>0.05</v>
      </c>
      <c r="N1856" s="475">
        <f t="shared" si="122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20"/>
        <v>-838256416.48682702</v>
      </c>
      <c r="J1857" s="455">
        <f t="array" ref="J1857">IFERROR(INDEX('Retirement Calculator'!K:K,MATCH('Lorri 401b'!N1857,'Retirement Calculator'!A:A,0),0),0)</f>
        <v>0</v>
      </c>
      <c r="K1857" s="455">
        <f t="shared" ca="1" si="118"/>
        <v>-3492735.0686951126</v>
      </c>
      <c r="L1857" s="455">
        <f t="shared" ca="1" si="119"/>
        <v>-841749151.55552208</v>
      </c>
      <c r="M1857" s="471">
        <f t="shared" si="121"/>
        <v>0.05</v>
      </c>
      <c r="N1857" s="475">
        <f t="shared" si="122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20"/>
        <v>-841749151.55552208</v>
      </c>
      <c r="J1858" s="455">
        <f t="array" ref="J1858">IFERROR(INDEX('Retirement Calculator'!K:K,MATCH('Lorri 401b'!N1858,'Retirement Calculator'!A:A,0),0),0)</f>
        <v>0</v>
      </c>
      <c r="K1858" s="455">
        <f t="shared" ca="1" si="118"/>
        <v>-3507288.1314813425</v>
      </c>
      <c r="L1858" s="455">
        <f t="shared" ca="1" si="119"/>
        <v>-845256439.68700337</v>
      </c>
      <c r="M1858" s="471">
        <f t="shared" si="121"/>
        <v>0.05</v>
      </c>
      <c r="N1858" s="475">
        <f t="shared" si="122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20"/>
        <v>-845256439.68700337</v>
      </c>
      <c r="J1859" s="455">
        <f t="array" ref="J1859">IFERROR(INDEX('Retirement Calculator'!K:K,MATCH('Lorri 401b'!N1859,'Retirement Calculator'!A:A,0),0),0)</f>
        <v>0</v>
      </c>
      <c r="K1859" s="455">
        <f t="shared" ca="1" si="118"/>
        <v>-3521901.8320291801</v>
      </c>
      <c r="L1859" s="455">
        <f t="shared" ca="1" si="119"/>
        <v>-848778341.5190326</v>
      </c>
      <c r="M1859" s="471">
        <f t="shared" si="121"/>
        <v>0.05</v>
      </c>
      <c r="N1859" s="475">
        <f t="shared" si="122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20"/>
        <v>-848778341.5190326</v>
      </c>
      <c r="J1860" s="455">
        <f t="array" ref="J1860">IFERROR(INDEX('Retirement Calculator'!K:K,MATCH('Lorri 401b'!N1860,'Retirement Calculator'!A:A,0),0),0)</f>
        <v>0</v>
      </c>
      <c r="K1860" s="455">
        <f t="shared" ca="1" si="118"/>
        <v>-3536576.4229959697</v>
      </c>
      <c r="L1860" s="455">
        <f t="shared" ca="1" si="119"/>
        <v>-852314917.94202852</v>
      </c>
      <c r="M1860" s="471">
        <f t="shared" si="121"/>
        <v>0.05</v>
      </c>
      <c r="N1860" s="475">
        <f t="shared" si="122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20"/>
        <v>-852314917.94202852</v>
      </c>
      <c r="J1861" s="455">
        <f t="array" ref="J1861">IFERROR(INDEX('Retirement Calculator'!K:K,MATCH('Lorri 401b'!N1861,'Retirement Calculator'!A:A,0),0),0)</f>
        <v>0</v>
      </c>
      <c r="K1861" s="455">
        <f t="shared" ca="1" si="118"/>
        <v>-3551312.1580917854</v>
      </c>
      <c r="L1861" s="455">
        <f t="shared" ca="1" si="119"/>
        <v>-855866230.10012031</v>
      </c>
      <c r="M1861" s="471">
        <f t="shared" si="121"/>
        <v>0.05</v>
      </c>
      <c r="N1861" s="475">
        <f t="shared" si="122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20"/>
        <v>-855866230.10012031</v>
      </c>
      <c r="J1862" s="455">
        <f t="array" ref="J1862">IFERROR(INDEX('Retirement Calculator'!K:K,MATCH('Lorri 401b'!N1862,'Retirement Calculator'!A:A,0),0),0)</f>
        <v>0</v>
      </c>
      <c r="K1862" s="455">
        <f t="shared" ca="1" si="118"/>
        <v>-3566109.2920838348</v>
      </c>
      <c r="L1862" s="455">
        <f t="shared" ca="1" si="119"/>
        <v>-859432339.39220417</v>
      </c>
      <c r="M1862" s="471">
        <f t="shared" si="121"/>
        <v>0.05</v>
      </c>
      <c r="N1862" s="475">
        <f t="shared" si="122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20"/>
        <v>-859432339.39220417</v>
      </c>
      <c r="J1863" s="455">
        <f t="array" ref="J1863">IFERROR(INDEX('Retirement Calculator'!K:K,MATCH('Lorri 401b'!N1863,'Retirement Calculator'!A:A,0),0),0)</f>
        <v>0</v>
      </c>
      <c r="K1863" s="455">
        <f t="shared" ca="1" si="118"/>
        <v>-3580968.0808008504</v>
      </c>
      <c r="L1863" s="455">
        <f t="shared" ca="1" si="119"/>
        <v>-863013307.47300506</v>
      </c>
      <c r="M1863" s="471">
        <f t="shared" si="121"/>
        <v>0.05</v>
      </c>
      <c r="N1863" s="475">
        <f t="shared" si="122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20"/>
        <v>-863013307.47300506</v>
      </c>
      <c r="J1864" s="455">
        <f t="array" ref="J1864">IFERROR(INDEX('Retirement Calculator'!K:K,MATCH('Lorri 401b'!N1864,'Retirement Calculator'!A:A,0),0),0)</f>
        <v>0</v>
      </c>
      <c r="K1864" s="455">
        <f t="shared" ca="1" si="118"/>
        <v>-3595888.7811375209</v>
      </c>
      <c r="L1864" s="455">
        <f t="shared" ca="1" si="119"/>
        <v>-866609196.25414252</v>
      </c>
      <c r="M1864" s="471">
        <f t="shared" si="121"/>
        <v>0.05</v>
      </c>
      <c r="N1864" s="475">
        <f t="shared" si="122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20"/>
        <v>-866609196.25414252</v>
      </c>
      <c r="J1865" s="455">
        <f t="array" ref="J1865">IFERROR(INDEX('Retirement Calculator'!K:K,MATCH('Lorri 401b'!N1865,'Retirement Calculator'!A:A,0),0),0)</f>
        <v>0</v>
      </c>
      <c r="K1865" s="455">
        <f t="shared" ca="1" si="118"/>
        <v>-3610871.6510589272</v>
      </c>
      <c r="L1865" s="455">
        <f t="shared" ca="1" si="119"/>
        <v>-870220067.90520144</v>
      </c>
      <c r="M1865" s="471">
        <f t="shared" si="121"/>
        <v>0.05</v>
      </c>
      <c r="N1865" s="475">
        <f t="shared" si="122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20"/>
        <v>-870220067.90520144</v>
      </c>
      <c r="J1866" s="455">
        <f t="array" ref="J1866">IFERROR(INDEX('Retirement Calculator'!K:K,MATCH('Lorri 401b'!N1866,'Retirement Calculator'!A:A,0),0),0)</f>
        <v>0</v>
      </c>
      <c r="K1866" s="455">
        <f t="shared" ca="1" si="118"/>
        <v>-3625916.9496050053</v>
      </c>
      <c r="L1866" s="455">
        <f t="shared" ca="1" si="119"/>
        <v>-873845984.85480642</v>
      </c>
      <c r="M1866" s="471">
        <f t="shared" si="121"/>
        <v>0.05</v>
      </c>
      <c r="N1866" s="475">
        <f t="shared" si="122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20"/>
        <v>-873845984.85480642</v>
      </c>
      <c r="J1867" s="455">
        <f t="array" ref="J1867">IFERROR(INDEX('Retirement Calculator'!K:K,MATCH('Lorri 401b'!N1867,'Retirement Calculator'!A:A,0),0),0)</f>
        <v>0</v>
      </c>
      <c r="K1867" s="455">
        <f t="shared" ca="1" si="118"/>
        <v>-3641024.9368950268</v>
      </c>
      <c r="L1867" s="455">
        <f t="shared" ca="1" si="119"/>
        <v>-877487009.79170144</v>
      </c>
      <c r="M1867" s="471">
        <f t="shared" si="121"/>
        <v>0.05</v>
      </c>
      <c r="N1867" s="475">
        <f t="shared" si="122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20"/>
        <v>-877487009.79170144</v>
      </c>
      <c r="J1868" s="455">
        <f t="array" ref="J1868">IFERROR(INDEX('Retirement Calculator'!K:K,MATCH('Lorri 401b'!N1868,'Retirement Calculator'!A:A,0),0),0)</f>
        <v>0</v>
      </c>
      <c r="K1868" s="455">
        <f t="shared" ca="1" si="118"/>
        <v>-3656195.8741320893</v>
      </c>
      <c r="L1868" s="455">
        <f t="shared" ca="1" si="119"/>
        <v>-881143205.66583347</v>
      </c>
      <c r="M1868" s="471">
        <f t="shared" si="121"/>
        <v>0.05</v>
      </c>
      <c r="N1868" s="475">
        <f t="shared" si="122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20"/>
        <v>-881143205.66583347</v>
      </c>
      <c r="J1869" s="455">
        <f t="array" ref="J1869">IFERROR(INDEX('Retirement Calculator'!K:K,MATCH('Lorri 401b'!N1869,'Retirement Calculator'!A:A,0),0),0)</f>
        <v>0</v>
      </c>
      <c r="K1869" s="455">
        <f t="shared" ca="1" si="118"/>
        <v>-3671430.0236076396</v>
      </c>
      <c r="L1869" s="455">
        <f t="shared" ca="1" si="119"/>
        <v>-884814635.68944108</v>
      </c>
      <c r="M1869" s="471">
        <f t="shared" si="121"/>
        <v>0.05</v>
      </c>
      <c r="N1869" s="475">
        <f t="shared" si="122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20"/>
        <v>-884814635.68944108</v>
      </c>
      <c r="J1870" s="455">
        <f t="array" ref="J1870">IFERROR(INDEX('Retirement Calculator'!K:K,MATCH('Lorri 401b'!N1870,'Retirement Calculator'!A:A,0),0),0)</f>
        <v>0</v>
      </c>
      <c r="K1870" s="455">
        <f t="shared" ca="1" si="118"/>
        <v>-3686727.648706005</v>
      </c>
      <c r="L1870" s="455">
        <f t="shared" ca="1" si="119"/>
        <v>-888501363.33814704</v>
      </c>
      <c r="M1870" s="471">
        <f t="shared" si="121"/>
        <v>0.05</v>
      </c>
      <c r="N1870" s="475">
        <f t="shared" si="122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20"/>
        <v>-888501363.33814704</v>
      </c>
      <c r="J1871" s="455">
        <f t="array" ref="J1871">IFERROR(INDEX('Retirement Calculator'!K:K,MATCH('Lorri 401b'!N1871,'Retirement Calculator'!A:A,0),0),0)</f>
        <v>0</v>
      </c>
      <c r="K1871" s="455">
        <f t="shared" ca="1" si="118"/>
        <v>-3702089.013908946</v>
      </c>
      <c r="L1871" s="455">
        <f t="shared" ca="1" si="119"/>
        <v>-892203452.35205603</v>
      </c>
      <c r="M1871" s="471">
        <f t="shared" si="121"/>
        <v>0.05</v>
      </c>
      <c r="N1871" s="475">
        <f t="shared" si="122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20"/>
        <v>-892203452.35205603</v>
      </c>
      <c r="J1872" s="455">
        <f t="array" ref="J1872">IFERROR(INDEX('Retirement Calculator'!K:K,MATCH('Lorri 401b'!N1872,'Retirement Calculator'!A:A,0),0),0)</f>
        <v>0</v>
      </c>
      <c r="K1872" s="455">
        <f t="shared" ca="1" si="118"/>
        <v>-3717514.3848002334</v>
      </c>
      <c r="L1872" s="455">
        <f t="shared" ca="1" si="119"/>
        <v>-895920966.73685622</v>
      </c>
      <c r="M1872" s="471">
        <f t="shared" si="121"/>
        <v>0.05</v>
      </c>
      <c r="N1872" s="475">
        <f t="shared" si="122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20"/>
        <v>-895920966.73685622</v>
      </c>
      <c r="J1873" s="455">
        <f t="array" ref="J1873">IFERROR(INDEX('Retirement Calculator'!K:K,MATCH('Lorri 401b'!N1873,'Retirement Calculator'!A:A,0),0),0)</f>
        <v>0</v>
      </c>
      <c r="K1873" s="455">
        <f t="shared" ca="1" si="118"/>
        <v>-3733004.0280702342</v>
      </c>
      <c r="L1873" s="455">
        <f t="shared" ca="1" si="119"/>
        <v>-899653970.76492643</v>
      </c>
      <c r="M1873" s="471">
        <f t="shared" si="121"/>
        <v>0.05</v>
      </c>
      <c r="N1873" s="475">
        <f t="shared" si="122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20"/>
        <v>-899653970.76492643</v>
      </c>
      <c r="J1874" s="455">
        <f t="array" ref="J1874">IFERROR(INDEX('Retirement Calculator'!K:K,MATCH('Lorri 401b'!N1874,'Retirement Calculator'!A:A,0),0),0)</f>
        <v>0</v>
      </c>
      <c r="K1874" s="455">
        <f t="shared" ca="1" si="118"/>
        <v>-3748558.2115205266</v>
      </c>
      <c r="L1874" s="455">
        <f t="shared" ca="1" si="119"/>
        <v>-903402528.97644699</v>
      </c>
      <c r="M1874" s="471">
        <f t="shared" si="121"/>
        <v>0.05</v>
      </c>
      <c r="N1874" s="475">
        <f t="shared" si="122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20"/>
        <v>-903402528.97644699</v>
      </c>
      <c r="J1875" s="455">
        <f t="array" ref="J1875">IFERROR(INDEX('Retirement Calculator'!K:K,MATCH('Lorri 401b'!N1875,'Retirement Calculator'!A:A,0),0),0)</f>
        <v>0</v>
      </c>
      <c r="K1875" s="455">
        <f t="shared" ca="1" si="118"/>
        <v>-3764177.204068529</v>
      </c>
      <c r="L1875" s="455">
        <f t="shared" ca="1" si="119"/>
        <v>-907166706.18051553</v>
      </c>
      <c r="M1875" s="471">
        <f t="shared" si="121"/>
        <v>0.05</v>
      </c>
      <c r="N1875" s="475">
        <f t="shared" si="122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20"/>
        <v>-907166706.18051553</v>
      </c>
      <c r="J1876" s="455">
        <f t="array" ref="J1876">IFERROR(INDEX('Retirement Calculator'!K:K,MATCH('Lorri 401b'!N1876,'Retirement Calculator'!A:A,0),0),0)</f>
        <v>0</v>
      </c>
      <c r="K1876" s="455">
        <f t="shared" ca="1" si="118"/>
        <v>-3779861.2757521481</v>
      </c>
      <c r="L1876" s="455">
        <f t="shared" ca="1" si="119"/>
        <v>-910946567.45626771</v>
      </c>
      <c r="M1876" s="471">
        <f t="shared" si="121"/>
        <v>0.05</v>
      </c>
      <c r="N1876" s="475">
        <f t="shared" si="122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20"/>
        <v>-910946567.45626771</v>
      </c>
      <c r="J1877" s="455">
        <f t="array" ref="J1877">IFERROR(INDEX('Retirement Calculator'!K:K,MATCH('Lorri 401b'!N1877,'Retirement Calculator'!A:A,0),0),0)</f>
        <v>0</v>
      </c>
      <c r="K1877" s="455">
        <f t="shared" ca="1" si="118"/>
        <v>-3795610.6977344486</v>
      </c>
      <c r="L1877" s="455">
        <f t="shared" ca="1" si="119"/>
        <v>-914742178.15400219</v>
      </c>
      <c r="M1877" s="471">
        <f t="shared" si="121"/>
        <v>0.05</v>
      </c>
      <c r="N1877" s="475">
        <f t="shared" si="122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20"/>
        <v>-914742178.15400219</v>
      </c>
      <c r="J1878" s="455">
        <f t="array" ref="J1878">IFERROR(INDEX('Retirement Calculator'!K:K,MATCH('Lorri 401b'!N1878,'Retirement Calculator'!A:A,0),0),0)</f>
        <v>0</v>
      </c>
      <c r="K1878" s="455">
        <f t="shared" ca="1" si="118"/>
        <v>-3811425.7423083424</v>
      </c>
      <c r="L1878" s="455">
        <f t="shared" ca="1" si="119"/>
        <v>-918553603.89631057</v>
      </c>
      <c r="M1878" s="471">
        <f t="shared" si="121"/>
        <v>0.05</v>
      </c>
      <c r="N1878" s="475">
        <f t="shared" si="122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20"/>
        <v>-918553603.89631057</v>
      </c>
      <c r="J1879" s="455">
        <f t="array" ref="J1879">IFERROR(INDEX('Retirement Calculator'!K:K,MATCH('Lorri 401b'!N1879,'Retirement Calculator'!A:A,0),0),0)</f>
        <v>0</v>
      </c>
      <c r="K1879" s="455">
        <f t="shared" ca="1" si="118"/>
        <v>-3827306.6829012935</v>
      </c>
      <c r="L1879" s="455">
        <f t="shared" ca="1" si="119"/>
        <v>-922380910.57921183</v>
      </c>
      <c r="M1879" s="471">
        <f t="shared" si="121"/>
        <v>0.05</v>
      </c>
      <c r="N1879" s="475">
        <f t="shared" si="122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20"/>
        <v>-922380910.57921183</v>
      </c>
      <c r="J1880" s="455">
        <f t="array" ref="J1880">IFERROR(INDEX('Retirement Calculator'!K:K,MATCH('Lorri 401b'!N1880,'Retirement Calculator'!A:A,0),0),0)</f>
        <v>0</v>
      </c>
      <c r="K1880" s="455">
        <f t="shared" ca="1" si="118"/>
        <v>-3843253.7940800493</v>
      </c>
      <c r="L1880" s="455">
        <f t="shared" ca="1" si="119"/>
        <v>-926224164.37329185</v>
      </c>
      <c r="M1880" s="471">
        <f t="shared" si="121"/>
        <v>0.05</v>
      </c>
      <c r="N1880" s="475">
        <f t="shared" si="122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20"/>
        <v>-926224164.37329185</v>
      </c>
      <c r="J1881" s="455">
        <f t="array" ref="J1881">IFERROR(INDEX('Retirement Calculator'!K:K,MATCH('Lorri 401b'!N1881,'Retirement Calculator'!A:A,0),0),0)</f>
        <v>0</v>
      </c>
      <c r="K1881" s="455">
        <f t="shared" ca="1" si="118"/>
        <v>-3859267.3515553824</v>
      </c>
      <c r="L1881" s="455">
        <f t="shared" ca="1" si="119"/>
        <v>-930083431.7248472</v>
      </c>
      <c r="M1881" s="471">
        <f t="shared" si="121"/>
        <v>0.05</v>
      </c>
      <c r="N1881" s="475">
        <f t="shared" si="122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20"/>
        <v>-930083431.7248472</v>
      </c>
      <c r="J1882" s="455">
        <f t="array" ref="J1882">IFERROR(INDEX('Retirement Calculator'!K:K,MATCH('Lorri 401b'!N1882,'Retirement Calculator'!A:A,0),0),0)</f>
        <v>0</v>
      </c>
      <c r="K1882" s="455">
        <f t="shared" ca="1" si="118"/>
        <v>-3875347.6321868631</v>
      </c>
      <c r="L1882" s="455">
        <f t="shared" ca="1" si="119"/>
        <v>-933958779.35703409</v>
      </c>
      <c r="M1882" s="471">
        <f t="shared" si="121"/>
        <v>0.05</v>
      </c>
      <c r="N1882" s="475">
        <f t="shared" si="122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20"/>
        <v>-933958779.35703409</v>
      </c>
      <c r="J1883" s="455">
        <f t="array" ref="J1883">IFERROR(INDEX('Retirement Calculator'!K:K,MATCH('Lorri 401b'!N1883,'Retirement Calculator'!A:A,0),0),0)</f>
        <v>0</v>
      </c>
      <c r="K1883" s="455">
        <f t="shared" ca="1" si="118"/>
        <v>-3891494.9139876417</v>
      </c>
      <c r="L1883" s="455">
        <f t="shared" ca="1" si="119"/>
        <v>-937850274.27102172</v>
      </c>
      <c r="M1883" s="471">
        <f t="shared" si="121"/>
        <v>0.05</v>
      </c>
      <c r="N1883" s="475">
        <f t="shared" si="122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20"/>
        <v>-937850274.27102172</v>
      </c>
      <c r="J1884" s="455">
        <f t="array" ref="J1884">IFERROR(INDEX('Retirement Calculator'!K:K,MATCH('Lorri 401b'!N1884,'Retirement Calculator'!A:A,0),0),0)</f>
        <v>0</v>
      </c>
      <c r="K1884" s="455">
        <f t="shared" ca="1" si="118"/>
        <v>-3907709.4761292571</v>
      </c>
      <c r="L1884" s="455">
        <f t="shared" ca="1" si="119"/>
        <v>-941757983.74715102</v>
      </c>
      <c r="M1884" s="471">
        <f t="shared" si="121"/>
        <v>0.05</v>
      </c>
      <c r="N1884" s="475">
        <f t="shared" si="122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20"/>
        <v>-941757983.74715102</v>
      </c>
      <c r="J1885" s="455">
        <f t="array" ref="J1885">IFERROR(INDEX('Retirement Calculator'!K:K,MATCH('Lorri 401b'!N1885,'Retirement Calculator'!A:A,0),0),0)</f>
        <v>0</v>
      </c>
      <c r="K1885" s="455">
        <f t="shared" ca="1" si="118"/>
        <v>-3923991.5989464629</v>
      </c>
      <c r="L1885" s="455">
        <f t="shared" ca="1" si="119"/>
        <v>-945681975.34609747</v>
      </c>
      <c r="M1885" s="471">
        <f t="shared" si="121"/>
        <v>0.05</v>
      </c>
      <c r="N1885" s="475">
        <f t="shared" si="122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20"/>
        <v>-945681975.34609747</v>
      </c>
      <c r="J1886" s="455">
        <f t="array" ref="J1886">IFERROR(INDEX('Retirement Calculator'!K:K,MATCH('Lorri 401b'!N1886,'Retirement Calculator'!A:A,0),0),0)</f>
        <v>0</v>
      </c>
      <c r="K1886" s="455">
        <f t="shared" ca="1" si="118"/>
        <v>-3940341.5639420729</v>
      </c>
      <c r="L1886" s="455">
        <f t="shared" ca="1" si="119"/>
        <v>-949622316.91003954</v>
      </c>
      <c r="M1886" s="471">
        <f t="shared" si="121"/>
        <v>0.05</v>
      </c>
      <c r="N1886" s="475">
        <f t="shared" si="122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20"/>
        <v>-949622316.91003954</v>
      </c>
      <c r="J1887" s="455">
        <f t="array" ref="J1887">IFERROR(INDEX('Retirement Calculator'!K:K,MATCH('Lorri 401b'!N1887,'Retirement Calculator'!A:A,0),0),0)</f>
        <v>0</v>
      </c>
      <c r="K1887" s="455">
        <f t="shared" ca="1" si="118"/>
        <v>-3956759.6537918318</v>
      </c>
      <c r="L1887" s="455">
        <f t="shared" ca="1" si="119"/>
        <v>-953579076.56383133</v>
      </c>
      <c r="M1887" s="471">
        <f t="shared" si="121"/>
        <v>0.05</v>
      </c>
      <c r="N1887" s="475">
        <f t="shared" si="122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20"/>
        <v>-953579076.56383133</v>
      </c>
      <c r="J1888" s="455">
        <f t="array" ref="J1888">IFERROR(INDEX('Retirement Calculator'!K:K,MATCH('Lorri 401b'!N1888,'Retirement Calculator'!A:A,0),0),0)</f>
        <v>0</v>
      </c>
      <c r="K1888" s="455">
        <f t="shared" ca="1" si="118"/>
        <v>-3973246.1523492965</v>
      </c>
      <c r="L1888" s="455">
        <f t="shared" ca="1" si="119"/>
        <v>-957552322.71618068</v>
      </c>
      <c r="M1888" s="471">
        <f t="shared" si="121"/>
        <v>0.05</v>
      </c>
      <c r="N1888" s="475">
        <f t="shared" si="122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20"/>
        <v>-957552322.71618068</v>
      </c>
      <c r="J1889" s="455">
        <f t="array" ref="J1889">IFERROR(INDEX('Retirement Calculator'!K:K,MATCH('Lorri 401b'!N1889,'Retirement Calculator'!A:A,0),0),0)</f>
        <v>0</v>
      </c>
      <c r="K1889" s="455">
        <f t="shared" ca="1" si="118"/>
        <v>-3989801.3446507528</v>
      </c>
      <c r="L1889" s="455">
        <f t="shared" ca="1" si="119"/>
        <v>-961542124.06083143</v>
      </c>
      <c r="M1889" s="471">
        <f t="shared" si="121"/>
        <v>0.05</v>
      </c>
      <c r="N1889" s="475">
        <f t="shared" si="122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20"/>
        <v>-961542124.06083143</v>
      </c>
      <c r="J1890" s="455">
        <f t="array" ref="J1890">IFERROR(INDEX('Retirement Calculator'!K:K,MATCH('Lorri 401b'!N1890,'Retirement Calculator'!A:A,0),0),0)</f>
        <v>0</v>
      </c>
      <c r="K1890" s="455">
        <f t="shared" ca="1" si="118"/>
        <v>-4006425.5169201302</v>
      </c>
      <c r="L1890" s="455">
        <f t="shared" ca="1" si="119"/>
        <v>-965548549.57775152</v>
      </c>
      <c r="M1890" s="471">
        <f t="shared" si="121"/>
        <v>0.05</v>
      </c>
      <c r="N1890" s="475">
        <f t="shared" si="122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20"/>
        <v>-965548549.57775152</v>
      </c>
      <c r="J1891" s="455">
        <f t="array" ref="J1891">IFERROR(INDEX('Retirement Calculator'!K:K,MATCH('Lorri 401b'!N1891,'Retirement Calculator'!A:A,0),0),0)</f>
        <v>0</v>
      </c>
      <c r="K1891" s="455">
        <f t="shared" ca="1" si="118"/>
        <v>-4023118.9565739646</v>
      </c>
      <c r="L1891" s="455">
        <f t="shared" ca="1" si="119"/>
        <v>-969571668.53432548</v>
      </c>
      <c r="M1891" s="471">
        <f t="shared" si="121"/>
        <v>0.05</v>
      </c>
      <c r="N1891" s="475">
        <f t="shared" si="122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20"/>
        <v>-969571668.53432548</v>
      </c>
      <c r="J1892" s="455">
        <f t="array" ref="J1892">IFERROR(INDEX('Retirement Calculator'!K:K,MATCH('Lorri 401b'!N1892,'Retirement Calculator'!A:A,0),0),0)</f>
        <v>0</v>
      </c>
      <c r="K1892" s="455">
        <f t="shared" ca="1" si="118"/>
        <v>-4039881.9522263561</v>
      </c>
      <c r="L1892" s="455">
        <f t="shared" ca="1" si="119"/>
        <v>-973611550.48655188</v>
      </c>
      <c r="M1892" s="471">
        <f t="shared" si="121"/>
        <v>0.05</v>
      </c>
      <c r="N1892" s="475">
        <f t="shared" si="122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20"/>
        <v>-973611550.48655188</v>
      </c>
      <c r="J1893" s="455">
        <f t="array" ref="J1893">IFERROR(INDEX('Retirement Calculator'!K:K,MATCH('Lorri 401b'!N1893,'Retirement Calculator'!A:A,0),0),0)</f>
        <v>0</v>
      </c>
      <c r="K1893" s="455">
        <f t="shared" ca="1" si="118"/>
        <v>-4056714.7936939662</v>
      </c>
      <c r="L1893" s="455">
        <f t="shared" ca="1" si="119"/>
        <v>-977668265.2802459</v>
      </c>
      <c r="M1893" s="471">
        <f t="shared" si="121"/>
        <v>0.05</v>
      </c>
      <c r="N1893" s="475">
        <f t="shared" si="122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20"/>
        <v>-977668265.2802459</v>
      </c>
      <c r="J1894" s="455">
        <f t="array" ref="J1894">IFERROR(INDEX('Retirement Calculator'!K:K,MATCH('Lorri 401b'!N1894,'Retirement Calculator'!A:A,0),0),0)</f>
        <v>0</v>
      </c>
      <c r="K1894" s="455">
        <f t="shared" ca="1" si="118"/>
        <v>-4073617.7720010243</v>
      </c>
      <c r="L1894" s="455">
        <f t="shared" ca="1" si="119"/>
        <v>-981741883.05224693</v>
      </c>
      <c r="M1894" s="471">
        <f t="shared" si="121"/>
        <v>0.05</v>
      </c>
      <c r="N1894" s="475">
        <f t="shared" si="122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20"/>
        <v>-981741883.05224693</v>
      </c>
      <c r="J1895" s="455">
        <f t="array" ref="J1895">IFERROR(INDEX('Retirement Calculator'!K:K,MATCH('Lorri 401b'!N1895,'Retirement Calculator'!A:A,0),0),0)</f>
        <v>0</v>
      </c>
      <c r="K1895" s="455">
        <f t="shared" ca="1" si="118"/>
        <v>-4090591.179384362</v>
      </c>
      <c r="L1895" s="455">
        <f t="shared" ca="1" si="119"/>
        <v>-985832474.23163128</v>
      </c>
      <c r="M1895" s="471">
        <f t="shared" si="121"/>
        <v>0.05</v>
      </c>
      <c r="N1895" s="475">
        <f t="shared" si="122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20"/>
        <v>-985832474.23163128</v>
      </c>
      <c r="J1896" s="455">
        <f t="array" ref="J1896">IFERROR(INDEX('Retirement Calculator'!K:K,MATCH('Lorri 401b'!N1896,'Retirement Calculator'!A:A,0),0),0)</f>
        <v>0</v>
      </c>
      <c r="K1896" s="455">
        <f t="shared" ca="1" si="118"/>
        <v>-4107635.3092984636</v>
      </c>
      <c r="L1896" s="455">
        <f t="shared" ca="1" si="119"/>
        <v>-989940109.54092979</v>
      </c>
      <c r="M1896" s="471">
        <f t="shared" si="121"/>
        <v>0.05</v>
      </c>
      <c r="N1896" s="475">
        <f t="shared" si="122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20"/>
        <v>-989940109.54092979</v>
      </c>
      <c r="J1897" s="455">
        <f t="array" ref="J1897">IFERROR(INDEX('Retirement Calculator'!K:K,MATCH('Lorri 401b'!N1897,'Retirement Calculator'!A:A,0),0),0)</f>
        <v>0</v>
      </c>
      <c r="K1897" s="455">
        <f t="shared" ca="1" si="118"/>
        <v>-4124750.4564205413</v>
      </c>
      <c r="L1897" s="455">
        <f t="shared" ca="1" si="119"/>
        <v>-994064859.99735034</v>
      </c>
      <c r="M1897" s="471">
        <f t="shared" si="121"/>
        <v>0.05</v>
      </c>
      <c r="N1897" s="475">
        <f t="shared" si="122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20"/>
        <v>-994064859.99735034</v>
      </c>
      <c r="J1898" s="455">
        <f t="array" ref="J1898">IFERROR(INDEX('Retirement Calculator'!K:K,MATCH('Lorri 401b'!N1898,'Retirement Calculator'!A:A,0),0),0)</f>
        <v>0</v>
      </c>
      <c r="K1898" s="455">
        <f t="shared" ca="1" si="118"/>
        <v>-4141936.9166556261</v>
      </c>
      <c r="L1898" s="455">
        <f t="shared" ca="1" si="119"/>
        <v>-998206796.91400599</v>
      </c>
      <c r="M1898" s="471">
        <f t="shared" si="121"/>
        <v>0.05</v>
      </c>
      <c r="N1898" s="475">
        <f t="shared" si="122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20"/>
        <v>-998206796.91400599</v>
      </c>
      <c r="J1899" s="455">
        <f t="array" ref="J1899">IFERROR(INDEX('Retirement Calculator'!K:K,MATCH('Lorri 401b'!N1899,'Retirement Calculator'!A:A,0),0),0)</f>
        <v>0</v>
      </c>
      <c r="K1899" s="455">
        <f t="shared" ca="1" si="118"/>
        <v>-4159194.9871416921</v>
      </c>
      <c r="L1899" s="455">
        <f t="shared" ca="1" si="119"/>
        <v>-1002365991.9011477</v>
      </c>
      <c r="M1899" s="471">
        <f t="shared" si="121"/>
        <v>0.05</v>
      </c>
      <c r="N1899" s="475">
        <f t="shared" si="122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20"/>
        <v>-1002365991.9011477</v>
      </c>
      <c r="J1900" s="455">
        <f t="array" ref="J1900">IFERROR(INDEX('Retirement Calculator'!K:K,MATCH('Lorri 401b'!N1900,'Retirement Calculator'!A:A,0),0),0)</f>
        <v>0</v>
      </c>
      <c r="K1900" s="455">
        <f t="shared" ca="1" si="118"/>
        <v>-4176524.9662547819</v>
      </c>
      <c r="L1900" s="455">
        <f t="shared" ca="1" si="119"/>
        <v>-1006542516.8674026</v>
      </c>
      <c r="M1900" s="471">
        <f t="shared" si="121"/>
        <v>0.05</v>
      </c>
      <c r="N1900" s="475">
        <f t="shared" si="122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20"/>
        <v>-1006542516.8674026</v>
      </c>
      <c r="J1901" s="455">
        <f t="array" ref="J1901">IFERROR(INDEX('Retirement Calculator'!K:K,MATCH('Lorri 401b'!N1901,'Retirement Calculator'!A:A,0),0),0)</f>
        <v>0</v>
      </c>
      <c r="K1901" s="455">
        <f t="shared" ca="1" si="118"/>
        <v>-4193927.1536141774</v>
      </c>
      <c r="L1901" s="455">
        <f t="shared" ca="1" si="119"/>
        <v>-1010736444.0210167</v>
      </c>
      <c r="M1901" s="471">
        <f t="shared" si="121"/>
        <v>0.05</v>
      </c>
      <c r="N1901" s="475">
        <f t="shared" si="122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20"/>
        <v>-1010736444.0210167</v>
      </c>
      <c r="J1902" s="455">
        <f t="array" ref="J1902">IFERROR(INDEX('Retirement Calculator'!K:K,MATCH('Lorri 401b'!N1902,'Retirement Calculator'!A:A,0),0),0)</f>
        <v>0</v>
      </c>
      <c r="K1902" s="455">
        <f t="shared" ca="1" si="118"/>
        <v>-4211401.85008757</v>
      </c>
      <c r="L1902" s="455">
        <f t="shared" ca="1" si="119"/>
        <v>-1014947845.8711042</v>
      </c>
      <c r="M1902" s="471">
        <f t="shared" si="121"/>
        <v>0.05</v>
      </c>
      <c r="N1902" s="475">
        <f t="shared" si="122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20"/>
        <v>-1014947845.8711042</v>
      </c>
      <c r="J1903" s="455">
        <f t="array" ref="J1903">IFERROR(INDEX('Retirement Calculator'!K:K,MATCH('Lorri 401b'!N1903,'Retirement Calculator'!A:A,0),0),0)</f>
        <v>0</v>
      </c>
      <c r="K1903" s="455">
        <f t="shared" ca="1" si="118"/>
        <v>-4228949.3577962676</v>
      </c>
      <c r="L1903" s="455">
        <f t="shared" ca="1" si="119"/>
        <v>-1019176795.2289006</v>
      </c>
      <c r="M1903" s="471">
        <f t="shared" si="121"/>
        <v>0.05</v>
      </c>
      <c r="N1903" s="475">
        <f t="shared" si="122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20"/>
        <v>-1019176795.2289006</v>
      </c>
      <c r="J1904" s="455">
        <f t="array" ref="J1904">IFERROR(INDEX('Retirement Calculator'!K:K,MATCH('Lorri 401b'!N1904,'Retirement Calculator'!A:A,0),0),0)</f>
        <v>0</v>
      </c>
      <c r="K1904" s="455">
        <f t="shared" ca="1" si="118"/>
        <v>-4246569.9801204186</v>
      </c>
      <c r="L1904" s="455">
        <f t="shared" ca="1" si="119"/>
        <v>-1023423365.209021</v>
      </c>
      <c r="M1904" s="471">
        <f t="shared" si="121"/>
        <v>0.05</v>
      </c>
      <c r="N1904" s="475">
        <f t="shared" si="122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20"/>
        <v>-1023423365.209021</v>
      </c>
      <c r="J1905" s="455">
        <f t="array" ref="J1905">IFERROR(INDEX('Retirement Calculator'!K:K,MATCH('Lorri 401b'!N1905,'Retirement Calculator'!A:A,0),0),0)</f>
        <v>0</v>
      </c>
      <c r="K1905" s="455">
        <f t="shared" ca="1" si="118"/>
        <v>-4264264.0217042537</v>
      </c>
      <c r="L1905" s="455">
        <f t="shared" ca="1" si="119"/>
        <v>-1027687629.2307252</v>
      </c>
      <c r="M1905" s="471">
        <f t="shared" si="121"/>
        <v>0.05</v>
      </c>
      <c r="N1905" s="475">
        <f t="shared" si="122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20"/>
        <v>-1027687629.2307252</v>
      </c>
      <c r="J1906" s="455">
        <f t="array" ref="J1906">IFERROR(INDEX('Retirement Calculator'!K:K,MATCH('Lorri 401b'!N1906,'Retirement Calculator'!A:A,0),0),0)</f>
        <v>0</v>
      </c>
      <c r="K1906" s="455">
        <f t="shared" ca="1" si="118"/>
        <v>-4282031.7884613546</v>
      </c>
      <c r="L1906" s="455">
        <f t="shared" ca="1" si="119"/>
        <v>-1031969661.0191865</v>
      </c>
      <c r="M1906" s="471">
        <f t="shared" si="121"/>
        <v>0.05</v>
      </c>
      <c r="N1906" s="475">
        <f t="shared" si="122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20"/>
        <v>-1031969661.0191865</v>
      </c>
      <c r="J1907" s="455">
        <f t="array" ref="J1907">IFERROR(INDEX('Retirement Calculator'!K:K,MATCH('Lorri 401b'!N1907,'Retirement Calculator'!A:A,0),0),0)</f>
        <v>0</v>
      </c>
      <c r="K1907" s="455">
        <f t="shared" ca="1" si="118"/>
        <v>-4299873.5875799432</v>
      </c>
      <c r="L1907" s="455">
        <f t="shared" ca="1" si="119"/>
        <v>-1036269534.6067665</v>
      </c>
      <c r="M1907" s="471">
        <f t="shared" si="121"/>
        <v>0.05</v>
      </c>
      <c r="N1907" s="475">
        <f t="shared" si="122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20"/>
        <v>-1036269534.6067665</v>
      </c>
      <c r="J1908" s="455">
        <f t="array" ref="J1908">IFERROR(INDEX('Retirement Calculator'!K:K,MATCH('Lorri 401b'!N1908,'Retirement Calculator'!A:A,0),0),0)</f>
        <v>0</v>
      </c>
      <c r="K1908" s="455">
        <f t="shared" ca="1" si="118"/>
        <v>-4317789.727528194</v>
      </c>
      <c r="L1908" s="455">
        <f t="shared" ca="1" si="119"/>
        <v>-1040587324.3342947</v>
      </c>
      <c r="M1908" s="471">
        <f t="shared" si="121"/>
        <v>0.05</v>
      </c>
      <c r="N1908" s="475">
        <f t="shared" si="122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20"/>
        <v>-1040587324.3342947</v>
      </c>
      <c r="J1909" s="455">
        <f t="array" ref="J1909">IFERROR(INDEX('Retirement Calculator'!K:K,MATCH('Lorri 401b'!N1909,'Retirement Calculator'!A:A,0),0),0)</f>
        <v>0</v>
      </c>
      <c r="K1909" s="455">
        <f t="shared" ca="1" si="118"/>
        <v>-4335780.518059561</v>
      </c>
      <c r="L1909" s="455">
        <f t="shared" ca="1" si="119"/>
        <v>-1044923104.8523543</v>
      </c>
      <c r="M1909" s="471">
        <f t="shared" si="121"/>
        <v>0.05</v>
      </c>
      <c r="N1909" s="475">
        <f t="shared" si="122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20"/>
        <v>-1044923104.8523543</v>
      </c>
      <c r="J1910" s="455">
        <f t="array" ref="J1910">IFERROR(INDEX('Retirement Calculator'!K:K,MATCH('Lorri 401b'!N1910,'Retirement Calculator'!A:A,0),0),0)</f>
        <v>0</v>
      </c>
      <c r="K1910" s="455">
        <f t="shared" ca="1" si="118"/>
        <v>-4353846.2702181432</v>
      </c>
      <c r="L1910" s="455">
        <f t="shared" ca="1" si="119"/>
        <v>-1049276951.1225724</v>
      </c>
      <c r="M1910" s="471">
        <f t="shared" si="121"/>
        <v>0.05</v>
      </c>
      <c r="N1910" s="475">
        <f t="shared" si="122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20"/>
        <v>-1049276951.1225724</v>
      </c>
      <c r="J1911" s="455">
        <f t="array" ref="J1911">IFERROR(INDEX('Retirement Calculator'!K:K,MATCH('Lorri 401b'!N1911,'Retirement Calculator'!A:A,0),0),0)</f>
        <v>0</v>
      </c>
      <c r="K1911" s="455">
        <f t="shared" ca="1" si="118"/>
        <v>-4371987.2963440521</v>
      </c>
      <c r="L1911" s="455">
        <f t="shared" ca="1" si="119"/>
        <v>-1053648938.4189165</v>
      </c>
      <c r="M1911" s="471">
        <f t="shared" si="121"/>
        <v>0.05</v>
      </c>
      <c r="N1911" s="475">
        <f t="shared" si="122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20"/>
        <v>-1053648938.4189165</v>
      </c>
      <c r="J1912" s="455">
        <f t="array" ref="J1912">IFERROR(INDEX('Retirement Calculator'!K:K,MATCH('Lorri 401b'!N1912,'Retirement Calculator'!A:A,0),0),0)</f>
        <v>0</v>
      </c>
      <c r="K1912" s="455">
        <f t="shared" ca="1" si="118"/>
        <v>-4390203.9100788189</v>
      </c>
      <c r="L1912" s="455">
        <f t="shared" ca="1" si="119"/>
        <v>-1058039142.3289952</v>
      </c>
      <c r="M1912" s="471">
        <f t="shared" si="121"/>
        <v>0.05</v>
      </c>
      <c r="N1912" s="475">
        <f t="shared" si="122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20"/>
        <v>-1058039142.3289952</v>
      </c>
      <c r="J1913" s="455">
        <f t="array" ref="J1913">IFERROR(INDEX('Retirement Calculator'!K:K,MATCH('Lorri 401b'!N1913,'Retirement Calculator'!A:A,0),0),0)</f>
        <v>0</v>
      </c>
      <c r="K1913" s="455">
        <f t="shared" ca="1" si="118"/>
        <v>-4408496.4263708135</v>
      </c>
      <c r="L1913" s="455">
        <f t="shared" ca="1" si="119"/>
        <v>-1062447638.7553661</v>
      </c>
      <c r="M1913" s="471">
        <f t="shared" si="121"/>
        <v>0.05</v>
      </c>
      <c r="N1913" s="475">
        <f t="shared" si="122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20"/>
        <v>-1062447638.7553661</v>
      </c>
      <c r="J1914" s="455">
        <f t="array" ref="J1914">IFERROR(INDEX('Retirement Calculator'!K:K,MATCH('Lorri 401b'!N1914,'Retirement Calculator'!A:A,0),0),0)</f>
        <v>0</v>
      </c>
      <c r="K1914" s="455">
        <f t="shared" ca="1" si="118"/>
        <v>-4426865.1614806922</v>
      </c>
      <c r="L1914" s="455">
        <f t="shared" ca="1" si="119"/>
        <v>-1066874503.9168468</v>
      </c>
      <c r="M1914" s="471">
        <f t="shared" si="121"/>
        <v>0.05</v>
      </c>
      <c r="N1914" s="475">
        <f t="shared" si="122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20"/>
        <v>-1066874503.9168468</v>
      </c>
      <c r="J1915" s="455">
        <f t="array" ref="J1915">IFERROR(INDEX('Retirement Calculator'!K:K,MATCH('Lorri 401b'!N1915,'Retirement Calculator'!A:A,0),0),0)</f>
        <v>0</v>
      </c>
      <c r="K1915" s="455">
        <f t="shared" ca="1" si="118"/>
        <v>-4445310.4329868611</v>
      </c>
      <c r="L1915" s="455">
        <f t="shared" ca="1" si="119"/>
        <v>-1071319814.3498336</v>
      </c>
      <c r="M1915" s="471">
        <f t="shared" si="121"/>
        <v>0.05</v>
      </c>
      <c r="N1915" s="475">
        <f t="shared" si="122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20"/>
        <v>-1071319814.3498336</v>
      </c>
      <c r="J1916" s="455">
        <f t="array" ref="J1916">IFERROR(INDEX('Retirement Calculator'!K:K,MATCH('Lorri 401b'!N1916,'Retirement Calculator'!A:A,0),0),0)</f>
        <v>0</v>
      </c>
      <c r="K1916" s="455">
        <f t="shared" ca="1" si="118"/>
        <v>-4463832.5597909736</v>
      </c>
      <c r="L1916" s="455">
        <f t="shared" ca="1" si="119"/>
        <v>-1075783646.9096246</v>
      </c>
      <c r="M1916" s="471">
        <f t="shared" si="121"/>
        <v>0.05</v>
      </c>
      <c r="N1916" s="475">
        <f t="shared" si="122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20"/>
        <v>-1075783646.9096246</v>
      </c>
      <c r="J1917" s="455">
        <f t="array" ref="J1917">IFERROR(INDEX('Retirement Calculator'!K:K,MATCH('Lorri 401b'!N1917,'Retirement Calculator'!A:A,0),0),0)</f>
        <v>0</v>
      </c>
      <c r="K1917" s="455">
        <f t="shared" ca="1" si="118"/>
        <v>-4482431.8621234354</v>
      </c>
      <c r="L1917" s="455">
        <f t="shared" ca="1" si="119"/>
        <v>-1080266078.7717481</v>
      </c>
      <c r="M1917" s="471">
        <f t="shared" si="121"/>
        <v>0.05</v>
      </c>
      <c r="N1917" s="475">
        <f t="shared" si="122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20"/>
        <v>-1080266078.7717481</v>
      </c>
      <c r="J1918" s="455">
        <f t="array" ref="J1918">IFERROR(INDEX('Retirement Calculator'!K:K,MATCH('Lorri 401b'!N1918,'Retirement Calculator'!A:A,0),0),0)</f>
        <v>0</v>
      </c>
      <c r="K1918" s="455">
        <f t="shared" ca="1" si="118"/>
        <v>-4501108.6615489498</v>
      </c>
      <c r="L1918" s="455">
        <f t="shared" ca="1" si="119"/>
        <v>-1084767187.4332969</v>
      </c>
      <c r="M1918" s="471">
        <f t="shared" si="121"/>
        <v>0.05</v>
      </c>
      <c r="N1918" s="475">
        <f t="shared" si="122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20"/>
        <v>-1084767187.4332969</v>
      </c>
      <c r="J1919" s="455">
        <f t="array" ref="J1919">IFERROR(INDEX('Retirement Calculator'!K:K,MATCH('Lorri 401b'!N1919,'Retirement Calculator'!A:A,0),0),0)</f>
        <v>0</v>
      </c>
      <c r="K1919" s="455">
        <f t="shared" ca="1" si="118"/>
        <v>-4519863.2809720701</v>
      </c>
      <c r="L1919" s="455">
        <f t="shared" ca="1" si="119"/>
        <v>-1089287050.7142689</v>
      </c>
      <c r="M1919" s="471">
        <f t="shared" si="121"/>
        <v>0.05</v>
      </c>
      <c r="N1919" s="475">
        <f t="shared" si="122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20"/>
        <v>-1089287050.7142689</v>
      </c>
      <c r="J1920" s="455">
        <f t="array" ref="J1920">IFERROR(INDEX('Retirement Calculator'!K:K,MATCH('Lorri 401b'!N1920,'Retirement Calculator'!A:A,0),0),0)</f>
        <v>0</v>
      </c>
      <c r="K1920" s="455">
        <f t="shared" ca="1" si="118"/>
        <v>-4538696.0446427874</v>
      </c>
      <c r="L1920" s="455">
        <f t="shared" ca="1" si="119"/>
        <v>-1093825746.7589116</v>
      </c>
      <c r="M1920" s="471">
        <f t="shared" si="121"/>
        <v>0.05</v>
      </c>
      <c r="N1920" s="475">
        <f t="shared" si="122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20"/>
        <v>-1093825746.7589116</v>
      </c>
      <c r="J1921" s="455">
        <f t="array" ref="J1921">IFERROR(INDEX('Retirement Calculator'!K:K,MATCH('Lorri 401b'!N1921,'Retirement Calculator'!A:A,0),0),0)</f>
        <v>0</v>
      </c>
      <c r="K1921" s="455">
        <f t="shared" ca="1" si="118"/>
        <v>-4557607.278162132</v>
      </c>
      <c r="L1921" s="455">
        <f t="shared" ca="1" si="119"/>
        <v>-1098383354.0370739</v>
      </c>
      <c r="M1921" s="471">
        <f t="shared" si="121"/>
        <v>0.05</v>
      </c>
      <c r="N1921" s="475">
        <f t="shared" si="122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20"/>
        <v>-1098383354.0370739</v>
      </c>
      <c r="J1922" s="455">
        <f t="array" ref="J1922">IFERROR(INDEX('Retirement Calculator'!K:K,MATCH('Lorri 401b'!N1922,'Retirement Calculator'!A:A,0),0),0)</f>
        <v>0</v>
      </c>
      <c r="K1922" s="455">
        <f t="shared" ca="1" si="118"/>
        <v>-4576597.3084878074</v>
      </c>
      <c r="L1922" s="455">
        <f t="shared" ca="1" si="119"/>
        <v>-1102959951.3455617</v>
      </c>
      <c r="M1922" s="471">
        <f t="shared" si="121"/>
        <v>0.05</v>
      </c>
      <c r="N1922" s="475">
        <f t="shared" si="122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20"/>
        <v>-1102959951.3455617</v>
      </c>
      <c r="J1923" s="455">
        <f t="array" ref="J1923">IFERROR(INDEX('Retirement Calculator'!K:K,MATCH('Lorri 401b'!N1923,'Retirement Calculator'!A:A,0),0),0)</f>
        <v>0</v>
      </c>
      <c r="K1923" s="455">
        <f t="shared" ca="1" si="118"/>
        <v>-4595666.4639398409</v>
      </c>
      <c r="L1923" s="455">
        <f t="shared" ca="1" si="119"/>
        <v>-1107555617.8095016</v>
      </c>
      <c r="M1923" s="471">
        <f t="shared" si="121"/>
        <v>0.05</v>
      </c>
      <c r="N1923" s="475">
        <f t="shared" si="122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20"/>
        <v>-1107555617.8095016</v>
      </c>
      <c r="J1924" s="455">
        <f t="array" ref="J1924">IFERROR(INDEX('Retirement Calculator'!K:K,MATCH('Lorri 401b'!N1924,'Retirement Calculator'!A:A,0),0),0)</f>
        <v>0</v>
      </c>
      <c r="K1924" s="455">
        <f t="shared" ca="1" si="118"/>
        <v>-4614815.0742062572</v>
      </c>
      <c r="L1924" s="455">
        <f t="shared" ca="1" si="119"/>
        <v>-1112170432.883708</v>
      </c>
      <c r="M1924" s="471">
        <f t="shared" si="121"/>
        <v>0.05</v>
      </c>
      <c r="N1924" s="475">
        <f t="shared" si="122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20"/>
        <v>-1112170432.883708</v>
      </c>
      <c r="J1925" s="455">
        <f t="array" ref="J1925">IFERROR(INDEX('Retirement Calculator'!K:K,MATCH('Lorri 401b'!N1925,'Retirement Calculator'!A:A,0),0),0)</f>
        <v>0</v>
      </c>
      <c r="K1925" s="455">
        <f t="shared" ca="1" si="118"/>
        <v>-4634043.4703487828</v>
      </c>
      <c r="L1925" s="455">
        <f t="shared" ca="1" si="119"/>
        <v>-1116804476.3540568</v>
      </c>
      <c r="M1925" s="471">
        <f t="shared" si="121"/>
        <v>0.05</v>
      </c>
      <c r="N1925" s="475">
        <f t="shared" si="122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20"/>
        <v>-1116804476.3540568</v>
      </c>
      <c r="J1926" s="455">
        <f t="array" ref="J1926">IFERROR(INDEX('Retirement Calculator'!K:K,MATCH('Lorri 401b'!N1926,'Retirement Calculator'!A:A,0),0),0)</f>
        <v>0</v>
      </c>
      <c r="K1926" s="455">
        <f t="shared" ca="1" si="118"/>
        <v>-4653351.9848085698</v>
      </c>
      <c r="L1926" s="455">
        <f t="shared" ca="1" si="119"/>
        <v>-1121457828.3388655</v>
      </c>
      <c r="M1926" s="471">
        <f t="shared" si="121"/>
        <v>0.05</v>
      </c>
      <c r="N1926" s="475">
        <f t="shared" si="122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20"/>
        <v>-1121457828.3388655</v>
      </c>
      <c r="J1927" s="455">
        <f t="array" ref="J1927">IFERROR(INDEX('Retirement Calculator'!K:K,MATCH('Lorri 401b'!N1927,'Retirement Calculator'!A:A,0),0),0)</f>
        <v>0</v>
      </c>
      <c r="K1927" s="455">
        <f t="shared" ca="1" si="118"/>
        <v>-4672740.9514119392</v>
      </c>
      <c r="L1927" s="455">
        <f t="shared" ca="1" si="119"/>
        <v>-1126130569.2902775</v>
      </c>
      <c r="M1927" s="471">
        <f t="shared" si="121"/>
        <v>0.05</v>
      </c>
      <c r="N1927" s="475">
        <f t="shared" si="122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20"/>
        <v>-1126130569.2902775</v>
      </c>
      <c r="J1928" s="455">
        <f t="array" ref="J1928">IFERROR(INDEX('Retirement Calculator'!K:K,MATCH('Lorri 401b'!N1928,'Retirement Calculator'!A:A,0),0),0)</f>
        <v>0</v>
      </c>
      <c r="K1928" s="455">
        <f t="shared" ca="1" si="118"/>
        <v>-4692210.7053761557</v>
      </c>
      <c r="L1928" s="455">
        <f t="shared" ca="1" si="119"/>
        <v>-1130822779.9956536</v>
      </c>
      <c r="M1928" s="471">
        <f t="shared" si="121"/>
        <v>0.05</v>
      </c>
      <c r="N1928" s="475">
        <f t="shared" si="122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20"/>
        <v>-1130822779.9956536</v>
      </c>
      <c r="J1929" s="455">
        <f t="array" ref="J1929">IFERROR(INDEX('Retirement Calculator'!K:K,MATCH('Lorri 401b'!N1929,'Retirement Calculator'!A:A,0),0),0)</f>
        <v>0</v>
      </c>
      <c r="K1929" s="455">
        <f t="shared" ca="1" si="118"/>
        <v>-4711761.5833152235</v>
      </c>
      <c r="L1929" s="455">
        <f t="shared" ca="1" si="119"/>
        <v>-1135534541.5789688</v>
      </c>
      <c r="M1929" s="471">
        <f t="shared" si="121"/>
        <v>0.05</v>
      </c>
      <c r="N1929" s="475">
        <f t="shared" si="122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20"/>
        <v>-1135534541.5789688</v>
      </c>
      <c r="J1930" s="455">
        <f t="array" ref="J1930">IFERROR(INDEX('Retirement Calculator'!K:K,MATCH('Lorri 401b'!N1930,'Retirement Calculator'!A:A,0),0),0)</f>
        <v>0</v>
      </c>
      <c r="K1930" s="455">
        <f t="shared" ca="1" si="118"/>
        <v>-4731393.9232457029</v>
      </c>
      <c r="L1930" s="455">
        <f t="shared" ca="1" si="119"/>
        <v>-1140265935.5022144</v>
      </c>
      <c r="M1930" s="471">
        <f t="shared" si="121"/>
        <v>0.05</v>
      </c>
      <c r="N1930" s="475">
        <f t="shared" si="122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20"/>
        <v>-1140265935.5022144</v>
      </c>
      <c r="J1931" s="455">
        <f t="array" ref="J1931">IFERROR(INDEX('Retirement Calculator'!K:K,MATCH('Lorri 401b'!N1931,'Retirement Calculator'!A:A,0),0),0)</f>
        <v>0</v>
      </c>
      <c r="K1931" s="455">
        <f t="shared" ca="1" si="118"/>
        <v>-4751108.0645925598</v>
      </c>
      <c r="L1931" s="455">
        <f t="shared" ca="1" si="119"/>
        <v>-1145017043.566807</v>
      </c>
      <c r="M1931" s="471">
        <f t="shared" si="121"/>
        <v>0.05</v>
      </c>
      <c r="N1931" s="475">
        <f t="shared" si="122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20"/>
        <v>-1145017043.566807</v>
      </c>
      <c r="J1932" s="455">
        <f t="array" ref="J1932">IFERROR(INDEX('Retirement Calculator'!K:K,MATCH('Lorri 401b'!N1932,'Retirement Calculator'!A:A,0),0),0)</f>
        <v>0</v>
      </c>
      <c r="K1932" s="455">
        <f t="shared" ca="1" si="118"/>
        <v>-4770904.3481950294</v>
      </c>
      <c r="L1932" s="455">
        <f t="shared" ca="1" si="119"/>
        <v>-1149787947.9150021</v>
      </c>
      <c r="M1932" s="471">
        <f t="shared" si="121"/>
        <v>0.05</v>
      </c>
      <c r="N1932" s="475">
        <f t="shared" si="122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20"/>
        <v>-1149787947.9150021</v>
      </c>
      <c r="J1933" s="455">
        <f t="array" ref="J1933">IFERROR(INDEX('Retirement Calculator'!K:K,MATCH('Lorri 401b'!N1933,'Retirement Calculator'!A:A,0),0),0)</f>
        <v>0</v>
      </c>
      <c r="K1933" s="455">
        <f t="shared" ca="1" si="118"/>
        <v>-4790783.1163125085</v>
      </c>
      <c r="L1933" s="455">
        <f t="shared" ca="1" si="119"/>
        <v>-1154578731.0313146</v>
      </c>
      <c r="M1933" s="471">
        <f t="shared" si="121"/>
        <v>0.05</v>
      </c>
      <c r="N1933" s="475">
        <f t="shared" si="122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20"/>
        <v>-1154578731.0313146</v>
      </c>
      <c r="J1934" s="455">
        <f t="array" ref="J1934">IFERROR(INDEX('Retirement Calculator'!K:K,MATCH('Lorri 401b'!N1934,'Retirement Calculator'!A:A,0),0),0)</f>
        <v>0</v>
      </c>
      <c r="K1934" s="455">
        <f t="shared" ca="1" si="118"/>
        <v>-4810744.7126304777</v>
      </c>
      <c r="L1934" s="455">
        <f t="shared" ca="1" si="119"/>
        <v>-1159389475.7439451</v>
      </c>
      <c r="M1934" s="471">
        <f t="shared" si="121"/>
        <v>0.05</v>
      </c>
      <c r="N1934" s="475">
        <f t="shared" si="122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20"/>
        <v>-1159389475.7439451</v>
      </c>
      <c r="J1935" s="455">
        <f t="array" ref="J1935">IFERROR(INDEX('Retirement Calculator'!K:K,MATCH('Lorri 401b'!N1935,'Retirement Calculator'!A:A,0),0),0)</f>
        <v>0</v>
      </c>
      <c r="K1935" s="455">
        <f t="shared" ca="1" si="118"/>
        <v>-4830789.4822664382</v>
      </c>
      <c r="L1935" s="455">
        <f t="shared" ca="1" si="119"/>
        <v>-1164220265.2262115</v>
      </c>
      <c r="M1935" s="471">
        <f t="shared" si="121"/>
        <v>0.05</v>
      </c>
      <c r="N1935" s="475">
        <f t="shared" si="122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20"/>
        <v>-1164220265.2262115</v>
      </c>
      <c r="J1936" s="455">
        <f t="array" ref="J1936">IFERROR(INDEX('Retirement Calculator'!K:K,MATCH('Lorri 401b'!N1936,'Retirement Calculator'!A:A,0),0),0)</f>
        <v>0</v>
      </c>
      <c r="K1936" s="455">
        <f t="shared" ca="1" si="118"/>
        <v>-4850917.7717758818</v>
      </c>
      <c r="L1936" s="455">
        <f t="shared" ca="1" si="119"/>
        <v>-1169071182.9979875</v>
      </c>
      <c r="M1936" s="471">
        <f t="shared" si="121"/>
        <v>0.05</v>
      </c>
      <c r="N1936" s="475">
        <f t="shared" si="122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20"/>
        <v>-1169071182.9979875</v>
      </c>
      <c r="J1937" s="455">
        <f t="array" ref="J1937">IFERROR(INDEX('Retirement Calculator'!K:K,MATCH('Lorri 401b'!N1937,'Retirement Calculator'!A:A,0),0),0)</f>
        <v>0</v>
      </c>
      <c r="K1937" s="455">
        <f t="shared" ca="1" si="118"/>
        <v>-4871129.9291582815</v>
      </c>
      <c r="L1937" s="455">
        <f t="shared" ca="1" si="119"/>
        <v>-1173942312.9271457</v>
      </c>
      <c r="M1937" s="471">
        <f t="shared" si="121"/>
        <v>0.05</v>
      </c>
      <c r="N1937" s="475">
        <f t="shared" si="122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20"/>
        <v>-1173942312.9271457</v>
      </c>
      <c r="J1938" s="455">
        <f t="array" ref="J1938">IFERROR(INDEX('Retirement Calculator'!K:K,MATCH('Lorri 401b'!N1938,'Retirement Calculator'!A:A,0),0),0)</f>
        <v>0</v>
      </c>
      <c r="K1938" s="455">
        <f t="shared" ca="1" si="118"/>
        <v>-4891426.3038631072</v>
      </c>
      <c r="L1938" s="455">
        <f t="shared" ca="1" si="119"/>
        <v>-1178833739.2310088</v>
      </c>
      <c r="M1938" s="471">
        <f t="shared" si="121"/>
        <v>0.05</v>
      </c>
      <c r="N1938" s="475">
        <f t="shared" si="122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20"/>
        <v>-1178833739.2310088</v>
      </c>
      <c r="J1939" s="455">
        <f t="array" ref="J1939">IFERROR(INDEX('Retirement Calculator'!K:K,MATCH('Lorri 401b'!N1939,'Retirement Calculator'!A:A,0),0),0)</f>
        <v>0</v>
      </c>
      <c r="K1939" s="455">
        <f t="shared" ca="1" si="118"/>
        <v>-4911807.2467958694</v>
      </c>
      <c r="L1939" s="455">
        <f t="shared" ca="1" si="119"/>
        <v>-1183745546.4778047</v>
      </c>
      <c r="M1939" s="471">
        <f t="shared" si="121"/>
        <v>0.05</v>
      </c>
      <c r="N1939" s="475">
        <f t="shared" si="122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20"/>
        <v>-1183745546.4778047</v>
      </c>
      <c r="J1940" s="455">
        <f t="array" ref="J1940">IFERROR(INDEX('Retirement Calculator'!K:K,MATCH('Lorri 401b'!N1940,'Retirement Calculator'!A:A,0),0),0)</f>
        <v>0</v>
      </c>
      <c r="K1940" s="455">
        <f t="shared" ca="1" si="118"/>
        <v>-4932273.1103241863</v>
      </c>
      <c r="L1940" s="455">
        <f t="shared" ca="1" si="119"/>
        <v>-1188677819.5881288</v>
      </c>
      <c r="M1940" s="471">
        <f t="shared" si="121"/>
        <v>0.05</v>
      </c>
      <c r="N1940" s="475">
        <f t="shared" si="122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20"/>
        <v>-1188677819.5881288</v>
      </c>
      <c r="J1941" s="455">
        <f t="array" ref="J1941">IFERROR(INDEX('Retirement Calculator'!K:K,MATCH('Lorri 401b'!N1941,'Retirement Calculator'!A:A,0),0),0)</f>
        <v>0</v>
      </c>
      <c r="K1941" s="455">
        <f t="shared" ca="1" si="118"/>
        <v>-4952824.2482838696</v>
      </c>
      <c r="L1941" s="455">
        <f t="shared" ca="1" si="119"/>
        <v>-1193630643.8364127</v>
      </c>
      <c r="M1941" s="471">
        <f t="shared" si="121"/>
        <v>0.05</v>
      </c>
      <c r="N1941" s="475">
        <f t="shared" si="122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20"/>
        <v>-1193630643.8364127</v>
      </c>
      <c r="J1942" s="455">
        <f t="array" ref="J1942">IFERROR(INDEX('Retirement Calculator'!K:K,MATCH('Lorri 401b'!N1942,'Retirement Calculator'!A:A,0),0),0)</f>
        <v>0</v>
      </c>
      <c r="K1942" s="455">
        <f t="shared" ca="1" si="118"/>
        <v>-4973461.015985053</v>
      </c>
      <c r="L1942" s="455">
        <f t="shared" ca="1" si="119"/>
        <v>-1198604104.8523977</v>
      </c>
      <c r="M1942" s="471">
        <f t="shared" si="121"/>
        <v>0.05</v>
      </c>
      <c r="N1942" s="475">
        <f t="shared" si="122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20"/>
        <v>-1198604104.8523977</v>
      </c>
      <c r="J1943" s="455">
        <f t="array" ref="J1943">IFERROR(INDEX('Retirement Calculator'!K:K,MATCH('Lorri 401b'!N1943,'Retirement Calculator'!A:A,0),0),0)</f>
        <v>0</v>
      </c>
      <c r="K1943" s="455">
        <f t="shared" ca="1" si="118"/>
        <v>-4994183.7702183239</v>
      </c>
      <c r="L1943" s="455">
        <f t="shared" ca="1" si="119"/>
        <v>-1203598288.6226161</v>
      </c>
      <c r="M1943" s="471">
        <f t="shared" si="121"/>
        <v>0.05</v>
      </c>
      <c r="N1943" s="475">
        <f t="shared" si="122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20"/>
        <v>-1203598288.6226161</v>
      </c>
      <c r="J1944" s="455">
        <f t="array" ref="J1944">IFERROR(INDEX('Retirement Calculator'!K:K,MATCH('Lorri 401b'!N1944,'Retirement Calculator'!A:A,0),0),0)</f>
        <v>0</v>
      </c>
      <c r="K1944" s="455">
        <f t="shared" ca="1" si="118"/>
        <v>-5014992.8692608997</v>
      </c>
      <c r="L1944" s="455">
        <f t="shared" ca="1" si="119"/>
        <v>-1208613281.4918768</v>
      </c>
      <c r="M1944" s="471">
        <f t="shared" si="121"/>
        <v>0.05</v>
      </c>
      <c r="N1944" s="475">
        <f t="shared" si="122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20"/>
        <v>-1208613281.4918768</v>
      </c>
      <c r="J1945" s="455">
        <f t="array" ref="J1945">IFERROR(INDEX('Retirement Calculator'!K:K,MATCH('Lorri 401b'!N1945,'Retirement Calculator'!A:A,0),0),0)</f>
        <v>0</v>
      </c>
      <c r="K1945" s="455">
        <f t="shared" ca="1" si="118"/>
        <v>-5035888.6728828205</v>
      </c>
      <c r="L1945" s="455">
        <f t="shared" ca="1" si="119"/>
        <v>-1213649170.1647596</v>
      </c>
      <c r="M1945" s="471">
        <f t="shared" si="121"/>
        <v>0.05</v>
      </c>
      <c r="N1945" s="475">
        <f t="shared" si="122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20"/>
        <v>-1213649170.1647596</v>
      </c>
      <c r="J1946" s="455">
        <f t="array" ref="J1946">IFERROR(INDEX('Retirement Calculator'!K:K,MATCH('Lorri 401b'!N1946,'Retirement Calculator'!A:A,0),0),0)</f>
        <v>0</v>
      </c>
      <c r="K1946" s="455">
        <f t="shared" ca="1" si="118"/>
        <v>-5056871.5423531653</v>
      </c>
      <c r="L1946" s="455">
        <f t="shared" ca="1" si="119"/>
        <v>-1218706041.7071128</v>
      </c>
      <c r="M1946" s="471">
        <f t="shared" si="121"/>
        <v>0.05</v>
      </c>
      <c r="N1946" s="475">
        <f t="shared" si="122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20"/>
        <v>-1218706041.7071128</v>
      </c>
      <c r="J1947" s="455">
        <f t="array" ref="J1947">IFERROR(INDEX('Retirement Calculator'!K:K,MATCH('Lorri 401b'!N1947,'Retirement Calculator'!A:A,0),0),0)</f>
        <v>0</v>
      </c>
      <c r="K1947" s="455">
        <f t="shared" ca="1" si="118"/>
        <v>-5077941.8404463036</v>
      </c>
      <c r="L1947" s="455">
        <f t="shared" ca="1" si="119"/>
        <v>-1223783983.547559</v>
      </c>
      <c r="M1947" s="471">
        <f t="shared" si="121"/>
        <v>0.05</v>
      </c>
      <c r="N1947" s="475">
        <f t="shared" si="122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20"/>
        <v>-1223783983.547559</v>
      </c>
      <c r="J1948" s="455">
        <f t="array" ref="J1948">IFERROR(INDEX('Retirement Calculator'!K:K,MATCH('Lorri 401b'!N1948,'Retirement Calculator'!A:A,0),0),0)</f>
        <v>0</v>
      </c>
      <c r="K1948" s="455">
        <f t="shared" ca="1" si="118"/>
        <v>-5099099.9314481625</v>
      </c>
      <c r="L1948" s="455">
        <f t="shared" ca="1" si="119"/>
        <v>-1228883083.4790072</v>
      </c>
      <c r="M1948" s="471">
        <f t="shared" si="121"/>
        <v>0.05</v>
      </c>
      <c r="N1948" s="475">
        <f t="shared" si="122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20"/>
        <v>-1228883083.4790072</v>
      </c>
      <c r="J1949" s="455">
        <f t="array" ref="J1949">IFERROR(INDEX('Retirement Calculator'!K:K,MATCH('Lorri 401b'!N1949,'Retirement Calculator'!A:A,0),0),0)</f>
        <v>0</v>
      </c>
      <c r="K1949" s="455">
        <f t="shared" ca="1" si="118"/>
        <v>-5120346.1811625306</v>
      </c>
      <c r="L1949" s="455">
        <f t="shared" ca="1" si="119"/>
        <v>-1234003429.6601698</v>
      </c>
      <c r="M1949" s="471">
        <f t="shared" si="121"/>
        <v>0.05</v>
      </c>
      <c r="N1949" s="475">
        <f t="shared" si="122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20"/>
        <v>-1234003429.6601698</v>
      </c>
      <c r="J1950" s="455">
        <f t="array" ref="J1950">IFERROR(INDEX('Retirement Calculator'!K:K,MATCH('Lorri 401b'!N1950,'Retirement Calculator'!A:A,0),0),0)</f>
        <v>0</v>
      </c>
      <c r="K1950" s="455">
        <f t="shared" ca="1" si="118"/>
        <v>-5141680.9569173744</v>
      </c>
      <c r="L1950" s="455">
        <f t="shared" ca="1" si="119"/>
        <v>-1239145110.6170871</v>
      </c>
      <c r="M1950" s="471">
        <f t="shared" si="121"/>
        <v>0.05</v>
      </c>
      <c r="N1950" s="475">
        <f t="shared" si="122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20"/>
        <v>-1239145110.6170871</v>
      </c>
      <c r="J1951" s="455">
        <f t="array" ref="J1951">IFERROR(INDEX('Retirement Calculator'!K:K,MATCH('Lorri 401b'!N1951,'Retirement Calculator'!A:A,0),0),0)</f>
        <v>0</v>
      </c>
      <c r="K1951" s="455">
        <f t="shared" ca="1" si="118"/>
        <v>-5163104.6275711963</v>
      </c>
      <c r="L1951" s="455">
        <f t="shared" ca="1" si="119"/>
        <v>-1244308215.2446582</v>
      </c>
      <c r="M1951" s="471">
        <f t="shared" si="121"/>
        <v>0.05</v>
      </c>
      <c r="N1951" s="475">
        <f t="shared" si="122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20"/>
        <v>-1244308215.2446582</v>
      </c>
      <c r="J1952" s="455">
        <f t="array" ref="J1952">IFERROR(INDEX('Retirement Calculator'!K:K,MATCH('Lorri 401b'!N1952,'Retirement Calculator'!A:A,0),0),0)</f>
        <v>0</v>
      </c>
      <c r="K1952" s="455">
        <f t="shared" ca="1" si="118"/>
        <v>-5184617.5635194089</v>
      </c>
      <c r="L1952" s="455">
        <f t="shared" ca="1" si="119"/>
        <v>-1249492832.8081777</v>
      </c>
      <c r="M1952" s="471">
        <f t="shared" si="121"/>
        <v>0.05</v>
      </c>
      <c r="N1952" s="475">
        <f t="shared" si="122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20"/>
        <v>-1249492832.8081777</v>
      </c>
      <c r="J1953" s="455">
        <f t="array" ref="J1953">IFERROR(INDEX('Retirement Calculator'!K:K,MATCH('Lorri 401b'!N1953,'Retirement Calculator'!A:A,0),0),0)</f>
        <v>0</v>
      </c>
      <c r="K1953" s="455">
        <f t="shared" ca="1" si="118"/>
        <v>-5206220.1367007401</v>
      </c>
      <c r="L1953" s="455">
        <f t="shared" ca="1" si="119"/>
        <v>-1254699052.9448783</v>
      </c>
      <c r="M1953" s="471">
        <f t="shared" si="121"/>
        <v>0.05</v>
      </c>
      <c r="N1953" s="475">
        <f t="shared" si="122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20"/>
        <v>-1254699052.9448783</v>
      </c>
      <c r="J1954" s="455">
        <f t="array" ref="J1954">IFERROR(INDEX('Retirement Calculator'!K:K,MATCH('Lorri 401b'!N1954,'Retirement Calculator'!A:A,0),0),0)</f>
        <v>0</v>
      </c>
      <c r="K1954" s="455">
        <f t="shared" ca="1" si="118"/>
        <v>-5227912.7206036597</v>
      </c>
      <c r="L1954" s="455">
        <f t="shared" ca="1" si="119"/>
        <v>-1259926965.665482</v>
      </c>
      <c r="M1954" s="471">
        <f t="shared" si="121"/>
        <v>0.05</v>
      </c>
      <c r="N1954" s="475">
        <f t="shared" si="122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20"/>
        <v>-1259926965.665482</v>
      </c>
      <c r="J1955" s="455">
        <f t="array" ref="J1955">IFERROR(INDEX('Retirement Calculator'!K:K,MATCH('Lorri 401b'!N1955,'Retirement Calculator'!A:A,0),0),0)</f>
        <v>0</v>
      </c>
      <c r="K1955" s="455">
        <f t="shared" ca="1" si="118"/>
        <v>-5249695.6902728416</v>
      </c>
      <c r="L1955" s="455">
        <f t="shared" ca="1" si="119"/>
        <v>-1265176661.3557549</v>
      </c>
      <c r="M1955" s="471">
        <f t="shared" si="121"/>
        <v>0.05</v>
      </c>
      <c r="N1955" s="475">
        <f t="shared" si="122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20"/>
        <v>-1265176661.3557549</v>
      </c>
      <c r="J1956" s="455">
        <f t="array" ref="J1956">IFERROR(INDEX('Retirement Calculator'!K:K,MATCH('Lorri 401b'!N1956,'Retirement Calculator'!A:A,0),0),0)</f>
        <v>0</v>
      </c>
      <c r="K1956" s="455">
        <f t="shared" ca="1" si="118"/>
        <v>-5271569.422315645</v>
      </c>
      <c r="L1956" s="455">
        <f t="shared" ca="1" si="119"/>
        <v>-1270448230.7780704</v>
      </c>
      <c r="M1956" s="471">
        <f t="shared" si="121"/>
        <v>0.05</v>
      </c>
      <c r="N1956" s="475">
        <f t="shared" si="122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20"/>
        <v>-1270448230.7780704</v>
      </c>
      <c r="J1957" s="455">
        <f t="array" ref="J1957">IFERROR(INDEX('Retirement Calculator'!K:K,MATCH('Lorri 401b'!N1957,'Retirement Calculator'!A:A,0),0),0)</f>
        <v>0</v>
      </c>
      <c r="K1957" s="455">
        <f t="shared" ca="1" si="118"/>
        <v>-5293534.2949086269</v>
      </c>
      <c r="L1957" s="455">
        <f t="shared" ca="1" si="119"/>
        <v>-1275741765.072979</v>
      </c>
      <c r="M1957" s="471">
        <f t="shared" si="121"/>
        <v>0.05</v>
      </c>
      <c r="N1957" s="475">
        <f t="shared" si="122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20"/>
        <v>-1275741765.072979</v>
      </c>
      <c r="J1958" s="455">
        <f t="array" ref="J1958">IFERROR(INDEX('Retirement Calculator'!K:K,MATCH('Lorri 401b'!N1958,'Retirement Calculator'!A:A,0),0),0)</f>
        <v>0</v>
      </c>
      <c r="K1958" s="455">
        <f t="shared" ca="1" si="118"/>
        <v>-5315590.6878040787</v>
      </c>
      <c r="L1958" s="455">
        <f t="shared" ca="1" si="119"/>
        <v>-1281057355.760783</v>
      </c>
      <c r="M1958" s="471">
        <f t="shared" si="121"/>
        <v>0.05</v>
      </c>
      <c r="N1958" s="475">
        <f t="shared" si="122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20"/>
        <v>-1281057355.760783</v>
      </c>
      <c r="J1959" s="455">
        <f t="array" ref="J1959">IFERROR(INDEX('Retirement Calculator'!K:K,MATCH('Lorri 401b'!N1959,'Retirement Calculator'!A:A,0),0),0)</f>
        <v>0</v>
      </c>
      <c r="K1959" s="455">
        <f t="shared" ca="1" si="118"/>
        <v>-5337738.9823365957</v>
      </c>
      <c r="L1959" s="455">
        <f t="shared" ca="1" si="119"/>
        <v>-1286395094.7431195</v>
      </c>
      <c r="M1959" s="471">
        <f t="shared" si="121"/>
        <v>0.05</v>
      </c>
      <c r="N1959" s="475">
        <f t="shared" si="122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20"/>
        <v>-1286395094.7431195</v>
      </c>
      <c r="J1960" s="455">
        <f t="array" ref="J1960">IFERROR(INDEX('Retirement Calculator'!K:K,MATCH('Lorri 401b'!N1960,'Retirement Calculator'!A:A,0),0),0)</f>
        <v>0</v>
      </c>
      <c r="K1960" s="455">
        <f t="shared" ca="1" si="118"/>
        <v>-5359979.5614296645</v>
      </c>
      <c r="L1960" s="455">
        <f t="shared" ca="1" si="119"/>
        <v>-1291755074.3045492</v>
      </c>
      <c r="M1960" s="471">
        <f t="shared" si="121"/>
        <v>0.05</v>
      </c>
      <c r="N1960" s="475">
        <f t="shared" si="122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20"/>
        <v>-1291755074.3045492</v>
      </c>
      <c r="J1961" s="455">
        <f t="array" ref="J1961">IFERROR(INDEX('Retirement Calculator'!K:K,MATCH('Lorri 401b'!N1961,'Retirement Calculator'!A:A,0),0),0)</f>
        <v>0</v>
      </c>
      <c r="K1961" s="455">
        <f t="shared" ca="1" si="118"/>
        <v>-5382312.8096022885</v>
      </c>
      <c r="L1961" s="455">
        <f t="shared" ca="1" si="119"/>
        <v>-1297137387.1141515</v>
      </c>
      <c r="M1961" s="471">
        <f t="shared" si="121"/>
        <v>0.05</v>
      </c>
      <c r="N1961" s="475">
        <f t="shared" si="122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20"/>
        <v>-1297137387.1141515</v>
      </c>
      <c r="J1962" s="455">
        <f t="array" ref="J1962">IFERROR(INDEX('Retirement Calculator'!K:K,MATCH('Lorri 401b'!N1962,'Retirement Calculator'!A:A,0),0),0)</f>
        <v>0</v>
      </c>
      <c r="K1962" s="455">
        <f t="shared" ca="1" si="118"/>
        <v>-5404739.1129756309</v>
      </c>
      <c r="L1962" s="455">
        <f t="shared" ca="1" si="119"/>
        <v>-1302542126.2271271</v>
      </c>
      <c r="M1962" s="471">
        <f t="shared" si="121"/>
        <v>0.05</v>
      </c>
      <c r="N1962" s="475">
        <f t="shared" si="122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20"/>
        <v>-1302542126.2271271</v>
      </c>
      <c r="J1963" s="455">
        <f t="array" ref="J1963">IFERROR(INDEX('Retirement Calculator'!K:K,MATCH('Lorri 401b'!N1963,'Retirement Calculator'!A:A,0),0),0)</f>
        <v>0</v>
      </c>
      <c r="K1963" s="455">
        <f t="shared" ca="1" si="118"/>
        <v>-5427258.8592796959</v>
      </c>
      <c r="L1963" s="455">
        <f t="shared" ca="1" si="119"/>
        <v>-1307969385.0864067</v>
      </c>
      <c r="M1963" s="471">
        <f t="shared" si="121"/>
        <v>0.05</v>
      </c>
      <c r="N1963" s="475">
        <f t="shared" si="122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20"/>
        <v>-1307969385.0864067</v>
      </c>
      <c r="J1964" s="455">
        <f t="array" ref="J1964">IFERROR(INDEX('Retirement Calculator'!K:K,MATCH('Lorri 401b'!N1964,'Retirement Calculator'!A:A,0),0),0)</f>
        <v>0</v>
      </c>
      <c r="K1964" s="455">
        <f t="shared" ca="1" si="118"/>
        <v>-5449872.4378600279</v>
      </c>
      <c r="L1964" s="455">
        <f t="shared" ca="1" si="119"/>
        <v>-1313419257.5242667</v>
      </c>
      <c r="M1964" s="471">
        <f t="shared" si="121"/>
        <v>0.05</v>
      </c>
      <c r="N1964" s="475">
        <f t="shared" si="122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20"/>
        <v>-1313419257.5242667</v>
      </c>
      <c r="J1965" s="455">
        <f t="array" ref="J1965">IFERROR(INDEX('Retirement Calculator'!K:K,MATCH('Lorri 401b'!N1965,'Retirement Calculator'!A:A,0),0),0)</f>
        <v>0</v>
      </c>
      <c r="K1965" s="455">
        <f t="shared" ca="1" si="118"/>
        <v>-5472580.2396844449</v>
      </c>
      <c r="L1965" s="455">
        <f t="shared" ca="1" si="119"/>
        <v>-1318891837.7639511</v>
      </c>
      <c r="M1965" s="471">
        <f t="shared" si="121"/>
        <v>0.05</v>
      </c>
      <c r="N1965" s="475">
        <f t="shared" si="122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20"/>
        <v>-1318891837.7639511</v>
      </c>
      <c r="J1966" s="455">
        <f t="array" ref="J1966">IFERROR(INDEX('Retirement Calculator'!K:K,MATCH('Lorri 401b'!N1966,'Retirement Calculator'!A:A,0),0),0)</f>
        <v>0</v>
      </c>
      <c r="K1966" s="455">
        <f t="shared" ca="1" si="118"/>
        <v>-5495382.657349796</v>
      </c>
      <c r="L1966" s="455">
        <f t="shared" ca="1" si="119"/>
        <v>-1324387220.4213009</v>
      </c>
      <c r="M1966" s="471">
        <f t="shared" si="121"/>
        <v>0.05</v>
      </c>
      <c r="N1966" s="475">
        <f t="shared" si="122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20"/>
        <v>-1324387220.4213009</v>
      </c>
      <c r="J1967" s="455">
        <f t="array" ref="J1967">IFERROR(INDEX('Retirement Calculator'!K:K,MATCH('Lorri 401b'!N1967,'Retirement Calculator'!A:A,0),0),0)</f>
        <v>0</v>
      </c>
      <c r="K1967" s="455">
        <f t="shared" ca="1" si="118"/>
        <v>-5518280.0850887541</v>
      </c>
      <c r="L1967" s="455">
        <f t="shared" ca="1" si="119"/>
        <v>-1329905500.5063896</v>
      </c>
      <c r="M1967" s="471">
        <f t="shared" si="121"/>
        <v>0.05</v>
      </c>
      <c r="N1967" s="475">
        <f t="shared" si="122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20"/>
        <v>-1329905500.5063896</v>
      </c>
      <c r="J1968" s="455">
        <f t="array" ref="J1968">IFERROR(INDEX('Retirement Calculator'!K:K,MATCH('Lorri 401b'!N1968,'Retirement Calculator'!A:A,0),0),0)</f>
        <v>0</v>
      </c>
      <c r="K1968" s="455">
        <f t="shared" ca="1" si="118"/>
        <v>-5541272.918776623</v>
      </c>
      <c r="L1968" s="455">
        <f t="shared" ca="1" si="119"/>
        <v>-1335446773.4251661</v>
      </c>
      <c r="M1968" s="471">
        <f t="shared" si="121"/>
        <v>0.05</v>
      </c>
      <c r="N1968" s="475">
        <f t="shared" si="122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20"/>
        <v>-1335446773.4251661</v>
      </c>
      <c r="J1969" s="455">
        <f t="array" ref="J1969">IFERROR(INDEX('Retirement Calculator'!K:K,MATCH('Lorri 401b'!N1969,'Retirement Calculator'!A:A,0),0),0)</f>
        <v>0</v>
      </c>
      <c r="K1969" s="455">
        <f t="shared" ca="1" si="118"/>
        <v>-5564361.5559381917</v>
      </c>
      <c r="L1969" s="455">
        <f t="shared" ca="1" si="119"/>
        <v>-1341011134.9811044</v>
      </c>
      <c r="M1969" s="471">
        <f t="shared" si="121"/>
        <v>0.05</v>
      </c>
      <c r="N1969" s="475">
        <f t="shared" si="122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20"/>
        <v>-1341011134.9811044</v>
      </c>
      <c r="J1970" s="455">
        <f t="array" ref="J1970">IFERROR(INDEX('Retirement Calculator'!K:K,MATCH('Lorri 401b'!N1970,'Retirement Calculator'!A:A,0),0),0)</f>
        <v>0</v>
      </c>
      <c r="K1970" s="455">
        <f t="shared" ca="1" si="118"/>
        <v>-5587546.3957546018</v>
      </c>
      <c r="L1970" s="455">
        <f t="shared" ca="1" si="119"/>
        <v>-1346598681.3768589</v>
      </c>
      <c r="M1970" s="471">
        <f t="shared" si="121"/>
        <v>0.05</v>
      </c>
      <c r="N1970" s="475">
        <f t="shared" si="122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20"/>
        <v>-1346598681.3768589</v>
      </c>
      <c r="J1971" s="455">
        <f t="array" ref="J1971">IFERROR(INDEX('Retirement Calculator'!K:K,MATCH('Lorri 401b'!N1971,'Retirement Calculator'!A:A,0),0),0)</f>
        <v>0</v>
      </c>
      <c r="K1971" s="455">
        <f t="shared" ca="1" si="118"/>
        <v>-5610827.8390702456</v>
      </c>
      <c r="L1971" s="455">
        <f t="shared" ca="1" si="119"/>
        <v>-1352209509.2159293</v>
      </c>
      <c r="M1971" s="471">
        <f t="shared" si="121"/>
        <v>0.05</v>
      </c>
      <c r="N1971" s="475">
        <f t="shared" si="122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20"/>
        <v>-1352209509.2159293</v>
      </c>
      <c r="J1972" s="455">
        <f t="array" ref="J1972">IFERROR(INDEX('Retirement Calculator'!K:K,MATCH('Lorri 401b'!N1972,'Retirement Calculator'!A:A,0),0),0)</f>
        <v>0</v>
      </c>
      <c r="K1972" s="455">
        <f t="shared" ca="1" si="118"/>
        <v>-5634206.2883997057</v>
      </c>
      <c r="L1972" s="455">
        <f t="shared" ca="1" si="119"/>
        <v>-1357843715.504329</v>
      </c>
      <c r="M1972" s="471">
        <f t="shared" si="121"/>
        <v>0.05</v>
      </c>
      <c r="N1972" s="475">
        <f t="shared" si="122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20"/>
        <v>-1357843715.504329</v>
      </c>
      <c r="J1973" s="455">
        <f t="array" ref="J1973">IFERROR(INDEX('Retirement Calculator'!K:K,MATCH('Lorri 401b'!N1973,'Retirement Calculator'!A:A,0),0),0)</f>
        <v>0</v>
      </c>
      <c r="K1973" s="455">
        <f t="shared" ca="1" si="118"/>
        <v>-5657682.1479347041</v>
      </c>
      <c r="L1973" s="455">
        <f t="shared" ca="1" si="119"/>
        <v>-1363501397.6522636</v>
      </c>
      <c r="M1973" s="471">
        <f t="shared" si="121"/>
        <v>0.05</v>
      </c>
      <c r="N1973" s="475">
        <f t="shared" si="122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20"/>
        <v>-1363501397.6522636</v>
      </c>
      <c r="J1974" s="455">
        <f t="array" ref="J1974">IFERROR(INDEX('Retirement Calculator'!K:K,MATCH('Lorri 401b'!N1974,'Retirement Calculator'!A:A,0),0),0)</f>
        <v>0</v>
      </c>
      <c r="K1974" s="455">
        <f t="shared" ca="1" si="118"/>
        <v>-5681255.8235510988</v>
      </c>
      <c r="L1974" s="455">
        <f t="shared" ca="1" si="119"/>
        <v>-1369182653.4758148</v>
      </c>
      <c r="M1974" s="471">
        <f t="shared" si="121"/>
        <v>0.05</v>
      </c>
      <c r="N1974" s="475">
        <f t="shared" si="122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20"/>
        <v>-1369182653.4758148</v>
      </c>
      <c r="J1975" s="455">
        <f t="array" ref="J1975">IFERROR(INDEX('Retirement Calculator'!K:K,MATCH('Lorri 401b'!N1975,'Retirement Calculator'!A:A,0),0),0)</f>
        <v>0</v>
      </c>
      <c r="K1975" s="455">
        <f t="shared" ca="1" si="118"/>
        <v>-5704927.7228158955</v>
      </c>
      <c r="L1975" s="455">
        <f t="shared" ca="1" si="119"/>
        <v>-1374887581.1986308</v>
      </c>
      <c r="M1975" s="471">
        <f t="shared" si="121"/>
        <v>0.05</v>
      </c>
      <c r="N1975" s="475">
        <f t="shared" si="122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20"/>
        <v>-1374887581.1986308</v>
      </c>
      <c r="J1976" s="455">
        <f t="array" ref="J1976">IFERROR(INDEX('Retirement Calculator'!K:K,MATCH('Lorri 401b'!N1976,'Retirement Calculator'!A:A,0),0),0)</f>
        <v>0</v>
      </c>
      <c r="K1976" s="455">
        <f t="shared" ca="1" si="118"/>
        <v>-5728698.2549942946</v>
      </c>
      <c r="L1976" s="455">
        <f t="shared" ca="1" si="119"/>
        <v>-1380616279.4536252</v>
      </c>
      <c r="M1976" s="471">
        <f t="shared" si="121"/>
        <v>0.05</v>
      </c>
      <c r="N1976" s="475">
        <f t="shared" si="122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20"/>
        <v>-1380616279.4536252</v>
      </c>
      <c r="J1977" s="455">
        <f t="array" ref="J1977">IFERROR(INDEX('Retirement Calculator'!K:K,MATCH('Lorri 401b'!N1977,'Retirement Calculator'!A:A,0),0),0)</f>
        <v>0</v>
      </c>
      <c r="K1977" s="455">
        <f t="shared" ca="1" si="118"/>
        <v>-5752567.8310567718</v>
      </c>
      <c r="L1977" s="455">
        <f t="shared" ca="1" si="119"/>
        <v>-1386368847.284682</v>
      </c>
      <c r="M1977" s="471">
        <f t="shared" si="121"/>
        <v>0.05</v>
      </c>
      <c r="N1977" s="475">
        <f t="shared" si="122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20"/>
        <v>-1386368847.284682</v>
      </c>
      <c r="J1978" s="455">
        <f t="array" ref="J1978">IFERROR(INDEX('Retirement Calculator'!K:K,MATCH('Lorri 401b'!N1978,'Retirement Calculator'!A:A,0),0),0)</f>
        <v>0</v>
      </c>
      <c r="K1978" s="455">
        <f t="shared" ca="1" si="118"/>
        <v>-5776536.8636861751</v>
      </c>
      <c r="L1978" s="455">
        <f t="shared" ca="1" si="119"/>
        <v>-1392145384.1483681</v>
      </c>
      <c r="M1978" s="471">
        <f t="shared" si="121"/>
        <v>0.05</v>
      </c>
      <c r="N1978" s="475">
        <f t="shared" si="122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20"/>
        <v>-1392145384.1483681</v>
      </c>
      <c r="J1979" s="455">
        <f t="array" ref="J1979">IFERROR(INDEX('Retirement Calculator'!K:K,MATCH('Lorri 401b'!N1979,'Retirement Calculator'!A:A,0),0),0)</f>
        <v>0</v>
      </c>
      <c r="K1979" s="455">
        <f t="shared" ca="1" si="118"/>
        <v>-5800605.7672848674</v>
      </c>
      <c r="L1979" s="455">
        <f t="shared" ca="1" si="119"/>
        <v>-1397945989.915653</v>
      </c>
      <c r="M1979" s="471">
        <f t="shared" si="121"/>
        <v>0.05</v>
      </c>
      <c r="N1979" s="475">
        <f t="shared" si="122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20"/>
        <v>-1397945989.915653</v>
      </c>
      <c r="J1980" s="455">
        <f t="array" ref="J1980">IFERROR(INDEX('Retirement Calculator'!K:K,MATCH('Lorri 401b'!N1980,'Retirement Calculator'!A:A,0),0),0)</f>
        <v>0</v>
      </c>
      <c r="K1980" s="455">
        <f t="shared" ca="1" si="118"/>
        <v>-5824774.9579818873</v>
      </c>
      <c r="L1980" s="455">
        <f t="shared" ca="1" si="119"/>
        <v>-1403770764.8736348</v>
      </c>
      <c r="M1980" s="471">
        <f t="shared" si="121"/>
        <v>0.05</v>
      </c>
      <c r="N1980" s="475">
        <f t="shared" si="122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20"/>
        <v>-1403770764.8736348</v>
      </c>
      <c r="J1981" s="455">
        <f t="array" ref="J1981">IFERROR(INDEX('Retirement Calculator'!K:K,MATCH('Lorri 401b'!N1981,'Retirement Calculator'!A:A,0),0),0)</f>
        <v>0</v>
      </c>
      <c r="K1981" s="455">
        <f t="shared" ca="1" si="118"/>
        <v>-5849044.8536401447</v>
      </c>
      <c r="L1981" s="455">
        <f t="shared" ca="1" si="119"/>
        <v>-1409619809.7272749</v>
      </c>
      <c r="M1981" s="471">
        <f t="shared" si="121"/>
        <v>0.05</v>
      </c>
      <c r="N1981" s="475">
        <f t="shared" si="122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20"/>
        <v>-1409619809.7272749</v>
      </c>
      <c r="J1982" s="455">
        <f t="array" ref="J1982">IFERROR(INDEX('Retirement Calculator'!K:K,MATCH('Lorri 401b'!N1982,'Retirement Calculator'!A:A,0),0),0)</f>
        <v>0</v>
      </c>
      <c r="K1982" s="455">
        <f t="shared" ca="1" si="118"/>
        <v>-5873415.8738636449</v>
      </c>
      <c r="L1982" s="455">
        <f t="shared" ca="1" si="119"/>
        <v>-1415493225.6011386</v>
      </c>
      <c r="M1982" s="471">
        <f t="shared" si="121"/>
        <v>0.05</v>
      </c>
      <c r="N1982" s="475">
        <f t="shared" si="122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20"/>
        <v>-1415493225.6011386</v>
      </c>
      <c r="J1983" s="455">
        <f t="array" ref="J1983">IFERROR(INDEX('Retirement Calculator'!K:K,MATCH('Lorri 401b'!N1983,'Retirement Calculator'!A:A,0),0),0)</f>
        <v>0</v>
      </c>
      <c r="K1983" s="455">
        <f t="shared" ca="1" si="118"/>
        <v>-5897888.4400047436</v>
      </c>
      <c r="L1983" s="455">
        <f t="shared" ca="1" si="119"/>
        <v>-1421391114.0411434</v>
      </c>
      <c r="M1983" s="471">
        <f t="shared" si="121"/>
        <v>0.05</v>
      </c>
      <c r="N1983" s="475">
        <f t="shared" si="122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20"/>
        <v>-1421391114.0411434</v>
      </c>
      <c r="J1984" s="455">
        <f t="array" ref="J1984">IFERROR(INDEX('Retirement Calculator'!K:K,MATCH('Lorri 401b'!N1984,'Retirement Calculator'!A:A,0),0),0)</f>
        <v>0</v>
      </c>
      <c r="K1984" s="455">
        <f t="shared" ca="1" si="118"/>
        <v>-5922462.975171431</v>
      </c>
      <c r="L1984" s="455">
        <f t="shared" ca="1" si="119"/>
        <v>-1427313577.0163147</v>
      </c>
      <c r="M1984" s="471">
        <f t="shared" si="121"/>
        <v>0.05</v>
      </c>
      <c r="N1984" s="475">
        <f t="shared" si="122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20"/>
        <v>-1427313577.0163147</v>
      </c>
      <c r="J1985" s="455">
        <f t="array" ref="J1985">IFERROR(INDEX('Retirement Calculator'!K:K,MATCH('Lorri 401b'!N1985,'Retirement Calculator'!A:A,0),0),0)</f>
        <v>0</v>
      </c>
      <c r="K1985" s="455">
        <f t="shared" ca="1" si="118"/>
        <v>-5947139.904234645</v>
      </c>
      <c r="L1985" s="455">
        <f t="shared" ca="1" si="119"/>
        <v>-1433260716.9205494</v>
      </c>
      <c r="M1985" s="471">
        <f t="shared" si="121"/>
        <v>0.05</v>
      </c>
      <c r="N1985" s="475">
        <f t="shared" si="122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20"/>
        <v>-1433260716.9205494</v>
      </c>
      <c r="J1986" s="455">
        <f t="array" ref="J1986">IFERROR(INDEX('Retirement Calculator'!K:K,MATCH('Lorri 401b'!N1986,'Retirement Calculator'!A:A,0),0),0)</f>
        <v>0</v>
      </c>
      <c r="K1986" s="455">
        <f t="shared" ca="1" si="118"/>
        <v>-5971919.6538356226</v>
      </c>
      <c r="L1986" s="455">
        <f t="shared" ca="1" si="119"/>
        <v>-1439232636.5743849</v>
      </c>
      <c r="M1986" s="471">
        <f t="shared" si="121"/>
        <v>0.05</v>
      </c>
      <c r="N1986" s="475">
        <f t="shared" si="122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20"/>
        <v>-1439232636.5743849</v>
      </c>
      <c r="J1987" s="455">
        <f t="array" ref="J1987">IFERROR(INDEX('Retirement Calculator'!K:K,MATCH('Lorri 401b'!N1987,'Retirement Calculator'!A:A,0),0),0)</f>
        <v>0</v>
      </c>
      <c r="K1987" s="455">
        <f t="shared" ca="1" si="118"/>
        <v>-5996802.6523932703</v>
      </c>
      <c r="L1987" s="455">
        <f t="shared" ca="1" si="119"/>
        <v>-1445229439.2267783</v>
      </c>
      <c r="M1987" s="471">
        <f t="shared" si="121"/>
        <v>0.05</v>
      </c>
      <c r="N1987" s="475">
        <f t="shared" si="122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20"/>
        <v>-1445229439.2267783</v>
      </c>
      <c r="J1988" s="455">
        <f t="array" ref="J1988">IFERROR(INDEX('Retirement Calculator'!K:K,MATCH('Lorri 401b'!N1988,'Retirement Calculator'!A:A,0),0),0)</f>
        <v>0</v>
      </c>
      <c r="K1988" s="455">
        <f t="shared" ca="1" si="118"/>
        <v>-6021789.3301115762</v>
      </c>
      <c r="L1988" s="455">
        <f t="shared" ca="1" si="119"/>
        <v>-1451251228.5568898</v>
      </c>
      <c r="M1988" s="471">
        <f t="shared" si="121"/>
        <v>0.05</v>
      </c>
      <c r="N1988" s="475">
        <f t="shared" si="122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20"/>
        <v>-1451251228.5568898</v>
      </c>
      <c r="J1989" s="455">
        <f t="array" ref="J1989">IFERROR(INDEX('Retirement Calculator'!K:K,MATCH('Lorri 401b'!N1989,'Retirement Calculator'!A:A,0),0),0)</f>
        <v>0</v>
      </c>
      <c r="K1989" s="455">
        <f t="shared" ca="1" si="118"/>
        <v>-6046880.1189870406</v>
      </c>
      <c r="L1989" s="455">
        <f t="shared" ca="1" si="119"/>
        <v>-1457298108.6758769</v>
      </c>
      <c r="M1989" s="471">
        <f t="shared" si="121"/>
        <v>0.05</v>
      </c>
      <c r="N1989" s="475">
        <f t="shared" si="122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20"/>
        <v>-1457298108.6758769</v>
      </c>
      <c r="J1990" s="455">
        <f t="array" ref="J1990">IFERROR(INDEX('Retirement Calculator'!K:K,MATCH('Lorri 401b'!N1990,'Retirement Calculator'!A:A,0),0),0)</f>
        <v>0</v>
      </c>
      <c r="K1990" s="455">
        <f t="shared" ca="1" si="118"/>
        <v>-6072075.4528161539</v>
      </c>
      <c r="L1990" s="455">
        <f t="shared" ca="1" si="119"/>
        <v>-1463370184.1286931</v>
      </c>
      <c r="M1990" s="471">
        <f t="shared" si="121"/>
        <v>0.05</v>
      </c>
      <c r="N1990" s="475">
        <f t="shared" si="122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20"/>
        <v>-1463370184.1286931</v>
      </c>
      <c r="J1991" s="455">
        <f t="array" ref="J1991">IFERROR(INDEX('Retirement Calculator'!K:K,MATCH('Lorri 401b'!N1991,'Retirement Calculator'!A:A,0),0),0)</f>
        <v>0</v>
      </c>
      <c r="K1991" s="455">
        <f t="shared" ca="1" si="118"/>
        <v>-6097375.7672028877</v>
      </c>
      <c r="L1991" s="455">
        <f t="shared" ca="1" si="119"/>
        <v>-1469467559.895896</v>
      </c>
      <c r="M1991" s="471">
        <f t="shared" si="121"/>
        <v>0.05</v>
      </c>
      <c r="N1991" s="475">
        <f t="shared" si="122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20"/>
        <v>-1469467559.895896</v>
      </c>
      <c r="J1992" s="455">
        <f t="array" ref="J1992">IFERROR(INDEX('Retirement Calculator'!K:K,MATCH('Lorri 401b'!N1992,'Retirement Calculator'!A:A,0),0),0)</f>
        <v>0</v>
      </c>
      <c r="K1992" s="455">
        <f t="shared" ca="1" si="118"/>
        <v>-6122781.4995662328</v>
      </c>
      <c r="L1992" s="455">
        <f t="shared" ca="1" si="119"/>
        <v>-1475590341.3954623</v>
      </c>
      <c r="M1992" s="471">
        <f t="shared" si="121"/>
        <v>0.05</v>
      </c>
      <c r="N1992" s="475">
        <f t="shared" si="122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20"/>
        <v>-1475590341.3954623</v>
      </c>
      <c r="J1993" s="455">
        <f t="array" ref="J1993">IFERROR(INDEX('Retirement Calculator'!K:K,MATCH('Lorri 401b'!N1993,'Retirement Calculator'!A:A,0),0),0)</f>
        <v>0</v>
      </c>
      <c r="K1993" s="455">
        <f t="shared" ca="1" si="118"/>
        <v>-6148293.0891477596</v>
      </c>
      <c r="L1993" s="455">
        <f t="shared" ca="1" si="119"/>
        <v>-1481738634.4846101</v>
      </c>
      <c r="M1993" s="471">
        <f t="shared" si="121"/>
        <v>0.05</v>
      </c>
      <c r="N1993" s="475">
        <f t="shared" si="122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20"/>
        <v>-1481738634.4846101</v>
      </c>
      <c r="J1994" s="455">
        <f t="array" ref="J1994">IFERROR(INDEX('Retirement Calculator'!K:K,MATCH('Lorri 401b'!N1994,'Retirement Calculator'!A:A,0),0),0)</f>
        <v>0</v>
      </c>
      <c r="K1994" s="455">
        <f t="shared" ca="1" si="118"/>
        <v>-6173910.9770192085</v>
      </c>
      <c r="L1994" s="455">
        <f t="shared" ca="1" si="119"/>
        <v>-1487912545.4616294</v>
      </c>
      <c r="M1994" s="471">
        <f t="shared" si="121"/>
        <v>0.05</v>
      </c>
      <c r="N1994" s="475">
        <f t="shared" si="122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20"/>
        <v>-1487912545.4616294</v>
      </c>
      <c r="J1995" s="455">
        <f t="array" ref="J1995">IFERROR(INDEX('Retirement Calculator'!K:K,MATCH('Lorri 401b'!N1995,'Retirement Calculator'!A:A,0),0),0)</f>
        <v>0</v>
      </c>
      <c r="K1995" s="455">
        <f t="shared" ca="1" si="118"/>
        <v>-6199635.6060901228</v>
      </c>
      <c r="L1995" s="455">
        <f t="shared" ca="1" si="119"/>
        <v>-1494112181.0677195</v>
      </c>
      <c r="M1995" s="471">
        <f t="shared" si="121"/>
        <v>0.05</v>
      </c>
      <c r="N1995" s="475">
        <f t="shared" si="122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20"/>
        <v>-1494112181.0677195</v>
      </c>
      <c r="J1996" s="455">
        <f t="array" ref="J1996">IFERROR(INDEX('Retirement Calculator'!K:K,MATCH('Lorri 401b'!N1996,'Retirement Calculator'!A:A,0),0),0)</f>
        <v>0</v>
      </c>
      <c r="K1996" s="455">
        <f t="shared" ca="1" si="118"/>
        <v>-6225467.4211154981</v>
      </c>
      <c r="L1996" s="455">
        <f t="shared" ca="1" si="119"/>
        <v>-1500337648.4888349</v>
      </c>
      <c r="M1996" s="471">
        <f t="shared" si="121"/>
        <v>0.05</v>
      </c>
      <c r="N1996" s="475">
        <f t="shared" si="122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20"/>
        <v>-1500337648.4888349</v>
      </c>
      <c r="J1997" s="455">
        <f t="array" ref="J1997">IFERROR(INDEX('Retirement Calculator'!K:K,MATCH('Lorri 401b'!N1997,'Retirement Calculator'!A:A,0),0),0)</f>
        <v>0</v>
      </c>
      <c r="K1997" s="455">
        <f t="shared" ca="1" si="118"/>
        <v>-6251406.8687034789</v>
      </c>
      <c r="L1997" s="455">
        <f t="shared" ca="1" si="119"/>
        <v>-1506589055.3575382</v>
      </c>
      <c r="M1997" s="471">
        <f t="shared" si="121"/>
        <v>0.05</v>
      </c>
      <c r="N1997" s="475">
        <f t="shared" si="122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20"/>
        <v>-1506589055.3575382</v>
      </c>
      <c r="J1998" s="455">
        <f t="array" ref="J1998">IFERROR(INDEX('Retirement Calculator'!K:K,MATCH('Lorri 401b'!N1998,'Retirement Calculator'!A:A,0),0),0)</f>
        <v>0</v>
      </c>
      <c r="K1998" s="455">
        <f t="shared" ca="1" si="118"/>
        <v>-6277454.3973230757</v>
      </c>
      <c r="L1998" s="455">
        <f t="shared" ca="1" si="119"/>
        <v>-1512866509.7548614</v>
      </c>
      <c r="M1998" s="471">
        <f t="shared" si="121"/>
        <v>0.05</v>
      </c>
      <c r="N1998" s="475">
        <f t="shared" si="122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20"/>
        <v>-1512866509.7548614</v>
      </c>
      <c r="J1999" s="455">
        <f t="array" ref="J1999">IFERROR(INDEX('Retirement Calculator'!K:K,MATCH('Lorri 401b'!N1999,'Retirement Calculator'!A:A,0),0),0)</f>
        <v>0</v>
      </c>
      <c r="K1999" s="455">
        <f t="shared" ca="1" si="118"/>
        <v>-6303610.4573119227</v>
      </c>
      <c r="L1999" s="455">
        <f t="shared" ca="1" si="119"/>
        <v>-1519170120.2121732</v>
      </c>
      <c r="M1999" s="471">
        <f t="shared" si="121"/>
        <v>0.05</v>
      </c>
      <c r="N1999" s="475">
        <f t="shared" si="122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20"/>
        <v>-1519170120.2121732</v>
      </c>
      <c r="J2000" s="455">
        <f t="array" ref="J2000">IFERROR(INDEX('Retirement Calculator'!K:K,MATCH('Lorri 401b'!N2000,'Retirement Calculator'!A:A,0),0),0)</f>
        <v>0</v>
      </c>
      <c r="K2000" s="455">
        <f t="shared" ca="1" si="118"/>
        <v>-6329875.5008840552</v>
      </c>
      <c r="L2000" s="455">
        <f t="shared" ca="1" si="119"/>
        <v>-1525499995.7130573</v>
      </c>
      <c r="M2000" s="471">
        <f t="shared" si="121"/>
        <v>0.05</v>
      </c>
      <c r="N2000" s="475">
        <f t="shared" si="122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20"/>
        <v>-1525499995.7130573</v>
      </c>
      <c r="J2001" s="455">
        <f t="array" ref="J2001">IFERROR(INDEX('Retirement Calculator'!K:K,MATCH('Lorri 401b'!N2001,'Retirement Calculator'!A:A,0),0),0)</f>
        <v>0</v>
      </c>
      <c r="K2001" s="455">
        <f t="shared" ca="1" si="118"/>
        <v>-6356249.9821377387</v>
      </c>
      <c r="L2001" s="455">
        <f t="shared" ca="1" si="119"/>
        <v>-1531856245.695195</v>
      </c>
      <c r="M2001" s="471">
        <f t="shared" si="121"/>
        <v>0.05</v>
      </c>
      <c r="N2001" s="475">
        <f t="shared" si="122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20"/>
        <v>-1531856245.695195</v>
      </c>
      <c r="J2002" s="455">
        <f t="array" ref="J2002">IFERROR(INDEX('Retirement Calculator'!K:K,MATCH('Lorri 401b'!N2002,'Retirement Calculator'!A:A,0),0),0)</f>
        <v>0</v>
      </c>
      <c r="K2002" s="455">
        <f t="shared" ca="1" si="118"/>
        <v>-6382734.3570633121</v>
      </c>
      <c r="L2002" s="455">
        <f t="shared" ca="1" si="119"/>
        <v>-1538238980.0522583</v>
      </c>
      <c r="M2002" s="471">
        <f t="shared" si="121"/>
        <v>0.05</v>
      </c>
      <c r="N2002" s="475">
        <f t="shared" si="122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20"/>
        <v>-1538238980.0522583</v>
      </c>
      <c r="J2003" s="455">
        <f t="array" ref="J2003">IFERROR(INDEX('Retirement Calculator'!K:K,MATCH('Lorri 401b'!N2003,'Retirement Calculator'!A:A,0),0),0)</f>
        <v>0</v>
      </c>
      <c r="K2003" s="455">
        <f t="shared" ca="1" si="118"/>
        <v>-6409329.0835510762</v>
      </c>
      <c r="L2003" s="455">
        <f t="shared" ca="1" si="119"/>
        <v>-1544648309.1358094</v>
      </c>
      <c r="M2003" s="471">
        <f t="shared" si="121"/>
        <v>0.05</v>
      </c>
      <c r="N2003" s="475">
        <f t="shared" si="122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20"/>
        <v>-1544648309.1358094</v>
      </c>
      <c r="J2004" s="455">
        <f t="array" ref="J2004">IFERROR(INDEX('Retirement Calculator'!K:K,MATCH('Lorri 401b'!N2004,'Retirement Calculator'!A:A,0),0),0)</f>
        <v>0</v>
      </c>
      <c r="K2004" s="455">
        <f t="shared" ca="1" si="118"/>
        <v>-6436034.6213992061</v>
      </c>
      <c r="L2004" s="455">
        <f t="shared" ca="1" si="119"/>
        <v>-1551084343.7572086</v>
      </c>
      <c r="M2004" s="471">
        <f t="shared" si="121"/>
        <v>0.05</v>
      </c>
      <c r="N2004" s="475">
        <f t="shared" si="122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20"/>
        <v>-1551084343.7572086</v>
      </c>
      <c r="J2005" s="455">
        <f t="array" ref="J2005">IFERROR(INDEX('Retirement Calculator'!K:K,MATCH('Lorri 401b'!N2005,'Retirement Calculator'!A:A,0),0),0)</f>
        <v>0</v>
      </c>
      <c r="K2005" s="455">
        <f t="shared" ca="1" si="118"/>
        <v>-6462851.4323217021</v>
      </c>
      <c r="L2005" s="455">
        <f t="shared" ca="1" si="119"/>
        <v>-1557547195.1895304</v>
      </c>
      <c r="M2005" s="471">
        <f t="shared" si="121"/>
        <v>0.05</v>
      </c>
      <c r="N2005" s="475">
        <f t="shared" si="122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20"/>
        <v>-1557547195.1895304</v>
      </c>
      <c r="J2006" s="455">
        <f t="array" ref="J2006">IFERROR(INDEX('Retirement Calculator'!K:K,MATCH('Lorri 401b'!N2006,'Retirement Calculator'!A:A,0),0),0)</f>
        <v>0</v>
      </c>
      <c r="K2006" s="455">
        <f t="shared" ca="1" si="118"/>
        <v>-6489779.9799563764</v>
      </c>
      <c r="L2006" s="455">
        <f t="shared" ca="1" si="119"/>
        <v>-1564036975.1694868</v>
      </c>
      <c r="M2006" s="471">
        <f t="shared" si="121"/>
        <v>0.05</v>
      </c>
      <c r="N2006" s="475">
        <f t="shared" si="122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20"/>
        <v>-1564036975.1694868</v>
      </c>
      <c r="J2007" s="455">
        <f t="array" ref="J2007">IFERROR(INDEX('Retirement Calculator'!K:K,MATCH('Lorri 401b'!N2007,'Retirement Calculator'!A:A,0),0),0)</f>
        <v>0</v>
      </c>
      <c r="K2007" s="455">
        <f t="shared" ca="1" si="118"/>
        <v>-6516820.7298728619</v>
      </c>
      <c r="L2007" s="455">
        <f t="shared" ca="1" si="119"/>
        <v>-1570553795.8993597</v>
      </c>
      <c r="M2007" s="471">
        <f t="shared" si="121"/>
        <v>0.05</v>
      </c>
      <c r="N2007" s="475">
        <f t="shared" si="122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20"/>
        <v>-1570553795.8993597</v>
      </c>
      <c r="J2008" s="455">
        <f t="array" ref="J2008">IFERROR(INDEX('Retirement Calculator'!K:K,MATCH('Lorri 401b'!N2008,'Retirement Calculator'!A:A,0),0),0)</f>
        <v>0</v>
      </c>
      <c r="K2008" s="455">
        <f t="shared" ca="1" si="118"/>
        <v>-6543974.1495806649</v>
      </c>
      <c r="L2008" s="455">
        <f t="shared" ca="1" si="119"/>
        <v>-1577097770.0489404</v>
      </c>
      <c r="M2008" s="471">
        <f t="shared" si="121"/>
        <v>0.05</v>
      </c>
      <c r="N2008" s="475">
        <f t="shared" si="122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20"/>
        <v>-1577097770.0489404</v>
      </c>
      <c r="J2009" s="455">
        <f t="array" ref="J2009">IFERROR(INDEX('Retirement Calculator'!K:K,MATCH('Lorri 401b'!N2009,'Retirement Calculator'!A:A,0),0),0)</f>
        <v>0</v>
      </c>
      <c r="K2009" s="455">
        <f t="shared" ca="1" si="118"/>
        <v>-6571240.7085372517</v>
      </c>
      <c r="L2009" s="455">
        <f t="shared" ca="1" si="119"/>
        <v>-1583669010.7574778</v>
      </c>
      <c r="M2009" s="471">
        <f t="shared" si="121"/>
        <v>0.05</v>
      </c>
      <c r="N2009" s="475">
        <f t="shared" si="122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20"/>
        <v>-1583669010.7574778</v>
      </c>
      <c r="J2010" s="455">
        <f t="array" ref="J2010">IFERROR(INDEX('Retirement Calculator'!K:K,MATCH('Lorri 401b'!N2010,'Retirement Calculator'!A:A,0),0),0)</f>
        <v>0</v>
      </c>
      <c r="K2010" s="455">
        <f t="shared" ca="1" si="118"/>
        <v>-6598620.8781561572</v>
      </c>
      <c r="L2010" s="455">
        <f t="shared" ca="1" si="119"/>
        <v>-1590267631.6356339</v>
      </c>
      <c r="M2010" s="471">
        <f t="shared" si="121"/>
        <v>0.05</v>
      </c>
      <c r="N2010" s="475">
        <f t="shared" si="122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20"/>
        <v>-1590267631.6356339</v>
      </c>
      <c r="J2011" s="455">
        <f t="array" ref="J2011">IFERROR(INDEX('Retirement Calculator'!K:K,MATCH('Lorri 401b'!N2011,'Retirement Calculator'!A:A,0),0),0)</f>
        <v>0</v>
      </c>
      <c r="K2011" s="455">
        <f t="shared" ca="1" si="118"/>
        <v>-6626115.1318151411</v>
      </c>
      <c r="L2011" s="455">
        <f t="shared" ca="1" si="119"/>
        <v>-1596893746.7674491</v>
      </c>
      <c r="M2011" s="471">
        <f t="shared" si="121"/>
        <v>0.05</v>
      </c>
      <c r="N2011" s="475">
        <f t="shared" si="122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20"/>
        <v>-1596893746.7674491</v>
      </c>
      <c r="J2012" s="455">
        <f t="array" ref="J2012">IFERROR(INDEX('Retirement Calculator'!K:K,MATCH('Lorri 401b'!N2012,'Retirement Calculator'!A:A,0),0),0)</f>
        <v>0</v>
      </c>
      <c r="K2012" s="455">
        <f t="shared" ca="1" si="118"/>
        <v>-6653723.9448643718</v>
      </c>
      <c r="L2012" s="455">
        <f t="shared" ca="1" si="119"/>
        <v>-1603547470.7123134</v>
      </c>
      <c r="M2012" s="471">
        <f t="shared" si="121"/>
        <v>0.05</v>
      </c>
      <c r="N2012" s="475">
        <f t="shared" si="122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20"/>
        <v>-1603547470.7123134</v>
      </c>
      <c r="J2013" s="455">
        <f t="array" ref="J2013">IFERROR(INDEX('Retirement Calculator'!K:K,MATCH('Lorri 401b'!N2013,'Retirement Calculator'!A:A,0),0),0)</f>
        <v>0</v>
      </c>
      <c r="K2013" s="455">
        <f t="shared" ca="1" si="118"/>
        <v>-6681447.7946346393</v>
      </c>
      <c r="L2013" s="455">
        <f t="shared" ca="1" si="119"/>
        <v>-1610228918.506948</v>
      </c>
      <c r="M2013" s="471">
        <f t="shared" si="121"/>
        <v>0.05</v>
      </c>
      <c r="N2013" s="475">
        <f t="shared" si="122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20"/>
        <v>-1610228918.506948</v>
      </c>
      <c r="J2014" s="455">
        <f t="array" ref="J2014">IFERROR(INDEX('Retirement Calculator'!K:K,MATCH('Lorri 401b'!N2014,'Retirement Calculator'!A:A,0),0),0)</f>
        <v>0</v>
      </c>
      <c r="K2014" s="455">
        <f t="shared" ca="1" si="118"/>
        <v>-6709287.1604456166</v>
      </c>
      <c r="L2014" s="455">
        <f t="shared" ca="1" si="119"/>
        <v>-1616938205.6673937</v>
      </c>
      <c r="M2014" s="471">
        <f t="shared" si="121"/>
        <v>0.05</v>
      </c>
      <c r="N2014" s="475">
        <f t="shared" si="122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20"/>
        <v>-1616938205.6673937</v>
      </c>
      <c r="J2015" s="455">
        <f t="array" ref="J2015">IFERROR(INDEX('Retirement Calculator'!K:K,MATCH('Lorri 401b'!N2015,'Retirement Calculator'!A:A,0),0),0)</f>
        <v>0</v>
      </c>
      <c r="K2015" s="455">
        <f t="shared" ca="1" si="118"/>
        <v>-6737242.5236141402</v>
      </c>
      <c r="L2015" s="455">
        <f t="shared" ca="1" si="119"/>
        <v>-1623675448.1910079</v>
      </c>
      <c r="M2015" s="471">
        <f t="shared" si="121"/>
        <v>0.05</v>
      </c>
      <c r="N2015" s="475">
        <f t="shared" si="122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20"/>
        <v>-1623675448.1910079</v>
      </c>
      <c r="J2016" s="455">
        <f t="array" ref="J2016">IFERROR(INDEX('Retirement Calculator'!K:K,MATCH('Lorri 401b'!N2016,'Retirement Calculator'!A:A,0),0),0)</f>
        <v>0</v>
      </c>
      <c r="K2016" s="455">
        <f t="shared" ca="1" si="118"/>
        <v>-6765314.3674625326</v>
      </c>
      <c r="L2016" s="455">
        <f t="shared" ca="1" si="119"/>
        <v>-1630440762.5584705</v>
      </c>
      <c r="M2016" s="471">
        <f t="shared" si="121"/>
        <v>0.05</v>
      </c>
      <c r="N2016" s="475">
        <f t="shared" si="122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20"/>
        <v>-1630440762.5584705</v>
      </c>
      <c r="J2017" s="455">
        <f t="array" ref="J2017">IFERROR(INDEX('Retirement Calculator'!K:K,MATCH('Lorri 401b'!N2017,'Retirement Calculator'!A:A,0),0),0)</f>
        <v>0</v>
      </c>
      <c r="K2017" s="455">
        <f t="shared" ca="1" si="118"/>
        <v>-6793503.1773269605</v>
      </c>
      <c r="L2017" s="455">
        <f t="shared" ca="1" si="119"/>
        <v>-1637234265.7357974</v>
      </c>
      <c r="M2017" s="471">
        <f t="shared" si="121"/>
        <v>0.05</v>
      </c>
      <c r="N2017" s="475">
        <f t="shared" si="122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20"/>
        <v>-1637234265.7357974</v>
      </c>
      <c r="J2018" s="455">
        <f t="array" ref="J2018">IFERROR(INDEX('Retirement Calculator'!K:K,MATCH('Lorri 401b'!N2018,'Retirement Calculator'!A:A,0),0),0)</f>
        <v>0</v>
      </c>
      <c r="K2018" s="455">
        <f t="shared" ca="1" si="118"/>
        <v>-6821809.4405658226</v>
      </c>
      <c r="L2018" s="455">
        <f t="shared" ca="1" si="119"/>
        <v>-1644056075.1763632</v>
      </c>
      <c r="M2018" s="471">
        <f t="shared" si="121"/>
        <v>0.05</v>
      </c>
      <c r="N2018" s="475">
        <f t="shared" si="122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20"/>
        <v>-1644056075.1763632</v>
      </c>
      <c r="J2019" s="455">
        <f t="array" ref="J2019">IFERROR(INDEX('Retirement Calculator'!K:K,MATCH('Lorri 401b'!N2019,'Retirement Calculator'!A:A,0),0),0)</f>
        <v>0</v>
      </c>
      <c r="K2019" s="455">
        <f t="shared" ca="1" si="118"/>
        <v>-6850233.6465681801</v>
      </c>
      <c r="L2019" s="455">
        <f t="shared" ca="1" si="119"/>
        <v>-1650906308.8229315</v>
      </c>
      <c r="M2019" s="471">
        <f t="shared" si="121"/>
        <v>0.05</v>
      </c>
      <c r="N2019" s="475">
        <f t="shared" si="122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20"/>
        <v>-1650906308.8229315</v>
      </c>
      <c r="J2020" s="455">
        <f t="array" ref="J2020">IFERROR(INDEX('Retirement Calculator'!K:K,MATCH('Lorri 401b'!N2020,'Retirement Calculator'!A:A,0),0),0)</f>
        <v>0</v>
      </c>
      <c r="K2020" s="455">
        <f t="shared" ca="1" si="118"/>
        <v>-6878776.2867622143</v>
      </c>
      <c r="L2020" s="455">
        <f t="shared" ca="1" si="119"/>
        <v>-1657785085.1096938</v>
      </c>
      <c r="M2020" s="471">
        <f t="shared" si="121"/>
        <v>0.05</v>
      </c>
      <c r="N2020" s="475">
        <f t="shared" si="122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20"/>
        <v>-1657785085.1096938</v>
      </c>
      <c r="J2021" s="455">
        <f t="array" ref="J2021">IFERROR(INDEX('Retirement Calculator'!K:K,MATCH('Lorri 401b'!N2021,'Retirement Calculator'!A:A,0),0),0)</f>
        <v>0</v>
      </c>
      <c r="K2021" s="455">
        <f t="shared" ca="1" si="118"/>
        <v>-6907437.8546237238</v>
      </c>
      <c r="L2021" s="455">
        <f t="shared" ca="1" si="119"/>
        <v>-1664692522.9643176</v>
      </c>
      <c r="M2021" s="471">
        <f t="shared" si="121"/>
        <v>0.05</v>
      </c>
      <c r="N2021" s="475">
        <f t="shared" si="122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20"/>
        <v>-1664692522.9643176</v>
      </c>
      <c r="J2022" s="455">
        <f t="array" ref="J2022">IFERROR(INDEX('Retirement Calculator'!K:K,MATCH('Lorri 401b'!N2022,'Retirement Calculator'!A:A,0),0),0)</f>
        <v>0</v>
      </c>
      <c r="K2022" s="455">
        <f t="shared" ca="1" si="118"/>
        <v>-6936218.8456846559</v>
      </c>
      <c r="L2022" s="455">
        <f t="shared" ca="1" si="119"/>
        <v>-1671628741.8100023</v>
      </c>
      <c r="M2022" s="471">
        <f t="shared" si="121"/>
        <v>0.05</v>
      </c>
      <c r="N2022" s="475">
        <f t="shared" si="122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20"/>
        <v>-1671628741.8100023</v>
      </c>
      <c r="J2023" s="455">
        <f t="array" ref="J2023">IFERROR(INDEX('Retirement Calculator'!K:K,MATCH('Lorri 401b'!N2023,'Retirement Calculator'!A:A,0),0),0)</f>
        <v>0</v>
      </c>
      <c r="K2023" s="455">
        <f t="shared" ca="1" si="118"/>
        <v>-6965119.7575416761</v>
      </c>
      <c r="L2023" s="455">
        <f t="shared" ca="1" si="119"/>
        <v>-1678593861.567544</v>
      </c>
      <c r="M2023" s="471">
        <f t="shared" si="121"/>
        <v>0.05</v>
      </c>
      <c r="N2023" s="475">
        <f t="shared" si="122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20"/>
        <v>-1678593861.567544</v>
      </c>
      <c r="J2024" s="455">
        <f t="array" ref="J2024">IFERROR(INDEX('Retirement Calculator'!K:K,MATCH('Lorri 401b'!N2024,'Retirement Calculator'!A:A,0),0),0)</f>
        <v>0</v>
      </c>
      <c r="K2024" s="455">
        <f t="shared" ca="1" si="118"/>
        <v>-6994141.0898647662</v>
      </c>
      <c r="L2024" s="455">
        <f t="shared" ca="1" si="119"/>
        <v>-1685588002.6574087</v>
      </c>
      <c r="M2024" s="471">
        <f t="shared" si="121"/>
        <v>0.05</v>
      </c>
      <c r="N2024" s="475">
        <f t="shared" si="122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20"/>
        <v>-1685588002.6574087</v>
      </c>
      <c r="J2025" s="455">
        <f t="array" ref="J2025">IFERROR(INDEX('Retirement Calculator'!K:K,MATCH('Lorri 401b'!N2025,'Retirement Calculator'!A:A,0),0),0)</f>
        <v>0</v>
      </c>
      <c r="K2025" s="455">
        <f t="shared" ca="1" si="118"/>
        <v>-7023283.3444058681</v>
      </c>
      <c r="L2025" s="455">
        <f t="shared" ca="1" si="119"/>
        <v>-1692611286.0018146</v>
      </c>
      <c r="M2025" s="471">
        <f t="shared" si="121"/>
        <v>0.05</v>
      </c>
      <c r="N2025" s="475">
        <f t="shared" si="122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20"/>
        <v>-1692611286.0018146</v>
      </c>
      <c r="J2026" s="455">
        <f t="array" ref="J2026">IFERROR(INDEX('Retirement Calculator'!K:K,MATCH('Lorri 401b'!N2026,'Retirement Calculator'!A:A,0),0),0)</f>
        <v>0</v>
      </c>
      <c r="K2026" s="455">
        <f t="shared" ca="1" si="118"/>
        <v>-7052547.0250075608</v>
      </c>
      <c r="L2026" s="455">
        <f t="shared" ca="1" si="119"/>
        <v>-1699663833.0268221</v>
      </c>
      <c r="M2026" s="471">
        <f t="shared" si="121"/>
        <v>0.05</v>
      </c>
      <c r="N2026" s="475">
        <f t="shared" si="122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20"/>
        <v>-1699663833.0268221</v>
      </c>
      <c r="J2027" s="455">
        <f t="array" ref="J2027">IFERROR(INDEX('Retirement Calculator'!K:K,MATCH('Lorri 401b'!N2027,'Retirement Calculator'!A:A,0),0),0)</f>
        <v>0</v>
      </c>
      <c r="K2027" s="455">
        <f t="shared" ca="1" si="118"/>
        <v>-7081932.6376117589</v>
      </c>
      <c r="L2027" s="455">
        <f t="shared" ca="1" si="119"/>
        <v>-1706745765.664434</v>
      </c>
      <c r="M2027" s="471">
        <f t="shared" si="121"/>
        <v>0.05</v>
      </c>
      <c r="N2027" s="475">
        <f t="shared" si="122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20"/>
        <v>-1706745765.664434</v>
      </c>
      <c r="J2028" s="455">
        <f t="array" ref="J2028">IFERROR(INDEX('Retirement Calculator'!K:K,MATCH('Lorri 401b'!N2028,'Retirement Calculator'!A:A,0),0),0)</f>
        <v>0</v>
      </c>
      <c r="K2028" s="455">
        <f t="shared" ca="1" si="118"/>
        <v>-7111440.6902684756</v>
      </c>
      <c r="L2028" s="455">
        <f t="shared" ca="1" si="119"/>
        <v>-1713857206.3547025</v>
      </c>
      <c r="M2028" s="471">
        <f t="shared" si="121"/>
        <v>0.05</v>
      </c>
      <c r="N2028" s="475">
        <f t="shared" si="122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20"/>
        <v>-1713857206.3547025</v>
      </c>
      <c r="J2029" s="455">
        <f t="array" ref="J2029">IFERROR(INDEX('Retirement Calculator'!K:K,MATCH('Lorri 401b'!N2029,'Retirement Calculator'!A:A,0),0),0)</f>
        <v>0</v>
      </c>
      <c r="K2029" s="455">
        <f t="shared" ca="1" si="118"/>
        <v>-7141071.6931445934</v>
      </c>
      <c r="L2029" s="455">
        <f t="shared" ca="1" si="119"/>
        <v>-1720998278.047847</v>
      </c>
      <c r="M2029" s="471">
        <f t="shared" si="121"/>
        <v>0.05</v>
      </c>
      <c r="N2029" s="475">
        <f t="shared" si="122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20"/>
        <v>-1720998278.047847</v>
      </c>
      <c r="J2030" s="455">
        <f t="array" ref="J2030">IFERROR(INDEX('Retirement Calculator'!K:K,MATCH('Lorri 401b'!N2030,'Retirement Calculator'!A:A,0),0),0)</f>
        <v>0</v>
      </c>
      <c r="K2030" s="455">
        <f t="shared" ca="1" si="118"/>
        <v>-7170826.1585326968</v>
      </c>
      <c r="L2030" s="455">
        <f t="shared" ca="1" si="119"/>
        <v>-1728169104.2063797</v>
      </c>
      <c r="M2030" s="471">
        <f t="shared" si="121"/>
        <v>0.05</v>
      </c>
      <c r="N2030" s="475">
        <f t="shared" si="122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20"/>
        <v>-1728169104.2063797</v>
      </c>
      <c r="J2031" s="455">
        <f t="array" ref="J2031">IFERROR(INDEX('Retirement Calculator'!K:K,MATCH('Lorri 401b'!N2031,'Retirement Calculator'!A:A,0),0),0)</f>
        <v>0</v>
      </c>
      <c r="K2031" s="455">
        <f t="shared" ca="1" si="118"/>
        <v>-7200704.600859914</v>
      </c>
      <c r="L2031" s="455">
        <f t="shared" ca="1" si="119"/>
        <v>-1735369808.8072395</v>
      </c>
      <c r="M2031" s="471">
        <f t="shared" si="121"/>
        <v>0.05</v>
      </c>
      <c r="N2031" s="475">
        <f t="shared" si="122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20"/>
        <v>-1735369808.8072395</v>
      </c>
      <c r="J2032" s="455">
        <f t="array" ref="J2032">IFERROR(INDEX('Retirement Calculator'!K:K,MATCH('Lorri 401b'!N2032,'Retirement Calculator'!A:A,0),0),0)</f>
        <v>0</v>
      </c>
      <c r="K2032" s="455">
        <f t="shared" ca="1" si="118"/>
        <v>-7230707.5366968298</v>
      </c>
      <c r="L2032" s="455">
        <f t="shared" ca="1" si="119"/>
        <v>-1742600516.3439364</v>
      </c>
      <c r="M2032" s="471">
        <f t="shared" si="121"/>
        <v>0.05</v>
      </c>
      <c r="N2032" s="475">
        <f t="shared" si="122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20"/>
        <v>-1742600516.3439364</v>
      </c>
      <c r="J2033" s="455">
        <f t="array" ref="J2033">IFERROR(INDEX('Retirement Calculator'!K:K,MATCH('Lorri 401b'!N2033,'Retirement Calculator'!A:A,0),0),0)</f>
        <v>0</v>
      </c>
      <c r="K2033" s="455">
        <f t="shared" ca="1" si="118"/>
        <v>-7260835.4847664014</v>
      </c>
      <c r="L2033" s="455">
        <f t="shared" ca="1" si="119"/>
        <v>-1749861351.8287029</v>
      </c>
      <c r="M2033" s="471">
        <f t="shared" si="121"/>
        <v>0.05</v>
      </c>
      <c r="N2033" s="475">
        <f t="shared" si="122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20"/>
        <v>-1749861351.8287029</v>
      </c>
      <c r="J2034" s="455">
        <f t="array" ref="J2034">IFERROR(INDEX('Retirement Calculator'!K:K,MATCH('Lorri 401b'!N2034,'Retirement Calculator'!A:A,0),0),0)</f>
        <v>0</v>
      </c>
      <c r="K2034" s="455">
        <f t="shared" ca="1" si="118"/>
        <v>-7291088.9659529291</v>
      </c>
      <c r="L2034" s="455">
        <f t="shared" ca="1" si="119"/>
        <v>-1757152440.7946558</v>
      </c>
      <c r="M2034" s="471">
        <f t="shared" si="121"/>
        <v>0.05</v>
      </c>
      <c r="N2034" s="475">
        <f t="shared" si="122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20"/>
        <v>-1757152440.7946558</v>
      </c>
      <c r="J2035" s="455">
        <f t="array" ref="J2035">IFERROR(INDEX('Retirement Calculator'!K:K,MATCH('Lorri 401b'!N2035,'Retirement Calculator'!A:A,0),0),0)</f>
        <v>0</v>
      </c>
      <c r="K2035" s="455">
        <f t="shared" ca="1" si="118"/>
        <v>-7321468.503311066</v>
      </c>
      <c r="L2035" s="455">
        <f t="shared" ca="1" si="119"/>
        <v>-1764473909.297967</v>
      </c>
      <c r="M2035" s="471">
        <f t="shared" si="121"/>
        <v>0.05</v>
      </c>
      <c r="N2035" s="475">
        <f t="shared" si="122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20"/>
        <v>-1764473909.297967</v>
      </c>
      <c r="J2036" s="455">
        <f t="array" ref="J2036">IFERROR(INDEX('Retirement Calculator'!K:K,MATCH('Lorri 401b'!N2036,'Retirement Calculator'!A:A,0),0),0)</f>
        <v>0</v>
      </c>
      <c r="K2036" s="455">
        <f t="shared" ca="1" si="118"/>
        <v>-7351974.622074862</v>
      </c>
      <c r="L2036" s="455">
        <f t="shared" ca="1" si="119"/>
        <v>-1771825883.9200418</v>
      </c>
      <c r="M2036" s="471">
        <f t="shared" si="121"/>
        <v>0.05</v>
      </c>
      <c r="N2036" s="475">
        <f t="shared" si="122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20"/>
        <v>-1771825883.9200418</v>
      </c>
      <c r="J2037" s="455">
        <f t="array" ref="J2037">IFERROR(INDEX('Retirement Calculator'!K:K,MATCH('Lorri 401b'!N2037,'Retirement Calculator'!A:A,0),0),0)</f>
        <v>0</v>
      </c>
      <c r="K2037" s="455">
        <f t="shared" ca="1" si="118"/>
        <v>-7382607.8496668395</v>
      </c>
      <c r="L2037" s="455">
        <f t="shared" ca="1" si="119"/>
        <v>-1779208491.7697086</v>
      </c>
      <c r="M2037" s="471">
        <f t="shared" si="121"/>
        <v>0.05</v>
      </c>
      <c r="N2037" s="475">
        <f t="shared" si="122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20"/>
        <v>-1779208491.7697086</v>
      </c>
      <c r="J2038" s="455">
        <f t="array" ref="J2038">IFERROR(INDEX('Retirement Calculator'!K:K,MATCH('Lorri 401b'!N2038,'Retirement Calculator'!A:A,0),0),0)</f>
        <v>0</v>
      </c>
      <c r="K2038" s="455">
        <f t="shared" ca="1" si="118"/>
        <v>-7413368.7157071186</v>
      </c>
      <c r="L2038" s="455">
        <f t="shared" ca="1" si="119"/>
        <v>-1786621860.4854157</v>
      </c>
      <c r="M2038" s="471">
        <f t="shared" si="121"/>
        <v>0.05</v>
      </c>
      <c r="N2038" s="475">
        <f t="shared" si="122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20"/>
        <v>-1786621860.4854157</v>
      </c>
      <c r="J2039" s="455">
        <f t="array" ref="J2039">IFERROR(INDEX('Retirement Calculator'!K:K,MATCH('Lorri 401b'!N2039,'Retirement Calculator'!A:A,0),0),0)</f>
        <v>0</v>
      </c>
      <c r="K2039" s="455">
        <f t="shared" ca="1" si="118"/>
        <v>-7444257.7520225644</v>
      </c>
      <c r="L2039" s="455">
        <f t="shared" ca="1" si="119"/>
        <v>-1794066118.2374382</v>
      </c>
      <c r="M2039" s="471">
        <f t="shared" si="121"/>
        <v>0.05</v>
      </c>
      <c r="N2039" s="475">
        <f t="shared" si="122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20"/>
        <v>-1794066118.2374382</v>
      </c>
      <c r="J2040" s="455">
        <f t="array" ref="J2040">IFERROR(INDEX('Retirement Calculator'!K:K,MATCH('Lorri 401b'!N2040,'Retirement Calculator'!A:A,0),0),0)</f>
        <v>0</v>
      </c>
      <c r="K2040" s="455">
        <f t="shared" ca="1" si="118"/>
        <v>-7475275.4926559925</v>
      </c>
      <c r="L2040" s="455">
        <f t="shared" ca="1" si="119"/>
        <v>-1801541393.7300942</v>
      </c>
      <c r="M2040" s="471">
        <f t="shared" si="121"/>
        <v>0.05</v>
      </c>
      <c r="N2040" s="475">
        <f t="shared" si="122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20"/>
        <v>-1801541393.7300942</v>
      </c>
      <c r="J2041" s="455">
        <f t="array" ref="J2041">IFERROR(INDEX('Retirement Calculator'!K:K,MATCH('Lorri 401b'!N2041,'Retirement Calculator'!A:A,0),0),0)</f>
        <v>0</v>
      </c>
      <c r="K2041" s="455">
        <f t="shared" ca="1" si="118"/>
        <v>-7506422.4738753922</v>
      </c>
      <c r="L2041" s="455">
        <f t="shared" ca="1" si="119"/>
        <v>-1809047816.2039695</v>
      </c>
      <c r="M2041" s="471">
        <f t="shared" si="121"/>
        <v>0.05</v>
      </c>
      <c r="N2041" s="475">
        <f t="shared" si="122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20"/>
        <v>-1809047816.2039695</v>
      </c>
      <c r="J2042" s="455">
        <f t="array" ref="J2042">IFERROR(INDEX('Retirement Calculator'!K:K,MATCH('Lorri 401b'!N2042,'Retirement Calculator'!A:A,0),0),0)</f>
        <v>0</v>
      </c>
      <c r="K2042" s="455">
        <f t="shared" ca="1" si="118"/>
        <v>-7537699.2341832062</v>
      </c>
      <c r="L2042" s="455">
        <f t="shared" ca="1" si="119"/>
        <v>-1816585515.4381528</v>
      </c>
      <c r="M2042" s="471">
        <f t="shared" si="121"/>
        <v>0.05</v>
      </c>
      <c r="N2042" s="475">
        <f t="shared" si="122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20"/>
        <v>-1816585515.4381528</v>
      </c>
      <c r="J2043" s="455">
        <f t="array" ref="J2043">IFERROR(INDEX('Retirement Calculator'!K:K,MATCH('Lorri 401b'!N2043,'Retirement Calculator'!A:A,0),0),0)</f>
        <v>0</v>
      </c>
      <c r="K2043" s="455">
        <f t="shared" ca="1" si="118"/>
        <v>-7569106.3143256363</v>
      </c>
      <c r="L2043" s="455">
        <f t="shared" ca="1" si="119"/>
        <v>-1824154621.7524784</v>
      </c>
      <c r="M2043" s="471">
        <f t="shared" si="121"/>
        <v>0.05</v>
      </c>
      <c r="N2043" s="475">
        <f t="shared" si="122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20"/>
        <v>-1824154621.7524784</v>
      </c>
      <c r="J2044" s="455">
        <f t="array" ref="J2044">IFERROR(INDEX('Retirement Calculator'!K:K,MATCH('Lorri 401b'!N2044,'Retirement Calculator'!A:A,0),0),0)</f>
        <v>0</v>
      </c>
      <c r="K2044" s="455">
        <f t="shared" ca="1" si="118"/>
        <v>-7600644.2573019927</v>
      </c>
      <c r="L2044" s="455">
        <f t="shared" ca="1" si="119"/>
        <v>-1831755266.0097804</v>
      </c>
      <c r="M2044" s="471">
        <f t="shared" si="121"/>
        <v>0.05</v>
      </c>
      <c r="N2044" s="475">
        <f t="shared" si="122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20"/>
        <v>-1831755266.0097804</v>
      </c>
      <c r="J2045" s="455">
        <f t="array" ref="J2045">IFERROR(INDEX('Retirement Calculator'!K:K,MATCH('Lorri 401b'!N2045,'Retirement Calculator'!A:A,0),0),0)</f>
        <v>0</v>
      </c>
      <c r="K2045" s="455">
        <f t="shared" ca="1" si="118"/>
        <v>-7632313.6083740853</v>
      </c>
      <c r="L2045" s="455">
        <f t="shared" ca="1" si="119"/>
        <v>-1839387579.6181545</v>
      </c>
      <c r="M2045" s="471">
        <f t="shared" si="121"/>
        <v>0.05</v>
      </c>
      <c r="N2045" s="475">
        <f t="shared" si="122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20"/>
        <v>-1839387579.6181545</v>
      </c>
      <c r="J2046" s="455">
        <f t="array" ref="J2046">IFERROR(INDEX('Retirement Calculator'!K:K,MATCH('Lorri 401b'!N2046,'Retirement Calculator'!A:A,0),0),0)</f>
        <v>0</v>
      </c>
      <c r="K2046" s="455">
        <f t="shared" ca="1" si="118"/>
        <v>-7664114.9150756439</v>
      </c>
      <c r="L2046" s="455">
        <f t="shared" ca="1" si="119"/>
        <v>-1847051694.5332301</v>
      </c>
      <c r="M2046" s="471">
        <f t="shared" si="121"/>
        <v>0.05</v>
      </c>
      <c r="N2046" s="475">
        <f t="shared" si="122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20"/>
        <v>-1847051694.5332301</v>
      </c>
      <c r="J2047" s="455">
        <f t="array" ref="J2047">IFERROR(INDEX('Retirement Calculator'!K:K,MATCH('Lorri 401b'!N2047,'Retirement Calculator'!A:A,0),0),0)</f>
        <v>0</v>
      </c>
      <c r="K2047" s="455">
        <f t="shared" ca="1" si="118"/>
        <v>-7696048.7272217907</v>
      </c>
      <c r="L2047" s="455">
        <f t="shared" ca="1" si="119"/>
        <v>-1854747743.2604518</v>
      </c>
      <c r="M2047" s="471">
        <f t="shared" si="121"/>
        <v>0.05</v>
      </c>
      <c r="N2047" s="475">
        <f t="shared" si="122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20"/>
        <v>-1854747743.2604518</v>
      </c>
      <c r="J2048" s="455">
        <f t="array" ref="J2048">IFERROR(INDEX('Retirement Calculator'!K:K,MATCH('Lorri 401b'!N2048,'Retirement Calculator'!A:A,0),0),0)</f>
        <v>0</v>
      </c>
      <c r="K2048" s="455">
        <f t="shared" ref="K2048:K2302" ca="1" si="123">IPMT(M2048/12,1,12,-I2048+J2048,,0)</f>
        <v>-7728115.5969185503</v>
      </c>
      <c r="L2048" s="455">
        <f t="shared" ref="L2048:L2302" ca="1" si="124">I2048-J2048+K2048</f>
        <v>-1862475858.8573704</v>
      </c>
      <c r="M2048" s="471">
        <f t="shared" si="121"/>
        <v>0.05</v>
      </c>
      <c r="N2048" s="475">
        <f t="shared" si="122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25">L2048</f>
        <v>-1862475858.8573704</v>
      </c>
      <c r="J2049" s="455">
        <f t="array" ref="J2049">IFERROR(INDEX('Retirement Calculator'!K:K,MATCH('Lorri 401b'!N2049,'Retirement Calculator'!A:A,0),0),0)</f>
        <v>0</v>
      </c>
      <c r="K2049" s="455">
        <f t="shared" ca="1" si="123"/>
        <v>-7760316.0785723766</v>
      </c>
      <c r="L2049" s="455">
        <f t="shared" ca="1" si="124"/>
        <v>-1870236174.9359426</v>
      </c>
      <c r="M2049" s="471">
        <f t="shared" ref="M2049:M2303" si="126">M2048</f>
        <v>0.05</v>
      </c>
      <c r="N2049" s="475">
        <f t="shared" ref="N2049:N2303" si="127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25"/>
        <v>-1870236174.9359426</v>
      </c>
      <c r="J2050" s="455">
        <f t="array" ref="J2050">IFERROR(INDEX('Retirement Calculator'!K:K,MATCH('Lorri 401b'!N2050,'Retirement Calculator'!A:A,0),0),0)</f>
        <v>0</v>
      </c>
      <c r="K2050" s="455">
        <f t="shared" ca="1" si="123"/>
        <v>-7792650.7288997602</v>
      </c>
      <c r="L2050" s="455">
        <f t="shared" ca="1" si="124"/>
        <v>-1878028825.6648424</v>
      </c>
      <c r="M2050" s="471">
        <f t="shared" si="126"/>
        <v>0.05</v>
      </c>
      <c r="N2050" s="475">
        <f t="shared" si="127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25"/>
        <v>-1878028825.6648424</v>
      </c>
      <c r="J2051" s="455">
        <f t="array" ref="J2051">IFERROR(INDEX('Retirement Calculator'!K:K,MATCH('Lorri 401b'!N2051,'Retirement Calculator'!A:A,0),0),0)</f>
        <v>0</v>
      </c>
      <c r="K2051" s="455">
        <f t="shared" ca="1" si="123"/>
        <v>-7825120.1069368431</v>
      </c>
      <c r="L2051" s="455">
        <f t="shared" ca="1" si="124"/>
        <v>-1885853945.7717793</v>
      </c>
      <c r="M2051" s="471">
        <f t="shared" si="126"/>
        <v>0.05</v>
      </c>
      <c r="N2051" s="475">
        <f t="shared" si="127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25"/>
        <v>-1885853945.7717793</v>
      </c>
      <c r="J2052" s="455">
        <f t="array" ref="J2052">IFERROR(INDEX('Retirement Calculator'!K:K,MATCH('Lorri 401b'!N2052,'Retirement Calculator'!A:A,0),0),0)</f>
        <v>0</v>
      </c>
      <c r="K2052" s="455">
        <f t="shared" ca="1" si="123"/>
        <v>-7857724.77404908</v>
      </c>
      <c r="L2052" s="455">
        <f t="shared" ca="1" si="124"/>
        <v>-1893711670.5458283</v>
      </c>
      <c r="M2052" s="471">
        <f t="shared" si="126"/>
        <v>0.05</v>
      </c>
      <c r="N2052" s="475">
        <f t="shared" si="127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25"/>
        <v>-1893711670.5458283</v>
      </c>
      <c r="J2053" s="455">
        <f t="array" ref="J2053">IFERROR(INDEX('Retirement Calculator'!K:K,MATCH('Lorri 401b'!N2053,'Retirement Calculator'!A:A,0),0),0)</f>
        <v>0</v>
      </c>
      <c r="K2053" s="455">
        <f t="shared" ca="1" si="123"/>
        <v>-7890465.2939409511</v>
      </c>
      <c r="L2053" s="455">
        <f t="shared" ca="1" si="124"/>
        <v>-1901602135.8397694</v>
      </c>
      <c r="M2053" s="471">
        <f t="shared" si="126"/>
        <v>0.05</v>
      </c>
      <c r="N2053" s="475">
        <f t="shared" si="127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25"/>
        <v>-1901602135.8397694</v>
      </c>
      <c r="J2054" s="455">
        <f t="array" ref="J2054">IFERROR(INDEX('Retirement Calculator'!K:K,MATCH('Lorri 401b'!N2054,'Retirement Calculator'!A:A,0),0),0)</f>
        <v>0</v>
      </c>
      <c r="K2054" s="455">
        <f t="shared" ca="1" si="123"/>
        <v>-7923342.2326657055</v>
      </c>
      <c r="L2054" s="455">
        <f t="shared" ca="1" si="124"/>
        <v>-1909525478.0724351</v>
      </c>
      <c r="M2054" s="471">
        <f t="shared" si="126"/>
        <v>0.05</v>
      </c>
      <c r="N2054" s="475">
        <f t="shared" si="127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25"/>
        <v>-1909525478.0724351</v>
      </c>
      <c r="J2055" s="455">
        <f t="array" ref="J2055">IFERROR(INDEX('Retirement Calculator'!K:K,MATCH('Lorri 401b'!N2055,'Retirement Calculator'!A:A,0),0),0)</f>
        <v>0</v>
      </c>
      <c r="K2055" s="455">
        <f t="shared" ca="1" si="123"/>
        <v>-7956356.158635146</v>
      </c>
      <c r="L2055" s="455">
        <f t="shared" ca="1" si="124"/>
        <v>-1917481834.2310703</v>
      </c>
      <c r="M2055" s="471">
        <f t="shared" si="126"/>
        <v>0.05</v>
      </c>
      <c r="N2055" s="475">
        <f t="shared" si="127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25"/>
        <v>-1917481834.2310703</v>
      </c>
      <c r="J2056" s="455">
        <f t="array" ref="J2056">IFERROR(INDEX('Retirement Calculator'!K:K,MATCH('Lorri 401b'!N2056,'Retirement Calculator'!A:A,0),0),0)</f>
        <v>0</v>
      </c>
      <c r="K2056" s="455">
        <f t="shared" ca="1" si="123"/>
        <v>-7989507.6426294595</v>
      </c>
      <c r="L2056" s="455">
        <f t="shared" ca="1" si="124"/>
        <v>-1925471341.8736997</v>
      </c>
      <c r="M2056" s="471">
        <f t="shared" si="126"/>
        <v>0.05</v>
      </c>
      <c r="N2056" s="475">
        <f t="shared" si="127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25"/>
        <v>-1925471341.8736997</v>
      </c>
      <c r="J2057" s="455">
        <f t="array" ref="J2057">IFERROR(INDEX('Retirement Calculator'!K:K,MATCH('Lorri 401b'!N2057,'Retirement Calculator'!A:A,0),0),0)</f>
        <v>0</v>
      </c>
      <c r="K2057" s="455">
        <f t="shared" ca="1" si="123"/>
        <v>-8022797.2578070816</v>
      </c>
      <c r="L2057" s="455">
        <f t="shared" ca="1" si="124"/>
        <v>-1933494139.1315067</v>
      </c>
      <c r="M2057" s="471">
        <f t="shared" si="126"/>
        <v>0.05</v>
      </c>
      <c r="N2057" s="475">
        <f t="shared" si="127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25"/>
        <v>-1933494139.1315067</v>
      </c>
      <c r="J2058" s="455">
        <f t="array" ref="J2058">IFERROR(INDEX('Retirement Calculator'!K:K,MATCH('Lorri 401b'!N2058,'Retirement Calculator'!A:A,0),0),0)</f>
        <v>0</v>
      </c>
      <c r="K2058" s="455">
        <f t="shared" ca="1" si="123"/>
        <v>-8056225.5797146121</v>
      </c>
      <c r="L2058" s="455">
        <f t="shared" ca="1" si="124"/>
        <v>-1941550364.7112212</v>
      </c>
      <c r="M2058" s="471">
        <f t="shared" si="126"/>
        <v>0.05</v>
      </c>
      <c r="N2058" s="475">
        <f t="shared" si="127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25"/>
        <v>-1941550364.7112212</v>
      </c>
      <c r="J2059" s="455">
        <f t="array" ref="J2059">IFERROR(INDEX('Retirement Calculator'!K:K,MATCH('Lorri 401b'!N2059,'Retirement Calculator'!A:A,0),0),0)</f>
        <v>0</v>
      </c>
      <c r="K2059" s="455">
        <f t="shared" ca="1" si="123"/>
        <v>-8089793.1862967545</v>
      </c>
      <c r="L2059" s="455">
        <f t="shared" ca="1" si="124"/>
        <v>-1949640157.8975179</v>
      </c>
      <c r="M2059" s="471">
        <f t="shared" si="126"/>
        <v>0.05</v>
      </c>
      <c r="N2059" s="475">
        <f t="shared" si="127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25"/>
        <v>-1949640157.8975179</v>
      </c>
      <c r="J2060" s="455">
        <f t="array" ref="J2060">IFERROR(INDEX('Retirement Calculator'!K:K,MATCH('Lorri 401b'!N2060,'Retirement Calculator'!A:A,0),0),0)</f>
        <v>0</v>
      </c>
      <c r="K2060" s="455">
        <f t="shared" ca="1" si="123"/>
        <v>-8123500.6579063255</v>
      </c>
      <c r="L2060" s="455">
        <f t="shared" ca="1" si="124"/>
        <v>-1957763658.5554242</v>
      </c>
      <c r="M2060" s="471">
        <f t="shared" si="126"/>
        <v>0.05</v>
      </c>
      <c r="N2060" s="475">
        <f t="shared" si="127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25"/>
        <v>-1957763658.5554242</v>
      </c>
      <c r="J2061" s="455">
        <f t="array" ref="J2061">IFERROR(INDEX('Retirement Calculator'!K:K,MATCH('Lorri 401b'!N2061,'Retirement Calculator'!A:A,0),0),0)</f>
        <v>0</v>
      </c>
      <c r="K2061" s="455">
        <f t="shared" ca="1" si="123"/>
        <v>-8157348.5773142679</v>
      </c>
      <c r="L2061" s="455">
        <f t="shared" ca="1" si="124"/>
        <v>-1965921007.1327386</v>
      </c>
      <c r="M2061" s="471">
        <f t="shared" si="126"/>
        <v>0.05</v>
      </c>
      <c r="N2061" s="475">
        <f t="shared" si="127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25"/>
        <v>-1965921007.1327386</v>
      </c>
      <c r="J2062" s="455">
        <f t="array" ref="J2062">IFERROR(INDEX('Retirement Calculator'!K:K,MATCH('Lorri 401b'!N2062,'Retirement Calculator'!A:A,0),0),0)</f>
        <v>0</v>
      </c>
      <c r="K2062" s="455">
        <f t="shared" ca="1" si="123"/>
        <v>-8191337.5297197439</v>
      </c>
      <c r="L2062" s="455">
        <f t="shared" ca="1" si="124"/>
        <v>-1974112344.6624584</v>
      </c>
      <c r="M2062" s="471">
        <f t="shared" si="126"/>
        <v>0.05</v>
      </c>
      <c r="N2062" s="475">
        <f t="shared" si="127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25"/>
        <v>-1974112344.6624584</v>
      </c>
      <c r="J2063" s="455">
        <f t="array" ref="J2063">IFERROR(INDEX('Retirement Calculator'!K:K,MATCH('Lorri 401b'!N2063,'Retirement Calculator'!A:A,0),0),0)</f>
        <v>0</v>
      </c>
      <c r="K2063" s="455">
        <f t="shared" ca="1" si="123"/>
        <v>-8225468.1027602432</v>
      </c>
      <c r="L2063" s="455">
        <f t="shared" ca="1" si="124"/>
        <v>-1982337812.7652187</v>
      </c>
      <c r="M2063" s="471">
        <f t="shared" si="126"/>
        <v>0.05</v>
      </c>
      <c r="N2063" s="475">
        <f t="shared" si="127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25"/>
        <v>-1982337812.7652187</v>
      </c>
      <c r="J2064" s="455">
        <f t="array" ref="J2064">IFERROR(INDEX('Retirement Calculator'!K:K,MATCH('Lorri 401b'!N2064,'Retirement Calculator'!A:A,0),0),0)</f>
        <v>0</v>
      </c>
      <c r="K2064" s="455">
        <f t="shared" ca="1" si="123"/>
        <v>-8259740.8865217445</v>
      </c>
      <c r="L2064" s="455">
        <f t="shared" ca="1" si="124"/>
        <v>-1990597553.6517406</v>
      </c>
      <c r="M2064" s="471">
        <f t="shared" si="126"/>
        <v>0.05</v>
      </c>
      <c r="N2064" s="475">
        <f t="shared" si="127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25"/>
        <v>-1990597553.6517406</v>
      </c>
      <c r="J2065" s="455">
        <f t="array" ref="J2065">IFERROR(INDEX('Retirement Calculator'!K:K,MATCH('Lorri 401b'!N2065,'Retirement Calculator'!A:A,0),0),0)</f>
        <v>0</v>
      </c>
      <c r="K2065" s="455">
        <f t="shared" ca="1" si="123"/>
        <v>-8294156.4735489199</v>
      </c>
      <c r="L2065" s="455">
        <f t="shared" ca="1" si="124"/>
        <v>-1998891710.1252894</v>
      </c>
      <c r="M2065" s="471">
        <f t="shared" si="126"/>
        <v>0.05</v>
      </c>
      <c r="N2065" s="475">
        <f t="shared" si="127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25"/>
        <v>-1998891710.1252894</v>
      </c>
      <c r="J2066" s="455">
        <f t="array" ref="J2066">IFERROR(INDEX('Retirement Calculator'!K:K,MATCH('Lorri 401b'!N2066,'Retirement Calculator'!A:A,0),0),0)</f>
        <v>0</v>
      </c>
      <c r="K2066" s="455">
        <f t="shared" ca="1" si="123"/>
        <v>-8328715.4588553729</v>
      </c>
      <c r="L2066" s="455">
        <f t="shared" ca="1" si="124"/>
        <v>-2007220425.5841448</v>
      </c>
      <c r="M2066" s="471">
        <f t="shared" si="126"/>
        <v>0.05</v>
      </c>
      <c r="N2066" s="475">
        <f t="shared" si="127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25"/>
        <v>-2007220425.5841448</v>
      </c>
      <c r="J2067" s="455">
        <f t="array" ref="J2067">IFERROR(INDEX('Retirement Calculator'!K:K,MATCH('Lorri 401b'!N2067,'Retirement Calculator'!A:A,0),0),0)</f>
        <v>0</v>
      </c>
      <c r="K2067" s="455">
        <f t="shared" ca="1" si="123"/>
        <v>-8363418.439933937</v>
      </c>
      <c r="L2067" s="455">
        <f t="shared" ca="1" si="124"/>
        <v>-2015583844.0240788</v>
      </c>
      <c r="M2067" s="471">
        <f t="shared" si="126"/>
        <v>0.05</v>
      </c>
      <c r="N2067" s="475">
        <f t="shared" si="127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25"/>
        <v>-2015583844.0240788</v>
      </c>
      <c r="J2068" s="455">
        <f t="array" ref="J2068">IFERROR(INDEX('Retirement Calculator'!K:K,MATCH('Lorri 401b'!N2068,'Retirement Calculator'!A:A,0),0),0)</f>
        <v>0</v>
      </c>
      <c r="K2068" s="455">
        <f t="shared" ca="1" si="123"/>
        <v>-8398266.0167669952</v>
      </c>
      <c r="L2068" s="455">
        <f t="shared" ca="1" si="124"/>
        <v>-2023982110.0408459</v>
      </c>
      <c r="M2068" s="471">
        <f t="shared" si="126"/>
        <v>0.05</v>
      </c>
      <c r="N2068" s="475">
        <f t="shared" si="127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25"/>
        <v>-2023982110.0408459</v>
      </c>
      <c r="J2069" s="455">
        <f t="array" ref="J2069">IFERROR(INDEX('Retirement Calculator'!K:K,MATCH('Lorri 401b'!N2069,'Retirement Calculator'!A:A,0),0),0)</f>
        <v>0</v>
      </c>
      <c r="K2069" s="455">
        <f t="shared" ca="1" si="123"/>
        <v>-8433258.7918368578</v>
      </c>
      <c r="L2069" s="455">
        <f t="shared" ca="1" si="124"/>
        <v>-2032415368.8326826</v>
      </c>
      <c r="M2069" s="471">
        <f t="shared" si="126"/>
        <v>0.05</v>
      </c>
      <c r="N2069" s="475">
        <f t="shared" si="127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25"/>
        <v>-2032415368.8326826</v>
      </c>
      <c r="J2070" s="455">
        <f t="array" ref="J2070">IFERROR(INDEX('Retirement Calculator'!K:K,MATCH('Lorri 401b'!N2070,'Retirement Calculator'!A:A,0),0),0)</f>
        <v>0</v>
      </c>
      <c r="K2070" s="455">
        <f t="shared" ca="1" si="123"/>
        <v>-8468397.3701361772</v>
      </c>
      <c r="L2070" s="455">
        <f t="shared" ca="1" si="124"/>
        <v>-2040883766.2028189</v>
      </c>
      <c r="M2070" s="471">
        <f t="shared" si="126"/>
        <v>0.05</v>
      </c>
      <c r="N2070" s="475">
        <f t="shared" si="127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25"/>
        <v>-2040883766.2028189</v>
      </c>
      <c r="J2071" s="455">
        <f t="array" ref="J2071">IFERROR(INDEX('Retirement Calculator'!K:K,MATCH('Lorri 401b'!N2071,'Retirement Calculator'!A:A,0),0),0)</f>
        <v>0</v>
      </c>
      <c r="K2071" s="455">
        <f t="shared" ca="1" si="123"/>
        <v>-8503682.3591784127</v>
      </c>
      <c r="L2071" s="455">
        <f t="shared" ca="1" si="124"/>
        <v>-2049387448.5619972</v>
      </c>
      <c r="M2071" s="471">
        <f t="shared" si="126"/>
        <v>0.05</v>
      </c>
      <c r="N2071" s="475">
        <f t="shared" si="127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25"/>
        <v>-2049387448.5619972</v>
      </c>
      <c r="J2072" s="455">
        <f t="array" ref="J2072">IFERROR(INDEX('Retirement Calculator'!K:K,MATCH('Lorri 401b'!N2072,'Retirement Calculator'!A:A,0),0),0)</f>
        <v>0</v>
      </c>
      <c r="K2072" s="455">
        <f t="shared" ca="1" si="123"/>
        <v>-8539114.3690083213</v>
      </c>
      <c r="L2072" s="455">
        <f t="shared" ca="1" si="124"/>
        <v>-2057926562.9310055</v>
      </c>
      <c r="M2072" s="471">
        <f t="shared" si="126"/>
        <v>0.05</v>
      </c>
      <c r="N2072" s="475">
        <f t="shared" si="127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25"/>
        <v>-2057926562.9310055</v>
      </c>
      <c r="J2073" s="455">
        <f t="array" ref="J2073">IFERROR(INDEX('Retirement Calculator'!K:K,MATCH('Lorri 401b'!N2073,'Retirement Calculator'!A:A,0),0),0)</f>
        <v>0</v>
      </c>
      <c r="K2073" s="455">
        <f t="shared" ca="1" si="123"/>
        <v>-8574694.0122125242</v>
      </c>
      <c r="L2073" s="455">
        <f t="shared" ca="1" si="124"/>
        <v>-2066501256.943218</v>
      </c>
      <c r="M2073" s="471">
        <f t="shared" si="126"/>
        <v>0.05</v>
      </c>
      <c r="N2073" s="475">
        <f t="shared" si="127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25"/>
        <v>-2066501256.943218</v>
      </c>
      <c r="J2074" s="455">
        <f t="array" ref="J2074">IFERROR(INDEX('Retirement Calculator'!K:K,MATCH('Lorri 401b'!N2074,'Retirement Calculator'!A:A,0),0),0)</f>
        <v>0</v>
      </c>
      <c r="K2074" s="455">
        <f t="shared" ca="1" si="123"/>
        <v>-8610421.9039300755</v>
      </c>
      <c r="L2074" s="455">
        <f t="shared" ca="1" si="124"/>
        <v>-2075111678.8471482</v>
      </c>
      <c r="M2074" s="471">
        <f t="shared" si="126"/>
        <v>0.05</v>
      </c>
      <c r="N2074" s="475">
        <f t="shared" si="127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25"/>
        <v>-2075111678.8471482</v>
      </c>
      <c r="J2075" s="455">
        <f t="array" ref="J2075">IFERROR(INDEX('Retirement Calculator'!K:K,MATCH('Lorri 401b'!N2075,'Retirement Calculator'!A:A,0),0),0)</f>
        <v>0</v>
      </c>
      <c r="K2075" s="455">
        <f t="shared" ca="1" si="123"/>
        <v>-8646298.6618631165</v>
      </c>
      <c r="L2075" s="455">
        <f t="shared" ca="1" si="124"/>
        <v>-2083757977.5090113</v>
      </c>
      <c r="M2075" s="471">
        <f t="shared" si="126"/>
        <v>0.05</v>
      </c>
      <c r="N2075" s="475">
        <f t="shared" si="127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25"/>
        <v>-2083757977.5090113</v>
      </c>
      <c r="J2076" s="455">
        <f t="array" ref="J2076">IFERROR(INDEX('Retirement Calculator'!K:K,MATCH('Lorri 401b'!N2076,'Retirement Calculator'!A:A,0),0),0)</f>
        <v>0</v>
      </c>
      <c r="K2076" s="455">
        <f t="shared" ca="1" si="123"/>
        <v>-8682324.9062875472</v>
      </c>
      <c r="L2076" s="455">
        <f t="shared" ca="1" si="124"/>
        <v>-2092440302.4152987</v>
      </c>
      <c r="M2076" s="471">
        <f t="shared" si="126"/>
        <v>0.05</v>
      </c>
      <c r="N2076" s="475">
        <f t="shared" si="127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25"/>
        <v>-2092440302.4152987</v>
      </c>
      <c r="J2077" s="455">
        <f t="array" ref="J2077">IFERROR(INDEX('Retirement Calculator'!K:K,MATCH('Lorri 401b'!N2077,'Retirement Calculator'!A:A,0),0),0)</f>
        <v>0</v>
      </c>
      <c r="K2077" s="455">
        <f t="shared" ca="1" si="123"/>
        <v>-8718501.2600637432</v>
      </c>
      <c r="L2077" s="455">
        <f t="shared" ca="1" si="124"/>
        <v>-2101158803.6753623</v>
      </c>
      <c r="M2077" s="471">
        <f t="shared" si="126"/>
        <v>0.05</v>
      </c>
      <c r="N2077" s="475">
        <f t="shared" si="127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25"/>
        <v>-2101158803.6753623</v>
      </c>
      <c r="J2078" s="455">
        <f t="array" ref="J2078">IFERROR(INDEX('Retirement Calculator'!K:K,MATCH('Lorri 401b'!N2078,'Retirement Calculator'!A:A,0),0),0)</f>
        <v>0</v>
      </c>
      <c r="K2078" s="455">
        <f t="shared" ca="1" si="123"/>
        <v>-8754828.348647343</v>
      </c>
      <c r="L2078" s="455">
        <f t="shared" ca="1" si="124"/>
        <v>-2109913632.0240097</v>
      </c>
      <c r="M2078" s="471">
        <f t="shared" si="126"/>
        <v>0.05</v>
      </c>
      <c r="N2078" s="475">
        <f t="shared" si="127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25"/>
        <v>-2109913632.0240097</v>
      </c>
      <c r="J2079" s="455">
        <f t="array" ref="J2079">IFERROR(INDEX('Retirement Calculator'!K:K,MATCH('Lorri 401b'!N2079,'Retirement Calculator'!A:A,0),0),0)</f>
        <v>0</v>
      </c>
      <c r="K2079" s="455">
        <f t="shared" ca="1" si="123"/>
        <v>-8791306.8001000397</v>
      </c>
      <c r="L2079" s="455">
        <f t="shared" ca="1" si="124"/>
        <v>-2118704938.8241098</v>
      </c>
      <c r="M2079" s="471">
        <f t="shared" si="126"/>
        <v>0.05</v>
      </c>
      <c r="N2079" s="475">
        <f t="shared" si="127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25"/>
        <v>-2118704938.8241098</v>
      </c>
      <c r="J2080" s="455">
        <f t="array" ref="J2080">IFERROR(INDEX('Retirement Calculator'!K:K,MATCH('Lorri 401b'!N2080,'Retirement Calculator'!A:A,0),0),0)</f>
        <v>0</v>
      </c>
      <c r="K2080" s="455">
        <f t="shared" ca="1" si="123"/>
        <v>-8827937.2451004572</v>
      </c>
      <c r="L2080" s="455">
        <f t="shared" ca="1" si="124"/>
        <v>-2127532876.0692103</v>
      </c>
      <c r="M2080" s="471">
        <f t="shared" si="126"/>
        <v>0.05</v>
      </c>
      <c r="N2080" s="475">
        <f t="shared" si="127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25"/>
        <v>-2127532876.0692103</v>
      </c>
      <c r="J2081" s="455">
        <f t="array" ref="J2081">IFERROR(INDEX('Retirement Calculator'!K:K,MATCH('Lorri 401b'!N2081,'Retirement Calculator'!A:A,0),0),0)</f>
        <v>0</v>
      </c>
      <c r="K2081" s="455">
        <f t="shared" ca="1" si="123"/>
        <v>-8864720.316955043</v>
      </c>
      <c r="L2081" s="455">
        <f t="shared" ca="1" si="124"/>
        <v>-2136397596.3861654</v>
      </c>
      <c r="M2081" s="471">
        <f t="shared" si="126"/>
        <v>0.05</v>
      </c>
      <c r="N2081" s="475">
        <f t="shared" si="127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25"/>
        <v>-2136397596.3861654</v>
      </c>
      <c r="J2082" s="455">
        <f t="array" ref="J2082">IFERROR(INDEX('Retirement Calculator'!K:K,MATCH('Lorri 401b'!N2082,'Retirement Calculator'!A:A,0),0),0)</f>
        <v>0</v>
      </c>
      <c r="K2082" s="455">
        <f t="shared" ca="1" si="123"/>
        <v>-8901656.6516090222</v>
      </c>
      <c r="L2082" s="455">
        <f t="shared" ca="1" si="124"/>
        <v>-2145299253.0377743</v>
      </c>
      <c r="M2082" s="471">
        <f t="shared" si="126"/>
        <v>0.05</v>
      </c>
      <c r="N2082" s="475">
        <f t="shared" si="127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25"/>
        <v>-2145299253.0377743</v>
      </c>
      <c r="J2083" s="455">
        <f t="array" ref="J2083">IFERROR(INDEX('Retirement Calculator'!K:K,MATCH('Lorri 401b'!N2083,'Retirement Calculator'!A:A,0),0),0)</f>
        <v>0</v>
      </c>
      <c r="K2083" s="455">
        <f t="shared" ca="1" si="123"/>
        <v>-8938746.8876573946</v>
      </c>
      <c r="L2083" s="455">
        <f t="shared" ca="1" si="124"/>
        <v>-2154237999.9254317</v>
      </c>
      <c r="M2083" s="471">
        <f t="shared" si="126"/>
        <v>0.05</v>
      </c>
      <c r="N2083" s="475">
        <f t="shared" si="127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25"/>
        <v>-2154237999.9254317</v>
      </c>
      <c r="J2084" s="455">
        <f t="array" ref="J2084">IFERROR(INDEX('Retirement Calculator'!K:K,MATCH('Lorri 401b'!N2084,'Retirement Calculator'!A:A,0),0),0)</f>
        <v>0</v>
      </c>
      <c r="K2084" s="455">
        <f t="shared" ca="1" si="123"/>
        <v>-8975991.6663559657</v>
      </c>
      <c r="L2084" s="455">
        <f t="shared" ca="1" si="124"/>
        <v>-2163213991.5917878</v>
      </c>
      <c r="M2084" s="471">
        <f t="shared" si="126"/>
        <v>0.05</v>
      </c>
      <c r="N2084" s="475">
        <f t="shared" si="127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25"/>
        <v>-2163213991.5917878</v>
      </c>
      <c r="J2085" s="455">
        <f t="array" ref="J2085">IFERROR(INDEX('Retirement Calculator'!K:K,MATCH('Lorri 401b'!N2085,'Retirement Calculator'!A:A,0),0),0)</f>
        <v>0</v>
      </c>
      <c r="K2085" s="455">
        <f t="shared" ca="1" si="123"/>
        <v>-9013391.6316324491</v>
      </c>
      <c r="L2085" s="455">
        <f t="shared" ca="1" si="124"/>
        <v>-2172227383.2234201</v>
      </c>
      <c r="M2085" s="471">
        <f t="shared" si="126"/>
        <v>0.05</v>
      </c>
      <c r="N2085" s="475">
        <f t="shared" si="127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25"/>
        <v>-2172227383.2234201</v>
      </c>
      <c r="J2086" s="455">
        <f t="array" ref="J2086">IFERROR(INDEX('Retirement Calculator'!K:K,MATCH('Lorri 401b'!N2086,'Retirement Calculator'!A:A,0),0),0)</f>
        <v>0</v>
      </c>
      <c r="K2086" s="455">
        <f t="shared" ca="1" si="123"/>
        <v>-9050947.4300975837</v>
      </c>
      <c r="L2086" s="455">
        <f t="shared" ca="1" si="124"/>
        <v>-2181278330.6535177</v>
      </c>
      <c r="M2086" s="471">
        <f t="shared" si="126"/>
        <v>0.05</v>
      </c>
      <c r="N2086" s="475">
        <f t="shared" si="127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25"/>
        <v>-2181278330.6535177</v>
      </c>
      <c r="J2087" s="455">
        <f t="array" ref="J2087">IFERROR(INDEX('Retirement Calculator'!K:K,MATCH('Lorri 401b'!N2087,'Retirement Calculator'!A:A,0),0),0)</f>
        <v>0</v>
      </c>
      <c r="K2087" s="455">
        <f t="shared" ca="1" si="123"/>
        <v>-9088659.7110563237</v>
      </c>
      <c r="L2087" s="455">
        <f t="shared" ca="1" si="124"/>
        <v>-2190366990.364574</v>
      </c>
      <c r="M2087" s="471">
        <f t="shared" si="126"/>
        <v>0.05</v>
      </c>
      <c r="N2087" s="475">
        <f t="shared" si="127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25"/>
        <v>-2190366990.364574</v>
      </c>
      <c r="J2088" s="455">
        <f t="array" ref="J2088">IFERROR(INDEX('Retirement Calculator'!K:K,MATCH('Lorri 401b'!N2088,'Retirement Calculator'!A:A,0),0),0)</f>
        <v>0</v>
      </c>
      <c r="K2088" s="455">
        <f t="shared" ca="1" si="123"/>
        <v>-9126529.1265190579</v>
      </c>
      <c r="L2088" s="455">
        <f t="shared" ca="1" si="124"/>
        <v>-2199493519.4910932</v>
      </c>
      <c r="M2088" s="471">
        <f t="shared" si="126"/>
        <v>0.05</v>
      </c>
      <c r="N2088" s="475">
        <f t="shared" si="127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25"/>
        <v>-2199493519.4910932</v>
      </c>
      <c r="J2089" s="455">
        <f t="array" ref="J2089">IFERROR(INDEX('Retirement Calculator'!K:K,MATCH('Lorri 401b'!N2089,'Retirement Calculator'!A:A,0),0),0)</f>
        <v>0</v>
      </c>
      <c r="K2089" s="455">
        <f t="shared" ca="1" si="123"/>
        <v>-9164556.3312128875</v>
      </c>
      <c r="L2089" s="455">
        <f t="shared" ca="1" si="124"/>
        <v>-2208658075.8223062</v>
      </c>
      <c r="M2089" s="471">
        <f t="shared" si="126"/>
        <v>0.05</v>
      </c>
      <c r="N2089" s="475">
        <f t="shared" si="127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25"/>
        <v>-2208658075.8223062</v>
      </c>
      <c r="J2090" s="455">
        <f t="array" ref="J2090">IFERROR(INDEX('Retirement Calculator'!K:K,MATCH('Lorri 401b'!N2090,'Retirement Calculator'!A:A,0),0),0)</f>
        <v>0</v>
      </c>
      <c r="K2090" s="455">
        <f t="shared" ca="1" si="123"/>
        <v>-9202741.9825929422</v>
      </c>
      <c r="L2090" s="455">
        <f t="shared" ca="1" si="124"/>
        <v>-2217860817.8048992</v>
      </c>
      <c r="M2090" s="471">
        <f t="shared" si="126"/>
        <v>0.05</v>
      </c>
      <c r="N2090" s="475">
        <f t="shared" si="127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25"/>
        <v>-2217860817.8048992</v>
      </c>
      <c r="J2091" s="455">
        <f t="array" ref="J2091">IFERROR(INDEX('Retirement Calculator'!K:K,MATCH('Lorri 401b'!N2091,'Retirement Calculator'!A:A,0),0),0)</f>
        <v>0</v>
      </c>
      <c r="K2091" s="455">
        <f t="shared" ca="1" si="123"/>
        <v>-9241086.7408537474</v>
      </c>
      <c r="L2091" s="455">
        <f t="shared" ca="1" si="124"/>
        <v>-2227101904.545753</v>
      </c>
      <c r="M2091" s="471">
        <f t="shared" si="126"/>
        <v>0.05</v>
      </c>
      <c r="N2091" s="475">
        <f t="shared" si="127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25"/>
        <v>-2227101904.545753</v>
      </c>
      <c r="J2092" s="455">
        <f t="array" ref="J2092">IFERROR(INDEX('Retirement Calculator'!K:K,MATCH('Lorri 401b'!N2092,'Retirement Calculator'!A:A,0),0),0)</f>
        <v>0</v>
      </c>
      <c r="K2092" s="455">
        <f t="shared" ca="1" si="123"/>
        <v>-9279591.2689406369</v>
      </c>
      <c r="L2092" s="455">
        <f t="shared" ca="1" si="124"/>
        <v>-2236381495.8146935</v>
      </c>
      <c r="M2092" s="471">
        <f t="shared" si="126"/>
        <v>0.05</v>
      </c>
      <c r="N2092" s="475">
        <f t="shared" si="127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25"/>
        <v>-2236381495.8146935</v>
      </c>
      <c r="J2093" s="455">
        <f t="array" ref="J2093">IFERROR(INDEX('Retirement Calculator'!K:K,MATCH('Lorri 401b'!N2093,'Retirement Calculator'!A:A,0),0),0)</f>
        <v>0</v>
      </c>
      <c r="K2093" s="455">
        <f t="shared" ca="1" si="123"/>
        <v>-9318256.2325612232</v>
      </c>
      <c r="L2093" s="455">
        <f t="shared" ca="1" si="124"/>
        <v>-2245699752.0472546</v>
      </c>
      <c r="M2093" s="471">
        <f t="shared" si="126"/>
        <v>0.05</v>
      </c>
      <c r="N2093" s="475">
        <f t="shared" si="127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25"/>
        <v>-2245699752.0472546</v>
      </c>
      <c r="J2094" s="455">
        <f t="array" ref="J2094">IFERROR(INDEX('Retirement Calculator'!K:K,MATCH('Lorri 401b'!N2094,'Retirement Calculator'!A:A,0),0),0)</f>
        <v>0</v>
      </c>
      <c r="K2094" s="455">
        <f t="shared" ca="1" si="123"/>
        <v>-9357082.3001968935</v>
      </c>
      <c r="L2094" s="455">
        <f t="shared" ca="1" si="124"/>
        <v>-2255056834.3474517</v>
      </c>
      <c r="M2094" s="471">
        <f t="shared" si="126"/>
        <v>0.05</v>
      </c>
      <c r="N2094" s="475">
        <f t="shared" si="127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25"/>
        <v>-2255056834.3474517</v>
      </c>
      <c r="J2095" s="455">
        <f t="array" ref="J2095">IFERROR(INDEX('Retirement Calculator'!K:K,MATCH('Lorri 401b'!N2095,'Retirement Calculator'!A:A,0),0),0)</f>
        <v>0</v>
      </c>
      <c r="K2095" s="455">
        <f t="shared" ca="1" si="123"/>
        <v>-9396070.1431143824</v>
      </c>
      <c r="L2095" s="455">
        <f t="shared" ca="1" si="124"/>
        <v>-2264452904.4905663</v>
      </c>
      <c r="M2095" s="471">
        <f t="shared" si="126"/>
        <v>0.05</v>
      </c>
      <c r="N2095" s="475">
        <f t="shared" si="127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25"/>
        <v>-2264452904.4905663</v>
      </c>
      <c r="J2096" s="455">
        <f t="array" ref="J2096">IFERROR(INDEX('Retirement Calculator'!K:K,MATCH('Lorri 401b'!N2096,'Retirement Calculator'!A:A,0),0),0)</f>
        <v>0</v>
      </c>
      <c r="K2096" s="455">
        <f t="shared" ca="1" si="123"/>
        <v>-9435220.4353773594</v>
      </c>
      <c r="L2096" s="455">
        <f t="shared" ca="1" si="124"/>
        <v>-2273888124.9259434</v>
      </c>
      <c r="M2096" s="471">
        <f t="shared" si="126"/>
        <v>0.05</v>
      </c>
      <c r="N2096" s="475">
        <f t="shared" si="127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25"/>
        <v>-2273888124.9259434</v>
      </c>
      <c r="J2097" s="455">
        <f t="array" ref="J2097">IFERROR(INDEX('Retirement Calculator'!K:K,MATCH('Lorri 401b'!N2097,'Retirement Calculator'!A:A,0),0),0)</f>
        <v>0</v>
      </c>
      <c r="K2097" s="455">
        <f t="shared" ca="1" si="123"/>
        <v>-9474533.8538580965</v>
      </c>
      <c r="L2097" s="455">
        <f t="shared" ca="1" si="124"/>
        <v>-2283362658.7798014</v>
      </c>
      <c r="M2097" s="471">
        <f t="shared" si="126"/>
        <v>0.05</v>
      </c>
      <c r="N2097" s="475">
        <f t="shared" si="127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25"/>
        <v>-2283362658.7798014</v>
      </c>
      <c r="J2098" s="455">
        <f t="array" ref="J2098">IFERROR(INDEX('Retirement Calculator'!K:K,MATCH('Lorri 401b'!N2098,'Retirement Calculator'!A:A,0),0),0)</f>
        <v>0</v>
      </c>
      <c r="K2098" s="455">
        <f t="shared" ca="1" si="123"/>
        <v>-9514011.0782491714</v>
      </c>
      <c r="L2098" s="455">
        <f t="shared" ca="1" si="124"/>
        <v>-2292876669.8580503</v>
      </c>
      <c r="M2098" s="471">
        <f t="shared" si="126"/>
        <v>0.05</v>
      </c>
      <c r="N2098" s="475">
        <f t="shared" si="127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25"/>
        <v>-2292876669.8580503</v>
      </c>
      <c r="J2099" s="455">
        <f t="array" ref="J2099">IFERROR(INDEX('Retirement Calculator'!K:K,MATCH('Lorri 401b'!N2099,'Retirement Calculator'!A:A,0),0),0)</f>
        <v>0</v>
      </c>
      <c r="K2099" s="455">
        <f t="shared" ca="1" si="123"/>
        <v>-9553652.7910752092</v>
      </c>
      <c r="L2099" s="455">
        <f t="shared" ca="1" si="124"/>
        <v>-2302430322.6491256</v>
      </c>
      <c r="M2099" s="471">
        <f t="shared" si="126"/>
        <v>0.05</v>
      </c>
      <c r="N2099" s="475">
        <f t="shared" si="127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25"/>
        <v>-2302430322.6491256</v>
      </c>
      <c r="J2100" s="455">
        <f t="array" ref="J2100">IFERROR(INDEX('Retirement Calculator'!K:K,MATCH('Lorri 401b'!N2100,'Retirement Calculator'!A:A,0),0),0)</f>
        <v>0</v>
      </c>
      <c r="K2100" s="455">
        <f t="shared" ca="1" si="123"/>
        <v>-9593459.67770469</v>
      </c>
      <c r="L2100" s="455">
        <f t="shared" ca="1" si="124"/>
        <v>-2312023782.3268304</v>
      </c>
      <c r="M2100" s="471">
        <f t="shared" si="126"/>
        <v>0.05</v>
      </c>
      <c r="N2100" s="475">
        <f t="shared" si="127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25"/>
        <v>-2312023782.3268304</v>
      </c>
      <c r="J2101" s="455">
        <f t="array" ref="J2101">IFERROR(INDEX('Retirement Calculator'!K:K,MATCH('Lorri 401b'!N2101,'Retirement Calculator'!A:A,0),0),0)</f>
        <v>0</v>
      </c>
      <c r="K2101" s="455">
        <f t="shared" ca="1" si="123"/>
        <v>-9633432.4263617937</v>
      </c>
      <c r="L2101" s="455">
        <f t="shared" ca="1" si="124"/>
        <v>-2321657214.7531919</v>
      </c>
      <c r="M2101" s="471">
        <f t="shared" si="126"/>
        <v>0.05</v>
      </c>
      <c r="N2101" s="475">
        <f t="shared" si="127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25"/>
        <v>-2321657214.7531919</v>
      </c>
      <c r="J2102" s="455">
        <f t="array" ref="J2102">IFERROR(INDEX('Retirement Calculator'!K:K,MATCH('Lorri 401b'!N2102,'Retirement Calculator'!A:A,0),0),0)</f>
        <v>0</v>
      </c>
      <c r="K2102" s="455">
        <f t="shared" ca="1" si="123"/>
        <v>-9673571.7281382997</v>
      </c>
      <c r="L2102" s="455">
        <f t="shared" ca="1" si="124"/>
        <v>-2331330786.4813304</v>
      </c>
      <c r="M2102" s="471">
        <f t="shared" si="126"/>
        <v>0.05</v>
      </c>
      <c r="N2102" s="475">
        <f t="shared" si="127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25"/>
        <v>-2331330786.4813304</v>
      </c>
      <c r="J2103" s="455">
        <f t="array" ref="J2103">IFERROR(INDEX('Retirement Calculator'!K:K,MATCH('Lorri 401b'!N2103,'Retirement Calculator'!A:A,0),0),0)</f>
        <v>0</v>
      </c>
      <c r="K2103" s="455">
        <f t="shared" ca="1" si="123"/>
        <v>-9713878.2770055439</v>
      </c>
      <c r="L2103" s="455">
        <f t="shared" ca="1" si="124"/>
        <v>-2341044664.7583361</v>
      </c>
      <c r="M2103" s="471">
        <f t="shared" si="126"/>
        <v>0.05</v>
      </c>
      <c r="N2103" s="475">
        <f t="shared" si="127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25"/>
        <v>-2341044664.7583361</v>
      </c>
      <c r="J2104" s="455">
        <f t="array" ref="J2104">IFERROR(INDEX('Retirement Calculator'!K:K,MATCH('Lorri 401b'!N2104,'Retirement Calculator'!A:A,0),0),0)</f>
        <v>0</v>
      </c>
      <c r="K2104" s="455">
        <f t="shared" ca="1" si="123"/>
        <v>-9754352.769826401</v>
      </c>
      <c r="L2104" s="455">
        <f t="shared" ca="1" si="124"/>
        <v>-2350799017.5281625</v>
      </c>
      <c r="M2104" s="471">
        <f t="shared" si="126"/>
        <v>0.05</v>
      </c>
      <c r="N2104" s="475">
        <f t="shared" si="127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25"/>
        <v>-2350799017.5281625</v>
      </c>
      <c r="J2105" s="455">
        <f t="array" ref="J2105">IFERROR(INDEX('Retirement Calculator'!K:K,MATCH('Lorri 401b'!N2105,'Retirement Calculator'!A:A,0),0),0)</f>
        <v>0</v>
      </c>
      <c r="K2105" s="455">
        <f t="shared" ca="1" si="123"/>
        <v>-9794995.9063673429</v>
      </c>
      <c r="L2105" s="455">
        <f t="shared" ca="1" si="124"/>
        <v>-2360594013.4345298</v>
      </c>
      <c r="M2105" s="471">
        <f t="shared" si="126"/>
        <v>0.05</v>
      </c>
      <c r="N2105" s="475">
        <f t="shared" si="127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25"/>
        <v>-2360594013.4345298</v>
      </c>
      <c r="J2106" s="455">
        <f t="array" ref="J2106">IFERROR(INDEX('Retirement Calculator'!K:K,MATCH('Lorri 401b'!N2106,'Retirement Calculator'!A:A,0),0),0)</f>
        <v>0</v>
      </c>
      <c r="K2106" s="455">
        <f t="shared" ca="1" si="123"/>
        <v>-9835808.3893105406</v>
      </c>
      <c r="L2106" s="455">
        <f t="shared" ca="1" si="124"/>
        <v>-2370429821.8238401</v>
      </c>
      <c r="M2106" s="471">
        <f t="shared" si="126"/>
        <v>0.05</v>
      </c>
      <c r="N2106" s="475">
        <f t="shared" si="127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25"/>
        <v>-2370429821.8238401</v>
      </c>
      <c r="J2107" s="455">
        <f t="array" ref="J2107">IFERROR(INDEX('Retirement Calculator'!K:K,MATCH('Lorri 401b'!N2107,'Retirement Calculator'!A:A,0),0),0)</f>
        <v>0</v>
      </c>
      <c r="K2107" s="455">
        <f t="shared" ca="1" si="123"/>
        <v>-9876790.9242660012</v>
      </c>
      <c r="L2107" s="455">
        <f t="shared" ca="1" si="124"/>
        <v>-2380306612.748106</v>
      </c>
      <c r="M2107" s="471">
        <f t="shared" si="126"/>
        <v>0.05</v>
      </c>
      <c r="N2107" s="475">
        <f t="shared" si="127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25"/>
        <v>-2380306612.748106</v>
      </c>
      <c r="J2108" s="455">
        <f t="array" ref="J2108">IFERROR(INDEX('Retirement Calculator'!K:K,MATCH('Lorri 401b'!N2108,'Retirement Calculator'!A:A,0),0),0)</f>
        <v>0</v>
      </c>
      <c r="K2108" s="455">
        <f t="shared" ca="1" si="123"/>
        <v>-9917944.2197837755</v>
      </c>
      <c r="L2108" s="455">
        <f t="shared" ca="1" si="124"/>
        <v>-2390224556.9678898</v>
      </c>
      <c r="M2108" s="471">
        <f t="shared" si="126"/>
        <v>0.05</v>
      </c>
      <c r="N2108" s="475">
        <f t="shared" si="127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25"/>
        <v>-2390224556.9678898</v>
      </c>
      <c r="J2109" s="455">
        <f t="array" ref="J2109">IFERROR(INDEX('Retirement Calculator'!K:K,MATCH('Lorri 401b'!N2109,'Retirement Calculator'!A:A,0),0),0)</f>
        <v>0</v>
      </c>
      <c r="K2109" s="455">
        <f t="shared" ca="1" si="123"/>
        <v>-9959268.9873662069</v>
      </c>
      <c r="L2109" s="455">
        <f t="shared" ca="1" si="124"/>
        <v>-2400183825.955256</v>
      </c>
      <c r="M2109" s="471">
        <f t="shared" si="126"/>
        <v>0.05</v>
      </c>
      <c r="N2109" s="475">
        <f t="shared" si="127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25"/>
        <v>-2400183825.955256</v>
      </c>
      <c r="J2110" s="455">
        <f t="array" ref="J2110">IFERROR(INDEX('Retirement Calculator'!K:K,MATCH('Lorri 401b'!N2110,'Retirement Calculator'!A:A,0),0),0)</f>
        <v>0</v>
      </c>
      <c r="K2110" s="455">
        <f t="shared" ca="1" si="123"/>
        <v>-10000765.941480232</v>
      </c>
      <c r="L2110" s="455">
        <f t="shared" ca="1" si="124"/>
        <v>-2410184591.8967361</v>
      </c>
      <c r="M2110" s="471">
        <f t="shared" si="126"/>
        <v>0.05</v>
      </c>
      <c r="N2110" s="475">
        <f t="shared" si="127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25"/>
        <v>-2410184591.8967361</v>
      </c>
      <c r="J2111" s="455">
        <f t="array" ref="J2111">IFERROR(INDEX('Retirement Calculator'!K:K,MATCH('Lorri 401b'!N2111,'Retirement Calculator'!A:A,0),0),0)</f>
        <v>0</v>
      </c>
      <c r="K2111" s="455">
        <f t="shared" ca="1" si="123"/>
        <v>-10042435.799569733</v>
      </c>
      <c r="L2111" s="455">
        <f t="shared" ca="1" si="124"/>
        <v>-2420227027.6963058</v>
      </c>
      <c r="M2111" s="471">
        <f t="shared" si="126"/>
        <v>0.05</v>
      </c>
      <c r="N2111" s="475">
        <f t="shared" si="127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25"/>
        <v>-2420227027.6963058</v>
      </c>
      <c r="J2112" s="455">
        <f t="array" ref="J2112">IFERROR(INDEX('Retirement Calculator'!K:K,MATCH('Lorri 401b'!N2112,'Retirement Calculator'!A:A,0),0),0)</f>
        <v>0</v>
      </c>
      <c r="K2112" s="455">
        <f t="shared" ca="1" si="123"/>
        <v>-10084279.28206794</v>
      </c>
      <c r="L2112" s="455">
        <f t="shared" ca="1" si="124"/>
        <v>-2430311306.9783735</v>
      </c>
      <c r="M2112" s="471">
        <f t="shared" si="126"/>
        <v>0.05</v>
      </c>
      <c r="N2112" s="475">
        <f t="shared" si="127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25"/>
        <v>-2430311306.9783735</v>
      </c>
      <c r="J2113" s="455">
        <f t="array" ref="J2113">IFERROR(INDEX('Retirement Calculator'!K:K,MATCH('Lorri 401b'!N2113,'Retirement Calculator'!A:A,0),0),0)</f>
        <v>0</v>
      </c>
      <c r="K2113" s="455">
        <f t="shared" ca="1" si="123"/>
        <v>-10126297.11240989</v>
      </c>
      <c r="L2113" s="455">
        <f t="shared" ca="1" si="124"/>
        <v>-2440437604.0907836</v>
      </c>
      <c r="M2113" s="471">
        <f t="shared" si="126"/>
        <v>0.05</v>
      </c>
      <c r="N2113" s="475">
        <f t="shared" si="127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25"/>
        <v>-2440437604.0907836</v>
      </c>
      <c r="J2114" s="455">
        <f t="array" ref="J2114">IFERROR(INDEX('Retirement Calculator'!K:K,MATCH('Lorri 401b'!N2114,'Retirement Calculator'!A:A,0),0),0)</f>
        <v>0</v>
      </c>
      <c r="K2114" s="455">
        <f t="shared" ca="1" si="123"/>
        <v>-10168490.017044932</v>
      </c>
      <c r="L2114" s="455">
        <f t="shared" ca="1" si="124"/>
        <v>-2450606094.1078286</v>
      </c>
      <c r="M2114" s="471">
        <f t="shared" si="126"/>
        <v>0.05</v>
      </c>
      <c r="N2114" s="475">
        <f t="shared" si="127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25"/>
        <v>-2450606094.1078286</v>
      </c>
      <c r="J2115" s="455">
        <f t="array" ref="J2115">IFERROR(INDEX('Retirement Calculator'!K:K,MATCH('Lorri 401b'!N2115,'Retirement Calculator'!A:A,0),0),0)</f>
        <v>0</v>
      </c>
      <c r="K2115" s="455">
        <f t="shared" ca="1" si="123"/>
        <v>-10210858.725449286</v>
      </c>
      <c r="L2115" s="455">
        <f t="shared" ca="1" si="124"/>
        <v>-2460816952.8332777</v>
      </c>
      <c r="M2115" s="471">
        <f t="shared" si="126"/>
        <v>0.05</v>
      </c>
      <c r="N2115" s="475">
        <f t="shared" si="127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25"/>
        <v>-2460816952.8332777</v>
      </c>
      <c r="J2116" s="455">
        <f t="array" ref="J2116">IFERROR(INDEX('Retirement Calculator'!K:K,MATCH('Lorri 401b'!N2116,'Retirement Calculator'!A:A,0),0),0)</f>
        <v>0</v>
      </c>
      <c r="K2116" s="455">
        <f t="shared" ca="1" si="123"/>
        <v>-10253403.970138658</v>
      </c>
      <c r="L2116" s="455">
        <f t="shared" ca="1" si="124"/>
        <v>-2471070356.8034163</v>
      </c>
      <c r="M2116" s="471">
        <f t="shared" si="126"/>
        <v>0.05</v>
      </c>
      <c r="N2116" s="475">
        <f t="shared" si="127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25"/>
        <v>-2471070356.8034163</v>
      </c>
      <c r="J2117" s="455">
        <f t="array" ref="J2117">IFERROR(INDEX('Retirement Calculator'!K:K,MATCH('Lorri 401b'!N2117,'Retirement Calculator'!A:A,0),0),0)</f>
        <v>0</v>
      </c>
      <c r="K2117" s="455">
        <f t="shared" ca="1" si="123"/>
        <v>-10296126.486680901</v>
      </c>
      <c r="L2117" s="455">
        <f t="shared" ca="1" si="124"/>
        <v>-2481366483.2900972</v>
      </c>
      <c r="M2117" s="471">
        <f t="shared" si="126"/>
        <v>0.05</v>
      </c>
      <c r="N2117" s="475">
        <f t="shared" si="127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25"/>
        <v>-2481366483.2900972</v>
      </c>
      <c r="J2118" s="455">
        <f t="array" ref="J2118">IFERROR(INDEX('Retirement Calculator'!K:K,MATCH('Lorri 401b'!N2118,'Retirement Calculator'!A:A,0),0),0)</f>
        <v>0</v>
      </c>
      <c r="K2118" s="455">
        <f t="shared" ca="1" si="123"/>
        <v>-10339027.013708739</v>
      </c>
      <c r="L2118" s="455">
        <f t="shared" ca="1" si="124"/>
        <v>-2491705510.3038058</v>
      </c>
      <c r="M2118" s="471">
        <f t="shared" si="126"/>
        <v>0.05</v>
      </c>
      <c r="N2118" s="475">
        <f t="shared" si="127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25"/>
        <v>-2491705510.3038058</v>
      </c>
      <c r="J2119" s="455">
        <f t="array" ref="J2119">IFERROR(INDEX('Retirement Calculator'!K:K,MATCH('Lorri 401b'!N2119,'Retirement Calculator'!A:A,0),0),0)</f>
        <v>0</v>
      </c>
      <c r="K2119" s="455">
        <f t="shared" ca="1" si="123"/>
        <v>-10382106.292932523</v>
      </c>
      <c r="L2119" s="455">
        <f t="shared" ca="1" si="124"/>
        <v>-2502087616.5967383</v>
      </c>
      <c r="M2119" s="471">
        <f t="shared" si="126"/>
        <v>0.05</v>
      </c>
      <c r="N2119" s="475">
        <f t="shared" si="127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25"/>
        <v>-2502087616.5967383</v>
      </c>
      <c r="J2120" s="455">
        <f t="array" ref="J2120">IFERROR(INDEX('Retirement Calculator'!K:K,MATCH('Lorri 401b'!N2120,'Retirement Calculator'!A:A,0),0),0)</f>
        <v>0</v>
      </c>
      <c r="K2120" s="455">
        <f t="shared" ca="1" si="123"/>
        <v>-10425365.069153076</v>
      </c>
      <c r="L2120" s="455">
        <f t="shared" ca="1" si="124"/>
        <v>-2512512981.6658916</v>
      </c>
      <c r="M2120" s="471">
        <f t="shared" si="126"/>
        <v>0.05</v>
      </c>
      <c r="N2120" s="475">
        <f t="shared" si="127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25"/>
        <v>-2512512981.6658916</v>
      </c>
      <c r="J2121" s="455">
        <f t="array" ref="J2121">IFERROR(INDEX('Retirement Calculator'!K:K,MATCH('Lorri 401b'!N2121,'Retirement Calculator'!A:A,0),0),0)</f>
        <v>0</v>
      </c>
      <c r="K2121" s="455">
        <f t="shared" ca="1" si="123"/>
        <v>-10468804.090274548</v>
      </c>
      <c r="L2121" s="455">
        <f t="shared" ca="1" si="124"/>
        <v>-2522981785.756166</v>
      </c>
      <c r="M2121" s="471">
        <f t="shared" si="126"/>
        <v>0.05</v>
      </c>
      <c r="N2121" s="475">
        <f t="shared" si="127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25"/>
        <v>-2522981785.756166</v>
      </c>
      <c r="J2122" s="455">
        <f t="array" ref="J2122">IFERROR(INDEX('Retirement Calculator'!K:K,MATCH('Lorri 401b'!N2122,'Retirement Calculator'!A:A,0),0),0)</f>
        <v>0</v>
      </c>
      <c r="K2122" s="455">
        <f t="shared" ca="1" si="123"/>
        <v>-10512424.107317358</v>
      </c>
      <c r="L2122" s="455">
        <f t="shared" ca="1" si="124"/>
        <v>-2533494209.8634834</v>
      </c>
      <c r="M2122" s="471">
        <f t="shared" si="126"/>
        <v>0.05</v>
      </c>
      <c r="N2122" s="475">
        <f t="shared" si="127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25"/>
        <v>-2533494209.8634834</v>
      </c>
      <c r="J2123" s="455">
        <f t="array" ref="J2123">IFERROR(INDEX('Retirement Calculator'!K:K,MATCH('Lorri 401b'!N2123,'Retirement Calculator'!A:A,0),0),0)</f>
        <v>0</v>
      </c>
      <c r="K2123" s="455">
        <f t="shared" ca="1" si="123"/>
        <v>-10556225.874431182</v>
      </c>
      <c r="L2123" s="455">
        <f t="shared" ca="1" si="124"/>
        <v>-2544050435.7379146</v>
      </c>
      <c r="M2123" s="471">
        <f t="shared" si="126"/>
        <v>0.05</v>
      </c>
      <c r="N2123" s="475">
        <f t="shared" si="127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25"/>
        <v>-2544050435.7379146</v>
      </c>
      <c r="J2124" s="455">
        <f t="array" ref="J2124">IFERROR(INDEX('Retirement Calculator'!K:K,MATCH('Lorri 401b'!N2124,'Retirement Calculator'!A:A,0),0),0)</f>
        <v>0</v>
      </c>
      <c r="K2124" s="455">
        <f t="shared" ca="1" si="123"/>
        <v>-10600210.148907978</v>
      </c>
      <c r="L2124" s="455">
        <f t="shared" ca="1" si="124"/>
        <v>-2554650645.8868227</v>
      </c>
      <c r="M2124" s="471">
        <f t="shared" si="126"/>
        <v>0.05</v>
      </c>
      <c r="N2124" s="475">
        <f t="shared" si="127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25"/>
        <v>-2554650645.8868227</v>
      </c>
      <c r="J2125" s="455">
        <f t="array" ref="J2125">IFERROR(INDEX('Retirement Calculator'!K:K,MATCH('Lorri 401b'!N2125,'Retirement Calculator'!A:A,0),0),0)</f>
        <v>0</v>
      </c>
      <c r="K2125" s="455">
        <f t="shared" ca="1" si="123"/>
        <v>-10644377.691195095</v>
      </c>
      <c r="L2125" s="455">
        <f t="shared" ca="1" si="124"/>
        <v>-2565295023.5780177</v>
      </c>
      <c r="M2125" s="471">
        <f t="shared" si="126"/>
        <v>0.05</v>
      </c>
      <c r="N2125" s="475">
        <f t="shared" si="127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25"/>
        <v>-2565295023.5780177</v>
      </c>
      <c r="J2126" s="455">
        <f t="array" ref="J2126">IFERROR(INDEX('Retirement Calculator'!K:K,MATCH('Lorri 401b'!N2126,'Retirement Calculator'!A:A,0),0),0)</f>
        <v>0</v>
      </c>
      <c r="K2126" s="455">
        <f t="shared" ca="1" si="123"/>
        <v>-10688729.264908407</v>
      </c>
      <c r="L2126" s="455">
        <f t="shared" ca="1" si="124"/>
        <v>-2575983752.842926</v>
      </c>
      <c r="M2126" s="471">
        <f t="shared" si="126"/>
        <v>0.05</v>
      </c>
      <c r="N2126" s="475">
        <f t="shared" si="127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25"/>
        <v>-2575983752.842926</v>
      </c>
      <c r="J2127" s="455">
        <f t="array" ref="J2127">IFERROR(INDEX('Retirement Calculator'!K:K,MATCH('Lorri 401b'!N2127,'Retirement Calculator'!A:A,0),0),0)</f>
        <v>0</v>
      </c>
      <c r="K2127" s="455">
        <f t="shared" ca="1" si="123"/>
        <v>-10733265.636845525</v>
      </c>
      <c r="L2127" s="455">
        <f t="shared" ca="1" si="124"/>
        <v>-2586717018.4797716</v>
      </c>
      <c r="M2127" s="471">
        <f t="shared" si="126"/>
        <v>0.05</v>
      </c>
      <c r="N2127" s="475">
        <f t="shared" si="127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25"/>
        <v>-2586717018.4797716</v>
      </c>
      <c r="J2128" s="455">
        <f t="array" ref="J2128">IFERROR(INDEX('Retirement Calculator'!K:K,MATCH('Lorri 401b'!N2128,'Retirement Calculator'!A:A,0),0),0)</f>
        <v>0</v>
      </c>
      <c r="K2128" s="455">
        <f t="shared" ca="1" si="123"/>
        <v>-10777987.576999048</v>
      </c>
      <c r="L2128" s="455">
        <f t="shared" ca="1" si="124"/>
        <v>-2597495006.0567708</v>
      </c>
      <c r="M2128" s="471">
        <f t="shared" si="126"/>
        <v>0.05</v>
      </c>
      <c r="N2128" s="475">
        <f t="shared" si="127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25"/>
        <v>-2597495006.0567708</v>
      </c>
      <c r="J2129" s="455">
        <f t="array" ref="J2129">IFERROR(INDEX('Retirement Calculator'!K:K,MATCH('Lorri 401b'!N2129,'Retirement Calculator'!A:A,0),0),0)</f>
        <v>0</v>
      </c>
      <c r="K2129" s="455">
        <f t="shared" ca="1" si="123"/>
        <v>-10822895.858569879</v>
      </c>
      <c r="L2129" s="455">
        <f t="shared" ca="1" si="124"/>
        <v>-2608317901.9153409</v>
      </c>
      <c r="M2129" s="471">
        <f t="shared" si="126"/>
        <v>0.05</v>
      </c>
      <c r="N2129" s="475">
        <f t="shared" si="127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25"/>
        <v>-2608317901.9153409</v>
      </c>
      <c r="J2130" s="455">
        <f t="array" ref="J2130">IFERROR(INDEX('Retirement Calculator'!K:K,MATCH('Lorri 401b'!N2130,'Retirement Calculator'!A:A,0),0),0)</f>
        <v>0</v>
      </c>
      <c r="K2130" s="455">
        <f t="shared" ca="1" si="123"/>
        <v>-10867991.257980587</v>
      </c>
      <c r="L2130" s="455">
        <f t="shared" ca="1" si="124"/>
        <v>-2619185893.1733217</v>
      </c>
      <c r="M2130" s="471">
        <f t="shared" si="126"/>
        <v>0.05</v>
      </c>
      <c r="N2130" s="475">
        <f t="shared" si="127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25"/>
        <v>-2619185893.1733217</v>
      </c>
      <c r="J2131" s="455">
        <f t="array" ref="J2131">IFERROR(INDEX('Retirement Calculator'!K:K,MATCH('Lorri 401b'!N2131,'Retirement Calculator'!A:A,0),0),0)</f>
        <v>0</v>
      </c>
      <c r="K2131" s="455">
        <f t="shared" ca="1" si="123"/>
        <v>-10913274.554888841</v>
      </c>
      <c r="L2131" s="455">
        <f t="shared" ca="1" si="124"/>
        <v>-2630099167.7282104</v>
      </c>
      <c r="M2131" s="471">
        <f t="shared" si="126"/>
        <v>0.05</v>
      </c>
      <c r="N2131" s="475">
        <f t="shared" si="127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25"/>
        <v>-2630099167.7282104</v>
      </c>
      <c r="J2132" s="455">
        <f t="array" ref="J2132">IFERROR(INDEX('Retirement Calculator'!K:K,MATCH('Lorri 401b'!N2132,'Retirement Calculator'!A:A,0),0),0)</f>
        <v>0</v>
      </c>
      <c r="K2132" s="455">
        <f t="shared" ca="1" si="123"/>
        <v>-10958746.532200877</v>
      </c>
      <c r="L2132" s="455">
        <f t="shared" ca="1" si="124"/>
        <v>-2641057914.2604113</v>
      </c>
      <c r="M2132" s="471">
        <f t="shared" si="126"/>
        <v>0.05</v>
      </c>
      <c r="N2132" s="475">
        <f t="shared" si="127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25"/>
        <v>-2641057914.2604113</v>
      </c>
      <c r="J2133" s="455">
        <f t="array" ref="J2133">IFERROR(INDEX('Retirement Calculator'!K:K,MATCH('Lorri 401b'!N2133,'Retirement Calculator'!A:A,0),0),0)</f>
        <v>0</v>
      </c>
      <c r="K2133" s="455">
        <f t="shared" ca="1" si="123"/>
        <v>-11004407.976085046</v>
      </c>
      <c r="L2133" s="455">
        <f t="shared" ca="1" si="124"/>
        <v>-2652062322.2364964</v>
      </c>
      <c r="M2133" s="471">
        <f t="shared" si="126"/>
        <v>0.05</v>
      </c>
      <c r="N2133" s="475">
        <f t="shared" si="127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25"/>
        <v>-2652062322.2364964</v>
      </c>
      <c r="J2134" s="455">
        <f t="array" ref="J2134">IFERROR(INDEX('Retirement Calculator'!K:K,MATCH('Lorri 401b'!N2134,'Retirement Calculator'!A:A,0),0),0)</f>
        <v>0</v>
      </c>
      <c r="K2134" s="455">
        <f t="shared" ca="1" si="123"/>
        <v>-11050259.675985401</v>
      </c>
      <c r="L2134" s="455">
        <f t="shared" ca="1" si="124"/>
        <v>-2663112581.9124818</v>
      </c>
      <c r="M2134" s="471">
        <f t="shared" si="126"/>
        <v>0.05</v>
      </c>
      <c r="N2134" s="475">
        <f t="shared" si="127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25"/>
        <v>-2663112581.9124818</v>
      </c>
      <c r="J2135" s="455">
        <f t="array" ref="J2135">IFERROR(INDEX('Retirement Calculator'!K:K,MATCH('Lorri 401b'!N2135,'Retirement Calculator'!A:A,0),0),0)</f>
        <v>0</v>
      </c>
      <c r="K2135" s="455">
        <f t="shared" ca="1" si="123"/>
        <v>-11096302.424635341</v>
      </c>
      <c r="L2135" s="455">
        <f t="shared" ca="1" si="124"/>
        <v>-2674208884.3371172</v>
      </c>
      <c r="M2135" s="471">
        <f t="shared" si="126"/>
        <v>0.05</v>
      </c>
      <c r="N2135" s="475">
        <f t="shared" si="127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25"/>
        <v>-2674208884.3371172</v>
      </c>
      <c r="J2136" s="455">
        <f t="array" ref="J2136">IFERROR(INDEX('Retirement Calculator'!K:K,MATCH('Lorri 401b'!N2136,'Retirement Calculator'!A:A,0),0),0)</f>
        <v>0</v>
      </c>
      <c r="K2136" s="455">
        <f t="shared" ca="1" si="123"/>
        <v>-11142537.018071322</v>
      </c>
      <c r="L2136" s="455">
        <f t="shared" ca="1" si="124"/>
        <v>-2685351421.3551884</v>
      </c>
      <c r="M2136" s="471">
        <f t="shared" si="126"/>
        <v>0.05</v>
      </c>
      <c r="N2136" s="475">
        <f t="shared" si="127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25"/>
        <v>-2685351421.3551884</v>
      </c>
      <c r="J2137" s="455">
        <f t="array" ref="J2137">IFERROR(INDEX('Retirement Calculator'!K:K,MATCH('Lorri 401b'!N2137,'Retirement Calculator'!A:A,0),0),0)</f>
        <v>0</v>
      </c>
      <c r="K2137" s="455">
        <f t="shared" ca="1" si="123"/>
        <v>-11188964.255646618</v>
      </c>
      <c r="L2137" s="455">
        <f t="shared" ca="1" si="124"/>
        <v>-2696540385.6108351</v>
      </c>
      <c r="M2137" s="471">
        <f t="shared" si="126"/>
        <v>0.05</v>
      </c>
      <c r="N2137" s="475">
        <f t="shared" si="127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25"/>
        <v>-2696540385.6108351</v>
      </c>
      <c r="J2138" s="455">
        <f t="array" ref="J2138">IFERROR(INDEX('Retirement Calculator'!K:K,MATCH('Lorri 401b'!N2138,'Retirement Calculator'!A:A,0),0),0)</f>
        <v>0</v>
      </c>
      <c r="K2138" s="455">
        <f t="shared" ca="1" si="123"/>
        <v>-11235584.940045146</v>
      </c>
      <c r="L2138" s="455">
        <f t="shared" ca="1" si="124"/>
        <v>-2707775970.5508804</v>
      </c>
      <c r="M2138" s="471">
        <f t="shared" si="126"/>
        <v>0.05</v>
      </c>
      <c r="N2138" s="475">
        <f t="shared" si="127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25"/>
        <v>-2707775970.5508804</v>
      </c>
      <c r="J2139" s="455">
        <f t="array" ref="J2139">IFERROR(INDEX('Retirement Calculator'!K:K,MATCH('Lorri 401b'!N2139,'Retirement Calculator'!A:A,0),0),0)</f>
        <v>0</v>
      </c>
      <c r="K2139" s="455">
        <f t="shared" ca="1" si="123"/>
        <v>-11282399.877295336</v>
      </c>
      <c r="L2139" s="455">
        <f t="shared" ca="1" si="124"/>
        <v>-2719058370.4281759</v>
      </c>
      <c r="M2139" s="471">
        <f t="shared" si="126"/>
        <v>0.05</v>
      </c>
      <c r="N2139" s="475">
        <f t="shared" si="127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25"/>
        <v>-2719058370.4281759</v>
      </c>
      <c r="J2140" s="455">
        <f t="array" ref="J2140">IFERROR(INDEX('Retirement Calculator'!K:K,MATCH('Lorri 401b'!N2140,'Retirement Calculator'!A:A,0),0),0)</f>
        <v>0</v>
      </c>
      <c r="K2140" s="455">
        <f t="shared" ca="1" si="123"/>
        <v>-11329409.876784066</v>
      </c>
      <c r="L2140" s="455">
        <f t="shared" ca="1" si="124"/>
        <v>-2730387780.3049598</v>
      </c>
      <c r="M2140" s="471">
        <f t="shared" si="126"/>
        <v>0.05</v>
      </c>
      <c r="N2140" s="475">
        <f t="shared" si="127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25"/>
        <v>-2730387780.3049598</v>
      </c>
      <c r="J2141" s="455">
        <f t="array" ref="J2141">IFERROR(INDEX('Retirement Calculator'!K:K,MATCH('Lorri 401b'!N2141,'Retirement Calculator'!A:A,0),0),0)</f>
        <v>0</v>
      </c>
      <c r="K2141" s="455">
        <f t="shared" ca="1" si="123"/>
        <v>-11376615.751270665</v>
      </c>
      <c r="L2141" s="455">
        <f t="shared" ca="1" si="124"/>
        <v>-2741764396.0562305</v>
      </c>
      <c r="M2141" s="471">
        <f t="shared" si="126"/>
        <v>0.05</v>
      </c>
      <c r="N2141" s="475">
        <f t="shared" si="127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25"/>
        <v>-2741764396.0562305</v>
      </c>
      <c r="J2142" s="455">
        <f t="array" ref="J2142">IFERROR(INDEX('Retirement Calculator'!K:K,MATCH('Lorri 401b'!N2142,'Retirement Calculator'!A:A,0),0),0)</f>
        <v>0</v>
      </c>
      <c r="K2142" s="455">
        <f t="shared" ca="1" si="123"/>
        <v>-11424018.316900961</v>
      </c>
      <c r="L2142" s="455">
        <f t="shared" ca="1" si="124"/>
        <v>-2753188414.3731313</v>
      </c>
      <c r="M2142" s="471">
        <f t="shared" si="126"/>
        <v>0.05</v>
      </c>
      <c r="N2142" s="475">
        <f t="shared" si="127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25"/>
        <v>-2753188414.3731313</v>
      </c>
      <c r="J2143" s="455">
        <f t="array" ref="J2143">IFERROR(INDEX('Retirement Calculator'!K:K,MATCH('Lorri 401b'!N2143,'Retirement Calculator'!A:A,0),0),0)</f>
        <v>0</v>
      </c>
      <c r="K2143" s="455">
        <f t="shared" ca="1" si="123"/>
        <v>-11471618.39322138</v>
      </c>
      <c r="L2143" s="455">
        <f t="shared" ca="1" si="124"/>
        <v>-2764660032.7663527</v>
      </c>
      <c r="M2143" s="471">
        <f t="shared" si="126"/>
        <v>0.05</v>
      </c>
      <c r="N2143" s="475">
        <f t="shared" si="127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25"/>
        <v>-2764660032.7663527</v>
      </c>
      <c r="J2144" s="455">
        <f t="array" ref="J2144">IFERROR(INDEX('Retirement Calculator'!K:K,MATCH('Lorri 401b'!N2144,'Retirement Calculator'!A:A,0),0),0)</f>
        <v>0</v>
      </c>
      <c r="K2144" s="455">
        <f t="shared" ca="1" si="123"/>
        <v>-11519416.803193135</v>
      </c>
      <c r="L2144" s="455">
        <f t="shared" ca="1" si="124"/>
        <v>-2776179449.5695457</v>
      </c>
      <c r="M2144" s="471">
        <f t="shared" si="126"/>
        <v>0.05</v>
      </c>
      <c r="N2144" s="475">
        <f t="shared" si="127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25"/>
        <v>-2776179449.5695457</v>
      </c>
      <c r="J2145" s="455">
        <f t="array" ref="J2145">IFERROR(INDEX('Retirement Calculator'!K:K,MATCH('Lorri 401b'!N2145,'Retirement Calculator'!A:A,0),0),0)</f>
        <v>0</v>
      </c>
      <c r="K2145" s="455">
        <f t="shared" ca="1" si="123"/>
        <v>-11567414.37320644</v>
      </c>
      <c r="L2145" s="455">
        <f t="shared" ca="1" si="124"/>
        <v>-2787746863.9427524</v>
      </c>
      <c r="M2145" s="471">
        <f t="shared" si="126"/>
        <v>0.05</v>
      </c>
      <c r="N2145" s="475">
        <f t="shared" si="127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25"/>
        <v>-2787746863.9427524</v>
      </c>
      <c r="J2146" s="455">
        <f t="array" ref="J2146">IFERROR(INDEX('Retirement Calculator'!K:K,MATCH('Lorri 401b'!N2146,'Retirement Calculator'!A:A,0),0),0)</f>
        <v>0</v>
      </c>
      <c r="K2146" s="455">
        <f t="shared" ca="1" si="123"/>
        <v>-11615611.933094801</v>
      </c>
      <c r="L2146" s="455">
        <f t="shared" ca="1" si="124"/>
        <v>-2799362475.8758473</v>
      </c>
      <c r="M2146" s="471">
        <f t="shared" si="126"/>
        <v>0.05</v>
      </c>
      <c r="N2146" s="475">
        <f t="shared" si="127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25"/>
        <v>-2799362475.8758473</v>
      </c>
      <c r="J2147" s="455">
        <f t="array" ref="J2147">IFERROR(INDEX('Retirement Calculator'!K:K,MATCH('Lorri 401b'!N2147,'Retirement Calculator'!A:A,0),0),0)</f>
        <v>0</v>
      </c>
      <c r="K2147" s="455">
        <f t="shared" ca="1" si="123"/>
        <v>-11664010.316149363</v>
      </c>
      <c r="L2147" s="455">
        <f t="shared" ca="1" si="124"/>
        <v>-2811026486.1919966</v>
      </c>
      <c r="M2147" s="471">
        <f t="shared" si="126"/>
        <v>0.05</v>
      </c>
      <c r="N2147" s="475">
        <f t="shared" si="127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25"/>
        <v>-2811026486.1919966</v>
      </c>
      <c r="J2148" s="455">
        <f t="array" ref="J2148">IFERROR(INDEX('Retirement Calculator'!K:K,MATCH('Lorri 401b'!N2148,'Retirement Calculator'!A:A,0),0),0)</f>
        <v>0</v>
      </c>
      <c r="K2148" s="455">
        <f t="shared" ca="1" si="123"/>
        <v>-11712610.359133318</v>
      </c>
      <c r="L2148" s="455">
        <f t="shared" ca="1" si="124"/>
        <v>-2822739096.5511298</v>
      </c>
      <c r="M2148" s="471">
        <f t="shared" si="126"/>
        <v>0.05</v>
      </c>
      <c r="N2148" s="475">
        <f t="shared" si="127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25"/>
        <v>-2822739096.5511298</v>
      </c>
      <c r="J2149" s="455">
        <f t="array" ref="J2149">IFERROR(INDEX('Retirement Calculator'!K:K,MATCH('Lorri 401b'!N2149,'Retirement Calculator'!A:A,0),0),0)</f>
        <v>0</v>
      </c>
      <c r="K2149" s="455">
        <f t="shared" ca="1" si="123"/>
        <v>-11761412.902296374</v>
      </c>
      <c r="L2149" s="455">
        <f t="shared" ca="1" si="124"/>
        <v>-2834500509.4534264</v>
      </c>
      <c r="M2149" s="471">
        <f t="shared" si="126"/>
        <v>0.05</v>
      </c>
      <c r="N2149" s="475">
        <f t="shared" si="127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25"/>
        <v>-2834500509.4534264</v>
      </c>
      <c r="J2150" s="455">
        <f t="array" ref="J2150">IFERROR(INDEX('Retirement Calculator'!K:K,MATCH('Lorri 401b'!N2150,'Retirement Calculator'!A:A,0),0),0)</f>
        <v>0</v>
      </c>
      <c r="K2150" s="455">
        <f t="shared" ca="1" si="123"/>
        <v>-11810418.789389277</v>
      </c>
      <c r="L2150" s="455">
        <f t="shared" ca="1" si="124"/>
        <v>-2846310928.2428155</v>
      </c>
      <c r="M2150" s="471">
        <f t="shared" si="126"/>
        <v>0.05</v>
      </c>
      <c r="N2150" s="475">
        <f t="shared" si="127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25"/>
        <v>-2846310928.2428155</v>
      </c>
      <c r="J2151" s="455">
        <f t="array" ref="J2151">IFERROR(INDEX('Retirement Calculator'!K:K,MATCH('Lorri 401b'!N2151,'Retirement Calculator'!A:A,0),0),0)</f>
        <v>0</v>
      </c>
      <c r="K2151" s="455">
        <f t="shared" ca="1" si="123"/>
        <v>-11859628.867678398</v>
      </c>
      <c r="L2151" s="455">
        <f t="shared" ca="1" si="124"/>
        <v>-2858170557.1104937</v>
      </c>
      <c r="M2151" s="471">
        <f t="shared" si="126"/>
        <v>0.05</v>
      </c>
      <c r="N2151" s="475">
        <f t="shared" si="127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25"/>
        <v>-2858170557.1104937</v>
      </c>
      <c r="J2152" s="455">
        <f t="array" ref="J2152">IFERROR(INDEX('Retirement Calculator'!K:K,MATCH('Lorri 401b'!N2152,'Retirement Calculator'!A:A,0),0),0)</f>
        <v>0</v>
      </c>
      <c r="K2152" s="455">
        <f t="shared" ca="1" si="123"/>
        <v>-11909043.987960391</v>
      </c>
      <c r="L2152" s="455">
        <f t="shared" ca="1" si="124"/>
        <v>-2870079601.098454</v>
      </c>
      <c r="M2152" s="471">
        <f t="shared" si="126"/>
        <v>0.05</v>
      </c>
      <c r="N2152" s="475">
        <f t="shared" si="127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25"/>
        <v>-2870079601.098454</v>
      </c>
      <c r="J2153" s="455">
        <f t="array" ref="J2153">IFERROR(INDEX('Retirement Calculator'!K:K,MATCH('Lorri 401b'!N2153,'Retirement Calculator'!A:A,0),0),0)</f>
        <v>0</v>
      </c>
      <c r="K2153" s="455">
        <f t="shared" ca="1" si="123"/>
        <v>-11958665.004576892</v>
      </c>
      <c r="L2153" s="455">
        <f t="shared" ca="1" si="124"/>
        <v>-2882038266.1030307</v>
      </c>
      <c r="M2153" s="471">
        <f t="shared" si="126"/>
        <v>0.05</v>
      </c>
      <c r="N2153" s="475">
        <f t="shared" si="127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25"/>
        <v>-2882038266.1030307</v>
      </c>
      <c r="J2154" s="455">
        <f t="array" ref="J2154">IFERROR(INDEX('Retirement Calculator'!K:K,MATCH('Lorri 401b'!N2154,'Retirement Calculator'!A:A,0),0),0)</f>
        <v>0</v>
      </c>
      <c r="K2154" s="455">
        <f t="shared" ca="1" si="123"/>
        <v>-12008492.775429294</v>
      </c>
      <c r="L2154" s="455">
        <f t="shared" ca="1" si="124"/>
        <v>-2894046758.8784599</v>
      </c>
      <c r="M2154" s="471">
        <f t="shared" si="126"/>
        <v>0.05</v>
      </c>
      <c r="N2154" s="475">
        <f t="shared" si="127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25"/>
        <v>-2894046758.8784599</v>
      </c>
      <c r="J2155" s="455">
        <f t="array" ref="J2155">IFERROR(INDEX('Retirement Calculator'!K:K,MATCH('Lorri 401b'!N2155,'Retirement Calculator'!A:A,0),0),0)</f>
        <v>0</v>
      </c>
      <c r="K2155" s="455">
        <f t="shared" ca="1" si="123"/>
        <v>-12058528.161993584</v>
      </c>
      <c r="L2155" s="455">
        <f t="shared" ca="1" si="124"/>
        <v>-2906105287.0404534</v>
      </c>
      <c r="M2155" s="471">
        <f t="shared" si="126"/>
        <v>0.05</v>
      </c>
      <c r="N2155" s="475">
        <f t="shared" si="127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25"/>
        <v>-2906105287.0404534</v>
      </c>
      <c r="J2156" s="455">
        <f t="array" ref="J2156">IFERROR(INDEX('Retirement Calculator'!K:K,MATCH('Lorri 401b'!N2156,'Retirement Calculator'!A:A,0),0),0)</f>
        <v>0</v>
      </c>
      <c r="K2156" s="455">
        <f t="shared" ca="1" si="123"/>
        <v>-12108772.029335223</v>
      </c>
      <c r="L2156" s="455">
        <f t="shared" ca="1" si="124"/>
        <v>-2918214059.0697885</v>
      </c>
      <c r="M2156" s="471">
        <f t="shared" si="126"/>
        <v>0.05</v>
      </c>
      <c r="N2156" s="475">
        <f t="shared" si="127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25"/>
        <v>-2918214059.0697885</v>
      </c>
      <c r="J2157" s="455">
        <f t="array" ref="J2157">IFERROR(INDEX('Retirement Calculator'!K:K,MATCH('Lorri 401b'!N2157,'Retirement Calculator'!A:A,0),0),0)</f>
        <v>0</v>
      </c>
      <c r="K2157" s="455">
        <f t="shared" ca="1" si="123"/>
        <v>-12159225.246124119</v>
      </c>
      <c r="L2157" s="455">
        <f t="shared" ca="1" si="124"/>
        <v>-2930373284.3159127</v>
      </c>
      <c r="M2157" s="471">
        <f t="shared" si="126"/>
        <v>0.05</v>
      </c>
      <c r="N2157" s="475">
        <f t="shared" si="127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25"/>
        <v>-2930373284.3159127</v>
      </c>
      <c r="J2158" s="455">
        <f t="array" ref="J2158">IFERROR(INDEX('Retirement Calculator'!K:K,MATCH('Lorri 401b'!N2158,'Retirement Calculator'!A:A,0),0),0)</f>
        <v>0</v>
      </c>
      <c r="K2158" s="455">
        <f t="shared" ca="1" si="123"/>
        <v>-12209888.684649637</v>
      </c>
      <c r="L2158" s="455">
        <f t="shared" ca="1" si="124"/>
        <v>-2942583173.0005622</v>
      </c>
      <c r="M2158" s="471">
        <f t="shared" si="126"/>
        <v>0.05</v>
      </c>
      <c r="N2158" s="475">
        <f t="shared" si="127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25"/>
        <v>-2942583173.0005622</v>
      </c>
      <c r="J2159" s="455">
        <f t="array" ref="J2159">IFERROR(INDEX('Retirement Calculator'!K:K,MATCH('Lorri 401b'!N2159,'Retirement Calculator'!A:A,0),0),0)</f>
        <v>0</v>
      </c>
      <c r="K2159" s="455">
        <f t="shared" ca="1" si="123"/>
        <v>-12260763.220835676</v>
      </c>
      <c r="L2159" s="455">
        <f t="shared" ca="1" si="124"/>
        <v>-2954843936.2213979</v>
      </c>
      <c r="M2159" s="471">
        <f t="shared" si="126"/>
        <v>0.05</v>
      </c>
      <c r="N2159" s="475">
        <f t="shared" si="127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25"/>
        <v>-2954843936.2213979</v>
      </c>
      <c r="J2160" s="455">
        <f t="array" ref="J2160">IFERROR(INDEX('Retirement Calculator'!K:K,MATCH('Lorri 401b'!N2160,'Retirement Calculator'!A:A,0),0),0)</f>
        <v>0</v>
      </c>
      <c r="K2160" s="455">
        <f t="shared" ca="1" si="123"/>
        <v>-12311849.734255824</v>
      </c>
      <c r="L2160" s="455">
        <f t="shared" ca="1" si="124"/>
        <v>-2967155785.9556537</v>
      </c>
      <c r="M2160" s="471">
        <f t="shared" si="126"/>
        <v>0.05</v>
      </c>
      <c r="N2160" s="475">
        <f t="shared" si="127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25"/>
        <v>-2967155785.9556537</v>
      </c>
      <c r="J2161" s="455">
        <f t="array" ref="J2161">IFERROR(INDEX('Retirement Calculator'!K:K,MATCH('Lorri 401b'!N2161,'Retirement Calculator'!A:A,0),0),0)</f>
        <v>0</v>
      </c>
      <c r="K2161" s="455">
        <f t="shared" ca="1" si="123"/>
        <v>-12363149.108148556</v>
      </c>
      <c r="L2161" s="455">
        <f t="shared" ca="1" si="124"/>
        <v>-2979518935.0638022</v>
      </c>
      <c r="M2161" s="471">
        <f t="shared" si="126"/>
        <v>0.05</v>
      </c>
      <c r="N2161" s="475">
        <f t="shared" si="127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25"/>
        <v>-2979518935.0638022</v>
      </c>
      <c r="J2162" s="455">
        <f t="array" ref="J2162">IFERROR(INDEX('Retirement Calculator'!K:K,MATCH('Lorri 401b'!N2162,'Retirement Calculator'!A:A,0),0),0)</f>
        <v>0</v>
      </c>
      <c r="K2162" s="455">
        <f t="shared" ca="1" si="123"/>
        <v>-12414662.229432508</v>
      </c>
      <c r="L2162" s="455">
        <f t="shared" ca="1" si="124"/>
        <v>-2991933597.2932348</v>
      </c>
      <c r="M2162" s="471">
        <f t="shared" si="126"/>
        <v>0.05</v>
      </c>
      <c r="N2162" s="475">
        <f t="shared" si="127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25"/>
        <v>-2991933597.2932348</v>
      </c>
      <c r="J2163" s="455">
        <f t="array" ref="J2163">IFERROR(INDEX('Retirement Calculator'!K:K,MATCH('Lorri 401b'!N2163,'Retirement Calculator'!A:A,0),0),0)</f>
        <v>0</v>
      </c>
      <c r="K2163" s="455">
        <f t="shared" ca="1" si="123"/>
        <v>-12466389.988721812</v>
      </c>
      <c r="L2163" s="455">
        <f t="shared" ca="1" si="124"/>
        <v>-3004399987.2819567</v>
      </c>
      <c r="M2163" s="471">
        <f t="shared" si="126"/>
        <v>0.05</v>
      </c>
      <c r="N2163" s="475">
        <f t="shared" si="127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25"/>
        <v>-3004399987.2819567</v>
      </c>
      <c r="J2164" s="455">
        <f t="array" ref="J2164">IFERROR(INDEX('Retirement Calculator'!K:K,MATCH('Lorri 401b'!N2164,'Retirement Calculator'!A:A,0),0),0)</f>
        <v>0</v>
      </c>
      <c r="K2164" s="455">
        <f t="shared" ca="1" si="123"/>
        <v>-12518333.280341486</v>
      </c>
      <c r="L2164" s="455">
        <f t="shared" ca="1" si="124"/>
        <v>-3016918320.5622983</v>
      </c>
      <c r="M2164" s="471">
        <f t="shared" si="126"/>
        <v>0.05</v>
      </c>
      <c r="N2164" s="475">
        <f t="shared" si="127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25"/>
        <v>-3016918320.5622983</v>
      </c>
      <c r="J2165" s="455">
        <f t="array" ref="J2165">IFERROR(INDEX('Retirement Calculator'!K:K,MATCH('Lorri 401b'!N2165,'Retirement Calculator'!A:A,0),0),0)</f>
        <v>0</v>
      </c>
      <c r="K2165" s="455">
        <f t="shared" ca="1" si="123"/>
        <v>-12570493.00234291</v>
      </c>
      <c r="L2165" s="455">
        <f t="shared" ca="1" si="124"/>
        <v>-3029488813.564641</v>
      </c>
      <c r="M2165" s="471">
        <f t="shared" si="126"/>
        <v>0.05</v>
      </c>
      <c r="N2165" s="475">
        <f t="shared" si="127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25"/>
        <v>-3029488813.564641</v>
      </c>
      <c r="J2166" s="455">
        <f t="array" ref="J2166">IFERROR(INDEX('Retirement Calculator'!K:K,MATCH('Lorri 401b'!N2166,'Retirement Calculator'!A:A,0),0),0)</f>
        <v>0</v>
      </c>
      <c r="K2166" s="455">
        <f t="shared" ca="1" si="123"/>
        <v>-12622870.056519337</v>
      </c>
      <c r="L2166" s="455">
        <f t="shared" ca="1" si="124"/>
        <v>-3042111683.6211605</v>
      </c>
      <c r="M2166" s="471">
        <f t="shared" si="126"/>
        <v>0.05</v>
      </c>
      <c r="N2166" s="475">
        <f t="shared" si="127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25"/>
        <v>-3042111683.6211605</v>
      </c>
      <c r="J2167" s="455">
        <f t="array" ref="J2167">IFERROR(INDEX('Retirement Calculator'!K:K,MATCH('Lorri 401b'!N2167,'Retirement Calculator'!A:A,0),0),0)</f>
        <v>0</v>
      </c>
      <c r="K2167" s="455">
        <f t="shared" ca="1" si="123"/>
        <v>-12675465.348421503</v>
      </c>
      <c r="L2167" s="455">
        <f t="shared" ca="1" si="124"/>
        <v>-3054787148.9695821</v>
      </c>
      <c r="M2167" s="471">
        <f t="shared" si="126"/>
        <v>0.05</v>
      </c>
      <c r="N2167" s="475">
        <f t="shared" si="127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25"/>
        <v>-3054787148.9695821</v>
      </c>
      <c r="J2168" s="455">
        <f t="array" ref="J2168">IFERROR(INDEX('Retirement Calculator'!K:K,MATCH('Lorri 401b'!N2168,'Retirement Calculator'!A:A,0),0),0)</f>
        <v>0</v>
      </c>
      <c r="K2168" s="455">
        <f t="shared" ca="1" si="123"/>
        <v>-12728279.787373258</v>
      </c>
      <c r="L2168" s="455">
        <f t="shared" ca="1" si="124"/>
        <v>-3067515428.7569551</v>
      </c>
      <c r="M2168" s="471">
        <f t="shared" si="126"/>
        <v>0.05</v>
      </c>
      <c r="N2168" s="475">
        <f t="shared" si="127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25"/>
        <v>-3067515428.7569551</v>
      </c>
      <c r="J2169" s="455">
        <f t="array" ref="J2169">IFERROR(INDEX('Retirement Calculator'!K:K,MATCH('Lorri 401b'!N2169,'Retirement Calculator'!A:A,0),0),0)</f>
        <v>0</v>
      </c>
      <c r="K2169" s="455">
        <f t="shared" ca="1" si="123"/>
        <v>-12781314.286487313</v>
      </c>
      <c r="L2169" s="455">
        <f t="shared" ca="1" si="124"/>
        <v>-3080296743.0434422</v>
      </c>
      <c r="M2169" s="471">
        <f t="shared" si="126"/>
        <v>0.05</v>
      </c>
      <c r="N2169" s="475">
        <f t="shared" si="127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25"/>
        <v>-3080296743.0434422</v>
      </c>
      <c r="J2170" s="455">
        <f t="array" ref="J2170">IFERROR(INDEX('Retirement Calculator'!K:K,MATCH('Lorri 401b'!N2170,'Retirement Calculator'!A:A,0),0),0)</f>
        <v>0</v>
      </c>
      <c r="K2170" s="455">
        <f t="shared" ca="1" si="123"/>
        <v>-12834569.762681009</v>
      </c>
      <c r="L2170" s="455">
        <f t="shared" ca="1" si="124"/>
        <v>-3093131312.8061233</v>
      </c>
      <c r="M2170" s="471">
        <f t="shared" si="126"/>
        <v>0.05</v>
      </c>
      <c r="N2170" s="475">
        <f t="shared" si="127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25"/>
        <v>-3093131312.8061233</v>
      </c>
      <c r="J2171" s="455">
        <f t="array" ref="J2171">IFERROR(INDEX('Retirement Calculator'!K:K,MATCH('Lorri 401b'!N2171,'Retirement Calculator'!A:A,0),0),0)</f>
        <v>0</v>
      </c>
      <c r="K2171" s="455">
        <f t="shared" ca="1" si="123"/>
        <v>-12888047.136692179</v>
      </c>
      <c r="L2171" s="455">
        <f t="shared" ca="1" si="124"/>
        <v>-3106019359.9428153</v>
      </c>
      <c r="M2171" s="471">
        <f t="shared" si="126"/>
        <v>0.05</v>
      </c>
      <c r="N2171" s="475">
        <f t="shared" si="127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25"/>
        <v>-3106019359.9428153</v>
      </c>
      <c r="J2172" s="455">
        <f t="array" ref="J2172">IFERROR(INDEX('Retirement Calculator'!K:K,MATCH('Lorri 401b'!N2172,'Retirement Calculator'!A:A,0),0),0)</f>
        <v>0</v>
      </c>
      <c r="K2172" s="455">
        <f t="shared" ca="1" si="123"/>
        <v>-12941747.333095064</v>
      </c>
      <c r="L2172" s="455">
        <f t="shared" ca="1" si="124"/>
        <v>-3118961107.2759104</v>
      </c>
      <c r="M2172" s="471">
        <f t="shared" si="126"/>
        <v>0.05</v>
      </c>
      <c r="N2172" s="475">
        <f t="shared" si="127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25"/>
        <v>-3118961107.2759104</v>
      </c>
      <c r="J2173" s="455">
        <f t="array" ref="J2173">IFERROR(INDEX('Retirement Calculator'!K:K,MATCH('Lorri 401b'!N2173,'Retirement Calculator'!A:A,0),0),0)</f>
        <v>0</v>
      </c>
      <c r="K2173" s="455">
        <f t="shared" ca="1" si="123"/>
        <v>-12995671.280316293</v>
      </c>
      <c r="L2173" s="455">
        <f t="shared" ca="1" si="124"/>
        <v>-3131956778.5562267</v>
      </c>
      <c r="M2173" s="471">
        <f t="shared" si="126"/>
        <v>0.05</v>
      </c>
      <c r="N2173" s="475">
        <f t="shared" si="127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25"/>
        <v>-3131956778.5562267</v>
      </c>
      <c r="J2174" s="455">
        <f t="array" ref="J2174">IFERROR(INDEX('Retirement Calculator'!K:K,MATCH('Lorri 401b'!N2174,'Retirement Calculator'!A:A,0),0),0)</f>
        <v>0</v>
      </c>
      <c r="K2174" s="455">
        <f t="shared" ca="1" si="123"/>
        <v>-13049819.910650944</v>
      </c>
      <c r="L2174" s="455">
        <f t="shared" ca="1" si="124"/>
        <v>-3145006598.4668775</v>
      </c>
      <c r="M2174" s="471">
        <f t="shared" si="126"/>
        <v>0.05</v>
      </c>
      <c r="N2174" s="475">
        <f t="shared" si="127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25"/>
        <v>-3145006598.4668775</v>
      </c>
      <c r="J2175" s="455">
        <f t="array" ref="J2175">IFERROR(INDEX('Retirement Calculator'!K:K,MATCH('Lorri 401b'!N2175,'Retirement Calculator'!A:A,0),0),0)</f>
        <v>0</v>
      </c>
      <c r="K2175" s="455">
        <f t="shared" ca="1" si="123"/>
        <v>-13104194.160278656</v>
      </c>
      <c r="L2175" s="455">
        <f t="shared" ca="1" si="124"/>
        <v>-3158110792.6271563</v>
      </c>
      <c r="M2175" s="471">
        <f t="shared" si="126"/>
        <v>0.05</v>
      </c>
      <c r="N2175" s="475">
        <f t="shared" si="127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25"/>
        <v>-3158110792.6271563</v>
      </c>
      <c r="J2176" s="455">
        <f t="array" ref="J2176">IFERROR(INDEX('Retirement Calculator'!K:K,MATCH('Lorri 401b'!N2176,'Retirement Calculator'!A:A,0),0),0)</f>
        <v>0</v>
      </c>
      <c r="K2176" s="455">
        <f t="shared" ca="1" si="123"/>
        <v>-13158794.969279818</v>
      </c>
      <c r="L2176" s="455">
        <f t="shared" ca="1" si="124"/>
        <v>-3171269587.596436</v>
      </c>
      <c r="M2176" s="471">
        <f t="shared" si="126"/>
        <v>0.05</v>
      </c>
      <c r="N2176" s="475">
        <f t="shared" si="127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25"/>
        <v>-3171269587.596436</v>
      </c>
      <c r="J2177" s="455">
        <f t="array" ref="J2177">IFERROR(INDEX('Retirement Calculator'!K:K,MATCH('Lorri 401b'!N2177,'Retirement Calculator'!A:A,0),0),0)</f>
        <v>0</v>
      </c>
      <c r="K2177" s="455">
        <f t="shared" ca="1" si="123"/>
        <v>-13213623.281651817</v>
      </c>
      <c r="L2177" s="455">
        <f t="shared" ca="1" si="124"/>
        <v>-3184483210.878088</v>
      </c>
      <c r="M2177" s="471">
        <f t="shared" si="126"/>
        <v>0.05</v>
      </c>
      <c r="N2177" s="475">
        <f t="shared" si="127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25"/>
        <v>-3184483210.878088</v>
      </c>
      <c r="J2178" s="455">
        <f t="array" ref="J2178">IFERROR(INDEX('Retirement Calculator'!K:K,MATCH('Lorri 401b'!N2178,'Retirement Calculator'!A:A,0),0),0)</f>
        <v>0</v>
      </c>
      <c r="K2178" s="455">
        <f t="shared" ca="1" si="123"/>
        <v>-13268680.045325367</v>
      </c>
      <c r="L2178" s="455">
        <f t="shared" ca="1" si="124"/>
        <v>-3197751890.9234133</v>
      </c>
      <c r="M2178" s="471">
        <f t="shared" si="126"/>
        <v>0.05</v>
      </c>
      <c r="N2178" s="475">
        <f t="shared" si="127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25"/>
        <v>-3197751890.9234133</v>
      </c>
      <c r="J2179" s="455">
        <f t="array" ref="J2179">IFERROR(INDEX('Retirement Calculator'!K:K,MATCH('Lorri 401b'!N2179,'Retirement Calculator'!A:A,0),0),0)</f>
        <v>0</v>
      </c>
      <c r="K2179" s="455">
        <f t="shared" ca="1" si="123"/>
        <v>-13323966.212180888</v>
      </c>
      <c r="L2179" s="455">
        <f t="shared" ca="1" si="124"/>
        <v>-3211075857.1355944</v>
      </c>
      <c r="M2179" s="471">
        <f t="shared" si="126"/>
        <v>0.05</v>
      </c>
      <c r="N2179" s="475">
        <f t="shared" si="127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25"/>
        <v>-3211075857.1355944</v>
      </c>
      <c r="J2180" s="455">
        <f t="array" ref="J2180">IFERROR(INDEX('Retirement Calculator'!K:K,MATCH('Lorri 401b'!N2180,'Retirement Calculator'!A:A,0),0),0)</f>
        <v>0</v>
      </c>
      <c r="K2180" s="455">
        <f t="shared" ca="1" si="123"/>
        <v>-13379482.738064976</v>
      </c>
      <c r="L2180" s="455">
        <f t="shared" ca="1" si="124"/>
        <v>-3224455339.8736591</v>
      </c>
      <c r="M2180" s="471">
        <f t="shared" si="126"/>
        <v>0.05</v>
      </c>
      <c r="N2180" s="475">
        <f t="shared" si="127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25"/>
        <v>-3224455339.8736591</v>
      </c>
      <c r="J2181" s="455">
        <f t="array" ref="J2181">IFERROR(INDEX('Retirement Calculator'!K:K,MATCH('Lorri 401b'!N2181,'Retirement Calculator'!A:A,0),0),0)</f>
        <v>0</v>
      </c>
      <c r="K2181" s="455">
        <f t="shared" ca="1" si="123"/>
        <v>-13435230.582806913</v>
      </c>
      <c r="L2181" s="455">
        <f t="shared" ca="1" si="124"/>
        <v>-3237890570.4564662</v>
      </c>
      <c r="M2181" s="471">
        <f t="shared" si="126"/>
        <v>0.05</v>
      </c>
      <c r="N2181" s="475">
        <f t="shared" si="127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25"/>
        <v>-3237890570.4564662</v>
      </c>
      <c r="J2182" s="455">
        <f t="array" ref="J2182">IFERROR(INDEX('Retirement Calculator'!K:K,MATCH('Lorri 401b'!N2182,'Retirement Calculator'!A:A,0),0),0)</f>
        <v>0</v>
      </c>
      <c r="K2182" s="455">
        <f t="shared" ca="1" si="123"/>
        <v>-13491210.710235275</v>
      </c>
      <c r="L2182" s="455">
        <f t="shared" ca="1" si="124"/>
        <v>-3251381781.1667013</v>
      </c>
      <c r="M2182" s="471">
        <f t="shared" si="126"/>
        <v>0.05</v>
      </c>
      <c r="N2182" s="475">
        <f t="shared" si="127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25"/>
        <v>-3251381781.1667013</v>
      </c>
      <c r="J2183" s="455">
        <f t="array" ref="J2183">IFERROR(INDEX('Retirement Calculator'!K:K,MATCH('Lorri 401b'!N2183,'Retirement Calculator'!A:A,0),0),0)</f>
        <v>0</v>
      </c>
      <c r="K2183" s="455">
        <f t="shared" ca="1" si="123"/>
        <v>-13547424.088194588</v>
      </c>
      <c r="L2183" s="455">
        <f t="shared" ca="1" si="124"/>
        <v>-3264929205.2548957</v>
      </c>
      <c r="M2183" s="471">
        <f t="shared" si="126"/>
        <v>0.05</v>
      </c>
      <c r="N2183" s="475">
        <f t="shared" si="127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25"/>
        <v>-3264929205.2548957</v>
      </c>
      <c r="J2184" s="455">
        <f t="array" ref="J2184">IFERROR(INDEX('Retirement Calculator'!K:K,MATCH('Lorri 401b'!N2184,'Retirement Calculator'!A:A,0),0),0)</f>
        <v>0</v>
      </c>
      <c r="K2184" s="455">
        <f t="shared" ca="1" si="123"/>
        <v>-13603871.688562065</v>
      </c>
      <c r="L2184" s="455">
        <f t="shared" ca="1" si="124"/>
        <v>-3278533076.9434576</v>
      </c>
      <c r="M2184" s="471">
        <f t="shared" si="126"/>
        <v>0.05</v>
      </c>
      <c r="N2184" s="475">
        <f t="shared" si="127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25"/>
        <v>-3278533076.9434576</v>
      </c>
      <c r="J2185" s="455">
        <f t="array" ref="J2185">IFERROR(INDEX('Retirement Calculator'!K:K,MATCH('Lorri 401b'!N2185,'Retirement Calculator'!A:A,0),0),0)</f>
        <v>0</v>
      </c>
      <c r="K2185" s="455">
        <f t="shared" ca="1" si="123"/>
        <v>-13660554.487264406</v>
      </c>
      <c r="L2185" s="455">
        <f t="shared" ca="1" si="124"/>
        <v>-3292193631.4307222</v>
      </c>
      <c r="M2185" s="471">
        <f t="shared" si="126"/>
        <v>0.05</v>
      </c>
      <c r="N2185" s="475">
        <f t="shared" si="127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25"/>
        <v>-3292193631.4307222</v>
      </c>
      <c r="J2186" s="455">
        <f t="array" ref="J2186">IFERROR(INDEX('Retirement Calculator'!K:K,MATCH('Lorri 401b'!N2186,'Retirement Calculator'!A:A,0),0),0)</f>
        <v>0</v>
      </c>
      <c r="K2186" s="455">
        <f t="shared" ca="1" si="123"/>
        <v>-13717473.464294676</v>
      </c>
      <c r="L2186" s="455">
        <f t="shared" ca="1" si="124"/>
        <v>-3305911104.8950171</v>
      </c>
      <c r="M2186" s="471">
        <f t="shared" si="126"/>
        <v>0.05</v>
      </c>
      <c r="N2186" s="475">
        <f t="shared" si="127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25"/>
        <v>-3305911104.8950171</v>
      </c>
      <c r="J2187" s="455">
        <f t="array" ref="J2187">IFERROR(INDEX('Retirement Calculator'!K:K,MATCH('Lorri 401b'!N2187,'Retirement Calculator'!A:A,0),0),0)</f>
        <v>0</v>
      </c>
      <c r="K2187" s="455">
        <f t="shared" ca="1" si="123"/>
        <v>-13774629.603729239</v>
      </c>
      <c r="L2187" s="455">
        <f t="shared" ca="1" si="124"/>
        <v>-3319685734.4987464</v>
      </c>
      <c r="M2187" s="471">
        <f t="shared" si="126"/>
        <v>0.05</v>
      </c>
      <c r="N2187" s="475">
        <f t="shared" si="127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25"/>
        <v>-3319685734.4987464</v>
      </c>
      <c r="J2188" s="455">
        <f t="array" ref="J2188">IFERROR(INDEX('Retirement Calculator'!K:K,MATCH('Lorri 401b'!N2188,'Retirement Calculator'!A:A,0),0),0)</f>
        <v>0</v>
      </c>
      <c r="K2188" s="455">
        <f t="shared" ca="1" si="123"/>
        <v>-13832023.893744776</v>
      </c>
      <c r="L2188" s="455">
        <f t="shared" ca="1" si="124"/>
        <v>-3333517758.3924913</v>
      </c>
      <c r="M2188" s="471">
        <f t="shared" si="126"/>
        <v>0.05</v>
      </c>
      <c r="N2188" s="475">
        <f t="shared" si="127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25"/>
        <v>-3333517758.3924913</v>
      </c>
      <c r="J2189" s="455">
        <f t="array" ref="J2189">IFERROR(INDEX('Retirement Calculator'!K:K,MATCH('Lorri 401b'!N2189,'Retirement Calculator'!A:A,0),0),0)</f>
        <v>0</v>
      </c>
      <c r="K2189" s="455">
        <f t="shared" ca="1" si="123"/>
        <v>-13889657.326635381</v>
      </c>
      <c r="L2189" s="455">
        <f t="shared" ca="1" si="124"/>
        <v>-3347407415.7191267</v>
      </c>
      <c r="M2189" s="471">
        <f t="shared" si="126"/>
        <v>0.05</v>
      </c>
      <c r="N2189" s="475">
        <f t="shared" si="127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25"/>
        <v>-3347407415.7191267</v>
      </c>
      <c r="J2190" s="455">
        <f t="array" ref="J2190">IFERROR(INDEX('Retirement Calculator'!K:K,MATCH('Lorri 401b'!N2190,'Retirement Calculator'!A:A,0),0),0)</f>
        <v>0</v>
      </c>
      <c r="K2190" s="455">
        <f t="shared" ca="1" si="123"/>
        <v>-13947530.898829695</v>
      </c>
      <c r="L2190" s="455">
        <f t="shared" ca="1" si="124"/>
        <v>-3361354946.6179562</v>
      </c>
      <c r="M2190" s="471">
        <f t="shared" si="126"/>
        <v>0.05</v>
      </c>
      <c r="N2190" s="475">
        <f t="shared" si="127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25"/>
        <v>-3361354946.6179562</v>
      </c>
      <c r="J2191" s="455">
        <f t="array" ref="J2191">IFERROR(INDEX('Retirement Calculator'!K:K,MATCH('Lorri 401b'!N2191,'Retirement Calculator'!A:A,0),0),0)</f>
        <v>0</v>
      </c>
      <c r="K2191" s="455">
        <f t="shared" ca="1" si="123"/>
        <v>-14005645.610908151</v>
      </c>
      <c r="L2191" s="455">
        <f t="shared" ca="1" si="124"/>
        <v>-3375360592.2288642</v>
      </c>
      <c r="M2191" s="471">
        <f t="shared" si="126"/>
        <v>0.05</v>
      </c>
      <c r="N2191" s="475">
        <f t="shared" si="127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25"/>
        <v>-3375360592.2288642</v>
      </c>
      <c r="J2192" s="455">
        <f t="array" ref="J2192">IFERROR(INDEX('Retirement Calculator'!K:K,MATCH('Lorri 401b'!N2192,'Retirement Calculator'!A:A,0),0),0)</f>
        <v>0</v>
      </c>
      <c r="K2192" s="455">
        <f t="shared" ca="1" si="123"/>
        <v>-14064002.467620265</v>
      </c>
      <c r="L2192" s="455">
        <f t="shared" ca="1" si="124"/>
        <v>-3389424594.6964846</v>
      </c>
      <c r="M2192" s="471">
        <f t="shared" si="126"/>
        <v>0.05</v>
      </c>
      <c r="N2192" s="475">
        <f t="shared" si="127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25"/>
        <v>-3389424594.6964846</v>
      </c>
      <c r="J2193" s="455">
        <f t="array" ref="J2193">IFERROR(INDEX('Retirement Calculator'!K:K,MATCH('Lorri 401b'!N2193,'Retirement Calculator'!A:A,0),0),0)</f>
        <v>0</v>
      </c>
      <c r="K2193" s="455">
        <f t="shared" ca="1" si="123"/>
        <v>-14122602.477902021</v>
      </c>
      <c r="L2193" s="455">
        <f t="shared" ca="1" si="124"/>
        <v>-3403547197.1743865</v>
      </c>
      <c r="M2193" s="471">
        <f t="shared" si="126"/>
        <v>0.05</v>
      </c>
      <c r="N2193" s="475">
        <f t="shared" si="127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25"/>
        <v>-3403547197.1743865</v>
      </c>
      <c r="J2194" s="455">
        <f t="array" ref="J2194">IFERROR(INDEX('Retirement Calculator'!K:K,MATCH('Lorri 401b'!N2194,'Retirement Calculator'!A:A,0),0),0)</f>
        <v>0</v>
      </c>
      <c r="K2194" s="455">
        <f t="shared" ca="1" si="123"/>
        <v>-14181446.654893277</v>
      </c>
      <c r="L2194" s="455">
        <f t="shared" ca="1" si="124"/>
        <v>-3417728643.8292799</v>
      </c>
      <c r="M2194" s="471">
        <f t="shared" si="126"/>
        <v>0.05</v>
      </c>
      <c r="N2194" s="475">
        <f t="shared" si="127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25"/>
        <v>-3417728643.8292799</v>
      </c>
      <c r="J2195" s="455">
        <f t="array" ref="J2195">IFERROR(INDEX('Retirement Calculator'!K:K,MATCH('Lorri 401b'!N2195,'Retirement Calculator'!A:A,0),0),0)</f>
        <v>0</v>
      </c>
      <c r="K2195" s="455">
        <f t="shared" ca="1" si="123"/>
        <v>-14240536.015955335</v>
      </c>
      <c r="L2195" s="455">
        <f t="shared" ca="1" si="124"/>
        <v>-3431969179.8452353</v>
      </c>
      <c r="M2195" s="471">
        <f t="shared" si="126"/>
        <v>0.05</v>
      </c>
      <c r="N2195" s="475">
        <f t="shared" si="127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25"/>
        <v>-3431969179.8452353</v>
      </c>
      <c r="J2196" s="455">
        <f t="array" ref="J2196">IFERROR(INDEX('Retirement Calculator'!K:K,MATCH('Lorri 401b'!N2196,'Retirement Calculator'!A:A,0),0),0)</f>
        <v>0</v>
      </c>
      <c r="K2196" s="455">
        <f t="shared" ca="1" si="123"/>
        <v>-14299871.582688481</v>
      </c>
      <c r="L2196" s="455">
        <f t="shared" ca="1" si="124"/>
        <v>-3446269051.4279237</v>
      </c>
      <c r="M2196" s="471">
        <f t="shared" si="126"/>
        <v>0.05</v>
      </c>
      <c r="N2196" s="475">
        <f t="shared" si="127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25"/>
        <v>-3446269051.4279237</v>
      </c>
      <c r="J2197" s="455">
        <f t="array" ref="J2197">IFERROR(INDEX('Retirement Calculator'!K:K,MATCH('Lorri 401b'!N2197,'Retirement Calculator'!A:A,0),0),0)</f>
        <v>0</v>
      </c>
      <c r="K2197" s="455">
        <f t="shared" ca="1" si="123"/>
        <v>-14359454.380949683</v>
      </c>
      <c r="L2197" s="455">
        <f t="shared" ca="1" si="124"/>
        <v>-3460628505.8088732</v>
      </c>
      <c r="M2197" s="471">
        <f t="shared" si="126"/>
        <v>0.05</v>
      </c>
      <c r="N2197" s="475">
        <f t="shared" si="127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25"/>
        <v>-3460628505.8088732</v>
      </c>
      <c r="J2198" s="455">
        <f t="array" ref="J2198">IFERROR(INDEX('Retirement Calculator'!K:K,MATCH('Lorri 401b'!N2198,'Retirement Calculator'!A:A,0),0),0)</f>
        <v>0</v>
      </c>
      <c r="K2198" s="455">
        <f t="shared" ca="1" si="123"/>
        <v>-14419285.440870302</v>
      </c>
      <c r="L2198" s="455">
        <f t="shared" ca="1" si="124"/>
        <v>-3475047791.2497435</v>
      </c>
      <c r="M2198" s="471">
        <f t="shared" si="126"/>
        <v>0.05</v>
      </c>
      <c r="N2198" s="475">
        <f t="shared" si="127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25"/>
        <v>-3475047791.2497435</v>
      </c>
      <c r="J2199" s="455">
        <f t="array" ref="J2199">IFERROR(INDEX('Retirement Calculator'!K:K,MATCH('Lorri 401b'!N2199,'Retirement Calculator'!A:A,0),0),0)</f>
        <v>0</v>
      </c>
      <c r="K2199" s="455">
        <f t="shared" ca="1" si="123"/>
        <v>-14479365.796873931</v>
      </c>
      <c r="L2199" s="455">
        <f t="shared" ca="1" si="124"/>
        <v>-3489527157.0466175</v>
      </c>
      <c r="M2199" s="471">
        <f t="shared" si="126"/>
        <v>0.05</v>
      </c>
      <c r="N2199" s="475">
        <f t="shared" si="127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25"/>
        <v>-3489527157.0466175</v>
      </c>
      <c r="J2200" s="455">
        <f t="array" ref="J2200">IFERROR(INDEX('Retirement Calculator'!K:K,MATCH('Lorri 401b'!N2200,'Retirement Calculator'!A:A,0),0),0)</f>
        <v>0</v>
      </c>
      <c r="K2200" s="455">
        <f t="shared" ca="1" si="123"/>
        <v>-14539696.487694239</v>
      </c>
      <c r="L2200" s="455">
        <f t="shared" ca="1" si="124"/>
        <v>-3504066853.5343118</v>
      </c>
      <c r="M2200" s="471">
        <f t="shared" si="126"/>
        <v>0.05</v>
      </c>
      <c r="N2200" s="475">
        <f t="shared" si="127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25"/>
        <v>-3504066853.5343118</v>
      </c>
      <c r="J2201" s="455">
        <f t="array" ref="J2201">IFERROR(INDEX('Retirement Calculator'!K:K,MATCH('Lorri 401b'!N2201,'Retirement Calculator'!A:A,0),0),0)</f>
        <v>0</v>
      </c>
      <c r="K2201" s="455">
        <f t="shared" ca="1" si="123"/>
        <v>-14600278.556392968</v>
      </c>
      <c r="L2201" s="455">
        <f t="shared" ca="1" si="124"/>
        <v>-3518667132.0907049</v>
      </c>
      <c r="M2201" s="471">
        <f t="shared" si="126"/>
        <v>0.05</v>
      </c>
      <c r="N2201" s="475">
        <f t="shared" si="127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25"/>
        <v>-3518667132.0907049</v>
      </c>
      <c r="J2202" s="455">
        <f t="array" ref="J2202">IFERROR(INDEX('Retirement Calculator'!K:K,MATCH('Lorri 401b'!N2202,'Retirement Calculator'!A:A,0),0),0)</f>
        <v>0</v>
      </c>
      <c r="K2202" s="455">
        <f t="shared" ca="1" si="123"/>
        <v>-14661113.050377937</v>
      </c>
      <c r="L2202" s="455">
        <f t="shared" ca="1" si="124"/>
        <v>-3533328245.1410828</v>
      </c>
      <c r="M2202" s="471">
        <f t="shared" si="126"/>
        <v>0.05</v>
      </c>
      <c r="N2202" s="475">
        <f t="shared" si="127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25"/>
        <v>-3533328245.1410828</v>
      </c>
      <c r="J2203" s="455">
        <f t="array" ref="J2203">IFERROR(INDEX('Retirement Calculator'!K:K,MATCH('Lorri 401b'!N2203,'Retirement Calculator'!A:A,0),0),0)</f>
        <v>0</v>
      </c>
      <c r="K2203" s="455">
        <f t="shared" ca="1" si="123"/>
        <v>-14722201.021421175</v>
      </c>
      <c r="L2203" s="455">
        <f t="shared" ca="1" si="124"/>
        <v>-3548050446.1625037</v>
      </c>
      <c r="M2203" s="471">
        <f t="shared" si="126"/>
        <v>0.05</v>
      </c>
      <c r="N2203" s="475">
        <f t="shared" si="127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25"/>
        <v>-3548050446.1625037</v>
      </c>
      <c r="J2204" s="455">
        <f t="array" ref="J2204">IFERROR(INDEX('Retirement Calculator'!K:K,MATCH('Lorri 401b'!N2204,'Retirement Calculator'!A:A,0),0),0)</f>
        <v>0</v>
      </c>
      <c r="K2204" s="455">
        <f t="shared" ca="1" si="123"/>
        <v>-14783543.525677098</v>
      </c>
      <c r="L2204" s="455">
        <f t="shared" ca="1" si="124"/>
        <v>-3562833989.6881809</v>
      </c>
      <c r="M2204" s="471">
        <f t="shared" si="126"/>
        <v>0.05</v>
      </c>
      <c r="N2204" s="475">
        <f t="shared" si="127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25"/>
        <v>-3562833989.6881809</v>
      </c>
      <c r="J2205" s="455">
        <f t="array" ref="J2205">IFERROR(INDEX('Retirement Calculator'!K:K,MATCH('Lorri 401b'!N2205,'Retirement Calculator'!A:A,0),0),0)</f>
        <v>0</v>
      </c>
      <c r="K2205" s="455">
        <f t="shared" ca="1" si="123"/>
        <v>-14845141.623700753</v>
      </c>
      <c r="L2205" s="455">
        <f t="shared" ca="1" si="124"/>
        <v>-3577679131.3118815</v>
      </c>
      <c r="M2205" s="471">
        <f t="shared" si="126"/>
        <v>0.05</v>
      </c>
      <c r="N2205" s="475">
        <f t="shared" si="127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25"/>
        <v>-3577679131.3118815</v>
      </c>
      <c r="J2206" s="455">
        <f t="array" ref="J2206">IFERROR(INDEX('Retirement Calculator'!K:K,MATCH('Lorri 401b'!N2206,'Retirement Calculator'!A:A,0),0),0)</f>
        <v>0</v>
      </c>
      <c r="K2206" s="455">
        <f t="shared" ca="1" si="123"/>
        <v>-14906996.380466172</v>
      </c>
      <c r="L2206" s="455">
        <f t="shared" ca="1" si="124"/>
        <v>-3592586127.6923475</v>
      </c>
      <c r="M2206" s="471">
        <f t="shared" si="126"/>
        <v>0.05</v>
      </c>
      <c r="N2206" s="475">
        <f t="shared" si="127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25"/>
        <v>-3592586127.6923475</v>
      </c>
      <c r="J2207" s="455">
        <f t="array" ref="J2207">IFERROR(INDEX('Retirement Calculator'!K:K,MATCH('Lorri 401b'!N2207,'Retirement Calculator'!A:A,0),0),0)</f>
        <v>0</v>
      </c>
      <c r="K2207" s="455">
        <f t="shared" ca="1" si="123"/>
        <v>-14969108.865384784</v>
      </c>
      <c r="L2207" s="455">
        <f t="shared" ca="1" si="124"/>
        <v>-3607555236.5577321</v>
      </c>
      <c r="M2207" s="471">
        <f t="shared" si="126"/>
        <v>0.05</v>
      </c>
      <c r="N2207" s="475">
        <f t="shared" si="127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25"/>
        <v>-3607555236.5577321</v>
      </c>
      <c r="J2208" s="455">
        <f t="array" ref="J2208">IFERROR(INDEX('Retirement Calculator'!K:K,MATCH('Lorri 401b'!N2208,'Retirement Calculator'!A:A,0),0),0)</f>
        <v>0</v>
      </c>
      <c r="K2208" s="455">
        <f t="shared" ca="1" si="123"/>
        <v>-15031480.152323883</v>
      </c>
      <c r="L2208" s="455">
        <f t="shared" ca="1" si="124"/>
        <v>-3622586716.7100558</v>
      </c>
      <c r="M2208" s="471">
        <f t="shared" si="126"/>
        <v>0.05</v>
      </c>
      <c r="N2208" s="475">
        <f t="shared" si="127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25"/>
        <v>-3622586716.7100558</v>
      </c>
      <c r="J2209" s="455">
        <f t="array" ref="J2209">IFERROR(INDEX('Retirement Calculator'!K:K,MATCH('Lorri 401b'!N2209,'Retirement Calculator'!A:A,0),0),0)</f>
        <v>0</v>
      </c>
      <c r="K2209" s="455">
        <f t="shared" ca="1" si="123"/>
        <v>-15094111.319625232</v>
      </c>
      <c r="L2209" s="455">
        <f t="shared" ca="1" si="124"/>
        <v>-3637680828.0296812</v>
      </c>
      <c r="M2209" s="471">
        <f t="shared" si="126"/>
        <v>0.05</v>
      </c>
      <c r="N2209" s="475">
        <f t="shared" si="127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25"/>
        <v>-3637680828.0296812</v>
      </c>
      <c r="J2210" s="455">
        <f t="array" ref="J2210">IFERROR(INDEX('Retirement Calculator'!K:K,MATCH('Lorri 401b'!N2210,'Retirement Calculator'!A:A,0),0),0)</f>
        <v>0</v>
      </c>
      <c r="K2210" s="455">
        <f t="shared" ca="1" si="123"/>
        <v>-15157003.450123671</v>
      </c>
      <c r="L2210" s="455">
        <f t="shared" ca="1" si="124"/>
        <v>-3652837831.479805</v>
      </c>
      <c r="M2210" s="471">
        <f t="shared" si="126"/>
        <v>0.05</v>
      </c>
      <c r="N2210" s="475">
        <f t="shared" si="127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25"/>
        <v>-3652837831.479805</v>
      </c>
      <c r="J2211" s="455">
        <f t="array" ref="J2211">IFERROR(INDEX('Retirement Calculator'!K:K,MATCH('Lorri 401b'!N2211,'Retirement Calculator'!A:A,0),0),0)</f>
        <v>0</v>
      </c>
      <c r="K2211" s="455">
        <f t="shared" ca="1" si="123"/>
        <v>-15220157.631165855</v>
      </c>
      <c r="L2211" s="455">
        <f t="shared" ca="1" si="124"/>
        <v>-3668057989.110971</v>
      </c>
      <c r="M2211" s="471">
        <f t="shared" si="126"/>
        <v>0.05</v>
      </c>
      <c r="N2211" s="475">
        <f t="shared" si="127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25"/>
        <v>-3668057989.110971</v>
      </c>
      <c r="J2212" s="455">
        <f t="array" ref="J2212">IFERROR(INDEX('Retirement Calculator'!K:K,MATCH('Lorri 401b'!N2212,'Retirement Calculator'!A:A,0),0),0)</f>
        <v>0</v>
      </c>
      <c r="K2212" s="455">
        <f t="shared" ca="1" si="123"/>
        <v>-15283574.954629047</v>
      </c>
      <c r="L2212" s="455">
        <f t="shared" ca="1" si="124"/>
        <v>-3683341564.0655999</v>
      </c>
      <c r="M2212" s="471">
        <f t="shared" si="126"/>
        <v>0.05</v>
      </c>
      <c r="N2212" s="475">
        <f t="shared" si="127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25"/>
        <v>-3683341564.0655999</v>
      </c>
      <c r="J2213" s="455">
        <f t="array" ref="J2213">IFERROR(INDEX('Retirement Calculator'!K:K,MATCH('Lorri 401b'!N2213,'Retirement Calculator'!A:A,0),0),0)</f>
        <v>0</v>
      </c>
      <c r="K2213" s="455">
        <f t="shared" ca="1" si="123"/>
        <v>-15347256.51694</v>
      </c>
      <c r="L2213" s="455">
        <f t="shared" ca="1" si="124"/>
        <v>-3698688820.58254</v>
      </c>
      <c r="M2213" s="471">
        <f t="shared" si="126"/>
        <v>0.05</v>
      </c>
      <c r="N2213" s="475">
        <f t="shared" si="127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25"/>
        <v>-3698688820.58254</v>
      </c>
      <c r="J2214" s="455">
        <f t="array" ref="J2214">IFERROR(INDEX('Retirement Calculator'!K:K,MATCH('Lorri 401b'!N2214,'Retirement Calculator'!A:A,0),0),0)</f>
        <v>0</v>
      </c>
      <c r="K2214" s="455">
        <f t="shared" ca="1" si="123"/>
        <v>-15411203.419093916</v>
      </c>
      <c r="L2214" s="455">
        <f t="shared" ca="1" si="124"/>
        <v>-3714100024.0016341</v>
      </c>
      <c r="M2214" s="471">
        <f t="shared" si="126"/>
        <v>0.05</v>
      </c>
      <c r="N2214" s="475">
        <f t="shared" si="127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25"/>
        <v>-3714100024.0016341</v>
      </c>
      <c r="J2215" s="455">
        <f t="array" ref="J2215">IFERROR(INDEX('Retirement Calculator'!K:K,MATCH('Lorri 401b'!N2215,'Retirement Calculator'!A:A,0),0),0)</f>
        <v>0</v>
      </c>
      <c r="K2215" s="455">
        <f t="shared" ca="1" si="123"/>
        <v>-15475416.766673476</v>
      </c>
      <c r="L2215" s="455">
        <f t="shared" ca="1" si="124"/>
        <v>-3729575440.7683077</v>
      </c>
      <c r="M2215" s="471">
        <f t="shared" si="126"/>
        <v>0.05</v>
      </c>
      <c r="N2215" s="475">
        <f t="shared" si="127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25"/>
        <v>-3729575440.7683077</v>
      </c>
      <c r="J2216" s="455">
        <f t="array" ref="J2216">IFERROR(INDEX('Retirement Calculator'!K:K,MATCH('Lorri 401b'!N2216,'Retirement Calculator'!A:A,0),0),0)</f>
        <v>0</v>
      </c>
      <c r="K2216" s="455">
        <f t="shared" ca="1" si="123"/>
        <v>-15539897.669867948</v>
      </c>
      <c r="L2216" s="455">
        <f t="shared" ca="1" si="124"/>
        <v>-3745115338.4381757</v>
      </c>
      <c r="M2216" s="471">
        <f t="shared" si="126"/>
        <v>0.05</v>
      </c>
      <c r="N2216" s="475">
        <f t="shared" si="127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25"/>
        <v>-3745115338.4381757</v>
      </c>
      <c r="J2217" s="455">
        <f t="array" ref="J2217">IFERROR(INDEX('Retirement Calculator'!K:K,MATCH('Lorri 401b'!N2217,'Retirement Calculator'!A:A,0),0),0)</f>
        <v>0</v>
      </c>
      <c r="K2217" s="455">
        <f t="shared" ca="1" si="123"/>
        <v>-15604647.243492397</v>
      </c>
      <c r="L2217" s="455">
        <f t="shared" ca="1" si="124"/>
        <v>-3760719985.6816683</v>
      </c>
      <c r="M2217" s="471">
        <f t="shared" si="126"/>
        <v>0.05</v>
      </c>
      <c r="N2217" s="475">
        <f t="shared" si="127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25"/>
        <v>-3760719985.6816683</v>
      </c>
      <c r="J2218" s="455">
        <f t="array" ref="J2218">IFERROR(INDEX('Retirement Calculator'!K:K,MATCH('Lorri 401b'!N2218,'Retirement Calculator'!A:A,0),0),0)</f>
        <v>0</v>
      </c>
      <c r="K2218" s="455">
        <f t="shared" ca="1" si="123"/>
        <v>-15669666.607006952</v>
      </c>
      <c r="L2218" s="455">
        <f t="shared" ca="1" si="124"/>
        <v>-3776389652.2886753</v>
      </c>
      <c r="M2218" s="471">
        <f t="shared" si="126"/>
        <v>0.05</v>
      </c>
      <c r="N2218" s="475">
        <f t="shared" si="127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25"/>
        <v>-3776389652.2886753</v>
      </c>
      <c r="J2219" s="455">
        <f t="array" ref="J2219">IFERROR(INDEX('Retirement Calculator'!K:K,MATCH('Lorri 401b'!N2219,'Retirement Calculator'!A:A,0),0),0)</f>
        <v>0</v>
      </c>
      <c r="K2219" s="455">
        <f t="shared" ca="1" si="123"/>
        <v>-15734956.884536147</v>
      </c>
      <c r="L2219" s="455">
        <f t="shared" ca="1" si="124"/>
        <v>-3792124609.1732116</v>
      </c>
      <c r="M2219" s="471">
        <f t="shared" si="126"/>
        <v>0.05</v>
      </c>
      <c r="N2219" s="475">
        <f t="shared" si="127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25"/>
        <v>-3792124609.1732116</v>
      </c>
      <c r="J2220" s="455">
        <f t="array" ref="J2220">IFERROR(INDEX('Retirement Calculator'!K:K,MATCH('Lorri 401b'!N2220,'Retirement Calculator'!A:A,0),0),0)</f>
        <v>0</v>
      </c>
      <c r="K2220" s="455">
        <f t="shared" ca="1" si="123"/>
        <v>-15800519.204888381</v>
      </c>
      <c r="L2220" s="455">
        <f t="shared" ca="1" si="124"/>
        <v>-3807925128.3780999</v>
      </c>
      <c r="M2220" s="471">
        <f t="shared" si="126"/>
        <v>0.05</v>
      </c>
      <c r="N2220" s="475">
        <f t="shared" si="127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25"/>
        <v>-3807925128.3780999</v>
      </c>
      <c r="J2221" s="455">
        <f t="array" ref="J2221">IFERROR(INDEX('Retirement Calculator'!K:K,MATCH('Lorri 401b'!N2221,'Retirement Calculator'!A:A,0),0),0)</f>
        <v>0</v>
      </c>
      <c r="K2221" s="455">
        <f t="shared" ca="1" si="123"/>
        <v>-15866354.701575419</v>
      </c>
      <c r="L2221" s="455">
        <f t="shared" ca="1" si="124"/>
        <v>-3823791483.0796752</v>
      </c>
      <c r="M2221" s="471">
        <f t="shared" si="126"/>
        <v>0.05</v>
      </c>
      <c r="N2221" s="475">
        <f t="shared" si="127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25"/>
        <v>-3823791483.0796752</v>
      </c>
      <c r="J2222" s="455">
        <f t="array" ref="J2222">IFERROR(INDEX('Retirement Calculator'!K:K,MATCH('Lorri 401b'!N2222,'Retirement Calculator'!A:A,0),0),0)</f>
        <v>0</v>
      </c>
      <c r="K2222" s="455">
        <f t="shared" ca="1" si="123"/>
        <v>-15932464.51283198</v>
      </c>
      <c r="L2222" s="455">
        <f t="shared" ca="1" si="124"/>
        <v>-3839723947.5925074</v>
      </c>
      <c r="M2222" s="471">
        <f t="shared" si="126"/>
        <v>0.05</v>
      </c>
      <c r="N2222" s="475">
        <f t="shared" si="127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25"/>
        <v>-3839723947.5925074</v>
      </c>
      <c r="J2223" s="455">
        <f t="array" ref="J2223">IFERROR(INDEX('Retirement Calculator'!K:K,MATCH('Lorri 401b'!N2223,'Retirement Calculator'!A:A,0),0),0)</f>
        <v>0</v>
      </c>
      <c r="K2223" s="455">
        <f t="shared" ca="1" si="123"/>
        <v>-15998849.781635446</v>
      </c>
      <c r="L2223" s="455">
        <f t="shared" ca="1" si="124"/>
        <v>-3855722797.3741426</v>
      </c>
      <c r="M2223" s="471">
        <f t="shared" si="126"/>
        <v>0.05</v>
      </c>
      <c r="N2223" s="475">
        <f t="shared" si="127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25"/>
        <v>-3855722797.3741426</v>
      </c>
      <c r="J2224" s="455">
        <f t="array" ref="J2224">IFERROR(INDEX('Retirement Calculator'!K:K,MATCH('Lorri 401b'!N2224,'Retirement Calculator'!A:A,0),0),0)</f>
        <v>0</v>
      </c>
      <c r="K2224" s="455">
        <f t="shared" ca="1" si="123"/>
        <v>-16065511.655725595</v>
      </c>
      <c r="L2224" s="455">
        <f t="shared" ca="1" si="124"/>
        <v>-3871788309.0298681</v>
      </c>
      <c r="M2224" s="471">
        <f t="shared" si="126"/>
        <v>0.05</v>
      </c>
      <c r="N2224" s="475">
        <f t="shared" si="127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25"/>
        <v>-3871788309.0298681</v>
      </c>
      <c r="J2225" s="455">
        <f t="array" ref="J2225">IFERROR(INDEX('Retirement Calculator'!K:K,MATCH('Lorri 401b'!N2225,'Retirement Calculator'!A:A,0),0),0)</f>
        <v>0</v>
      </c>
      <c r="K2225" s="455">
        <f t="shared" ca="1" si="123"/>
        <v>-16132451.287624449</v>
      </c>
      <c r="L2225" s="455">
        <f t="shared" ca="1" si="124"/>
        <v>-3887920760.3174925</v>
      </c>
      <c r="M2225" s="471">
        <f t="shared" si="126"/>
        <v>0.05</v>
      </c>
      <c r="N2225" s="475">
        <f t="shared" si="127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25"/>
        <v>-3887920760.3174925</v>
      </c>
      <c r="J2226" s="455">
        <f t="array" ref="J2226">IFERROR(INDEX('Retirement Calculator'!K:K,MATCH('Lorri 401b'!N2226,'Retirement Calculator'!A:A,0),0),0)</f>
        <v>0</v>
      </c>
      <c r="K2226" s="455">
        <f t="shared" ca="1" si="123"/>
        <v>-16199669.834656218</v>
      </c>
      <c r="L2226" s="455">
        <f t="shared" ca="1" si="124"/>
        <v>-3904120430.1521487</v>
      </c>
      <c r="M2226" s="471">
        <f t="shared" si="126"/>
        <v>0.05</v>
      </c>
      <c r="N2226" s="475">
        <f t="shared" si="127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25"/>
        <v>-3904120430.1521487</v>
      </c>
      <c r="J2227" s="455">
        <f t="array" ref="J2227">IFERROR(INDEX('Retirement Calculator'!K:K,MATCH('Lorri 401b'!N2227,'Retirement Calculator'!A:A,0),0),0)</f>
        <v>0</v>
      </c>
      <c r="K2227" s="455">
        <f t="shared" ca="1" si="123"/>
        <v>-16267168.458967285</v>
      </c>
      <c r="L2227" s="455">
        <f t="shared" ca="1" si="124"/>
        <v>-3920387598.6111159</v>
      </c>
      <c r="M2227" s="471">
        <f t="shared" si="126"/>
        <v>0.05</v>
      </c>
      <c r="N2227" s="475">
        <f t="shared" si="127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25"/>
        <v>-3920387598.6111159</v>
      </c>
      <c r="J2228" s="455">
        <f t="array" ref="J2228">IFERROR(INDEX('Retirement Calculator'!K:K,MATCH('Lorri 401b'!N2228,'Retirement Calculator'!A:A,0),0),0)</f>
        <v>0</v>
      </c>
      <c r="K2228" s="455">
        <f t="shared" ca="1" si="123"/>
        <v>-16334948.327546315</v>
      </c>
      <c r="L2228" s="455">
        <f t="shared" ca="1" si="124"/>
        <v>-3936722546.9386621</v>
      </c>
      <c r="M2228" s="471">
        <f t="shared" si="126"/>
        <v>0.05</v>
      </c>
      <c r="N2228" s="475">
        <f t="shared" si="127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25"/>
        <v>-3936722546.9386621</v>
      </c>
      <c r="J2229" s="455">
        <f t="array" ref="J2229">IFERROR(INDEX('Retirement Calculator'!K:K,MATCH('Lorri 401b'!N2229,'Retirement Calculator'!A:A,0),0),0)</f>
        <v>0</v>
      </c>
      <c r="K2229" s="455">
        <f t="shared" ca="1" si="123"/>
        <v>-16403010.612244423</v>
      </c>
      <c r="L2229" s="455">
        <f t="shared" ca="1" si="124"/>
        <v>-3953125557.5509067</v>
      </c>
      <c r="M2229" s="471">
        <f t="shared" si="126"/>
        <v>0.05</v>
      </c>
      <c r="N2229" s="475">
        <f t="shared" si="127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25"/>
        <v>-3953125557.5509067</v>
      </c>
      <c r="J2230" s="455">
        <f t="array" ref="J2230">IFERROR(INDEX('Retirement Calculator'!K:K,MATCH('Lorri 401b'!N2230,'Retirement Calculator'!A:A,0),0),0)</f>
        <v>0</v>
      </c>
      <c r="K2230" s="455">
        <f t="shared" ca="1" si="123"/>
        <v>-16471356.489795446</v>
      </c>
      <c r="L2230" s="455">
        <f t="shared" ca="1" si="124"/>
        <v>-3969596914.0407019</v>
      </c>
      <c r="M2230" s="471">
        <f t="shared" si="126"/>
        <v>0.05</v>
      </c>
      <c r="N2230" s="475">
        <f t="shared" si="127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25"/>
        <v>-3969596914.0407019</v>
      </c>
      <c r="J2231" s="455">
        <f t="array" ref="J2231">IFERROR(INDEX('Retirement Calculator'!K:K,MATCH('Lorri 401b'!N2231,'Retirement Calculator'!A:A,0),0),0)</f>
        <v>0</v>
      </c>
      <c r="K2231" s="455">
        <f t="shared" ca="1" si="123"/>
        <v>-16539987.141836258</v>
      </c>
      <c r="L2231" s="455">
        <f t="shared" ca="1" si="124"/>
        <v>-3986136901.182538</v>
      </c>
      <c r="M2231" s="471">
        <f t="shared" si="126"/>
        <v>0.05</v>
      </c>
      <c r="N2231" s="475">
        <f t="shared" si="127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25"/>
        <v>-3986136901.182538</v>
      </c>
      <c r="J2232" s="455">
        <f t="array" ref="J2232">IFERROR(INDEX('Retirement Calculator'!K:K,MATCH('Lorri 401b'!N2232,'Retirement Calculator'!A:A,0),0),0)</f>
        <v>0</v>
      </c>
      <c r="K2232" s="455">
        <f t="shared" ca="1" si="123"/>
        <v>-16608903.754927242</v>
      </c>
      <c r="L2232" s="455">
        <f t="shared" ca="1" si="124"/>
        <v>-4002745804.9374652</v>
      </c>
      <c r="M2232" s="471">
        <f t="shared" si="126"/>
        <v>0.05</v>
      </c>
      <c r="N2232" s="475">
        <f t="shared" si="127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25"/>
        <v>-4002745804.9374652</v>
      </c>
      <c r="J2233" s="455">
        <f t="array" ref="J2233">IFERROR(INDEX('Retirement Calculator'!K:K,MATCH('Lorri 401b'!N2233,'Retirement Calculator'!A:A,0),0),0)</f>
        <v>0</v>
      </c>
      <c r="K2233" s="455">
        <f t="shared" ca="1" si="123"/>
        <v>-16678107.520572772</v>
      </c>
      <c r="L2233" s="455">
        <f t="shared" ca="1" si="124"/>
        <v>-4019423912.4580379</v>
      </c>
      <c r="M2233" s="471">
        <f t="shared" si="126"/>
        <v>0.05</v>
      </c>
      <c r="N2233" s="475">
        <f t="shared" si="127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25"/>
        <v>-4019423912.4580379</v>
      </c>
      <c r="J2234" s="455">
        <f t="array" ref="J2234">IFERROR(INDEX('Retirement Calculator'!K:K,MATCH('Lorri 401b'!N2234,'Retirement Calculator'!A:A,0),0),0)</f>
        <v>0</v>
      </c>
      <c r="K2234" s="455">
        <f t="shared" ca="1" si="123"/>
        <v>-16747599.635241823</v>
      </c>
      <c r="L2234" s="455">
        <f t="shared" ca="1" si="124"/>
        <v>-4036171512.0932798</v>
      </c>
      <c r="M2234" s="471">
        <f t="shared" si="126"/>
        <v>0.05</v>
      </c>
      <c r="N2234" s="475">
        <f t="shared" si="127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25"/>
        <v>-4036171512.0932798</v>
      </c>
      <c r="J2235" s="455">
        <f t="array" ref="J2235">IFERROR(INDEX('Retirement Calculator'!K:K,MATCH('Lorri 401b'!N2235,'Retirement Calculator'!A:A,0),0),0)</f>
        <v>0</v>
      </c>
      <c r="K2235" s="455">
        <f t="shared" ca="1" si="123"/>
        <v>-16817381.300388664</v>
      </c>
      <c r="L2235" s="455">
        <f t="shared" ca="1" si="124"/>
        <v>-4052988893.3936687</v>
      </c>
      <c r="M2235" s="471">
        <f t="shared" si="126"/>
        <v>0.05</v>
      </c>
      <c r="N2235" s="475">
        <f t="shared" si="127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25"/>
        <v>-4052988893.3936687</v>
      </c>
      <c r="J2236" s="455">
        <f t="array" ref="J2236">IFERROR(INDEX('Retirement Calculator'!K:K,MATCH('Lorri 401b'!N2236,'Retirement Calculator'!A:A,0),0),0)</f>
        <v>0</v>
      </c>
      <c r="K2236" s="455">
        <f t="shared" ca="1" si="123"/>
        <v>-16887453.722473618</v>
      </c>
      <c r="L2236" s="455">
        <f t="shared" ca="1" si="124"/>
        <v>-4069876347.1161423</v>
      </c>
      <c r="M2236" s="471">
        <f t="shared" si="126"/>
        <v>0.05</v>
      </c>
      <c r="N2236" s="475">
        <f t="shared" si="127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25"/>
        <v>-4069876347.1161423</v>
      </c>
      <c r="J2237" s="455">
        <f t="array" ref="J2237">IFERROR(INDEX('Retirement Calculator'!K:K,MATCH('Lorri 401b'!N2237,'Retirement Calculator'!A:A,0),0),0)</f>
        <v>0</v>
      </c>
      <c r="K2237" s="455">
        <f t="shared" ca="1" si="123"/>
        <v>-16957818.112983923</v>
      </c>
      <c r="L2237" s="455">
        <f t="shared" ca="1" si="124"/>
        <v>-4086834165.229126</v>
      </c>
      <c r="M2237" s="471">
        <f t="shared" si="126"/>
        <v>0.05</v>
      </c>
      <c r="N2237" s="475">
        <f t="shared" si="127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25"/>
        <v>-4086834165.229126</v>
      </c>
      <c r="J2238" s="455">
        <f t="array" ref="J2238">IFERROR(INDEX('Retirement Calculator'!K:K,MATCH('Lorri 401b'!N2238,'Retirement Calculator'!A:A,0),0),0)</f>
        <v>0</v>
      </c>
      <c r="K2238" s="455">
        <f t="shared" ca="1" si="123"/>
        <v>-17028475.688454691</v>
      </c>
      <c r="L2238" s="455">
        <f t="shared" ca="1" si="124"/>
        <v>-4103862640.9175806</v>
      </c>
      <c r="M2238" s="471">
        <f t="shared" si="126"/>
        <v>0.05</v>
      </c>
      <c r="N2238" s="475">
        <f t="shared" si="127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25"/>
        <v>-4103862640.9175806</v>
      </c>
      <c r="J2239" s="455">
        <f t="array" ref="J2239">IFERROR(INDEX('Retirement Calculator'!K:K,MATCH('Lorri 401b'!N2239,'Retirement Calculator'!A:A,0),0),0)</f>
        <v>0</v>
      </c>
      <c r="K2239" s="455">
        <f t="shared" ca="1" si="123"/>
        <v>-17099427.670489922</v>
      </c>
      <c r="L2239" s="455">
        <f t="shared" ca="1" si="124"/>
        <v>-4120962068.5880704</v>
      </c>
      <c r="M2239" s="471">
        <f t="shared" si="126"/>
        <v>0.05</v>
      </c>
      <c r="N2239" s="475">
        <f t="shared" si="127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25"/>
        <v>-4120962068.5880704</v>
      </c>
      <c r="J2240" s="455">
        <f t="array" ref="J2240">IFERROR(INDEX('Retirement Calculator'!K:K,MATCH('Lorri 401b'!N2240,'Retirement Calculator'!A:A,0),0),0)</f>
        <v>0</v>
      </c>
      <c r="K2240" s="455">
        <f t="shared" ca="1" si="123"/>
        <v>-17170675.285783626</v>
      </c>
      <c r="L2240" s="455">
        <f t="shared" ca="1" si="124"/>
        <v>-4138132743.8738542</v>
      </c>
      <c r="M2240" s="471">
        <f t="shared" si="126"/>
        <v>0.05</v>
      </c>
      <c r="N2240" s="475">
        <f t="shared" si="127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25"/>
        <v>-4138132743.8738542</v>
      </c>
      <c r="J2241" s="455">
        <f t="array" ref="J2241">IFERROR(INDEX('Retirement Calculator'!K:K,MATCH('Lorri 401b'!N2241,'Retirement Calculator'!A:A,0),0),0)</f>
        <v>0</v>
      </c>
      <c r="K2241" s="455">
        <f t="shared" ca="1" si="123"/>
        <v>-17242219.766141057</v>
      </c>
      <c r="L2241" s="455">
        <f t="shared" ca="1" si="124"/>
        <v>-4155374963.6399951</v>
      </c>
      <c r="M2241" s="471">
        <f t="shared" si="126"/>
        <v>0.05</v>
      </c>
      <c r="N2241" s="475">
        <f t="shared" si="127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25"/>
        <v>-4155374963.6399951</v>
      </c>
      <c r="J2242" s="455">
        <f t="array" ref="J2242">IFERROR(INDEX('Retirement Calculator'!K:K,MATCH('Lorri 401b'!N2242,'Retirement Calculator'!A:A,0),0),0)</f>
        <v>0</v>
      </c>
      <c r="K2242" s="455">
        <f t="shared" ca="1" si="123"/>
        <v>-17314062.348499976</v>
      </c>
      <c r="L2242" s="455">
        <f t="shared" ca="1" si="124"/>
        <v>-4172689025.9884949</v>
      </c>
      <c r="M2242" s="471">
        <f t="shared" si="126"/>
        <v>0.05</v>
      </c>
      <c r="N2242" s="475">
        <f t="shared" si="127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25"/>
        <v>-4172689025.9884949</v>
      </c>
      <c r="J2243" s="455">
        <f t="array" ref="J2243">IFERROR(INDEX('Retirement Calculator'!K:K,MATCH('Lorri 401b'!N2243,'Retirement Calculator'!A:A,0),0),0)</f>
        <v>0</v>
      </c>
      <c r="K2243" s="455">
        <f t="shared" ca="1" si="123"/>
        <v>-17386204.274952061</v>
      </c>
      <c r="L2243" s="455">
        <f t="shared" ca="1" si="124"/>
        <v>-4190075230.2634468</v>
      </c>
      <c r="M2243" s="471">
        <f t="shared" si="126"/>
        <v>0.05</v>
      </c>
      <c r="N2243" s="475">
        <f t="shared" si="127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25"/>
        <v>-4190075230.2634468</v>
      </c>
      <c r="J2244" s="455">
        <f t="array" ref="J2244">IFERROR(INDEX('Retirement Calculator'!K:K,MATCH('Lorri 401b'!N2244,'Retirement Calculator'!A:A,0),0),0)</f>
        <v>0</v>
      </c>
      <c r="K2244" s="455">
        <f t="shared" ca="1" si="123"/>
        <v>-17458646.792764362</v>
      </c>
      <c r="L2244" s="455">
        <f t="shared" ca="1" si="124"/>
        <v>-4207533877.056211</v>
      </c>
      <c r="M2244" s="471">
        <f t="shared" si="126"/>
        <v>0.05</v>
      </c>
      <c r="N2244" s="475">
        <f t="shared" si="127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25"/>
        <v>-4207533877.056211</v>
      </c>
      <c r="J2245" s="455">
        <f t="array" ref="J2245">IFERROR(INDEX('Retirement Calculator'!K:K,MATCH('Lorri 401b'!N2245,'Retirement Calculator'!A:A,0),0),0)</f>
        <v>0</v>
      </c>
      <c r="K2245" s="455">
        <f t="shared" ca="1" si="123"/>
        <v>-17531391.154400878</v>
      </c>
      <c r="L2245" s="455">
        <f t="shared" ca="1" si="124"/>
        <v>-4225065268.2106118</v>
      </c>
      <c r="M2245" s="471">
        <f t="shared" si="126"/>
        <v>0.05</v>
      </c>
      <c r="N2245" s="475">
        <f t="shared" si="127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25"/>
        <v>-4225065268.2106118</v>
      </c>
      <c r="J2246" s="455">
        <f t="array" ref="J2246">IFERROR(INDEX('Retirement Calculator'!K:K,MATCH('Lorri 401b'!N2246,'Retirement Calculator'!A:A,0),0),0)</f>
        <v>0</v>
      </c>
      <c r="K2246" s="455">
        <f t="shared" ca="1" si="123"/>
        <v>-17604438.617544219</v>
      </c>
      <c r="L2246" s="455">
        <f t="shared" ca="1" si="124"/>
        <v>-4242669706.828156</v>
      </c>
      <c r="M2246" s="471">
        <f t="shared" si="126"/>
        <v>0.05</v>
      </c>
      <c r="N2246" s="475">
        <f t="shared" si="127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25"/>
        <v>-4242669706.828156</v>
      </c>
      <c r="J2247" s="455">
        <f t="array" ref="J2247">IFERROR(INDEX('Retirement Calculator'!K:K,MATCH('Lorri 401b'!N2247,'Retirement Calculator'!A:A,0),0),0)</f>
        <v>0</v>
      </c>
      <c r="K2247" s="455">
        <f t="shared" ca="1" si="123"/>
        <v>-17677790.445117317</v>
      </c>
      <c r="L2247" s="455">
        <f t="shared" ca="1" si="124"/>
        <v>-4260347497.2732735</v>
      </c>
      <c r="M2247" s="471">
        <f t="shared" si="126"/>
        <v>0.05</v>
      </c>
      <c r="N2247" s="475">
        <f t="shared" si="127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25"/>
        <v>-4260347497.2732735</v>
      </c>
      <c r="J2248" s="455">
        <f t="array" ref="J2248">IFERROR(INDEX('Retirement Calculator'!K:K,MATCH('Lorri 401b'!N2248,'Retirement Calculator'!A:A,0),0),0)</f>
        <v>0</v>
      </c>
      <c r="K2248" s="455">
        <f t="shared" ca="1" si="123"/>
        <v>-17751447.905305307</v>
      </c>
      <c r="L2248" s="455">
        <f t="shared" ca="1" si="124"/>
        <v>-4278098945.1785789</v>
      </c>
      <c r="M2248" s="471">
        <f t="shared" si="126"/>
        <v>0.05</v>
      </c>
      <c r="N2248" s="475">
        <f t="shared" si="127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25"/>
        <v>-4278098945.1785789</v>
      </c>
      <c r="J2249" s="455">
        <f t="array" ref="J2249">IFERROR(INDEX('Retirement Calculator'!K:K,MATCH('Lorri 401b'!N2249,'Retirement Calculator'!A:A,0),0),0)</f>
        <v>0</v>
      </c>
      <c r="K2249" s="455">
        <f t="shared" ca="1" si="123"/>
        <v>-17825412.27157741</v>
      </c>
      <c r="L2249" s="455">
        <f t="shared" ca="1" si="124"/>
        <v>-4295924357.4501562</v>
      </c>
      <c r="M2249" s="471">
        <f t="shared" si="126"/>
        <v>0.05</v>
      </c>
      <c r="N2249" s="475">
        <f t="shared" si="127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25"/>
        <v>-4295924357.4501562</v>
      </c>
      <c r="J2250" s="455">
        <f t="array" ref="J2250">IFERROR(INDEX('Retirement Calculator'!K:K,MATCH('Lorri 401b'!N2250,'Retirement Calculator'!A:A,0),0),0)</f>
        <v>0</v>
      </c>
      <c r="K2250" s="455">
        <f t="shared" ca="1" si="123"/>
        <v>-17899684.822708983</v>
      </c>
      <c r="L2250" s="455">
        <f t="shared" ca="1" si="124"/>
        <v>-4313824042.2728653</v>
      </c>
      <c r="M2250" s="471">
        <f t="shared" si="126"/>
        <v>0.05</v>
      </c>
      <c r="N2250" s="475">
        <f t="shared" si="127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25"/>
        <v>-4313824042.2728653</v>
      </c>
      <c r="J2251" s="455">
        <f t="array" ref="J2251">IFERROR(INDEX('Retirement Calculator'!K:K,MATCH('Lorri 401b'!N2251,'Retirement Calculator'!A:A,0),0),0)</f>
        <v>0</v>
      </c>
      <c r="K2251" s="455">
        <f t="shared" ca="1" si="123"/>
        <v>-17974266.842803605</v>
      </c>
      <c r="L2251" s="455">
        <f t="shared" ca="1" si="124"/>
        <v>-4331798309.1156693</v>
      </c>
      <c r="M2251" s="471">
        <f t="shared" si="126"/>
        <v>0.05</v>
      </c>
      <c r="N2251" s="475">
        <f t="shared" si="127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25"/>
        <v>-4331798309.1156693</v>
      </c>
      <c r="J2252" s="455">
        <f t="array" ref="J2252">IFERROR(INDEX('Retirement Calculator'!K:K,MATCH('Lorri 401b'!N2252,'Retirement Calculator'!A:A,0),0),0)</f>
        <v>0</v>
      </c>
      <c r="K2252" s="455">
        <f t="shared" ca="1" si="123"/>
        <v>-18049159.621315289</v>
      </c>
      <c r="L2252" s="455">
        <f t="shared" ca="1" si="124"/>
        <v>-4349847468.7369843</v>
      </c>
      <c r="M2252" s="471">
        <f t="shared" si="126"/>
        <v>0.05</v>
      </c>
      <c r="N2252" s="475">
        <f t="shared" si="127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25"/>
        <v>-4349847468.7369843</v>
      </c>
      <c r="J2253" s="455">
        <f t="array" ref="J2253">IFERROR(INDEX('Retirement Calculator'!K:K,MATCH('Lorri 401b'!N2253,'Retirement Calculator'!A:A,0),0),0)</f>
        <v>0</v>
      </c>
      <c r="K2253" s="455">
        <f t="shared" ca="1" si="123"/>
        <v>-18124364.453070767</v>
      </c>
      <c r="L2253" s="455">
        <f t="shared" ca="1" si="124"/>
        <v>-4367971833.1900549</v>
      </c>
      <c r="M2253" s="471">
        <f t="shared" si="126"/>
        <v>0.05</v>
      </c>
      <c r="N2253" s="475">
        <f t="shared" si="127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25"/>
        <v>-4367971833.1900549</v>
      </c>
      <c r="J2254" s="455">
        <f t="array" ref="J2254">IFERROR(INDEX('Retirement Calculator'!K:K,MATCH('Lorri 401b'!N2254,'Retirement Calculator'!A:A,0),0),0)</f>
        <v>0</v>
      </c>
      <c r="K2254" s="455">
        <f t="shared" ca="1" si="123"/>
        <v>-18199882.638291895</v>
      </c>
      <c r="L2254" s="455">
        <f t="shared" ca="1" si="124"/>
        <v>-4386171715.8283472</v>
      </c>
      <c r="M2254" s="471">
        <f t="shared" si="126"/>
        <v>0.05</v>
      </c>
      <c r="N2254" s="475">
        <f t="shared" si="127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25"/>
        <v>-4386171715.8283472</v>
      </c>
      <c r="J2255" s="455">
        <f t="array" ref="J2255">IFERROR(INDEX('Retirement Calculator'!K:K,MATCH('Lorri 401b'!N2255,'Retirement Calculator'!A:A,0),0),0)</f>
        <v>0</v>
      </c>
      <c r="K2255" s="455">
        <f t="shared" ca="1" si="123"/>
        <v>-18275715.482618112</v>
      </c>
      <c r="L2255" s="455">
        <f t="shared" ca="1" si="124"/>
        <v>-4404447431.3109655</v>
      </c>
      <c r="M2255" s="471">
        <f t="shared" si="126"/>
        <v>0.05</v>
      </c>
      <c r="N2255" s="475">
        <f t="shared" si="127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25"/>
        <v>-4404447431.3109655</v>
      </c>
      <c r="J2256" s="455">
        <f t="array" ref="J2256">IFERROR(INDEX('Retirement Calculator'!K:K,MATCH('Lorri 401b'!N2256,'Retirement Calculator'!A:A,0),0),0)</f>
        <v>0</v>
      </c>
      <c r="K2256" s="455">
        <f t="shared" ca="1" si="123"/>
        <v>-18351864.297129024</v>
      </c>
      <c r="L2256" s="455">
        <f t="shared" ca="1" si="124"/>
        <v>-4422799295.6080942</v>
      </c>
      <c r="M2256" s="471">
        <f t="shared" si="126"/>
        <v>0.05</v>
      </c>
      <c r="N2256" s="475">
        <f t="shared" si="127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25"/>
        <v>-4422799295.6080942</v>
      </c>
      <c r="J2257" s="455">
        <f t="array" ref="J2257">IFERROR(INDEX('Retirement Calculator'!K:K,MATCH('Lorri 401b'!N2257,'Retirement Calculator'!A:A,0),0),0)</f>
        <v>0</v>
      </c>
      <c r="K2257" s="455">
        <f t="shared" ca="1" si="123"/>
        <v>-18428330.398367058</v>
      </c>
      <c r="L2257" s="455">
        <f t="shared" ca="1" si="124"/>
        <v>-4441227626.0064611</v>
      </c>
      <c r="M2257" s="471">
        <f t="shared" si="126"/>
        <v>0.05</v>
      </c>
      <c r="N2257" s="475">
        <f t="shared" si="127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25"/>
        <v>-4441227626.0064611</v>
      </c>
      <c r="J2258" s="455">
        <f t="array" ref="J2258">IFERROR(INDEX('Retirement Calculator'!K:K,MATCH('Lorri 401b'!N2258,'Retirement Calculator'!A:A,0),0),0)</f>
        <v>0</v>
      </c>
      <c r="K2258" s="455">
        <f t="shared" ca="1" si="123"/>
        <v>-18505115.108360253</v>
      </c>
      <c r="L2258" s="455">
        <f t="shared" ca="1" si="124"/>
        <v>-4459732741.1148214</v>
      </c>
      <c r="M2258" s="471">
        <f t="shared" si="126"/>
        <v>0.05</v>
      </c>
      <c r="N2258" s="475">
        <f t="shared" si="127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25"/>
        <v>-4459732741.1148214</v>
      </c>
      <c r="J2259" s="455">
        <f t="array" ref="J2259">IFERROR(INDEX('Retirement Calculator'!K:K,MATCH('Lorri 401b'!N2259,'Retirement Calculator'!A:A,0),0),0)</f>
        <v>0</v>
      </c>
      <c r="K2259" s="455">
        <f t="shared" ca="1" si="123"/>
        <v>-18582219.754645091</v>
      </c>
      <c r="L2259" s="455">
        <f t="shared" ca="1" si="124"/>
        <v>-4478314960.8694668</v>
      </c>
      <c r="M2259" s="471">
        <f t="shared" si="126"/>
        <v>0.05</v>
      </c>
      <c r="N2259" s="475">
        <f t="shared" si="127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25"/>
        <v>-4478314960.8694668</v>
      </c>
      <c r="J2260" s="455">
        <f t="array" ref="J2260">IFERROR(INDEX('Retirement Calculator'!K:K,MATCH('Lorri 401b'!N2260,'Retirement Calculator'!A:A,0),0),0)</f>
        <v>0</v>
      </c>
      <c r="K2260" s="455">
        <f t="shared" ca="1" si="123"/>
        <v>-18659645.670289446</v>
      </c>
      <c r="L2260" s="455">
        <f t="shared" ca="1" si="124"/>
        <v>-4496974606.5397558</v>
      </c>
      <c r="M2260" s="471">
        <f t="shared" si="126"/>
        <v>0.05</v>
      </c>
      <c r="N2260" s="475">
        <f t="shared" si="127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25"/>
        <v>-4496974606.5397558</v>
      </c>
      <c r="J2261" s="455">
        <f t="array" ref="J2261">IFERROR(INDEX('Retirement Calculator'!K:K,MATCH('Lorri 401b'!N2261,'Retirement Calculator'!A:A,0),0),0)</f>
        <v>0</v>
      </c>
      <c r="K2261" s="455">
        <f t="shared" ca="1" si="123"/>
        <v>-18737394.19391565</v>
      </c>
      <c r="L2261" s="455">
        <f t="shared" ca="1" si="124"/>
        <v>-4515712000.7336712</v>
      </c>
      <c r="M2261" s="471">
        <f t="shared" si="126"/>
        <v>0.05</v>
      </c>
      <c r="N2261" s="475">
        <f t="shared" si="127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25"/>
        <v>-4515712000.7336712</v>
      </c>
      <c r="J2262" s="455">
        <f t="array" ref="J2262">IFERROR(INDEX('Retirement Calculator'!K:K,MATCH('Lorri 401b'!N2262,'Retirement Calculator'!A:A,0),0),0)</f>
        <v>0</v>
      </c>
      <c r="K2262" s="455">
        <f t="shared" ca="1" si="123"/>
        <v>-18815466.66972363</v>
      </c>
      <c r="L2262" s="455">
        <f t="shared" ca="1" si="124"/>
        <v>-4534527467.4033947</v>
      </c>
      <c r="M2262" s="471">
        <f t="shared" si="126"/>
        <v>0.05</v>
      </c>
      <c r="N2262" s="475">
        <f t="shared" si="127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25"/>
        <v>-4534527467.4033947</v>
      </c>
      <c r="J2263" s="455">
        <f t="array" ref="J2263">IFERROR(INDEX('Retirement Calculator'!K:K,MATCH('Lorri 401b'!N2263,'Retirement Calculator'!A:A,0),0),0)</f>
        <v>0</v>
      </c>
      <c r="K2263" s="455">
        <f t="shared" ca="1" si="123"/>
        <v>-18893864.447514143</v>
      </c>
      <c r="L2263" s="455">
        <f t="shared" ca="1" si="124"/>
        <v>-4553421331.8509092</v>
      </c>
      <c r="M2263" s="471">
        <f t="shared" si="126"/>
        <v>0.05</v>
      </c>
      <c r="N2263" s="475">
        <f t="shared" si="127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25"/>
        <v>-4553421331.8509092</v>
      </c>
      <c r="J2264" s="455">
        <f t="array" ref="J2264">IFERROR(INDEX('Retirement Calculator'!K:K,MATCH('Lorri 401b'!N2264,'Retirement Calculator'!A:A,0),0),0)</f>
        <v>0</v>
      </c>
      <c r="K2264" s="455">
        <f t="shared" ca="1" si="123"/>
        <v>-18972588.882712122</v>
      </c>
      <c r="L2264" s="455">
        <f t="shared" ca="1" si="124"/>
        <v>-4572393920.7336216</v>
      </c>
      <c r="M2264" s="471">
        <f t="shared" si="126"/>
        <v>0.05</v>
      </c>
      <c r="N2264" s="475">
        <f t="shared" si="127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25"/>
        <v>-4572393920.7336216</v>
      </c>
      <c r="J2265" s="455">
        <f t="array" ref="J2265">IFERROR(INDEX('Retirement Calculator'!K:K,MATCH('Lorri 401b'!N2265,'Retirement Calculator'!A:A,0),0),0)</f>
        <v>0</v>
      </c>
      <c r="K2265" s="455">
        <f t="shared" ca="1" si="123"/>
        <v>-19051641.336390089</v>
      </c>
      <c r="L2265" s="455">
        <f t="shared" ca="1" si="124"/>
        <v>-4591445562.0700121</v>
      </c>
      <c r="M2265" s="471">
        <f t="shared" si="126"/>
        <v>0.05</v>
      </c>
      <c r="N2265" s="475">
        <f t="shared" si="127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25"/>
        <v>-4591445562.0700121</v>
      </c>
      <c r="J2266" s="455">
        <f t="array" ref="J2266">IFERROR(INDEX('Retirement Calculator'!K:K,MATCH('Lorri 401b'!N2266,'Retirement Calculator'!A:A,0),0),0)</f>
        <v>0</v>
      </c>
      <c r="K2266" s="455">
        <f t="shared" ca="1" si="123"/>
        <v>-19131023.175291717</v>
      </c>
      <c r="L2266" s="455">
        <f t="shared" ca="1" si="124"/>
        <v>-4610576585.2453041</v>
      </c>
      <c r="M2266" s="471">
        <f t="shared" si="126"/>
        <v>0.05</v>
      </c>
      <c r="N2266" s="475">
        <f t="shared" si="127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25"/>
        <v>-4610576585.2453041</v>
      </c>
      <c r="J2267" s="455">
        <f t="array" ref="J2267">IFERROR(INDEX('Retirement Calculator'!K:K,MATCH('Lorri 401b'!N2267,'Retirement Calculator'!A:A,0),0),0)</f>
        <v>0</v>
      </c>
      <c r="K2267" s="455">
        <f t="shared" ca="1" si="123"/>
        <v>-19210735.771855433</v>
      </c>
      <c r="L2267" s="455">
        <f t="shared" ca="1" si="124"/>
        <v>-4629787321.0171595</v>
      </c>
      <c r="M2267" s="471">
        <f t="shared" si="126"/>
        <v>0.05</v>
      </c>
      <c r="N2267" s="475">
        <f t="shared" si="127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25"/>
        <v>-4629787321.0171595</v>
      </c>
      <c r="J2268" s="455">
        <f t="array" ref="J2268">IFERROR(INDEX('Retirement Calculator'!K:K,MATCH('Lorri 401b'!N2268,'Retirement Calculator'!A:A,0),0),0)</f>
        <v>0</v>
      </c>
      <c r="K2268" s="455">
        <f t="shared" ca="1" si="123"/>
        <v>-19290780.504238166</v>
      </c>
      <c r="L2268" s="455">
        <f t="shared" ca="1" si="124"/>
        <v>-4649078101.5213976</v>
      </c>
      <c r="M2268" s="471">
        <f t="shared" si="126"/>
        <v>0.05</v>
      </c>
      <c r="N2268" s="475">
        <f t="shared" si="127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25"/>
        <v>-4649078101.5213976</v>
      </c>
      <c r="J2269" s="455">
        <f t="array" ref="J2269">IFERROR(INDEX('Retirement Calculator'!K:K,MATCH('Lorri 401b'!N2269,'Retirement Calculator'!A:A,0),0),0)</f>
        <v>0</v>
      </c>
      <c r="K2269" s="455">
        <f t="shared" ca="1" si="123"/>
        <v>-19371158.756339155</v>
      </c>
      <c r="L2269" s="455">
        <f t="shared" ca="1" si="124"/>
        <v>-4668449260.2777367</v>
      </c>
      <c r="M2269" s="471">
        <f t="shared" si="126"/>
        <v>0.05</v>
      </c>
      <c r="N2269" s="475">
        <f t="shared" si="127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25"/>
        <v>-4668449260.2777367</v>
      </c>
      <c r="J2270" s="455">
        <f t="array" ref="J2270">IFERROR(INDEX('Retirement Calculator'!K:K,MATCH('Lorri 401b'!N2270,'Retirement Calculator'!A:A,0),0),0)</f>
        <v>0</v>
      </c>
      <c r="K2270" s="455">
        <f t="shared" ca="1" si="123"/>
        <v>-19451871.917823903</v>
      </c>
      <c r="L2270" s="455">
        <f t="shared" ca="1" si="124"/>
        <v>-4687901132.1955605</v>
      </c>
      <c r="M2270" s="471">
        <f t="shared" si="126"/>
        <v>0.05</v>
      </c>
      <c r="N2270" s="475">
        <f t="shared" si="127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25"/>
        <v>-4687901132.1955605</v>
      </c>
      <c r="J2271" s="455">
        <f t="array" ref="J2271">IFERROR(INDEX('Retirement Calculator'!K:K,MATCH('Lorri 401b'!N2271,'Retirement Calculator'!A:A,0),0),0)</f>
        <v>0</v>
      </c>
      <c r="K2271" s="455">
        <f t="shared" ca="1" si="123"/>
        <v>-19532921.384148169</v>
      </c>
      <c r="L2271" s="455">
        <f t="shared" ca="1" si="124"/>
        <v>-4707434053.5797091</v>
      </c>
      <c r="M2271" s="471">
        <f t="shared" si="126"/>
        <v>0.05</v>
      </c>
      <c r="N2271" s="475">
        <f t="shared" si="127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25"/>
        <v>-4707434053.5797091</v>
      </c>
      <c r="J2272" s="455">
        <f t="array" ref="J2272">IFERROR(INDEX('Retirement Calculator'!K:K,MATCH('Lorri 401b'!N2272,'Retirement Calculator'!A:A,0),0),0)</f>
        <v>0</v>
      </c>
      <c r="K2272" s="455">
        <f t="shared" ca="1" si="123"/>
        <v>-19614308.556582119</v>
      </c>
      <c r="L2272" s="455">
        <f t="shared" ca="1" si="124"/>
        <v>-4727048362.1362915</v>
      </c>
      <c r="M2272" s="471">
        <f t="shared" si="126"/>
        <v>0.05</v>
      </c>
      <c r="N2272" s="475">
        <f t="shared" si="127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25"/>
        <v>-4727048362.1362915</v>
      </c>
      <c r="J2273" s="455">
        <f t="array" ref="J2273">IFERROR(INDEX('Retirement Calculator'!K:K,MATCH('Lorri 401b'!N2273,'Retirement Calculator'!A:A,0),0),0)</f>
        <v>0</v>
      </c>
      <c r="K2273" s="455">
        <f t="shared" ca="1" si="123"/>
        <v>-19696034.842234548</v>
      </c>
      <c r="L2273" s="455">
        <f t="shared" ca="1" si="124"/>
        <v>-4746744396.9785261</v>
      </c>
      <c r="M2273" s="471">
        <f t="shared" si="126"/>
        <v>0.05</v>
      </c>
      <c r="N2273" s="475">
        <f t="shared" si="127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25"/>
        <v>-4746744396.9785261</v>
      </c>
      <c r="J2274" s="455">
        <f t="array" ref="J2274">IFERROR(INDEX('Retirement Calculator'!K:K,MATCH('Lorri 401b'!N2274,'Retirement Calculator'!A:A,0),0),0)</f>
        <v>0</v>
      </c>
      <c r="K2274" s="455">
        <f t="shared" ca="1" si="123"/>
        <v>-19778101.654077191</v>
      </c>
      <c r="L2274" s="455">
        <f t="shared" ca="1" si="124"/>
        <v>-4766522498.6326036</v>
      </c>
      <c r="M2274" s="471">
        <f t="shared" si="126"/>
        <v>0.05</v>
      </c>
      <c r="N2274" s="475">
        <f t="shared" si="127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25"/>
        <v>-4766522498.6326036</v>
      </c>
      <c r="J2275" s="455">
        <f t="array" ref="J2275">IFERROR(INDEX('Retirement Calculator'!K:K,MATCH('Lorri 401b'!N2275,'Retirement Calculator'!A:A,0),0),0)</f>
        <v>0</v>
      </c>
      <c r="K2275" s="455">
        <f t="shared" ca="1" si="123"/>
        <v>-19860510.410969183</v>
      </c>
      <c r="L2275" s="455">
        <f t="shared" ca="1" si="124"/>
        <v>-4786383009.0435724</v>
      </c>
      <c r="M2275" s="471">
        <f t="shared" si="126"/>
        <v>0.05</v>
      </c>
      <c r="N2275" s="475">
        <f t="shared" si="127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25"/>
        <v>-4786383009.0435724</v>
      </c>
      <c r="J2276" s="455">
        <f t="array" ref="J2276">IFERROR(INDEX('Retirement Calculator'!K:K,MATCH('Lorri 401b'!N2276,'Retirement Calculator'!A:A,0),0),0)</f>
        <v>0</v>
      </c>
      <c r="K2276" s="455">
        <f t="shared" ca="1" si="123"/>
        <v>-19943262.53768155</v>
      </c>
      <c r="L2276" s="455">
        <f t="shared" ca="1" si="124"/>
        <v>-4806326271.581254</v>
      </c>
      <c r="M2276" s="471">
        <f t="shared" si="126"/>
        <v>0.05</v>
      </c>
      <c r="N2276" s="475">
        <f t="shared" si="127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25"/>
        <v>-4806326271.581254</v>
      </c>
      <c r="J2277" s="455">
        <f t="array" ref="J2277">IFERROR(INDEX('Retirement Calculator'!K:K,MATCH('Lorri 401b'!N2277,'Retirement Calculator'!A:A,0),0),0)</f>
        <v>0</v>
      </c>
      <c r="K2277" s="455">
        <f t="shared" ca="1" si="123"/>
        <v>-20026359.464921892</v>
      </c>
      <c r="L2277" s="455">
        <f t="shared" ca="1" si="124"/>
        <v>-4826352631.046176</v>
      </c>
      <c r="M2277" s="471">
        <f t="shared" si="126"/>
        <v>0.05</v>
      </c>
      <c r="N2277" s="475">
        <f t="shared" si="127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25"/>
        <v>-4826352631.046176</v>
      </c>
      <c r="J2278" s="455">
        <f t="array" ref="J2278">IFERROR(INDEX('Retirement Calculator'!K:K,MATCH('Lorri 401b'!N2278,'Retirement Calculator'!A:A,0),0),0)</f>
        <v>0</v>
      </c>
      <c r="K2278" s="455">
        <f t="shared" ca="1" si="123"/>
        <v>-20109802.629359066</v>
      </c>
      <c r="L2278" s="455">
        <f t="shared" ca="1" si="124"/>
        <v>-4846462433.6755352</v>
      </c>
      <c r="M2278" s="471">
        <f t="shared" si="126"/>
        <v>0.05</v>
      </c>
      <c r="N2278" s="475">
        <f t="shared" si="127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25"/>
        <v>-4846462433.6755352</v>
      </c>
      <c r="J2279" s="455">
        <f t="array" ref="J2279">IFERROR(INDEX('Retirement Calculator'!K:K,MATCH('Lorri 401b'!N2279,'Retirement Calculator'!A:A,0),0),0)</f>
        <v>0</v>
      </c>
      <c r="K2279" s="455">
        <f t="shared" ca="1" si="123"/>
        <v>-20193593.473648064</v>
      </c>
      <c r="L2279" s="455">
        <f t="shared" ca="1" si="124"/>
        <v>-4866656027.1491833</v>
      </c>
      <c r="M2279" s="471">
        <f t="shared" si="126"/>
        <v>0.05</v>
      </c>
      <c r="N2279" s="475">
        <f t="shared" si="127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25"/>
        <v>-4866656027.1491833</v>
      </c>
      <c r="J2280" s="455">
        <f t="array" ref="J2280">IFERROR(INDEX('Retirement Calculator'!K:K,MATCH('Lorri 401b'!N2280,'Retirement Calculator'!A:A,0),0),0)</f>
        <v>0</v>
      </c>
      <c r="K2280" s="455">
        <f t="shared" ca="1" si="123"/>
        <v>-20277733.446454931</v>
      </c>
      <c r="L2280" s="455">
        <f t="shared" ca="1" si="124"/>
        <v>-4886933760.5956383</v>
      </c>
      <c r="M2280" s="471">
        <f t="shared" si="126"/>
        <v>0.05</v>
      </c>
      <c r="N2280" s="475">
        <f t="shared" si="127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25"/>
        <v>-4886933760.5956383</v>
      </c>
      <c r="J2281" s="455">
        <f t="array" ref="J2281">IFERROR(INDEX('Retirement Calculator'!K:K,MATCH('Lorri 401b'!N2281,'Retirement Calculator'!A:A,0),0),0)</f>
        <v>0</v>
      </c>
      <c r="K2281" s="455">
        <f t="shared" ca="1" si="123"/>
        <v>-20362224.002481826</v>
      </c>
      <c r="L2281" s="455">
        <f t="shared" ca="1" si="124"/>
        <v>-4907295984.5981197</v>
      </c>
      <c r="M2281" s="471">
        <f t="shared" si="126"/>
        <v>0.05</v>
      </c>
      <c r="N2281" s="475">
        <f t="shared" si="127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25"/>
        <v>-4907295984.5981197</v>
      </c>
      <c r="J2282" s="455">
        <f t="array" ref="J2282">IFERROR(INDEX('Retirement Calculator'!K:K,MATCH('Lorri 401b'!N2282,'Retirement Calculator'!A:A,0),0),0)</f>
        <v>0</v>
      </c>
      <c r="K2282" s="455">
        <f t="shared" ca="1" si="123"/>
        <v>-20447066.602492165</v>
      </c>
      <c r="L2282" s="455">
        <f t="shared" ca="1" si="124"/>
        <v>-4927743051.2006121</v>
      </c>
      <c r="M2282" s="471">
        <f t="shared" si="126"/>
        <v>0.05</v>
      </c>
      <c r="N2282" s="475">
        <f t="shared" si="127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25"/>
        <v>-4927743051.2006121</v>
      </c>
      <c r="J2283" s="455">
        <f t="array" ref="J2283">IFERROR(INDEX('Retirement Calculator'!K:K,MATCH('Lorri 401b'!N2283,'Retirement Calculator'!A:A,0),0),0)</f>
        <v>0</v>
      </c>
      <c r="K2283" s="455">
        <f t="shared" ca="1" si="123"/>
        <v>-20532262.713335883</v>
      </c>
      <c r="L2283" s="455">
        <f t="shared" ca="1" si="124"/>
        <v>-4948275313.9139481</v>
      </c>
      <c r="M2283" s="471">
        <f t="shared" si="126"/>
        <v>0.05</v>
      </c>
      <c r="N2283" s="475">
        <f t="shared" si="127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25"/>
        <v>-4948275313.9139481</v>
      </c>
      <c r="J2284" s="455">
        <f t="array" ref="J2284">IFERROR(INDEX('Retirement Calculator'!K:K,MATCH('Lorri 401b'!N2284,'Retirement Calculator'!A:A,0),0),0)</f>
        <v>0</v>
      </c>
      <c r="K2284" s="455">
        <f t="shared" ca="1" si="123"/>
        <v>-20617813.807974782</v>
      </c>
      <c r="L2284" s="455">
        <f t="shared" ca="1" si="124"/>
        <v>-4968893127.7219229</v>
      </c>
      <c r="M2284" s="471">
        <f t="shared" si="126"/>
        <v>0.05</v>
      </c>
      <c r="N2284" s="475">
        <f t="shared" si="127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25"/>
        <v>-4968893127.7219229</v>
      </c>
      <c r="J2285" s="455">
        <f t="array" ref="J2285">IFERROR(INDEX('Retirement Calculator'!K:K,MATCH('Lorri 401b'!N2285,'Retirement Calculator'!A:A,0),0),0)</f>
        <v>0</v>
      </c>
      <c r="K2285" s="455">
        <f t="shared" ca="1" si="123"/>
        <v>-20703721.365508012</v>
      </c>
      <c r="L2285" s="455">
        <f t="shared" ca="1" si="124"/>
        <v>-4989596849.087431</v>
      </c>
      <c r="M2285" s="471">
        <f t="shared" si="126"/>
        <v>0.05</v>
      </c>
      <c r="N2285" s="475">
        <f t="shared" si="127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25"/>
        <v>-4989596849.087431</v>
      </c>
      <c r="J2286" s="455">
        <f t="array" ref="J2286">IFERROR(INDEX('Retirement Calculator'!K:K,MATCH('Lorri 401b'!N2286,'Retirement Calculator'!A:A,0),0),0)</f>
        <v>0</v>
      </c>
      <c r="K2286" s="455">
        <f t="shared" ca="1" si="123"/>
        <v>-20789986.87119763</v>
      </c>
      <c r="L2286" s="455">
        <f t="shared" ca="1" si="124"/>
        <v>-5010386835.9586287</v>
      </c>
      <c r="M2286" s="471">
        <f t="shared" si="126"/>
        <v>0.05</v>
      </c>
      <c r="N2286" s="475">
        <f t="shared" si="127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25"/>
        <v>-5010386835.9586287</v>
      </c>
      <c r="J2287" s="455">
        <f t="array" ref="J2287">IFERROR(INDEX('Retirement Calculator'!K:K,MATCH('Lorri 401b'!N2287,'Retirement Calculator'!A:A,0),0),0)</f>
        <v>0</v>
      </c>
      <c r="K2287" s="455">
        <f t="shared" ca="1" si="123"/>
        <v>-20876611.816494286</v>
      </c>
      <c r="L2287" s="455">
        <f t="shared" ca="1" si="124"/>
        <v>-5031263447.7751226</v>
      </c>
      <c r="M2287" s="471">
        <f t="shared" si="126"/>
        <v>0.05</v>
      </c>
      <c r="N2287" s="475">
        <f t="shared" si="127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25"/>
        <v>-5031263447.7751226</v>
      </c>
      <c r="J2288" s="455">
        <f t="array" ref="J2288">IFERROR(INDEX('Retirement Calculator'!K:K,MATCH('Lorri 401b'!N2288,'Retirement Calculator'!A:A,0),0),0)</f>
        <v>0</v>
      </c>
      <c r="K2288" s="455">
        <f t="shared" ca="1" si="123"/>
        <v>-20963597.699063011</v>
      </c>
      <c r="L2288" s="455">
        <f t="shared" ca="1" si="124"/>
        <v>-5052227045.4741859</v>
      </c>
      <c r="M2288" s="471">
        <f t="shared" si="126"/>
        <v>0.05</v>
      </c>
      <c r="N2288" s="475">
        <f t="shared" si="127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25"/>
        <v>-5052227045.4741859</v>
      </c>
      <c r="J2289" s="455">
        <f t="array" ref="J2289">IFERROR(INDEX('Retirement Calculator'!K:K,MATCH('Lorri 401b'!N2289,'Retirement Calculator'!A:A,0),0),0)</f>
        <v>0</v>
      </c>
      <c r="K2289" s="455">
        <f t="shared" ca="1" si="123"/>
        <v>-21050946.022809107</v>
      </c>
      <c r="L2289" s="455">
        <f t="shared" ca="1" si="124"/>
        <v>-5073277991.496995</v>
      </c>
      <c r="M2289" s="471">
        <f t="shared" si="126"/>
        <v>0.05</v>
      </c>
      <c r="N2289" s="475">
        <f t="shared" si="127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25"/>
        <v>-5073277991.496995</v>
      </c>
      <c r="J2290" s="455">
        <f t="array" ref="J2290">IFERROR(INDEX('Retirement Calculator'!K:K,MATCH('Lorri 401b'!N2290,'Retirement Calculator'!A:A,0),0),0)</f>
        <v>0</v>
      </c>
      <c r="K2290" s="455">
        <f t="shared" ca="1" si="123"/>
        <v>-21138658.297904145</v>
      </c>
      <c r="L2290" s="455">
        <f t="shared" ca="1" si="124"/>
        <v>-5094416649.794899</v>
      </c>
      <c r="M2290" s="471">
        <f t="shared" si="126"/>
        <v>0.05</v>
      </c>
      <c r="N2290" s="475">
        <f t="shared" si="127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25"/>
        <v>-5094416649.794899</v>
      </c>
      <c r="J2291" s="455">
        <f t="array" ref="J2291">IFERROR(INDEX('Retirement Calculator'!K:K,MATCH('Lorri 401b'!N2291,'Retirement Calculator'!A:A,0),0),0)</f>
        <v>0</v>
      </c>
      <c r="K2291" s="455">
        <f t="shared" ca="1" si="123"/>
        <v>-21226736.040812079</v>
      </c>
      <c r="L2291" s="455">
        <f t="shared" ca="1" si="124"/>
        <v>-5115643385.8357115</v>
      </c>
      <c r="M2291" s="471">
        <f t="shared" si="126"/>
        <v>0.05</v>
      </c>
      <c r="N2291" s="475">
        <f t="shared" si="127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25"/>
        <v>-5115643385.8357115</v>
      </c>
      <c r="J2292" s="455">
        <f t="array" ref="J2292">IFERROR(INDEX('Retirement Calculator'!K:K,MATCH('Lorri 401b'!N2292,'Retirement Calculator'!A:A,0),0),0)</f>
        <v>0</v>
      </c>
      <c r="K2292" s="455">
        <f t="shared" ca="1" si="123"/>
        <v>-21315180.774315465</v>
      </c>
      <c r="L2292" s="455">
        <f t="shared" ca="1" si="124"/>
        <v>-5136958566.6100273</v>
      </c>
      <c r="M2292" s="471">
        <f t="shared" si="126"/>
        <v>0.05</v>
      </c>
      <c r="N2292" s="475">
        <f t="shared" si="127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25"/>
        <v>-5136958566.6100273</v>
      </c>
      <c r="J2293" s="455">
        <f t="array" ref="J2293">IFERROR(INDEX('Retirement Calculator'!K:K,MATCH('Lorri 401b'!N2293,'Retirement Calculator'!A:A,0),0),0)</f>
        <v>0</v>
      </c>
      <c r="K2293" s="455">
        <f t="shared" ca="1" si="123"/>
        <v>-21403994.027541779</v>
      </c>
      <c r="L2293" s="455">
        <f t="shared" ca="1" si="124"/>
        <v>-5158362560.6375694</v>
      </c>
      <c r="M2293" s="471">
        <f t="shared" si="126"/>
        <v>0.05</v>
      </c>
      <c r="N2293" s="475">
        <f t="shared" si="127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25"/>
        <v>-5158362560.6375694</v>
      </c>
      <c r="J2294" s="455">
        <f t="array" ref="J2294">IFERROR(INDEX('Retirement Calculator'!K:K,MATCH('Lorri 401b'!N2294,'Retirement Calculator'!A:A,0),0),0)</f>
        <v>0</v>
      </c>
      <c r="K2294" s="455">
        <f t="shared" ca="1" si="123"/>
        <v>-21493177.335989874</v>
      </c>
      <c r="L2294" s="455">
        <f t="shared" ca="1" si="124"/>
        <v>-5179855737.9735594</v>
      </c>
      <c r="M2294" s="471">
        <f t="shared" si="126"/>
        <v>0.05</v>
      </c>
      <c r="N2294" s="475">
        <f t="shared" si="127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25"/>
        <v>-5179855737.9735594</v>
      </c>
      <c r="J2295" s="455">
        <f t="array" ref="J2295">IFERROR(INDEX('Retirement Calculator'!K:K,MATCH('Lorri 401b'!N2295,'Retirement Calculator'!A:A,0),0),0)</f>
        <v>0</v>
      </c>
      <c r="K2295" s="455">
        <f t="shared" ca="1" si="123"/>
        <v>-21582732.241556495</v>
      </c>
      <c r="L2295" s="455">
        <f t="shared" ca="1" si="124"/>
        <v>-5201438470.2151155</v>
      </c>
      <c r="M2295" s="471">
        <f t="shared" si="126"/>
        <v>0.05</v>
      </c>
      <c r="N2295" s="475">
        <f t="shared" si="127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25"/>
        <v>-5201438470.2151155</v>
      </c>
      <c r="J2296" s="455">
        <f t="array" ref="J2296">IFERROR(INDEX('Retirement Calculator'!K:K,MATCH('Lorri 401b'!N2296,'Retirement Calculator'!A:A,0),0),0)</f>
        <v>0</v>
      </c>
      <c r="K2296" s="455">
        <f t="shared" ca="1" si="123"/>
        <v>-21672660.29256298</v>
      </c>
      <c r="L2296" s="455">
        <f t="shared" ca="1" si="124"/>
        <v>-5223111130.507679</v>
      </c>
      <c r="M2296" s="471">
        <f t="shared" si="126"/>
        <v>0.05</v>
      </c>
      <c r="N2296" s="475">
        <f t="shared" si="127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25"/>
        <v>-5223111130.507679</v>
      </c>
      <c r="J2297" s="455">
        <f t="array" ref="J2297">IFERROR(INDEX('Retirement Calculator'!K:K,MATCH('Lorri 401b'!N2297,'Retirement Calculator'!A:A,0),0),0)</f>
        <v>0</v>
      </c>
      <c r="K2297" s="455">
        <f t="shared" ca="1" si="123"/>
        <v>-21762963.043781996</v>
      </c>
      <c r="L2297" s="455">
        <f t="shared" ca="1" si="124"/>
        <v>-5244874093.5514612</v>
      </c>
      <c r="M2297" s="471">
        <f t="shared" si="126"/>
        <v>0.05</v>
      </c>
      <c r="N2297" s="475">
        <f t="shared" si="127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25"/>
        <v>-5244874093.5514612</v>
      </c>
      <c r="J2298" s="455">
        <f t="array" ref="J2298">IFERROR(INDEX('Retirement Calculator'!K:K,MATCH('Lorri 401b'!N2298,'Retirement Calculator'!A:A,0),0),0)</f>
        <v>0</v>
      </c>
      <c r="K2298" s="455">
        <f t="shared" ca="1" si="123"/>
        <v>-21853642.056464422</v>
      </c>
      <c r="L2298" s="455">
        <f t="shared" ca="1" si="124"/>
        <v>-5266727735.6079254</v>
      </c>
      <c r="M2298" s="471">
        <f t="shared" si="126"/>
        <v>0.05</v>
      </c>
      <c r="N2298" s="475">
        <f t="shared" si="127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25"/>
        <v>-5266727735.6079254</v>
      </c>
      <c r="J2299" s="455">
        <f t="array" ref="J2299">IFERROR(INDEX('Retirement Calculator'!K:K,MATCH('Lorri 401b'!N2299,'Retirement Calculator'!A:A,0),0),0)</f>
        <v>0</v>
      </c>
      <c r="K2299" s="455">
        <f t="shared" ca="1" si="123"/>
        <v>-21944698.898366354</v>
      </c>
      <c r="L2299" s="455">
        <f t="shared" ca="1" si="124"/>
        <v>-5288672434.5062914</v>
      </c>
      <c r="M2299" s="471">
        <f t="shared" si="126"/>
        <v>0.05</v>
      </c>
      <c r="N2299" s="475">
        <f t="shared" si="127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25"/>
        <v>-5288672434.5062914</v>
      </c>
      <c r="J2300" s="455">
        <f t="array" ref="J2300">IFERROR(INDEX('Retirement Calculator'!K:K,MATCH('Lorri 401b'!N2300,'Retirement Calculator'!A:A,0),0),0)</f>
        <v>0</v>
      </c>
      <c r="K2300" s="455">
        <f t="shared" ca="1" si="123"/>
        <v>-22036135.143776216</v>
      </c>
      <c r="L2300" s="455">
        <f t="shared" ca="1" si="124"/>
        <v>-5310708569.6500673</v>
      </c>
      <c r="M2300" s="471">
        <f t="shared" si="126"/>
        <v>0.05</v>
      </c>
      <c r="N2300" s="475">
        <f t="shared" si="127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25"/>
        <v>-5310708569.6500673</v>
      </c>
      <c r="J2301" s="455">
        <f t="array" ref="J2301">IFERROR(INDEX('Retirement Calculator'!K:K,MATCH('Lorri 401b'!N2301,'Retirement Calculator'!A:A,0),0),0)</f>
        <v>0</v>
      </c>
      <c r="K2301" s="455">
        <f t="shared" ca="1" si="123"/>
        <v>-22127952.373541947</v>
      </c>
      <c r="L2301" s="455">
        <f t="shared" ca="1" si="124"/>
        <v>-5332836522.0236092</v>
      </c>
      <c r="M2301" s="471">
        <f t="shared" si="126"/>
        <v>0.05</v>
      </c>
      <c r="N2301" s="475">
        <f t="shared" si="127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25"/>
        <v>-5332836522.0236092</v>
      </c>
      <c r="J2302" s="455">
        <f t="array" ref="J2302">IFERROR(INDEX('Retirement Calculator'!K:K,MATCH('Lorri 401b'!N2302,'Retirement Calculator'!A:A,0),0),0)</f>
        <v>0</v>
      </c>
      <c r="K2302" s="455">
        <f t="shared" ca="1" si="123"/>
        <v>-22220152.175098371</v>
      </c>
      <c r="L2302" s="455">
        <f t="shared" ca="1" si="124"/>
        <v>-5355056674.1987076</v>
      </c>
      <c r="M2302" s="471">
        <f t="shared" si="126"/>
        <v>0.05</v>
      </c>
      <c r="N2302" s="475">
        <f t="shared" si="127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25"/>
        <v>-5355056674.1987076</v>
      </c>
      <c r="J2303" s="455">
        <f t="array" ref="J2303">IFERROR(INDEX('Retirement Calculator'!K:K,MATCH('Lorri 401b'!N2303,'Retirement Calculator'!A:A,0),0),0)</f>
        <v>0</v>
      </c>
      <c r="K2303" s="455">
        <f t="shared" ref="K2303:K2557" ca="1" si="128">IPMT(M2303/12,1,12,-I2303+J2303,,0)</f>
        <v>-22312736.142494615</v>
      </c>
      <c r="L2303" s="455">
        <f t="shared" ref="L2303:L2557" ca="1" si="129">I2303-J2303+K2303</f>
        <v>-5377369410.3412018</v>
      </c>
      <c r="M2303" s="471">
        <f t="shared" si="126"/>
        <v>0.05</v>
      </c>
      <c r="N2303" s="475">
        <f t="shared" si="127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30">L2303</f>
        <v>-5377369410.3412018</v>
      </c>
      <c r="J2304" s="455">
        <f t="array" ref="J2304">IFERROR(INDEX('Retirement Calculator'!K:K,MATCH('Lorri 401b'!N2304,'Retirement Calculator'!A:A,0),0),0)</f>
        <v>0</v>
      </c>
      <c r="K2304" s="455">
        <f t="shared" ca="1" si="128"/>
        <v>-22405705.876421675</v>
      </c>
      <c r="L2304" s="455">
        <f t="shared" ca="1" si="129"/>
        <v>-5399775116.2176237</v>
      </c>
      <c r="M2304" s="471">
        <f t="shared" ref="M2304:M2558" si="131">M2303</f>
        <v>0.05</v>
      </c>
      <c r="N2304" s="475">
        <f t="shared" ref="N2304:N2558" si="132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30"/>
        <v>-5399775116.2176237</v>
      </c>
      <c r="J2305" s="455">
        <f t="array" ref="J2305">IFERROR(INDEX('Retirement Calculator'!K:K,MATCH('Lorri 401b'!N2305,'Retirement Calculator'!A:A,0),0),0)</f>
        <v>0</v>
      </c>
      <c r="K2305" s="455">
        <f t="shared" ca="1" si="128"/>
        <v>-22499062.9842401</v>
      </c>
      <c r="L2305" s="455">
        <f t="shared" ca="1" si="129"/>
        <v>-5422274179.2018642</v>
      </c>
      <c r="M2305" s="471">
        <f t="shared" si="131"/>
        <v>0.05</v>
      </c>
      <c r="N2305" s="475">
        <f t="shared" si="132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30"/>
        <v>-5422274179.2018642</v>
      </c>
      <c r="J2306" s="455">
        <f t="array" ref="J2306">IFERROR(INDEX('Retirement Calculator'!K:K,MATCH('Lorri 401b'!N2306,'Retirement Calculator'!A:A,0),0),0)</f>
        <v>0</v>
      </c>
      <c r="K2306" s="455">
        <f t="shared" ca="1" si="128"/>
        <v>-22592809.080007769</v>
      </c>
      <c r="L2306" s="455">
        <f t="shared" ca="1" si="129"/>
        <v>-5444866988.2818718</v>
      </c>
      <c r="M2306" s="471">
        <f t="shared" si="131"/>
        <v>0.05</v>
      </c>
      <c r="N2306" s="475">
        <f t="shared" si="132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30"/>
        <v>-5444866988.2818718</v>
      </c>
      <c r="J2307" s="455">
        <f t="array" ref="J2307">IFERROR(INDEX('Retirement Calculator'!K:K,MATCH('Lorri 401b'!N2307,'Retirement Calculator'!A:A,0),0),0)</f>
        <v>0</v>
      </c>
      <c r="K2307" s="455">
        <f t="shared" ca="1" si="128"/>
        <v>-22686945.7845078</v>
      </c>
      <c r="L2307" s="455">
        <f t="shared" ca="1" si="129"/>
        <v>-5467553934.0663795</v>
      </c>
      <c r="M2307" s="471">
        <f t="shared" si="131"/>
        <v>0.05</v>
      </c>
      <c r="N2307" s="475">
        <f t="shared" si="132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30"/>
        <v>-5467553934.0663795</v>
      </c>
      <c r="J2308" s="455">
        <f t="array" ref="J2308">IFERROR(INDEX('Retirement Calculator'!K:K,MATCH('Lorri 401b'!N2308,'Retirement Calculator'!A:A,0),0),0)</f>
        <v>0</v>
      </c>
      <c r="K2308" s="455">
        <f t="shared" ca="1" si="128"/>
        <v>-22781474.725276582</v>
      </c>
      <c r="L2308" s="455">
        <f t="shared" ca="1" si="129"/>
        <v>-5490335408.7916565</v>
      </c>
      <c r="M2308" s="471">
        <f t="shared" si="131"/>
        <v>0.05</v>
      </c>
      <c r="N2308" s="475">
        <f t="shared" si="132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30"/>
        <v>-5490335408.7916565</v>
      </c>
      <c r="J2309" s="455">
        <f t="array" ref="J2309">IFERROR(INDEX('Retirement Calculator'!K:K,MATCH('Lorri 401b'!N2309,'Retirement Calculator'!A:A,0),0),0)</f>
        <v>0</v>
      </c>
      <c r="K2309" s="455">
        <f t="shared" ca="1" si="128"/>
        <v>-22876397.536631901</v>
      </c>
      <c r="L2309" s="455">
        <f t="shared" ca="1" si="129"/>
        <v>-5513211806.3282881</v>
      </c>
      <c r="M2309" s="471">
        <f t="shared" si="131"/>
        <v>0.05</v>
      </c>
      <c r="N2309" s="475">
        <f t="shared" si="132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30"/>
        <v>-5513211806.3282881</v>
      </c>
      <c r="J2310" s="455">
        <f t="array" ref="J2310">IFERROR(INDEX('Retirement Calculator'!K:K,MATCH('Lorri 401b'!N2310,'Retirement Calculator'!A:A,0),0),0)</f>
        <v>0</v>
      </c>
      <c r="K2310" s="455">
        <f t="shared" ca="1" si="128"/>
        <v>-22971715.859701201</v>
      </c>
      <c r="L2310" s="455">
        <f t="shared" ca="1" si="129"/>
        <v>-5536183522.1879892</v>
      </c>
      <c r="M2310" s="471">
        <f t="shared" si="131"/>
        <v>0.05</v>
      </c>
      <c r="N2310" s="475">
        <f t="shared" si="132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30"/>
        <v>-5536183522.1879892</v>
      </c>
      <c r="J2311" s="455">
        <f t="array" ref="J2311">IFERROR(INDEX('Retirement Calculator'!K:K,MATCH('Lorri 401b'!N2311,'Retirement Calculator'!A:A,0),0),0)</f>
        <v>0</v>
      </c>
      <c r="K2311" s="455">
        <f t="shared" ca="1" si="128"/>
        <v>-23067431.342449956</v>
      </c>
      <c r="L2311" s="455">
        <f t="shared" ca="1" si="129"/>
        <v>-5559250953.5304394</v>
      </c>
      <c r="M2311" s="471">
        <f t="shared" si="131"/>
        <v>0.05</v>
      </c>
      <c r="N2311" s="475">
        <f t="shared" si="132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30"/>
        <v>-5559250953.5304394</v>
      </c>
      <c r="J2312" s="455">
        <f t="array" ref="J2312">IFERROR(INDEX('Retirement Calculator'!K:K,MATCH('Lorri 401b'!N2312,'Retirement Calculator'!A:A,0),0),0)</f>
        <v>0</v>
      </c>
      <c r="K2312" s="455">
        <f t="shared" ca="1" si="128"/>
        <v>-23163545.639710166</v>
      </c>
      <c r="L2312" s="455">
        <f t="shared" ca="1" si="129"/>
        <v>-5582414499.1701498</v>
      </c>
      <c r="M2312" s="471">
        <f t="shared" si="131"/>
        <v>0.05</v>
      </c>
      <c r="N2312" s="475">
        <f t="shared" si="132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30"/>
        <v>-5582414499.1701498</v>
      </c>
      <c r="J2313" s="455">
        <f t="array" ref="J2313">IFERROR(INDEX('Retirement Calculator'!K:K,MATCH('Lorri 401b'!N2313,'Retirement Calculator'!A:A,0),0),0)</f>
        <v>0</v>
      </c>
      <c r="K2313" s="455">
        <f t="shared" ca="1" si="128"/>
        <v>-23260060.413208958</v>
      </c>
      <c r="L2313" s="455">
        <f t="shared" ca="1" si="129"/>
        <v>-5605674559.5833588</v>
      </c>
      <c r="M2313" s="471">
        <f t="shared" si="131"/>
        <v>0.05</v>
      </c>
      <c r="N2313" s="475">
        <f t="shared" si="132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30"/>
        <v>-5605674559.5833588</v>
      </c>
      <c r="J2314" s="455">
        <f t="array" ref="J2314">IFERROR(INDEX('Retirement Calculator'!K:K,MATCH('Lorri 401b'!N2314,'Retirement Calculator'!A:A,0),0),0)</f>
        <v>0</v>
      </c>
      <c r="K2314" s="455">
        <f t="shared" ca="1" si="128"/>
        <v>-23356977.331597328</v>
      </c>
      <c r="L2314" s="455">
        <f t="shared" ca="1" si="129"/>
        <v>-5629031536.9149561</v>
      </c>
      <c r="M2314" s="471">
        <f t="shared" si="131"/>
        <v>0.05</v>
      </c>
      <c r="N2314" s="475">
        <f t="shared" si="132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30"/>
        <v>-5629031536.9149561</v>
      </c>
      <c r="J2315" s="455">
        <f t="array" ref="J2315">IFERROR(INDEX('Retirement Calculator'!K:K,MATCH('Lorri 401b'!N2315,'Retirement Calculator'!A:A,0),0),0)</f>
        <v>0</v>
      </c>
      <c r="K2315" s="455">
        <f t="shared" ca="1" si="128"/>
        <v>-23454298.070478983</v>
      </c>
      <c r="L2315" s="455">
        <f t="shared" ca="1" si="129"/>
        <v>-5652485834.9854355</v>
      </c>
      <c r="M2315" s="471">
        <f t="shared" si="131"/>
        <v>0.05</v>
      </c>
      <c r="N2315" s="475">
        <f t="shared" si="132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30"/>
        <v>-5652485834.9854355</v>
      </c>
      <c r="J2316" s="455">
        <f t="array" ref="J2316">IFERROR(INDEX('Retirement Calculator'!K:K,MATCH('Lorri 401b'!N2316,'Retirement Calculator'!A:A,0),0),0)</f>
        <v>0</v>
      </c>
      <c r="K2316" s="455">
        <f t="shared" ca="1" si="128"/>
        <v>-23552024.312439315</v>
      </c>
      <c r="L2316" s="455">
        <f t="shared" ca="1" si="129"/>
        <v>-5676037859.2978745</v>
      </c>
      <c r="M2316" s="471">
        <f t="shared" si="131"/>
        <v>0.05</v>
      </c>
      <c r="N2316" s="475">
        <f t="shared" si="132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30"/>
        <v>-5676037859.2978745</v>
      </c>
      <c r="J2317" s="455">
        <f t="array" ref="J2317">IFERROR(INDEX('Retirement Calculator'!K:K,MATCH('Lorri 401b'!N2317,'Retirement Calculator'!A:A,0),0),0)</f>
        <v>0</v>
      </c>
      <c r="K2317" s="455">
        <f t="shared" ca="1" si="128"/>
        <v>-23650157.747074477</v>
      </c>
      <c r="L2317" s="455">
        <f t="shared" ca="1" si="129"/>
        <v>-5699688017.0449486</v>
      </c>
      <c r="M2317" s="471">
        <f t="shared" si="131"/>
        <v>0.05</v>
      </c>
      <c r="N2317" s="475">
        <f t="shared" si="132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30"/>
        <v>-5699688017.0449486</v>
      </c>
      <c r="J2318" s="455">
        <f t="array" ref="J2318">IFERROR(INDEX('Retirement Calculator'!K:K,MATCH('Lorri 401b'!N2318,'Retirement Calculator'!A:A,0),0),0)</f>
        <v>0</v>
      </c>
      <c r="K2318" s="455">
        <f t="shared" ca="1" si="128"/>
        <v>-23748700.071020618</v>
      </c>
      <c r="L2318" s="455">
        <f t="shared" ca="1" si="129"/>
        <v>-5723436717.1159697</v>
      </c>
      <c r="M2318" s="471">
        <f t="shared" si="131"/>
        <v>0.05</v>
      </c>
      <c r="N2318" s="475">
        <f t="shared" si="132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30"/>
        <v>-5723436717.1159697</v>
      </c>
      <c r="J2319" s="455">
        <f t="array" ref="J2319">IFERROR(INDEX('Retirement Calculator'!K:K,MATCH('Lorri 401b'!N2319,'Retirement Calculator'!A:A,0),0),0)</f>
        <v>0</v>
      </c>
      <c r="K2319" s="455">
        <f t="shared" ca="1" si="128"/>
        <v>-23847652.987983208</v>
      </c>
      <c r="L2319" s="455">
        <f t="shared" ca="1" si="129"/>
        <v>-5747284370.1039524</v>
      </c>
      <c r="M2319" s="471">
        <f t="shared" si="131"/>
        <v>0.05</v>
      </c>
      <c r="N2319" s="475">
        <f t="shared" si="132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30"/>
        <v>-5747284370.1039524</v>
      </c>
      <c r="J2320" s="455">
        <f t="array" ref="J2320">IFERROR(INDEX('Retirement Calculator'!K:K,MATCH('Lorri 401b'!N2320,'Retirement Calculator'!A:A,0),0),0)</f>
        <v>0</v>
      </c>
      <c r="K2320" s="455">
        <f t="shared" ca="1" si="128"/>
        <v>-23947018.208766468</v>
      </c>
      <c r="L2320" s="455">
        <f t="shared" ca="1" si="129"/>
        <v>-5771231388.3127193</v>
      </c>
      <c r="M2320" s="471">
        <f t="shared" si="131"/>
        <v>0.05</v>
      </c>
      <c r="N2320" s="475">
        <f t="shared" si="132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30"/>
        <v>-5771231388.3127193</v>
      </c>
      <c r="J2321" s="455">
        <f t="array" ref="J2321">IFERROR(INDEX('Retirement Calculator'!K:K,MATCH('Lorri 401b'!N2321,'Retirement Calculator'!A:A,0),0),0)</f>
        <v>0</v>
      </c>
      <c r="K2321" s="455">
        <f t="shared" ca="1" si="128"/>
        <v>-24046797.451302998</v>
      </c>
      <c r="L2321" s="455">
        <f t="shared" ca="1" si="129"/>
        <v>-5795278185.7640219</v>
      </c>
      <c r="M2321" s="471">
        <f t="shared" si="131"/>
        <v>0.05</v>
      </c>
      <c r="N2321" s="475">
        <f t="shared" si="132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30"/>
        <v>-5795278185.7640219</v>
      </c>
      <c r="J2322" s="455">
        <f t="array" ref="J2322">IFERROR(INDEX('Retirement Calculator'!K:K,MATCH('Lorri 401b'!N2322,'Retirement Calculator'!A:A,0),0),0)</f>
        <v>0</v>
      </c>
      <c r="K2322" s="455">
        <f t="shared" ca="1" si="128"/>
        <v>-24146992.440683424</v>
      </c>
      <c r="L2322" s="455">
        <f t="shared" ca="1" si="129"/>
        <v>-5819425178.2047052</v>
      </c>
      <c r="M2322" s="471">
        <f t="shared" si="131"/>
        <v>0.05</v>
      </c>
      <c r="N2322" s="475">
        <f t="shared" si="132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30"/>
        <v>-5819425178.2047052</v>
      </c>
      <c r="J2323" s="455">
        <f t="array" ref="J2323">IFERROR(INDEX('Retirement Calculator'!K:K,MATCH('Lorri 401b'!N2323,'Retirement Calculator'!A:A,0),0),0)</f>
        <v>0</v>
      </c>
      <c r="K2323" s="455">
        <f t="shared" ca="1" si="128"/>
        <v>-24247604.90918627</v>
      </c>
      <c r="L2323" s="455">
        <f t="shared" ca="1" si="129"/>
        <v>-5843672783.1138916</v>
      </c>
      <c r="M2323" s="471">
        <f t="shared" si="131"/>
        <v>0.05</v>
      </c>
      <c r="N2323" s="475">
        <f t="shared" si="132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30"/>
        <v>-5843672783.1138916</v>
      </c>
      <c r="J2324" s="455">
        <f t="array" ref="J2324">IFERROR(INDEX('Retirement Calculator'!K:K,MATCH('Lorri 401b'!N2324,'Retirement Calculator'!A:A,0),0),0)</f>
        <v>0</v>
      </c>
      <c r="K2324" s="455">
        <f t="shared" ca="1" si="128"/>
        <v>-24348636.596307881</v>
      </c>
      <c r="L2324" s="455">
        <f t="shared" ca="1" si="129"/>
        <v>-5868021419.7101994</v>
      </c>
      <c r="M2324" s="471">
        <f t="shared" si="131"/>
        <v>0.05</v>
      </c>
      <c r="N2324" s="475">
        <f t="shared" si="132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30"/>
        <v>-5868021419.7101994</v>
      </c>
      <c r="J2325" s="455">
        <f t="array" ref="J2325">IFERROR(INDEX('Retirement Calculator'!K:K,MATCH('Lorri 401b'!N2325,'Retirement Calculator'!A:A,0),0),0)</f>
        <v>0</v>
      </c>
      <c r="K2325" s="455">
        <f t="shared" ca="1" si="128"/>
        <v>-24450089.248792496</v>
      </c>
      <c r="L2325" s="455">
        <f t="shared" ca="1" si="129"/>
        <v>-5892471508.958992</v>
      </c>
      <c r="M2325" s="471">
        <f t="shared" si="131"/>
        <v>0.05</v>
      </c>
      <c r="N2325" s="475">
        <f t="shared" si="132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30"/>
        <v>-5892471508.958992</v>
      </c>
      <c r="J2326" s="455">
        <f t="array" ref="J2326">IFERROR(INDEX('Retirement Calculator'!K:K,MATCH('Lorri 401b'!N2326,'Retirement Calculator'!A:A,0),0),0)</f>
        <v>0</v>
      </c>
      <c r="K2326" s="455">
        <f t="shared" ca="1" si="128"/>
        <v>-24551964.620662466</v>
      </c>
      <c r="L2326" s="455">
        <f t="shared" ca="1" si="129"/>
        <v>-5917023473.5796547</v>
      </c>
      <c r="M2326" s="471">
        <f t="shared" si="131"/>
        <v>0.05</v>
      </c>
      <c r="N2326" s="475">
        <f t="shared" si="132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30"/>
        <v>-5917023473.5796547</v>
      </c>
      <c r="J2327" s="455">
        <f t="array" ref="J2327">IFERROR(INDEX('Retirement Calculator'!K:K,MATCH('Lorri 401b'!N2327,'Retirement Calculator'!A:A,0),0),0)</f>
        <v>0</v>
      </c>
      <c r="K2327" s="455">
        <f t="shared" ca="1" si="128"/>
        <v>-24654264.47324856</v>
      </c>
      <c r="L2327" s="455">
        <f t="shared" ca="1" si="129"/>
        <v>-5941677738.0529032</v>
      </c>
      <c r="M2327" s="471">
        <f t="shared" si="131"/>
        <v>0.05</v>
      </c>
      <c r="N2327" s="475">
        <f t="shared" si="132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30"/>
        <v>-5941677738.0529032</v>
      </c>
      <c r="J2328" s="455">
        <f t="array" ref="J2328">IFERROR(INDEX('Retirement Calculator'!K:K,MATCH('Lorri 401b'!N2328,'Retirement Calculator'!A:A,0),0),0)</f>
        <v>0</v>
      </c>
      <c r="K2328" s="455">
        <f t="shared" ca="1" si="128"/>
        <v>-24756990.575220428</v>
      </c>
      <c r="L2328" s="455">
        <f t="shared" ca="1" si="129"/>
        <v>-5966434728.6281233</v>
      </c>
      <c r="M2328" s="471">
        <f t="shared" si="131"/>
        <v>0.05</v>
      </c>
      <c r="N2328" s="475">
        <f t="shared" si="132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30"/>
        <v>-5966434728.6281233</v>
      </c>
      <c r="J2329" s="455">
        <f t="array" ref="J2329">IFERROR(INDEX('Retirement Calculator'!K:K,MATCH('Lorri 401b'!N2329,'Retirement Calculator'!A:A,0),0),0)</f>
        <v>0</v>
      </c>
      <c r="K2329" s="455">
        <f t="shared" ca="1" si="128"/>
        <v>-24860144.70261718</v>
      </c>
      <c r="L2329" s="455">
        <f t="shared" ca="1" si="129"/>
        <v>-5991294873.3307409</v>
      </c>
      <c r="M2329" s="471">
        <f t="shared" si="131"/>
        <v>0.05</v>
      </c>
      <c r="N2329" s="475">
        <f t="shared" si="132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30"/>
        <v>-5991294873.3307409</v>
      </c>
      <c r="J2330" s="455">
        <f t="array" ref="J2330">IFERROR(INDEX('Retirement Calculator'!K:K,MATCH('Lorri 401b'!N2330,'Retirement Calculator'!A:A,0),0),0)</f>
        <v>0</v>
      </c>
      <c r="K2330" s="455">
        <f t="shared" ca="1" si="128"/>
        <v>-24963728.638878088</v>
      </c>
      <c r="L2330" s="455">
        <f t="shared" ca="1" si="129"/>
        <v>-6016258601.9696188</v>
      </c>
      <c r="M2330" s="471">
        <f t="shared" si="131"/>
        <v>0.05</v>
      </c>
      <c r="N2330" s="475">
        <f t="shared" si="132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30"/>
        <v>-6016258601.9696188</v>
      </c>
      <c r="J2331" s="455">
        <f t="array" ref="J2331">IFERROR(INDEX('Retirement Calculator'!K:K,MATCH('Lorri 401b'!N2331,'Retirement Calculator'!A:A,0),0),0)</f>
        <v>0</v>
      </c>
      <c r="K2331" s="455">
        <f t="shared" ca="1" si="128"/>
        <v>-25067744.174873412</v>
      </c>
      <c r="L2331" s="455">
        <f t="shared" ca="1" si="129"/>
        <v>-6041326346.1444921</v>
      </c>
      <c r="M2331" s="471">
        <f t="shared" si="131"/>
        <v>0.05</v>
      </c>
      <c r="N2331" s="475">
        <f t="shared" si="132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30"/>
        <v>-6041326346.1444921</v>
      </c>
      <c r="J2332" s="455">
        <f t="array" ref="J2332">IFERROR(INDEX('Retirement Calculator'!K:K,MATCH('Lorri 401b'!N2332,'Retirement Calculator'!A:A,0),0),0)</f>
        <v>0</v>
      </c>
      <c r="K2332" s="455">
        <f t="shared" ca="1" si="128"/>
        <v>-25172193.108935382</v>
      </c>
      <c r="L2332" s="455">
        <f t="shared" ca="1" si="129"/>
        <v>-6066498539.2534275</v>
      </c>
      <c r="M2332" s="471">
        <f t="shared" si="131"/>
        <v>0.05</v>
      </c>
      <c r="N2332" s="475">
        <f t="shared" si="132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30"/>
        <v>-6066498539.2534275</v>
      </c>
      <c r="J2333" s="455">
        <f t="array" ref="J2333">IFERROR(INDEX('Retirement Calculator'!K:K,MATCH('Lorri 401b'!N2333,'Retirement Calculator'!A:A,0),0),0)</f>
        <v>0</v>
      </c>
      <c r="K2333" s="455">
        <f t="shared" ca="1" si="128"/>
        <v>-25277077.246889282</v>
      </c>
      <c r="L2333" s="455">
        <f t="shared" ca="1" si="129"/>
        <v>-6091775616.5003166</v>
      </c>
      <c r="M2333" s="471">
        <f t="shared" si="131"/>
        <v>0.05</v>
      </c>
      <c r="N2333" s="475">
        <f t="shared" si="132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30"/>
        <v>-6091775616.5003166</v>
      </c>
      <c r="J2334" s="455">
        <f t="array" ref="J2334">IFERROR(INDEX('Retirement Calculator'!K:K,MATCH('Lorri 401b'!N2334,'Retirement Calculator'!A:A,0),0),0)</f>
        <v>0</v>
      </c>
      <c r="K2334" s="455">
        <f t="shared" ca="1" si="128"/>
        <v>-25382398.402084652</v>
      </c>
      <c r="L2334" s="455">
        <f t="shared" ca="1" si="129"/>
        <v>-6117158014.902401</v>
      </c>
      <c r="M2334" s="471">
        <f t="shared" si="131"/>
        <v>0.05</v>
      </c>
      <c r="N2334" s="475">
        <f t="shared" si="132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30"/>
        <v>-6117158014.902401</v>
      </c>
      <c r="J2335" s="455">
        <f t="array" ref="J2335">IFERROR(INDEX('Retirement Calculator'!K:K,MATCH('Lorri 401b'!N2335,'Retirement Calculator'!A:A,0),0),0)</f>
        <v>0</v>
      </c>
      <c r="K2335" s="455">
        <f t="shared" ca="1" si="128"/>
        <v>-25488158.395426672</v>
      </c>
      <c r="L2335" s="455">
        <f t="shared" ca="1" si="129"/>
        <v>-6142646173.2978277</v>
      </c>
      <c r="M2335" s="471">
        <f t="shared" si="131"/>
        <v>0.05</v>
      </c>
      <c r="N2335" s="475">
        <f t="shared" si="132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30"/>
        <v>-6142646173.2978277</v>
      </c>
      <c r="J2336" s="455">
        <f t="array" ref="J2336">IFERROR(INDEX('Retirement Calculator'!K:K,MATCH('Lorri 401b'!N2336,'Retirement Calculator'!A:A,0),0),0)</f>
        <v>0</v>
      </c>
      <c r="K2336" s="455">
        <f t="shared" ca="1" si="128"/>
        <v>-25594359.055407614</v>
      </c>
      <c r="L2336" s="455">
        <f t="shared" ca="1" si="129"/>
        <v>-6168240532.3532352</v>
      </c>
      <c r="M2336" s="471">
        <f t="shared" si="131"/>
        <v>0.05</v>
      </c>
      <c r="N2336" s="475">
        <f t="shared" si="132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30"/>
        <v>-6168240532.3532352</v>
      </c>
      <c r="J2337" s="455">
        <f t="array" ref="J2337">IFERROR(INDEX('Retirement Calculator'!K:K,MATCH('Lorri 401b'!N2337,'Retirement Calculator'!A:A,0),0),0)</f>
        <v>0</v>
      </c>
      <c r="K2337" s="455">
        <f t="shared" ca="1" si="128"/>
        <v>-25701002.218138479</v>
      </c>
      <c r="L2337" s="455">
        <f t="shared" ca="1" si="129"/>
        <v>-6193941534.5713739</v>
      </c>
      <c r="M2337" s="471">
        <f t="shared" si="131"/>
        <v>0.05</v>
      </c>
      <c r="N2337" s="475">
        <f t="shared" si="132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30"/>
        <v>-6193941534.5713739</v>
      </c>
      <c r="J2338" s="455">
        <f t="array" ref="J2338">IFERROR(INDEX('Retirement Calculator'!K:K,MATCH('Lorri 401b'!N2338,'Retirement Calculator'!A:A,0),0),0)</f>
        <v>0</v>
      </c>
      <c r="K2338" s="455">
        <f t="shared" ca="1" si="128"/>
        <v>-25808089.727380723</v>
      </c>
      <c r="L2338" s="455">
        <f t="shared" ca="1" si="129"/>
        <v>-6219749624.2987547</v>
      </c>
      <c r="M2338" s="471">
        <f t="shared" si="131"/>
        <v>0.05</v>
      </c>
      <c r="N2338" s="475">
        <f t="shared" si="132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30"/>
        <v>-6219749624.2987547</v>
      </c>
      <c r="J2339" s="455">
        <f t="array" ref="J2339">IFERROR(INDEX('Retirement Calculator'!K:K,MATCH('Lorri 401b'!N2339,'Retirement Calculator'!A:A,0),0),0)</f>
        <v>0</v>
      </c>
      <c r="K2339" s="455">
        <f t="shared" ca="1" si="128"/>
        <v>-25915623.434578143</v>
      </c>
      <c r="L2339" s="455">
        <f t="shared" ca="1" si="129"/>
        <v>-6245665247.7333326</v>
      </c>
      <c r="M2339" s="471">
        <f t="shared" si="131"/>
        <v>0.05</v>
      </c>
      <c r="N2339" s="475">
        <f t="shared" si="132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30"/>
        <v>-6245665247.7333326</v>
      </c>
      <c r="J2340" s="455">
        <f t="array" ref="J2340">IFERROR(INDEX('Retirement Calculator'!K:K,MATCH('Lorri 401b'!N2340,'Retirement Calculator'!A:A,0),0),0)</f>
        <v>0</v>
      </c>
      <c r="K2340" s="455">
        <f t="shared" ca="1" si="128"/>
        <v>-26023605.198888887</v>
      </c>
      <c r="L2340" s="455">
        <f t="shared" ca="1" si="129"/>
        <v>-6271688852.9322214</v>
      </c>
      <c r="M2340" s="471">
        <f t="shared" si="131"/>
        <v>0.05</v>
      </c>
      <c r="N2340" s="475">
        <f t="shared" si="132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30"/>
        <v>-6271688852.9322214</v>
      </c>
      <c r="J2341" s="455">
        <f t="array" ref="J2341">IFERROR(INDEX('Retirement Calculator'!K:K,MATCH('Lorri 401b'!N2341,'Retirement Calculator'!A:A,0),0),0)</f>
        <v>0</v>
      </c>
      <c r="K2341" s="455">
        <f t="shared" ca="1" si="128"/>
        <v>-26132036.887217589</v>
      </c>
      <c r="L2341" s="455">
        <f t="shared" ca="1" si="129"/>
        <v>-6297820889.8194389</v>
      </c>
      <c r="M2341" s="471">
        <f t="shared" si="131"/>
        <v>0.05</v>
      </c>
      <c r="N2341" s="475">
        <f t="shared" si="132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30"/>
        <v>-6297820889.8194389</v>
      </c>
      <c r="J2342" s="455">
        <f t="array" ref="J2342">IFERROR(INDEX('Retirement Calculator'!K:K,MATCH('Lorri 401b'!N2342,'Retirement Calculator'!A:A,0),0),0)</f>
        <v>0</v>
      </c>
      <c r="K2342" s="455">
        <f t="shared" ca="1" si="128"/>
        <v>-26240920.374247663</v>
      </c>
      <c r="L2342" s="455">
        <f t="shared" ca="1" si="129"/>
        <v>-6324061810.1936865</v>
      </c>
      <c r="M2342" s="471">
        <f t="shared" si="131"/>
        <v>0.05</v>
      </c>
      <c r="N2342" s="475">
        <f t="shared" si="132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30"/>
        <v>-6324061810.1936865</v>
      </c>
      <c r="J2343" s="455">
        <f t="array" ref="J2343">IFERROR(INDEX('Retirement Calculator'!K:K,MATCH('Lorri 401b'!N2343,'Retirement Calculator'!A:A,0),0),0)</f>
        <v>0</v>
      </c>
      <c r="K2343" s="455">
        <f t="shared" ca="1" si="128"/>
        <v>-26350257.542473692</v>
      </c>
      <c r="L2343" s="455">
        <f t="shared" ca="1" si="129"/>
        <v>-6350412067.7361603</v>
      </c>
      <c r="M2343" s="471">
        <f t="shared" si="131"/>
        <v>0.05</v>
      </c>
      <c r="N2343" s="475">
        <f t="shared" si="132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30"/>
        <v>-6350412067.7361603</v>
      </c>
      <c r="J2344" s="455">
        <f t="array" ref="J2344">IFERROR(INDEX('Retirement Calculator'!K:K,MATCH('Lorri 401b'!N2344,'Retirement Calculator'!A:A,0),0),0)</f>
        <v>0</v>
      </c>
      <c r="K2344" s="455">
        <f t="shared" ca="1" si="128"/>
        <v>-26460050.282234002</v>
      </c>
      <c r="L2344" s="455">
        <f t="shared" ca="1" si="129"/>
        <v>-6376872118.0183945</v>
      </c>
      <c r="M2344" s="471">
        <f t="shared" si="131"/>
        <v>0.05</v>
      </c>
      <c r="N2344" s="475">
        <f t="shared" si="132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30"/>
        <v>-6376872118.0183945</v>
      </c>
      <c r="J2345" s="455">
        <f t="array" ref="J2345">IFERROR(INDEX('Retirement Calculator'!K:K,MATCH('Lorri 401b'!N2345,'Retirement Calculator'!A:A,0),0),0)</f>
        <v>0</v>
      </c>
      <c r="K2345" s="455">
        <f t="shared" ca="1" si="128"/>
        <v>-26570300.491743311</v>
      </c>
      <c r="L2345" s="455">
        <f t="shared" ca="1" si="129"/>
        <v>-6403442418.5101376</v>
      </c>
      <c r="M2345" s="471">
        <f t="shared" si="131"/>
        <v>0.05</v>
      </c>
      <c r="N2345" s="475">
        <f t="shared" si="132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30"/>
        <v>-6403442418.5101376</v>
      </c>
      <c r="J2346" s="455">
        <f t="array" ref="J2346">IFERROR(INDEX('Retirement Calculator'!K:K,MATCH('Lorri 401b'!N2346,'Retirement Calculator'!A:A,0),0),0)</f>
        <v>0</v>
      </c>
      <c r="K2346" s="455">
        <f t="shared" ca="1" si="128"/>
        <v>-26681010.077125572</v>
      </c>
      <c r="L2346" s="455">
        <f t="shared" ca="1" si="129"/>
        <v>-6430123428.5872631</v>
      </c>
      <c r="M2346" s="471">
        <f t="shared" si="131"/>
        <v>0.05</v>
      </c>
      <c r="N2346" s="475">
        <f t="shared" si="132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30"/>
        <v>-6430123428.5872631</v>
      </c>
      <c r="J2347" s="455">
        <f t="array" ref="J2347">IFERROR(INDEX('Retirement Calculator'!K:K,MATCH('Lorri 401b'!N2347,'Retirement Calculator'!A:A,0),0),0)</f>
        <v>0</v>
      </c>
      <c r="K2347" s="455">
        <f t="shared" ca="1" si="128"/>
        <v>-26792180.95244693</v>
      </c>
      <c r="L2347" s="455">
        <f t="shared" ca="1" si="129"/>
        <v>-6456915609.53971</v>
      </c>
      <c r="M2347" s="471">
        <f t="shared" si="131"/>
        <v>0.05</v>
      </c>
      <c r="N2347" s="475">
        <f t="shared" si="132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30"/>
        <v>-6456915609.53971</v>
      </c>
      <c r="J2348" s="455">
        <f t="array" ref="J2348">IFERROR(INDEX('Retirement Calculator'!K:K,MATCH('Lorri 401b'!N2348,'Retirement Calculator'!A:A,0),0),0)</f>
        <v>0</v>
      </c>
      <c r="K2348" s="455">
        <f t="shared" ca="1" si="128"/>
        <v>-26903815.039748792</v>
      </c>
      <c r="L2348" s="455">
        <f t="shared" ca="1" si="129"/>
        <v>-6483819424.5794592</v>
      </c>
      <c r="M2348" s="471">
        <f t="shared" si="131"/>
        <v>0.05</v>
      </c>
      <c r="N2348" s="475">
        <f t="shared" si="132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30"/>
        <v>-6483819424.5794592</v>
      </c>
      <c r="J2349" s="455">
        <f t="array" ref="J2349">IFERROR(INDEX('Retirement Calculator'!K:K,MATCH('Lorri 401b'!N2349,'Retirement Calculator'!A:A,0),0),0)</f>
        <v>0</v>
      </c>
      <c r="K2349" s="455">
        <f t="shared" ca="1" si="128"/>
        <v>-27015914.269081078</v>
      </c>
      <c r="L2349" s="455">
        <f t="shared" ca="1" si="129"/>
        <v>-6510835338.8485403</v>
      </c>
      <c r="M2349" s="471">
        <f t="shared" si="131"/>
        <v>0.05</v>
      </c>
      <c r="N2349" s="475">
        <f t="shared" si="132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30"/>
        <v>-6510835338.8485403</v>
      </c>
      <c r="J2350" s="455">
        <f t="array" ref="J2350">IFERROR(INDEX('Retirement Calculator'!K:K,MATCH('Lorri 401b'!N2350,'Retirement Calculator'!A:A,0),0),0)</f>
        <v>0</v>
      </c>
      <c r="K2350" s="455">
        <f t="shared" ca="1" si="128"/>
        <v>-27128480.578535583</v>
      </c>
      <c r="L2350" s="455">
        <f t="shared" ca="1" si="129"/>
        <v>-6537963819.4270763</v>
      </c>
      <c r="M2350" s="471">
        <f t="shared" si="131"/>
        <v>0.05</v>
      </c>
      <c r="N2350" s="475">
        <f t="shared" si="132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30"/>
        <v>-6537963819.4270763</v>
      </c>
      <c r="J2351" s="455">
        <f t="array" ref="J2351">IFERROR(INDEX('Retirement Calculator'!K:K,MATCH('Lorri 401b'!N2351,'Retirement Calculator'!A:A,0),0),0)</f>
        <v>0</v>
      </c>
      <c r="K2351" s="455">
        <f t="shared" ca="1" si="128"/>
        <v>-27241515.914279483</v>
      </c>
      <c r="L2351" s="455">
        <f t="shared" ca="1" si="129"/>
        <v>-6565205335.3413563</v>
      </c>
      <c r="M2351" s="471">
        <f t="shared" si="131"/>
        <v>0.05</v>
      </c>
      <c r="N2351" s="475">
        <f t="shared" si="132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30"/>
        <v>-6565205335.3413563</v>
      </c>
      <c r="J2352" s="455">
        <f t="array" ref="J2352">IFERROR(INDEX('Retirement Calculator'!K:K,MATCH('Lorri 401b'!N2352,'Retirement Calculator'!A:A,0),0),0)</f>
        <v>0</v>
      </c>
      <c r="K2352" s="455">
        <f t="shared" ca="1" si="128"/>
        <v>-27355022.230588984</v>
      </c>
      <c r="L2352" s="455">
        <f t="shared" ca="1" si="129"/>
        <v>-6592560357.5719452</v>
      </c>
      <c r="M2352" s="471">
        <f t="shared" si="131"/>
        <v>0.05</v>
      </c>
      <c r="N2352" s="475">
        <f t="shared" si="132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30"/>
        <v>-6592560357.5719452</v>
      </c>
      <c r="J2353" s="455">
        <f t="array" ref="J2353">IFERROR(INDEX('Retirement Calculator'!K:K,MATCH('Lorri 401b'!N2353,'Retirement Calculator'!A:A,0),0),0)</f>
        <v>0</v>
      </c>
      <c r="K2353" s="455">
        <f t="shared" ca="1" si="128"/>
        <v>-27469001.489883106</v>
      </c>
      <c r="L2353" s="455">
        <f t="shared" ca="1" si="129"/>
        <v>-6620029359.0618286</v>
      </c>
      <c r="M2353" s="471">
        <f t="shared" si="131"/>
        <v>0.05</v>
      </c>
      <c r="N2353" s="475">
        <f t="shared" si="132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30"/>
        <v>-6620029359.0618286</v>
      </c>
      <c r="J2354" s="455">
        <f t="array" ref="J2354">IFERROR(INDEX('Retirement Calculator'!K:K,MATCH('Lorri 401b'!N2354,'Retirement Calculator'!A:A,0),0),0)</f>
        <v>0</v>
      </c>
      <c r="K2354" s="455">
        <f t="shared" ca="1" si="128"/>
        <v>-27583455.66275762</v>
      </c>
      <c r="L2354" s="455">
        <f t="shared" ca="1" si="129"/>
        <v>-6647612814.7245865</v>
      </c>
      <c r="M2354" s="471">
        <f t="shared" si="131"/>
        <v>0.05</v>
      </c>
      <c r="N2354" s="475">
        <f t="shared" si="132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30"/>
        <v>-6647612814.7245865</v>
      </c>
      <c r="J2355" s="455">
        <f t="array" ref="J2355">IFERROR(INDEX('Retirement Calculator'!K:K,MATCH('Lorri 401b'!N2355,'Retirement Calculator'!A:A,0),0),0)</f>
        <v>0</v>
      </c>
      <c r="K2355" s="455">
        <f t="shared" ca="1" si="128"/>
        <v>-27698386.728019111</v>
      </c>
      <c r="L2355" s="455">
        <f t="shared" ca="1" si="129"/>
        <v>-6675311201.4526052</v>
      </c>
      <c r="M2355" s="471">
        <f t="shared" si="131"/>
        <v>0.05</v>
      </c>
      <c r="N2355" s="475">
        <f t="shared" si="132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30"/>
        <v>-6675311201.4526052</v>
      </c>
      <c r="J2356" s="455">
        <f t="array" ref="J2356">IFERROR(INDEX('Retirement Calculator'!K:K,MATCH('Lorri 401b'!N2356,'Retirement Calculator'!A:A,0),0),0)</f>
        <v>0</v>
      </c>
      <c r="K2356" s="455">
        <f t="shared" ca="1" si="128"/>
        <v>-27813796.672719188</v>
      </c>
      <c r="L2356" s="455">
        <f t="shared" ca="1" si="129"/>
        <v>-6703124998.1253242</v>
      </c>
      <c r="M2356" s="471">
        <f t="shared" si="131"/>
        <v>0.05</v>
      </c>
      <c r="N2356" s="475">
        <f t="shared" si="132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30"/>
        <v>-6703124998.1253242</v>
      </c>
      <c r="J2357" s="455">
        <f t="array" ref="J2357">IFERROR(INDEX('Retirement Calculator'!K:K,MATCH('Lorri 401b'!N2357,'Retirement Calculator'!A:A,0),0),0)</f>
        <v>0</v>
      </c>
      <c r="K2357" s="455">
        <f t="shared" ca="1" si="128"/>
        <v>-27929687.492188845</v>
      </c>
      <c r="L2357" s="455">
        <f t="shared" ca="1" si="129"/>
        <v>-6731054685.6175127</v>
      </c>
      <c r="M2357" s="471">
        <f t="shared" si="131"/>
        <v>0.05</v>
      </c>
      <c r="N2357" s="475">
        <f t="shared" si="132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30"/>
        <v>-6731054685.6175127</v>
      </c>
      <c r="J2358" s="455">
        <f t="array" ref="J2358">IFERROR(INDEX('Retirement Calculator'!K:K,MATCH('Lorri 401b'!N2358,'Retirement Calculator'!A:A,0),0),0)</f>
        <v>0</v>
      </c>
      <c r="K2358" s="455">
        <f t="shared" ca="1" si="128"/>
        <v>-28046061.190072965</v>
      </c>
      <c r="L2358" s="455">
        <f t="shared" ca="1" si="129"/>
        <v>-6759100746.8075857</v>
      </c>
      <c r="M2358" s="471">
        <f t="shared" si="131"/>
        <v>0.05</v>
      </c>
      <c r="N2358" s="475">
        <f t="shared" si="132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30"/>
        <v>-6759100746.8075857</v>
      </c>
      <c r="J2359" s="455">
        <f t="array" ref="J2359">IFERROR(INDEX('Retirement Calculator'!K:K,MATCH('Lorri 401b'!N2359,'Retirement Calculator'!A:A,0),0),0)</f>
        <v>0</v>
      </c>
      <c r="K2359" s="455">
        <f t="shared" ca="1" si="128"/>
        <v>-28162919.778364941</v>
      </c>
      <c r="L2359" s="455">
        <f t="shared" ca="1" si="129"/>
        <v>-6787263666.5859509</v>
      </c>
      <c r="M2359" s="471">
        <f t="shared" si="131"/>
        <v>0.05</v>
      </c>
      <c r="N2359" s="475">
        <f t="shared" si="132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30"/>
        <v>-6787263666.5859509</v>
      </c>
      <c r="J2360" s="455">
        <f t="array" ref="J2360">IFERROR(INDEX('Retirement Calculator'!K:K,MATCH('Lorri 401b'!N2360,'Retirement Calculator'!A:A,0),0),0)</f>
        <v>0</v>
      </c>
      <c r="K2360" s="455">
        <f t="shared" ca="1" si="128"/>
        <v>-28280265.277441461</v>
      </c>
      <c r="L2360" s="455">
        <f t="shared" ca="1" si="129"/>
        <v>-6815543931.8633919</v>
      </c>
      <c r="M2360" s="471">
        <f t="shared" si="131"/>
        <v>0.05</v>
      </c>
      <c r="N2360" s="475">
        <f t="shared" si="132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30"/>
        <v>-6815543931.8633919</v>
      </c>
      <c r="J2361" s="455">
        <f t="array" ref="J2361">IFERROR(INDEX('Retirement Calculator'!K:K,MATCH('Lorri 401b'!N2361,'Retirement Calculator'!A:A,0),0),0)</f>
        <v>0</v>
      </c>
      <c r="K2361" s="455">
        <f t="shared" ca="1" si="128"/>
        <v>-28398099.716097467</v>
      </c>
      <c r="L2361" s="455">
        <f t="shared" ca="1" si="129"/>
        <v>-6843942031.5794897</v>
      </c>
      <c r="M2361" s="471">
        <f t="shared" si="131"/>
        <v>0.05</v>
      </c>
      <c r="N2361" s="475">
        <f t="shared" si="132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30"/>
        <v>-6843942031.5794897</v>
      </c>
      <c r="J2362" s="455">
        <f t="array" ref="J2362">IFERROR(INDEX('Retirement Calculator'!K:K,MATCH('Lorri 401b'!N2362,'Retirement Calculator'!A:A,0),0),0)</f>
        <v>0</v>
      </c>
      <c r="K2362" s="455">
        <f t="shared" ca="1" si="128"/>
        <v>-28516425.13158121</v>
      </c>
      <c r="L2362" s="455">
        <f t="shared" ca="1" si="129"/>
        <v>-6872458456.711071</v>
      </c>
      <c r="M2362" s="471">
        <f t="shared" si="131"/>
        <v>0.05</v>
      </c>
      <c r="N2362" s="475">
        <f t="shared" si="132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30"/>
        <v>-6872458456.711071</v>
      </c>
      <c r="J2363" s="455">
        <f t="array" ref="J2363">IFERROR(INDEX('Retirement Calculator'!K:K,MATCH('Lorri 401b'!N2363,'Retirement Calculator'!A:A,0),0),0)</f>
        <v>0</v>
      </c>
      <c r="K2363" s="455">
        <f t="shared" ca="1" si="128"/>
        <v>-28635243.569629457</v>
      </c>
      <c r="L2363" s="455">
        <f t="shared" ca="1" si="129"/>
        <v>-6901093700.2807007</v>
      </c>
      <c r="M2363" s="471">
        <f t="shared" si="131"/>
        <v>0.05</v>
      </c>
      <c r="N2363" s="475">
        <f t="shared" si="132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30"/>
        <v>-6901093700.2807007</v>
      </c>
      <c r="J2364" s="455">
        <f t="array" ref="J2364">IFERROR(INDEX('Retirement Calculator'!K:K,MATCH('Lorri 401b'!N2364,'Retirement Calculator'!A:A,0),0),0)</f>
        <v>0</v>
      </c>
      <c r="K2364" s="455">
        <f t="shared" ca="1" si="128"/>
        <v>-28754557.084502921</v>
      </c>
      <c r="L2364" s="455">
        <f t="shared" ca="1" si="129"/>
        <v>-6929848257.3652039</v>
      </c>
      <c r="M2364" s="471">
        <f t="shared" si="131"/>
        <v>0.05</v>
      </c>
      <c r="N2364" s="475">
        <f t="shared" si="132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30"/>
        <v>-6929848257.3652039</v>
      </c>
      <c r="J2365" s="455">
        <f t="array" ref="J2365">IFERROR(INDEX('Retirement Calculator'!K:K,MATCH('Lorri 401b'!N2365,'Retirement Calculator'!A:A,0),0),0)</f>
        <v>0</v>
      </c>
      <c r="K2365" s="455">
        <f t="shared" ca="1" si="128"/>
        <v>-28874367.739021681</v>
      </c>
      <c r="L2365" s="455">
        <f t="shared" ca="1" si="129"/>
        <v>-6958722625.1042252</v>
      </c>
      <c r="M2365" s="471">
        <f t="shared" si="131"/>
        <v>0.05</v>
      </c>
      <c r="N2365" s="475">
        <f t="shared" si="132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30"/>
        <v>-6958722625.1042252</v>
      </c>
      <c r="J2366" s="455">
        <f t="array" ref="J2366">IFERROR(INDEX('Retirement Calculator'!K:K,MATCH('Lorri 401b'!N2366,'Retirement Calculator'!A:A,0),0),0)</f>
        <v>0</v>
      </c>
      <c r="K2366" s="455">
        <f t="shared" ca="1" si="128"/>
        <v>-28994677.604600936</v>
      </c>
      <c r="L2366" s="455">
        <f t="shared" ca="1" si="129"/>
        <v>-6987717302.7088261</v>
      </c>
      <c r="M2366" s="471">
        <f t="shared" si="131"/>
        <v>0.05</v>
      </c>
      <c r="N2366" s="475">
        <f t="shared" si="132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30"/>
        <v>-6987717302.7088261</v>
      </c>
      <c r="J2367" s="455">
        <f t="array" ref="J2367">IFERROR(INDEX('Retirement Calculator'!K:K,MATCH('Lorri 401b'!N2367,'Retirement Calculator'!A:A,0),0),0)</f>
        <v>0</v>
      </c>
      <c r="K2367" s="455">
        <f t="shared" ca="1" si="128"/>
        <v>-29115488.761286777</v>
      </c>
      <c r="L2367" s="455">
        <f t="shared" ca="1" si="129"/>
        <v>-7016832791.4701128</v>
      </c>
      <c r="M2367" s="471">
        <f t="shared" si="131"/>
        <v>0.05</v>
      </c>
      <c r="N2367" s="475">
        <f t="shared" si="132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30"/>
        <v>-7016832791.4701128</v>
      </c>
      <c r="J2368" s="455">
        <f t="array" ref="J2368">IFERROR(INDEX('Retirement Calculator'!K:K,MATCH('Lorri 401b'!N2368,'Retirement Calculator'!A:A,0),0),0)</f>
        <v>0</v>
      </c>
      <c r="K2368" s="455">
        <f t="shared" ca="1" si="128"/>
        <v>-29236803.297792133</v>
      </c>
      <c r="L2368" s="455">
        <f t="shared" ca="1" si="129"/>
        <v>-7046069594.7679052</v>
      </c>
      <c r="M2368" s="471">
        <f t="shared" si="131"/>
        <v>0.05</v>
      </c>
      <c r="N2368" s="475">
        <f t="shared" si="132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30"/>
        <v>-7046069594.7679052</v>
      </c>
      <c r="J2369" s="455">
        <f t="array" ref="J2369">IFERROR(INDEX('Retirement Calculator'!K:K,MATCH('Lorri 401b'!N2369,'Retirement Calculator'!A:A,0),0),0)</f>
        <v>0</v>
      </c>
      <c r="K2369" s="455">
        <f t="shared" ca="1" si="128"/>
        <v>-29358623.311532937</v>
      </c>
      <c r="L2369" s="455">
        <f t="shared" ca="1" si="129"/>
        <v>-7075428218.0794382</v>
      </c>
      <c r="M2369" s="471">
        <f t="shared" si="131"/>
        <v>0.05</v>
      </c>
      <c r="N2369" s="475">
        <f t="shared" si="132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30"/>
        <v>-7075428218.0794382</v>
      </c>
      <c r="J2370" s="455">
        <f t="array" ref="J2370">IFERROR(INDEX('Retirement Calculator'!K:K,MATCH('Lorri 401b'!N2370,'Retirement Calculator'!A:A,0),0),0)</f>
        <v>0</v>
      </c>
      <c r="K2370" s="455">
        <f t="shared" ca="1" si="128"/>
        <v>-29480950.908664327</v>
      </c>
      <c r="L2370" s="455">
        <f t="shared" ca="1" si="129"/>
        <v>-7104909168.9881029</v>
      </c>
      <c r="M2370" s="471">
        <f t="shared" si="131"/>
        <v>0.05</v>
      </c>
      <c r="N2370" s="475">
        <f t="shared" si="132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30"/>
        <v>-7104909168.9881029</v>
      </c>
      <c r="J2371" s="455">
        <f t="array" ref="J2371">IFERROR(INDEX('Retirement Calculator'!K:K,MATCH('Lorri 401b'!N2371,'Retirement Calculator'!A:A,0),0),0)</f>
        <v>0</v>
      </c>
      <c r="K2371" s="455">
        <f t="shared" ca="1" si="128"/>
        <v>-29603788.204117101</v>
      </c>
      <c r="L2371" s="455">
        <f t="shared" ca="1" si="129"/>
        <v>-7134512957.1922197</v>
      </c>
      <c r="M2371" s="471">
        <f t="shared" si="131"/>
        <v>0.05</v>
      </c>
      <c r="N2371" s="475">
        <f t="shared" si="132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30"/>
        <v>-7134512957.1922197</v>
      </c>
      <c r="J2372" s="455">
        <f t="array" ref="J2372">IFERROR(INDEX('Retirement Calculator'!K:K,MATCH('Lorri 401b'!N2372,'Retirement Calculator'!A:A,0),0),0)</f>
        <v>0</v>
      </c>
      <c r="K2372" s="455">
        <f t="shared" ca="1" si="128"/>
        <v>-29727137.321634248</v>
      </c>
      <c r="L2372" s="455">
        <f t="shared" ca="1" si="129"/>
        <v>-7164240094.513854</v>
      </c>
      <c r="M2372" s="471">
        <f t="shared" si="131"/>
        <v>0.05</v>
      </c>
      <c r="N2372" s="475">
        <f t="shared" si="132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30"/>
        <v>-7164240094.513854</v>
      </c>
      <c r="J2373" s="455">
        <f t="array" ref="J2373">IFERROR(INDEX('Retirement Calculator'!K:K,MATCH('Lorri 401b'!N2373,'Retirement Calculator'!A:A,0),0),0)</f>
        <v>0</v>
      </c>
      <c r="K2373" s="455">
        <f t="shared" ca="1" si="128"/>
        <v>-29851000.393807728</v>
      </c>
      <c r="L2373" s="455">
        <f t="shared" ca="1" si="129"/>
        <v>-7194091094.9076614</v>
      </c>
      <c r="M2373" s="471">
        <f t="shared" si="131"/>
        <v>0.05</v>
      </c>
      <c r="N2373" s="475">
        <f t="shared" si="132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30"/>
        <v>-7194091094.9076614</v>
      </c>
      <c r="J2374" s="455">
        <f t="array" ref="J2374">IFERROR(INDEX('Retirement Calculator'!K:K,MATCH('Lorri 401b'!N2374,'Retirement Calculator'!A:A,0),0),0)</f>
        <v>0</v>
      </c>
      <c r="K2374" s="455">
        <f t="shared" ca="1" si="128"/>
        <v>-29975379.562115256</v>
      </c>
      <c r="L2374" s="455">
        <f t="shared" ca="1" si="129"/>
        <v>-7224066474.4697771</v>
      </c>
      <c r="M2374" s="471">
        <f t="shared" si="131"/>
        <v>0.05</v>
      </c>
      <c r="N2374" s="475">
        <f t="shared" si="132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30"/>
        <v>-7224066474.4697771</v>
      </c>
      <c r="J2375" s="455">
        <f t="array" ref="J2375">IFERROR(INDEX('Retirement Calculator'!K:K,MATCH('Lorri 401b'!N2375,'Retirement Calculator'!A:A,0),0),0)</f>
        <v>0</v>
      </c>
      <c r="K2375" s="455">
        <f t="shared" ca="1" si="128"/>
        <v>-30100276.976957399</v>
      </c>
      <c r="L2375" s="455">
        <f t="shared" ca="1" si="129"/>
        <v>-7254166751.4467344</v>
      </c>
      <c r="M2375" s="471">
        <f t="shared" si="131"/>
        <v>0.05</v>
      </c>
      <c r="N2375" s="475">
        <f t="shared" si="132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30"/>
        <v>-7254166751.4467344</v>
      </c>
      <c r="J2376" s="455">
        <f t="array" ref="J2376">IFERROR(INDEX('Retirement Calculator'!K:K,MATCH('Lorri 401b'!N2376,'Retirement Calculator'!A:A,0),0),0)</f>
        <v>0</v>
      </c>
      <c r="K2376" s="455">
        <f t="shared" ca="1" si="128"/>
        <v>-30225694.797694728</v>
      </c>
      <c r="L2376" s="455">
        <f t="shared" ca="1" si="129"/>
        <v>-7284392446.2444296</v>
      </c>
      <c r="M2376" s="471">
        <f t="shared" si="131"/>
        <v>0.05</v>
      </c>
      <c r="N2376" s="475">
        <f t="shared" si="132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30"/>
        <v>-7284392446.2444296</v>
      </c>
      <c r="J2377" s="455">
        <f t="array" ref="J2377">IFERROR(INDEX('Retirement Calculator'!K:K,MATCH('Lorri 401b'!N2377,'Retirement Calculator'!A:A,0),0),0)</f>
        <v>0</v>
      </c>
      <c r="K2377" s="455">
        <f t="shared" ca="1" si="128"/>
        <v>-30351635.192685127</v>
      </c>
      <c r="L2377" s="455">
        <f t="shared" ca="1" si="129"/>
        <v>-7314744081.4371147</v>
      </c>
      <c r="M2377" s="471">
        <f t="shared" si="131"/>
        <v>0.05</v>
      </c>
      <c r="N2377" s="475">
        <f t="shared" si="132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30"/>
        <v>-7314744081.4371147</v>
      </c>
      <c r="J2378" s="455">
        <f t="array" ref="J2378">IFERROR(INDEX('Retirement Calculator'!K:K,MATCH('Lorri 401b'!N2378,'Retirement Calculator'!A:A,0),0),0)</f>
        <v>0</v>
      </c>
      <c r="K2378" s="455">
        <f t="shared" ca="1" si="128"/>
        <v>-30478100.339321312</v>
      </c>
      <c r="L2378" s="455">
        <f t="shared" ca="1" si="129"/>
        <v>-7345222181.7764359</v>
      </c>
      <c r="M2378" s="471">
        <f t="shared" si="131"/>
        <v>0.05</v>
      </c>
      <c r="N2378" s="475">
        <f t="shared" si="132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30"/>
        <v>-7345222181.7764359</v>
      </c>
      <c r="J2379" s="455">
        <f t="array" ref="J2379">IFERROR(INDEX('Retirement Calculator'!K:K,MATCH('Lorri 401b'!N2379,'Retirement Calculator'!A:A,0),0),0)</f>
        <v>0</v>
      </c>
      <c r="K2379" s="455">
        <f t="shared" ca="1" si="128"/>
        <v>-30605092.424068481</v>
      </c>
      <c r="L2379" s="455">
        <f t="shared" ca="1" si="129"/>
        <v>-7375827274.2005043</v>
      </c>
      <c r="M2379" s="471">
        <f t="shared" si="131"/>
        <v>0.05</v>
      </c>
      <c r="N2379" s="475">
        <f t="shared" si="132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30"/>
        <v>-7375827274.2005043</v>
      </c>
      <c r="J2380" s="455">
        <f t="array" ref="J2380">IFERROR(INDEX('Retirement Calculator'!K:K,MATCH('Lorri 401b'!N2380,'Retirement Calculator'!A:A,0),0),0)</f>
        <v>0</v>
      </c>
      <c r="K2380" s="455">
        <f t="shared" ca="1" si="128"/>
        <v>-30732613.642502099</v>
      </c>
      <c r="L2380" s="455">
        <f t="shared" ca="1" si="129"/>
        <v>-7406559887.8430061</v>
      </c>
      <c r="M2380" s="471">
        <f t="shared" si="131"/>
        <v>0.05</v>
      </c>
      <c r="N2380" s="475">
        <f t="shared" si="132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30"/>
        <v>-7406559887.8430061</v>
      </c>
      <c r="J2381" s="455">
        <f t="array" ref="J2381">IFERROR(INDEX('Retirement Calculator'!K:K,MATCH('Lorri 401b'!N2381,'Retirement Calculator'!A:A,0),0),0)</f>
        <v>0</v>
      </c>
      <c r="K2381" s="455">
        <f t="shared" ca="1" si="128"/>
        <v>-30860666.199345857</v>
      </c>
      <c r="L2381" s="455">
        <f t="shared" ca="1" si="129"/>
        <v>-7437420554.0423517</v>
      </c>
      <c r="M2381" s="471">
        <f t="shared" si="131"/>
        <v>0.05</v>
      </c>
      <c r="N2381" s="475">
        <f t="shared" si="132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30"/>
        <v>-7437420554.0423517</v>
      </c>
      <c r="J2382" s="455">
        <f t="array" ref="J2382">IFERROR(INDEX('Retirement Calculator'!K:K,MATCH('Lorri 401b'!N2382,'Retirement Calculator'!A:A,0),0),0)</f>
        <v>0</v>
      </c>
      <c r="K2382" s="455">
        <f t="shared" ca="1" si="128"/>
        <v>-30989252.308509797</v>
      </c>
      <c r="L2382" s="455">
        <f t="shared" ca="1" si="129"/>
        <v>-7468409806.3508615</v>
      </c>
      <c r="M2382" s="471">
        <f t="shared" si="131"/>
        <v>0.05</v>
      </c>
      <c r="N2382" s="475">
        <f t="shared" si="132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30"/>
        <v>-7468409806.3508615</v>
      </c>
      <c r="J2383" s="455">
        <f t="array" ref="J2383">IFERROR(INDEX('Retirement Calculator'!K:K,MATCH('Lorri 401b'!N2383,'Retirement Calculator'!A:A,0),0),0)</f>
        <v>0</v>
      </c>
      <c r="K2383" s="455">
        <f t="shared" ca="1" si="128"/>
        <v>-31118374.193128586</v>
      </c>
      <c r="L2383" s="455">
        <f t="shared" ca="1" si="129"/>
        <v>-7499528180.5439901</v>
      </c>
      <c r="M2383" s="471">
        <f t="shared" si="131"/>
        <v>0.05</v>
      </c>
      <c r="N2383" s="475">
        <f t="shared" si="132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30"/>
        <v>-7499528180.5439901</v>
      </c>
      <c r="J2384" s="455">
        <f t="array" ref="J2384">IFERROR(INDEX('Retirement Calculator'!K:K,MATCH('Lorri 401b'!N2384,'Retirement Calculator'!A:A,0),0),0)</f>
        <v>0</v>
      </c>
      <c r="K2384" s="455">
        <f t="shared" ca="1" si="128"/>
        <v>-31248034.085599955</v>
      </c>
      <c r="L2384" s="455">
        <f t="shared" ca="1" si="129"/>
        <v>-7530776214.62959</v>
      </c>
      <c r="M2384" s="471">
        <f t="shared" si="131"/>
        <v>0.05</v>
      </c>
      <c r="N2384" s="475">
        <f t="shared" si="132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30"/>
        <v>-7530776214.62959</v>
      </c>
      <c r="J2385" s="455">
        <f t="array" ref="J2385">IFERROR(INDEX('Retirement Calculator'!K:K,MATCH('Lorri 401b'!N2385,'Retirement Calculator'!A:A,0),0),0)</f>
        <v>0</v>
      </c>
      <c r="K2385" s="455">
        <f t="shared" ca="1" si="128"/>
        <v>-31378234.227623291</v>
      </c>
      <c r="L2385" s="455">
        <f t="shared" ca="1" si="129"/>
        <v>-7562154448.857213</v>
      </c>
      <c r="M2385" s="471">
        <f t="shared" si="131"/>
        <v>0.05</v>
      </c>
      <c r="N2385" s="475">
        <f t="shared" si="132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30"/>
        <v>-7562154448.857213</v>
      </c>
      <c r="J2386" s="455">
        <f t="array" ref="J2386">IFERROR(INDEX('Retirement Calculator'!K:K,MATCH('Lorri 401b'!N2386,'Retirement Calculator'!A:A,0),0),0)</f>
        <v>0</v>
      </c>
      <c r="K2386" s="455">
        <f t="shared" ca="1" si="128"/>
        <v>-31508976.870238386</v>
      </c>
      <c r="L2386" s="455">
        <f t="shared" ca="1" si="129"/>
        <v>-7593663425.7274513</v>
      </c>
      <c r="M2386" s="471">
        <f t="shared" si="131"/>
        <v>0.05</v>
      </c>
      <c r="N2386" s="475">
        <f t="shared" si="132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30"/>
        <v>-7593663425.7274513</v>
      </c>
      <c r="J2387" s="455">
        <f t="array" ref="J2387">IFERROR(INDEX('Retirement Calculator'!K:K,MATCH('Lorri 401b'!N2387,'Retirement Calculator'!A:A,0),0),0)</f>
        <v>0</v>
      </c>
      <c r="K2387" s="455">
        <f t="shared" ca="1" si="128"/>
        <v>-31640264.273864381</v>
      </c>
      <c r="L2387" s="455">
        <f t="shared" ca="1" si="129"/>
        <v>-7625303690.0013161</v>
      </c>
      <c r="M2387" s="471">
        <f t="shared" si="131"/>
        <v>0.05</v>
      </c>
      <c r="N2387" s="475">
        <f t="shared" si="132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30"/>
        <v>-7625303690.0013161</v>
      </c>
      <c r="J2388" s="455">
        <f t="array" ref="J2388">IFERROR(INDEX('Retirement Calculator'!K:K,MATCH('Lorri 401b'!N2388,'Retirement Calculator'!A:A,0),0),0)</f>
        <v>0</v>
      </c>
      <c r="K2388" s="455">
        <f t="shared" ca="1" si="128"/>
        <v>-31772098.708338816</v>
      </c>
      <c r="L2388" s="455">
        <f t="shared" ca="1" si="129"/>
        <v>-7657075788.7096548</v>
      </c>
      <c r="M2388" s="471">
        <f t="shared" si="131"/>
        <v>0.05</v>
      </c>
      <c r="N2388" s="475">
        <f t="shared" si="132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30"/>
        <v>-7657075788.7096548</v>
      </c>
      <c r="J2389" s="455">
        <f t="array" ref="J2389">IFERROR(INDEX('Retirement Calculator'!K:K,MATCH('Lorri 401b'!N2389,'Retirement Calculator'!A:A,0),0),0)</f>
        <v>0</v>
      </c>
      <c r="K2389" s="455">
        <f t="shared" ca="1" si="128"/>
        <v>-31904482.452956896</v>
      </c>
      <c r="L2389" s="455">
        <f t="shared" ca="1" si="129"/>
        <v>-7688980271.162612</v>
      </c>
      <c r="M2389" s="471">
        <f t="shared" si="131"/>
        <v>0.05</v>
      </c>
      <c r="N2389" s="475">
        <f t="shared" si="132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30"/>
        <v>-7688980271.162612</v>
      </c>
      <c r="J2390" s="455">
        <f t="array" ref="J2390">IFERROR(INDEX('Retirement Calculator'!K:K,MATCH('Lorri 401b'!N2390,'Retirement Calculator'!A:A,0),0),0)</f>
        <v>0</v>
      </c>
      <c r="K2390" s="455">
        <f t="shared" ca="1" si="128"/>
        <v>-32037417.796510883</v>
      </c>
      <c r="L2390" s="455">
        <f t="shared" ca="1" si="129"/>
        <v>-7721017688.9591227</v>
      </c>
      <c r="M2390" s="471">
        <f t="shared" si="131"/>
        <v>0.05</v>
      </c>
      <c r="N2390" s="475">
        <f t="shared" si="132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30"/>
        <v>-7721017688.9591227</v>
      </c>
      <c r="J2391" s="455">
        <f t="array" ref="J2391">IFERROR(INDEX('Retirement Calculator'!K:K,MATCH('Lorri 401b'!N2391,'Retirement Calculator'!A:A,0),0),0)</f>
        <v>0</v>
      </c>
      <c r="K2391" s="455">
        <f t="shared" ca="1" si="128"/>
        <v>-32170907.037329677</v>
      </c>
      <c r="L2391" s="455">
        <f t="shared" ca="1" si="129"/>
        <v>-7753188595.9964523</v>
      </c>
      <c r="M2391" s="471">
        <f t="shared" si="131"/>
        <v>0.05</v>
      </c>
      <c r="N2391" s="475">
        <f t="shared" si="132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30"/>
        <v>-7753188595.9964523</v>
      </c>
      <c r="J2392" s="455">
        <f t="array" ref="J2392">IFERROR(INDEX('Retirement Calculator'!K:K,MATCH('Lorri 401b'!N2392,'Retirement Calculator'!A:A,0),0),0)</f>
        <v>0</v>
      </c>
      <c r="K2392" s="455">
        <f t="shared" ca="1" si="128"/>
        <v>-32304952.483318549</v>
      </c>
      <c r="L2392" s="455">
        <f t="shared" ca="1" si="129"/>
        <v>-7785493548.4797707</v>
      </c>
      <c r="M2392" s="471">
        <f t="shared" si="131"/>
        <v>0.05</v>
      </c>
      <c r="N2392" s="475">
        <f t="shared" si="132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30"/>
        <v>-7785493548.4797707</v>
      </c>
      <c r="J2393" s="455">
        <f t="array" ref="J2393">IFERROR(INDEX('Retirement Calculator'!K:K,MATCH('Lorri 401b'!N2393,'Retirement Calculator'!A:A,0),0),0)</f>
        <v>0</v>
      </c>
      <c r="K2393" s="455">
        <f t="shared" ca="1" si="128"/>
        <v>-32439556.451999042</v>
      </c>
      <c r="L2393" s="455">
        <f t="shared" ca="1" si="129"/>
        <v>-7817933104.9317694</v>
      </c>
      <c r="M2393" s="471">
        <f t="shared" si="131"/>
        <v>0.05</v>
      </c>
      <c r="N2393" s="475">
        <f t="shared" si="132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30"/>
        <v>-7817933104.9317694</v>
      </c>
      <c r="J2394" s="455">
        <f t="array" ref="J2394">IFERROR(INDEX('Retirement Calculator'!K:K,MATCH('Lorri 401b'!N2394,'Retirement Calculator'!A:A,0),0),0)</f>
        <v>0</v>
      </c>
      <c r="K2394" s="455">
        <f t="shared" ca="1" si="128"/>
        <v>-32574721.270549044</v>
      </c>
      <c r="L2394" s="455">
        <f t="shared" ca="1" si="129"/>
        <v>-7850507826.2023182</v>
      </c>
      <c r="M2394" s="471">
        <f t="shared" si="131"/>
        <v>0.05</v>
      </c>
      <c r="N2394" s="475">
        <f t="shared" si="132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30"/>
        <v>-7850507826.2023182</v>
      </c>
      <c r="J2395" s="455">
        <f t="array" ref="J2395">IFERROR(INDEX('Retirement Calculator'!K:K,MATCH('Lorri 401b'!N2395,'Retirement Calculator'!A:A,0),0),0)</f>
        <v>0</v>
      </c>
      <c r="K2395" s="455">
        <f t="shared" ca="1" si="128"/>
        <v>-32710449.275842987</v>
      </c>
      <c r="L2395" s="455">
        <f t="shared" ca="1" si="129"/>
        <v>-7883218275.4781609</v>
      </c>
      <c r="M2395" s="471">
        <f t="shared" si="131"/>
        <v>0.05</v>
      </c>
      <c r="N2395" s="475">
        <f t="shared" si="132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30"/>
        <v>-7883218275.4781609</v>
      </c>
      <c r="J2396" s="455">
        <f t="array" ref="J2396">IFERROR(INDEX('Retirement Calculator'!K:K,MATCH('Lorri 401b'!N2396,'Retirement Calculator'!A:A,0),0),0)</f>
        <v>0</v>
      </c>
      <c r="K2396" s="455">
        <f t="shared" ca="1" si="128"/>
        <v>-32846742.814492337</v>
      </c>
      <c r="L2396" s="455">
        <f t="shared" ca="1" si="129"/>
        <v>-7916065018.2926531</v>
      </c>
      <c r="M2396" s="471">
        <f t="shared" si="131"/>
        <v>0.05</v>
      </c>
      <c r="N2396" s="475">
        <f t="shared" si="132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30"/>
        <v>-7916065018.2926531</v>
      </c>
      <c r="J2397" s="455">
        <f t="array" ref="J2397">IFERROR(INDEX('Retirement Calculator'!K:K,MATCH('Lorri 401b'!N2397,'Retirement Calculator'!A:A,0),0),0)</f>
        <v>0</v>
      </c>
      <c r="K2397" s="455">
        <f t="shared" ca="1" si="128"/>
        <v>-32983604.242886059</v>
      </c>
      <c r="L2397" s="455">
        <f t="shared" ca="1" si="129"/>
        <v>-7949048622.5355387</v>
      </c>
      <c r="M2397" s="471">
        <f t="shared" si="131"/>
        <v>0.05</v>
      </c>
      <c r="N2397" s="475">
        <f t="shared" si="132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30"/>
        <v>-7949048622.5355387</v>
      </c>
      <c r="J2398" s="455">
        <f t="array" ref="J2398">IFERROR(INDEX('Retirement Calculator'!K:K,MATCH('Lorri 401b'!N2398,'Retirement Calculator'!A:A,0),0),0)</f>
        <v>0</v>
      </c>
      <c r="K2398" s="455">
        <f t="shared" ca="1" si="128"/>
        <v>-33121035.927231416</v>
      </c>
      <c r="L2398" s="455">
        <f t="shared" ca="1" si="129"/>
        <v>-7982169658.4627705</v>
      </c>
      <c r="M2398" s="471">
        <f t="shared" si="131"/>
        <v>0.05</v>
      </c>
      <c r="N2398" s="475">
        <f t="shared" si="132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30"/>
        <v>-7982169658.4627705</v>
      </c>
      <c r="J2399" s="455">
        <f t="array" ref="J2399">IFERROR(INDEX('Retirement Calculator'!K:K,MATCH('Lorri 401b'!N2399,'Retirement Calculator'!A:A,0),0),0)</f>
        <v>0</v>
      </c>
      <c r="K2399" s="455">
        <f t="shared" ca="1" si="128"/>
        <v>-33259040.243594881</v>
      </c>
      <c r="L2399" s="455">
        <f t="shared" ca="1" si="129"/>
        <v>-8015428698.7063656</v>
      </c>
      <c r="M2399" s="471">
        <f t="shared" si="131"/>
        <v>0.05</v>
      </c>
      <c r="N2399" s="475">
        <f t="shared" si="132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30"/>
        <v>-8015428698.7063656</v>
      </c>
      <c r="J2400" s="455">
        <f t="array" ref="J2400">IFERROR(INDEX('Retirement Calculator'!K:K,MATCH('Lorri 401b'!N2400,'Retirement Calculator'!A:A,0),0),0)</f>
        <v>0</v>
      </c>
      <c r="K2400" s="455">
        <f t="shared" ca="1" si="128"/>
        <v>-33397619.577943195</v>
      </c>
      <c r="L2400" s="455">
        <f t="shared" ca="1" si="129"/>
        <v>-8048826318.2843084</v>
      </c>
      <c r="M2400" s="471">
        <f t="shared" si="131"/>
        <v>0.05</v>
      </c>
      <c r="N2400" s="475">
        <f t="shared" si="132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30"/>
        <v>-8048826318.2843084</v>
      </c>
      <c r="J2401" s="455">
        <f t="array" ref="J2401">IFERROR(INDEX('Retirement Calculator'!K:K,MATCH('Lorri 401b'!N2401,'Retirement Calculator'!A:A,0),0),0)</f>
        <v>0</v>
      </c>
      <c r="K2401" s="455">
        <f t="shared" ca="1" si="128"/>
        <v>-33536776.326184615</v>
      </c>
      <c r="L2401" s="455">
        <f t="shared" ca="1" si="129"/>
        <v>-8082363094.6104927</v>
      </c>
      <c r="M2401" s="471">
        <f t="shared" si="131"/>
        <v>0.05</v>
      </c>
      <c r="N2401" s="475">
        <f t="shared" si="132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30"/>
        <v>-8082363094.6104927</v>
      </c>
      <c r="J2402" s="455">
        <f t="array" ref="J2402">IFERROR(INDEX('Retirement Calculator'!K:K,MATCH('Lorri 401b'!N2402,'Retirement Calculator'!A:A,0),0),0)</f>
        <v>0</v>
      </c>
      <c r="K2402" s="455">
        <f t="shared" ca="1" si="128"/>
        <v>-33676512.894210383</v>
      </c>
      <c r="L2402" s="455">
        <f t="shared" ca="1" si="129"/>
        <v>-8116039607.5047035</v>
      </c>
      <c r="M2402" s="471">
        <f t="shared" si="131"/>
        <v>0.05</v>
      </c>
      <c r="N2402" s="475">
        <f t="shared" si="132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30"/>
        <v>-8116039607.5047035</v>
      </c>
      <c r="J2403" s="455">
        <f t="array" ref="J2403">IFERROR(INDEX('Retirement Calculator'!K:K,MATCH('Lorri 401b'!N2403,'Retirement Calculator'!A:A,0),0),0)</f>
        <v>0</v>
      </c>
      <c r="K2403" s="455">
        <f t="shared" ca="1" si="128"/>
        <v>-33816831.697936267</v>
      </c>
      <c r="L2403" s="455">
        <f t="shared" ca="1" si="129"/>
        <v>-8149856439.2026396</v>
      </c>
      <c r="M2403" s="471">
        <f t="shared" si="131"/>
        <v>0.05</v>
      </c>
      <c r="N2403" s="475">
        <f t="shared" si="132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30"/>
        <v>-8149856439.2026396</v>
      </c>
      <c r="J2404" s="455">
        <f t="array" ref="J2404">IFERROR(INDEX('Retirement Calculator'!K:K,MATCH('Lorri 401b'!N2404,'Retirement Calculator'!A:A,0),0),0)</f>
        <v>0</v>
      </c>
      <c r="K2404" s="455">
        <f t="shared" ca="1" si="128"/>
        <v>-33957735.163344339</v>
      </c>
      <c r="L2404" s="455">
        <f t="shared" ca="1" si="129"/>
        <v>-8183814174.365984</v>
      </c>
      <c r="M2404" s="471">
        <f t="shared" si="131"/>
        <v>0.05</v>
      </c>
      <c r="N2404" s="475">
        <f t="shared" si="132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30"/>
        <v>-8183814174.365984</v>
      </c>
      <c r="J2405" s="455">
        <f t="array" ref="J2405">IFERROR(INDEX('Retirement Calculator'!K:K,MATCH('Lorri 401b'!N2405,'Retirement Calculator'!A:A,0),0),0)</f>
        <v>0</v>
      </c>
      <c r="K2405" s="455">
        <f t="shared" ca="1" si="128"/>
        <v>-34099225.726524934</v>
      </c>
      <c r="L2405" s="455">
        <f t="shared" ca="1" si="129"/>
        <v>-8217913400.0925093</v>
      </c>
      <c r="M2405" s="471">
        <f t="shared" si="131"/>
        <v>0.05</v>
      </c>
      <c r="N2405" s="475">
        <f t="shared" si="132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30"/>
        <v>-8217913400.0925093</v>
      </c>
      <c r="J2406" s="455">
        <f t="array" ref="J2406">IFERROR(INDEX('Retirement Calculator'!K:K,MATCH('Lorri 401b'!N2406,'Retirement Calculator'!A:A,0),0),0)</f>
        <v>0</v>
      </c>
      <c r="K2406" s="455">
        <f t="shared" ca="1" si="128"/>
        <v>-34241305.833718792</v>
      </c>
      <c r="L2406" s="455">
        <f t="shared" ca="1" si="129"/>
        <v>-8252154705.9262285</v>
      </c>
      <c r="M2406" s="471">
        <f t="shared" si="131"/>
        <v>0.05</v>
      </c>
      <c r="N2406" s="475">
        <f t="shared" si="132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30"/>
        <v>-8252154705.9262285</v>
      </c>
      <c r="J2407" s="455">
        <f t="array" ref="J2407">IFERROR(INDEX('Retirement Calculator'!K:K,MATCH('Lorri 401b'!N2407,'Retirement Calculator'!A:A,0),0),0)</f>
        <v>0</v>
      </c>
      <c r="K2407" s="455">
        <f t="shared" ca="1" si="128"/>
        <v>-34383977.941359282</v>
      </c>
      <c r="L2407" s="455">
        <f t="shared" ca="1" si="129"/>
        <v>-8286538683.867588</v>
      </c>
      <c r="M2407" s="471">
        <f t="shared" si="131"/>
        <v>0.05</v>
      </c>
      <c r="N2407" s="475">
        <f t="shared" si="132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30"/>
        <v>-8286538683.867588</v>
      </c>
      <c r="J2408" s="455">
        <f t="array" ref="J2408">IFERROR(INDEX('Retirement Calculator'!K:K,MATCH('Lorri 401b'!N2408,'Retirement Calculator'!A:A,0),0),0)</f>
        <v>0</v>
      </c>
      <c r="K2408" s="455">
        <f t="shared" ca="1" si="128"/>
        <v>-34527244.51611495</v>
      </c>
      <c r="L2408" s="455">
        <f t="shared" ca="1" si="129"/>
        <v>-8321065928.3837032</v>
      </c>
      <c r="M2408" s="471">
        <f t="shared" si="131"/>
        <v>0.05</v>
      </c>
      <c r="N2408" s="475">
        <f t="shared" si="132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30"/>
        <v>-8321065928.3837032</v>
      </c>
      <c r="J2409" s="455">
        <f t="array" ref="J2409">IFERROR(INDEX('Retirement Calculator'!K:K,MATCH('Lorri 401b'!N2409,'Retirement Calculator'!A:A,0),0),0)</f>
        <v>0</v>
      </c>
      <c r="K2409" s="455">
        <f t="shared" ca="1" si="128"/>
        <v>-34671108.034932099</v>
      </c>
      <c r="L2409" s="455">
        <f t="shared" ca="1" si="129"/>
        <v>-8355737036.4186354</v>
      </c>
      <c r="M2409" s="471">
        <f t="shared" si="131"/>
        <v>0.05</v>
      </c>
      <c r="N2409" s="475">
        <f t="shared" si="132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30"/>
        <v>-8355737036.4186354</v>
      </c>
      <c r="J2410" s="455">
        <f t="array" ref="J2410">IFERROR(INDEX('Retirement Calculator'!K:K,MATCH('Lorri 401b'!N2410,'Retirement Calculator'!A:A,0),0),0)</f>
        <v>0</v>
      </c>
      <c r="K2410" s="455">
        <f t="shared" ca="1" si="128"/>
        <v>-34815570.985077649</v>
      </c>
      <c r="L2410" s="455">
        <f t="shared" ca="1" si="129"/>
        <v>-8390552607.4037132</v>
      </c>
      <c r="M2410" s="471">
        <f t="shared" si="131"/>
        <v>0.05</v>
      </c>
      <c r="N2410" s="475">
        <f t="shared" si="132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30"/>
        <v>-8390552607.4037132</v>
      </c>
      <c r="J2411" s="455">
        <f t="array" ref="J2411">IFERROR(INDEX('Retirement Calculator'!K:K,MATCH('Lorri 401b'!N2411,'Retirement Calculator'!A:A,0),0),0)</f>
        <v>0</v>
      </c>
      <c r="K2411" s="455">
        <f t="shared" ca="1" si="128"/>
        <v>-34960635.864182137</v>
      </c>
      <c r="L2411" s="455">
        <f t="shared" ca="1" si="129"/>
        <v>-8425513243.2678957</v>
      </c>
      <c r="M2411" s="471">
        <f t="shared" si="131"/>
        <v>0.05</v>
      </c>
      <c r="N2411" s="475">
        <f t="shared" si="132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30"/>
        <v>-8425513243.2678957</v>
      </c>
      <c r="J2412" s="455">
        <f t="array" ref="J2412">IFERROR(INDEX('Retirement Calculator'!K:K,MATCH('Lorri 401b'!N2412,'Retirement Calculator'!A:A,0),0),0)</f>
        <v>0</v>
      </c>
      <c r="K2412" s="455">
        <f t="shared" ca="1" si="128"/>
        <v>-35106305.180282898</v>
      </c>
      <c r="L2412" s="455">
        <f t="shared" ca="1" si="129"/>
        <v>-8460619548.4481783</v>
      </c>
      <c r="M2412" s="471">
        <f t="shared" si="131"/>
        <v>0.05</v>
      </c>
      <c r="N2412" s="475">
        <f t="shared" si="132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30"/>
        <v>-8460619548.4481783</v>
      </c>
      <c r="J2413" s="455">
        <f t="array" ref="J2413">IFERROR(INDEX('Retirement Calculator'!K:K,MATCH('Lorri 401b'!N2413,'Retirement Calculator'!A:A,0),0),0)</f>
        <v>0</v>
      </c>
      <c r="K2413" s="455">
        <f t="shared" ca="1" si="128"/>
        <v>-35252581.451867402</v>
      </c>
      <c r="L2413" s="455">
        <f t="shared" ca="1" si="129"/>
        <v>-8495872129.9000454</v>
      </c>
      <c r="M2413" s="471">
        <f t="shared" si="131"/>
        <v>0.05</v>
      </c>
      <c r="N2413" s="475">
        <f t="shared" si="132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30"/>
        <v>-8495872129.9000454</v>
      </c>
      <c r="J2414" s="455">
        <f t="array" ref="J2414">IFERROR(INDEX('Retirement Calculator'!K:K,MATCH('Lorri 401b'!N2414,'Retirement Calculator'!A:A,0),0),0)</f>
        <v>0</v>
      </c>
      <c r="K2414" s="455">
        <f t="shared" ca="1" si="128"/>
        <v>-35399467.207916856</v>
      </c>
      <c r="L2414" s="455">
        <f t="shared" ca="1" si="129"/>
        <v>-8531271597.1079626</v>
      </c>
      <c r="M2414" s="471">
        <f t="shared" si="131"/>
        <v>0.05</v>
      </c>
      <c r="N2414" s="475">
        <f t="shared" si="132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30"/>
        <v>-8531271597.1079626</v>
      </c>
      <c r="J2415" s="455">
        <f t="array" ref="J2415">IFERROR(INDEX('Retirement Calculator'!K:K,MATCH('Lorri 401b'!N2415,'Retirement Calculator'!A:A,0),0),0)</f>
        <v>0</v>
      </c>
      <c r="K2415" s="455">
        <f t="shared" ca="1" si="128"/>
        <v>-35546964.987949841</v>
      </c>
      <c r="L2415" s="455">
        <f t="shared" ca="1" si="129"/>
        <v>-8566818562.095912</v>
      </c>
      <c r="M2415" s="471">
        <f t="shared" si="131"/>
        <v>0.05</v>
      </c>
      <c r="N2415" s="475">
        <f t="shared" si="132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30"/>
        <v>-8566818562.095912</v>
      </c>
      <c r="J2416" s="455">
        <f t="array" ref="J2416">IFERROR(INDEX('Retirement Calculator'!K:K,MATCH('Lorri 401b'!N2416,'Retirement Calculator'!A:A,0),0),0)</f>
        <v>0</v>
      </c>
      <c r="K2416" s="455">
        <f t="shared" ca="1" si="128"/>
        <v>-35695077.342066303</v>
      </c>
      <c r="L2416" s="455">
        <f t="shared" ca="1" si="129"/>
        <v>-8602513639.4379787</v>
      </c>
      <c r="M2416" s="471">
        <f t="shared" si="131"/>
        <v>0.05</v>
      </c>
      <c r="N2416" s="475">
        <f t="shared" si="132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30"/>
        <v>-8602513639.4379787</v>
      </c>
      <c r="J2417" s="455">
        <f t="array" ref="J2417">IFERROR(INDEX('Retirement Calculator'!K:K,MATCH('Lorri 401b'!N2417,'Retirement Calculator'!A:A,0),0),0)</f>
        <v>0</v>
      </c>
      <c r="K2417" s="455">
        <f t="shared" ca="1" si="128"/>
        <v>-35843806.830991581</v>
      </c>
      <c r="L2417" s="455">
        <f t="shared" ca="1" si="129"/>
        <v>-8638357446.2689705</v>
      </c>
      <c r="M2417" s="471">
        <f t="shared" si="131"/>
        <v>0.05</v>
      </c>
      <c r="N2417" s="475">
        <f t="shared" si="132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30"/>
        <v>-8638357446.2689705</v>
      </c>
      <c r="J2418" s="455">
        <f t="array" ref="J2418">IFERROR(INDEX('Retirement Calculator'!K:K,MATCH('Lorri 401b'!N2418,'Retirement Calculator'!A:A,0),0),0)</f>
        <v>0</v>
      </c>
      <c r="K2418" s="455">
        <f t="shared" ca="1" si="128"/>
        <v>-35993156.026120707</v>
      </c>
      <c r="L2418" s="455">
        <f t="shared" ca="1" si="129"/>
        <v>-8674350602.2950916</v>
      </c>
      <c r="M2418" s="471">
        <f t="shared" si="131"/>
        <v>0.05</v>
      </c>
      <c r="N2418" s="475">
        <f t="shared" si="132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30"/>
        <v>-8674350602.2950916</v>
      </c>
      <c r="J2419" s="455">
        <f t="array" ref="J2419">IFERROR(INDEX('Retirement Calculator'!K:K,MATCH('Lorri 401b'!N2419,'Retirement Calculator'!A:A,0),0),0)</f>
        <v>0</v>
      </c>
      <c r="K2419" s="455">
        <f t="shared" ca="1" si="128"/>
        <v>-36143127.50956288</v>
      </c>
      <c r="L2419" s="455">
        <f t="shared" ca="1" si="129"/>
        <v>-8710493729.8046551</v>
      </c>
      <c r="M2419" s="471">
        <f t="shared" si="131"/>
        <v>0.05</v>
      </c>
      <c r="N2419" s="475">
        <f t="shared" si="132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30"/>
        <v>-8710493729.8046551</v>
      </c>
      <c r="J2420" s="455">
        <f t="array" ref="J2420">IFERROR(INDEX('Retirement Calculator'!K:K,MATCH('Lorri 401b'!N2420,'Retirement Calculator'!A:A,0),0),0)</f>
        <v>0</v>
      </c>
      <c r="K2420" s="455">
        <f t="shared" ca="1" si="128"/>
        <v>-36293723.874186061</v>
      </c>
      <c r="L2420" s="455">
        <f t="shared" ca="1" si="129"/>
        <v>-8746787453.6788406</v>
      </c>
      <c r="M2420" s="471">
        <f t="shared" si="131"/>
        <v>0.05</v>
      </c>
      <c r="N2420" s="475">
        <f t="shared" si="132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30"/>
        <v>-8746787453.6788406</v>
      </c>
      <c r="J2421" s="455">
        <f t="array" ref="J2421">IFERROR(INDEX('Retirement Calculator'!K:K,MATCH('Lorri 401b'!N2421,'Retirement Calculator'!A:A,0),0),0)</f>
        <v>0</v>
      </c>
      <c r="K2421" s="455">
        <f t="shared" ca="1" si="128"/>
        <v>-36444947.723661833</v>
      </c>
      <c r="L2421" s="455">
        <f t="shared" ca="1" si="129"/>
        <v>-8783232401.4025021</v>
      </c>
      <c r="M2421" s="471">
        <f t="shared" si="131"/>
        <v>0.05</v>
      </c>
      <c r="N2421" s="475">
        <f t="shared" si="132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30"/>
        <v>-8783232401.4025021</v>
      </c>
      <c r="J2422" s="455">
        <f t="array" ref="J2422">IFERROR(INDEX('Retirement Calculator'!K:K,MATCH('Lorri 401b'!N2422,'Retirement Calculator'!A:A,0),0),0)</f>
        <v>0</v>
      </c>
      <c r="K2422" s="455">
        <f t="shared" ca="1" si="128"/>
        <v>-36596801.672510423</v>
      </c>
      <c r="L2422" s="455">
        <f t="shared" ca="1" si="129"/>
        <v>-8819829203.0750122</v>
      </c>
      <c r="M2422" s="471">
        <f t="shared" si="131"/>
        <v>0.05</v>
      </c>
      <c r="N2422" s="475">
        <f t="shared" si="132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30"/>
        <v>-8819829203.0750122</v>
      </c>
      <c r="J2423" s="455">
        <f t="array" ref="J2423">IFERROR(INDEX('Retirement Calculator'!K:K,MATCH('Lorri 401b'!N2423,'Retirement Calculator'!A:A,0),0),0)</f>
        <v>0</v>
      </c>
      <c r="K2423" s="455">
        <f t="shared" ca="1" si="128"/>
        <v>-36749288.346145883</v>
      </c>
      <c r="L2423" s="455">
        <f t="shared" ca="1" si="129"/>
        <v>-8856578491.4211578</v>
      </c>
      <c r="M2423" s="471">
        <f t="shared" si="131"/>
        <v>0.05</v>
      </c>
      <c r="N2423" s="475">
        <f t="shared" si="132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30"/>
        <v>-8856578491.4211578</v>
      </c>
      <c r="J2424" s="455">
        <f t="array" ref="J2424">IFERROR(INDEX('Retirement Calculator'!K:K,MATCH('Lorri 401b'!N2424,'Retirement Calculator'!A:A,0),0),0)</f>
        <v>0</v>
      </c>
      <c r="K2424" s="455">
        <f t="shared" ca="1" si="128"/>
        <v>-36902410.38092149</v>
      </c>
      <c r="L2424" s="455">
        <f t="shared" ca="1" si="129"/>
        <v>-8893480901.8020802</v>
      </c>
      <c r="M2424" s="471">
        <f t="shared" si="131"/>
        <v>0.05</v>
      </c>
      <c r="N2424" s="475">
        <f t="shared" si="132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30"/>
        <v>-8893480901.8020802</v>
      </c>
      <c r="J2425" s="455">
        <f t="array" ref="J2425">IFERROR(INDEX('Retirement Calculator'!K:K,MATCH('Lorri 401b'!N2425,'Retirement Calculator'!A:A,0),0),0)</f>
        <v>0</v>
      </c>
      <c r="K2425" s="455">
        <f t="shared" ca="1" si="128"/>
        <v>-37056170.424175337</v>
      </c>
      <c r="L2425" s="455">
        <f t="shared" ca="1" si="129"/>
        <v>-8930537072.2262554</v>
      </c>
      <c r="M2425" s="471">
        <f t="shared" si="131"/>
        <v>0.05</v>
      </c>
      <c r="N2425" s="475">
        <f t="shared" si="132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30"/>
        <v>-8930537072.2262554</v>
      </c>
      <c r="J2426" s="455">
        <f t="array" ref="J2426">IFERROR(INDEX('Retirement Calculator'!K:K,MATCH('Lorri 401b'!N2426,'Retirement Calculator'!A:A,0),0),0)</f>
        <v>0</v>
      </c>
      <c r="K2426" s="455">
        <f t="shared" ca="1" si="128"/>
        <v>-37210571.134276062</v>
      </c>
      <c r="L2426" s="455">
        <f t="shared" ca="1" si="129"/>
        <v>-8967747643.3605309</v>
      </c>
      <c r="M2426" s="471">
        <f t="shared" si="131"/>
        <v>0.05</v>
      </c>
      <c r="N2426" s="475">
        <f t="shared" si="132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30"/>
        <v>-8967747643.3605309</v>
      </c>
      <c r="J2427" s="455">
        <f t="array" ref="J2427">IFERROR(INDEX('Retirement Calculator'!K:K,MATCH('Lorri 401b'!N2427,'Retirement Calculator'!A:A,0),0),0)</f>
        <v>0</v>
      </c>
      <c r="K2427" s="455">
        <f t="shared" ca="1" si="128"/>
        <v>-37365615.180668876</v>
      </c>
      <c r="L2427" s="455">
        <f t="shared" ca="1" si="129"/>
        <v>-9005113258.5412006</v>
      </c>
      <c r="M2427" s="471">
        <f t="shared" si="131"/>
        <v>0.05</v>
      </c>
      <c r="N2427" s="475">
        <f t="shared" si="132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30"/>
        <v>-9005113258.5412006</v>
      </c>
      <c r="J2428" s="455">
        <f t="array" ref="J2428">IFERROR(INDEX('Retirement Calculator'!K:K,MATCH('Lorri 401b'!N2428,'Retirement Calculator'!A:A,0),0),0)</f>
        <v>0</v>
      </c>
      <c r="K2428" s="455">
        <f t="shared" ca="1" si="128"/>
        <v>-37521305.243921667</v>
      </c>
      <c r="L2428" s="455">
        <f t="shared" ca="1" si="129"/>
        <v>-9042634563.7851219</v>
      </c>
      <c r="M2428" s="471">
        <f t="shared" si="131"/>
        <v>0.05</v>
      </c>
      <c r="N2428" s="475">
        <f t="shared" si="132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30"/>
        <v>-9042634563.7851219</v>
      </c>
      <c r="J2429" s="455">
        <f t="array" ref="J2429">IFERROR(INDEX('Retirement Calculator'!K:K,MATCH('Lorri 401b'!N2429,'Retirement Calculator'!A:A,0),0),0)</f>
        <v>0</v>
      </c>
      <c r="K2429" s="455">
        <f t="shared" ca="1" si="128"/>
        <v>-37677644.015771344</v>
      </c>
      <c r="L2429" s="455">
        <f t="shared" ca="1" si="129"/>
        <v>-9080312207.8008938</v>
      </c>
      <c r="M2429" s="471">
        <f t="shared" si="131"/>
        <v>0.05</v>
      </c>
      <c r="N2429" s="475">
        <f t="shared" si="132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30"/>
        <v>-9080312207.8008938</v>
      </c>
      <c r="J2430" s="455">
        <f t="array" ref="J2430">IFERROR(INDEX('Retirement Calculator'!K:K,MATCH('Lorri 401b'!N2430,'Retirement Calculator'!A:A,0),0),0)</f>
        <v>0</v>
      </c>
      <c r="K2430" s="455">
        <f t="shared" ca="1" si="128"/>
        <v>-37834634.199170388</v>
      </c>
      <c r="L2430" s="455">
        <f t="shared" ca="1" si="129"/>
        <v>-9118146842.0000648</v>
      </c>
      <c r="M2430" s="471">
        <f t="shared" si="131"/>
        <v>0.05</v>
      </c>
      <c r="N2430" s="475">
        <f t="shared" si="132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30"/>
        <v>-9118146842.0000648</v>
      </c>
      <c r="J2431" s="455">
        <f t="array" ref="J2431">IFERROR(INDEX('Retirement Calculator'!K:K,MATCH('Lorri 401b'!N2431,'Retirement Calculator'!A:A,0),0),0)</f>
        <v>0</v>
      </c>
      <c r="K2431" s="455">
        <f t="shared" ca="1" si="128"/>
        <v>-37992278.508333601</v>
      </c>
      <c r="L2431" s="455">
        <f t="shared" ca="1" si="129"/>
        <v>-9156139120.5083981</v>
      </c>
      <c r="M2431" s="471">
        <f t="shared" si="131"/>
        <v>0.05</v>
      </c>
      <c r="N2431" s="475">
        <f t="shared" si="132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30"/>
        <v>-9156139120.5083981</v>
      </c>
      <c r="J2432" s="455">
        <f t="array" ref="J2432">IFERROR(INDEX('Retirement Calculator'!K:K,MATCH('Lorri 401b'!N2432,'Retirement Calculator'!A:A,0),0),0)</f>
        <v>0</v>
      </c>
      <c r="K2432" s="455">
        <f t="shared" ca="1" si="128"/>
        <v>-38150579.668784991</v>
      </c>
      <c r="L2432" s="455">
        <f t="shared" ca="1" si="129"/>
        <v>-9194289700.1771832</v>
      </c>
      <c r="M2432" s="471">
        <f t="shared" si="131"/>
        <v>0.05</v>
      </c>
      <c r="N2432" s="475">
        <f t="shared" si="132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30"/>
        <v>-9194289700.1771832</v>
      </c>
      <c r="J2433" s="455">
        <f t="array" ref="J2433">IFERROR(INDEX('Retirement Calculator'!K:K,MATCH('Lorri 401b'!N2433,'Retirement Calculator'!A:A,0),0),0)</f>
        <v>0</v>
      </c>
      <c r="K2433" s="455">
        <f t="shared" ca="1" si="128"/>
        <v>-38309540.417404927</v>
      </c>
      <c r="L2433" s="455">
        <f t="shared" ca="1" si="129"/>
        <v>-9232599240.5945873</v>
      </c>
      <c r="M2433" s="471">
        <f t="shared" si="131"/>
        <v>0.05</v>
      </c>
      <c r="N2433" s="475">
        <f t="shared" si="132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30"/>
        <v>-9232599240.5945873</v>
      </c>
      <c r="J2434" s="455">
        <f t="array" ref="J2434">IFERROR(INDEX('Retirement Calculator'!K:K,MATCH('Lorri 401b'!N2434,'Retirement Calculator'!A:A,0),0),0)</f>
        <v>0</v>
      </c>
      <c r="K2434" s="455">
        <f t="shared" ca="1" si="128"/>
        <v>-38469163.502477445</v>
      </c>
      <c r="L2434" s="455">
        <f t="shared" ca="1" si="129"/>
        <v>-9271068404.097065</v>
      </c>
      <c r="M2434" s="471">
        <f t="shared" si="131"/>
        <v>0.05</v>
      </c>
      <c r="N2434" s="475">
        <f t="shared" si="132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30"/>
        <v>-9271068404.097065</v>
      </c>
      <c r="J2435" s="455">
        <f t="array" ref="J2435">IFERROR(INDEX('Retirement Calculator'!K:K,MATCH('Lorri 401b'!N2435,'Retirement Calculator'!A:A,0),0),0)</f>
        <v>0</v>
      </c>
      <c r="K2435" s="455">
        <f t="shared" ca="1" si="128"/>
        <v>-38629451.68373777</v>
      </c>
      <c r="L2435" s="455">
        <f t="shared" ca="1" si="129"/>
        <v>-9309697855.7808037</v>
      </c>
      <c r="M2435" s="471">
        <f t="shared" si="131"/>
        <v>0.05</v>
      </c>
      <c r="N2435" s="475">
        <f t="shared" si="132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30"/>
        <v>-9309697855.7808037</v>
      </c>
      <c r="J2436" s="455">
        <f t="array" ref="J2436">IFERROR(INDEX('Retirement Calculator'!K:K,MATCH('Lorri 401b'!N2436,'Retirement Calculator'!A:A,0),0),0)</f>
        <v>0</v>
      </c>
      <c r="K2436" s="455">
        <f t="shared" ca="1" si="128"/>
        <v>-38790407.732420012</v>
      </c>
      <c r="L2436" s="455">
        <f t="shared" ca="1" si="129"/>
        <v>-9348488263.5132236</v>
      </c>
      <c r="M2436" s="471">
        <f t="shared" si="131"/>
        <v>0.05</v>
      </c>
      <c r="N2436" s="475">
        <f t="shared" si="132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30"/>
        <v>-9348488263.5132236</v>
      </c>
      <c r="J2437" s="455">
        <f t="array" ref="J2437">IFERROR(INDEX('Retirement Calculator'!K:K,MATCH('Lorri 401b'!N2437,'Retirement Calculator'!A:A,0),0),0)</f>
        <v>0</v>
      </c>
      <c r="K2437" s="455">
        <f t="shared" ca="1" si="128"/>
        <v>-38952034.431305096</v>
      </c>
      <c r="L2437" s="455">
        <f t="shared" ca="1" si="129"/>
        <v>-9387440297.9445286</v>
      </c>
      <c r="M2437" s="471">
        <f t="shared" si="131"/>
        <v>0.05</v>
      </c>
      <c r="N2437" s="475">
        <f t="shared" si="132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30"/>
        <v>-9387440297.9445286</v>
      </c>
      <c r="J2438" s="455">
        <f t="array" ref="J2438">IFERROR(INDEX('Retirement Calculator'!K:K,MATCH('Lorri 401b'!N2438,'Retirement Calculator'!A:A,0),0),0)</f>
        <v>0</v>
      </c>
      <c r="K2438" s="455">
        <f t="shared" ca="1" si="128"/>
        <v>-39114334.574768871</v>
      </c>
      <c r="L2438" s="455">
        <f t="shared" ca="1" si="129"/>
        <v>-9426554632.5192966</v>
      </c>
      <c r="M2438" s="471">
        <f t="shared" si="131"/>
        <v>0.05</v>
      </c>
      <c r="N2438" s="475">
        <f t="shared" si="132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30"/>
        <v>-9426554632.5192966</v>
      </c>
      <c r="J2439" s="455">
        <f t="array" ref="J2439">IFERROR(INDEX('Retirement Calculator'!K:K,MATCH('Lorri 401b'!N2439,'Retirement Calculator'!A:A,0),0),0)</f>
        <v>0</v>
      </c>
      <c r="K2439" s="455">
        <f t="shared" ca="1" si="128"/>
        <v>-39277310.968830399</v>
      </c>
      <c r="L2439" s="455">
        <f t="shared" ca="1" si="129"/>
        <v>-9465831943.4881268</v>
      </c>
      <c r="M2439" s="471">
        <f t="shared" si="131"/>
        <v>0.05</v>
      </c>
      <c r="N2439" s="475">
        <f t="shared" si="132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30"/>
        <v>-9465831943.4881268</v>
      </c>
      <c r="J2440" s="455">
        <f t="array" ref="J2440">IFERROR(INDEX('Retirement Calculator'!K:K,MATCH('Lorri 401b'!N2440,'Retirement Calculator'!A:A,0),0),0)</f>
        <v>0</v>
      </c>
      <c r="K2440" s="455">
        <f t="shared" ca="1" si="128"/>
        <v>-39440966.431200527</v>
      </c>
      <c r="L2440" s="455">
        <f t="shared" ca="1" si="129"/>
        <v>-9505272909.9193268</v>
      </c>
      <c r="M2440" s="471">
        <f t="shared" si="131"/>
        <v>0.05</v>
      </c>
      <c r="N2440" s="475">
        <f t="shared" si="132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30"/>
        <v>-9505272909.9193268</v>
      </c>
      <c r="J2441" s="455">
        <f t="array" ref="J2441">IFERROR(INDEX('Retirement Calculator'!K:K,MATCH('Lorri 401b'!N2441,'Retirement Calculator'!A:A,0),0),0)</f>
        <v>0</v>
      </c>
      <c r="K2441" s="455">
        <f t="shared" ca="1" si="128"/>
        <v>-39605303.791330531</v>
      </c>
      <c r="L2441" s="455">
        <f t="shared" ca="1" si="129"/>
        <v>-9544878213.7106571</v>
      </c>
      <c r="M2441" s="471">
        <f t="shared" si="131"/>
        <v>0.05</v>
      </c>
      <c r="N2441" s="475">
        <f t="shared" si="132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30"/>
        <v>-9544878213.7106571</v>
      </c>
      <c r="J2442" s="455">
        <f t="array" ref="J2442">IFERROR(INDEX('Retirement Calculator'!K:K,MATCH('Lorri 401b'!N2442,'Retirement Calculator'!A:A,0),0),0)</f>
        <v>0</v>
      </c>
      <c r="K2442" s="455">
        <f t="shared" ca="1" si="128"/>
        <v>-39770325.890461072</v>
      </c>
      <c r="L2442" s="455">
        <f t="shared" ca="1" si="129"/>
        <v>-9584648539.6011181</v>
      </c>
      <c r="M2442" s="471">
        <f t="shared" si="131"/>
        <v>0.05</v>
      </c>
      <c r="N2442" s="475">
        <f t="shared" si="132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30"/>
        <v>-9584648539.6011181</v>
      </c>
      <c r="J2443" s="455">
        <f t="array" ref="J2443">IFERROR(INDEX('Retirement Calculator'!K:K,MATCH('Lorri 401b'!N2443,'Retirement Calculator'!A:A,0),0),0)</f>
        <v>0</v>
      </c>
      <c r="K2443" s="455">
        <f t="shared" ca="1" si="128"/>
        <v>-39936035.581671327</v>
      </c>
      <c r="L2443" s="455">
        <f t="shared" ca="1" si="129"/>
        <v>-9624584575.1827888</v>
      </c>
      <c r="M2443" s="471">
        <f t="shared" si="131"/>
        <v>0.05</v>
      </c>
      <c r="N2443" s="475">
        <f t="shared" si="132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30"/>
        <v>-9624584575.1827888</v>
      </c>
      <c r="J2444" s="455">
        <f t="array" ref="J2444">IFERROR(INDEX('Retirement Calculator'!K:K,MATCH('Lorri 401b'!N2444,'Retirement Calculator'!A:A,0),0),0)</f>
        <v>0</v>
      </c>
      <c r="K2444" s="455">
        <f t="shared" ca="1" si="128"/>
        <v>-40102435.729928285</v>
      </c>
      <c r="L2444" s="455">
        <f t="shared" ca="1" si="129"/>
        <v>-9664687010.9127178</v>
      </c>
      <c r="M2444" s="471">
        <f t="shared" si="131"/>
        <v>0.05</v>
      </c>
      <c r="N2444" s="475">
        <f t="shared" si="132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30"/>
        <v>-9664687010.9127178</v>
      </c>
      <c r="J2445" s="455">
        <f t="array" ref="J2445">IFERROR(INDEX('Retirement Calculator'!K:K,MATCH('Lorri 401b'!N2445,'Retirement Calculator'!A:A,0),0),0)</f>
        <v>0</v>
      </c>
      <c r="K2445" s="455">
        <f t="shared" ca="1" si="128"/>
        <v>-40269529.212136321</v>
      </c>
      <c r="L2445" s="455">
        <f t="shared" ca="1" si="129"/>
        <v>-9704956540.124855</v>
      </c>
      <c r="M2445" s="471">
        <f t="shared" si="131"/>
        <v>0.05</v>
      </c>
      <c r="N2445" s="475">
        <f t="shared" si="132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30"/>
        <v>-9704956540.124855</v>
      </c>
      <c r="J2446" s="455">
        <f t="array" ref="J2446">IFERROR(INDEX('Retirement Calculator'!K:K,MATCH('Lorri 401b'!N2446,'Retirement Calculator'!A:A,0),0),0)</f>
        <v>0</v>
      </c>
      <c r="K2446" s="455">
        <f t="shared" ca="1" si="128"/>
        <v>-40437318.917186894</v>
      </c>
      <c r="L2446" s="455">
        <f t="shared" ca="1" si="129"/>
        <v>-9745393859.0420418</v>
      </c>
      <c r="M2446" s="471">
        <f t="shared" si="131"/>
        <v>0.05</v>
      </c>
      <c r="N2446" s="475">
        <f t="shared" si="132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30"/>
        <v>-9745393859.0420418</v>
      </c>
      <c r="J2447" s="455">
        <f t="array" ref="J2447">IFERROR(INDEX('Retirement Calculator'!K:K,MATCH('Lorri 401b'!N2447,'Retirement Calculator'!A:A,0),0),0)</f>
        <v>0</v>
      </c>
      <c r="K2447" s="455">
        <f t="shared" ca="1" si="128"/>
        <v>-40605807.746008508</v>
      </c>
      <c r="L2447" s="455">
        <f t="shared" ca="1" si="129"/>
        <v>-9785999666.7880497</v>
      </c>
      <c r="M2447" s="471">
        <f t="shared" si="131"/>
        <v>0.05</v>
      </c>
      <c r="N2447" s="475">
        <f t="shared" si="132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30"/>
        <v>-9785999666.7880497</v>
      </c>
      <c r="J2448" s="455">
        <f t="array" ref="J2448">IFERROR(INDEX('Retirement Calculator'!K:K,MATCH('Lorri 401b'!N2448,'Retirement Calculator'!A:A,0),0),0)</f>
        <v>0</v>
      </c>
      <c r="K2448" s="455">
        <f t="shared" ca="1" si="128"/>
        <v>-40774998.611616872</v>
      </c>
      <c r="L2448" s="455">
        <f t="shared" ca="1" si="129"/>
        <v>-9826774665.3996658</v>
      </c>
      <c r="M2448" s="471">
        <f t="shared" si="131"/>
        <v>0.05</v>
      </c>
      <c r="N2448" s="475">
        <f t="shared" si="132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30"/>
        <v>-9826774665.3996658</v>
      </c>
      <c r="J2449" s="455">
        <f t="array" ref="J2449">IFERROR(INDEX('Retirement Calculator'!K:K,MATCH('Lorri 401b'!N2449,'Retirement Calculator'!A:A,0),0),0)</f>
        <v>0</v>
      </c>
      <c r="K2449" s="455">
        <f t="shared" ca="1" si="128"/>
        <v>-40944894.439165272</v>
      </c>
      <c r="L2449" s="455">
        <f t="shared" ca="1" si="129"/>
        <v>-9867719559.8388309</v>
      </c>
      <c r="M2449" s="471">
        <f t="shared" si="131"/>
        <v>0.05</v>
      </c>
      <c r="N2449" s="475">
        <f t="shared" si="132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30"/>
        <v>-9867719559.8388309</v>
      </c>
      <c r="J2450" s="455">
        <f t="array" ref="J2450">IFERROR(INDEX('Retirement Calculator'!K:K,MATCH('Lorri 401b'!N2450,'Retirement Calculator'!A:A,0),0),0)</f>
        <v>0</v>
      </c>
      <c r="K2450" s="455">
        <f t="shared" ca="1" si="128"/>
        <v>-41115498.165995128</v>
      </c>
      <c r="L2450" s="455">
        <f t="shared" ca="1" si="129"/>
        <v>-9908835058.0048256</v>
      </c>
      <c r="M2450" s="471">
        <f t="shared" si="131"/>
        <v>0.05</v>
      </c>
      <c r="N2450" s="475">
        <f t="shared" si="132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30"/>
        <v>-9908835058.0048256</v>
      </c>
      <c r="J2451" s="455">
        <f t="array" ref="J2451">IFERROR(INDEX('Retirement Calculator'!K:K,MATCH('Lorri 401b'!N2451,'Retirement Calculator'!A:A,0),0),0)</f>
        <v>0</v>
      </c>
      <c r="K2451" s="455">
        <f t="shared" ca="1" si="128"/>
        <v>-41286812.741686776</v>
      </c>
      <c r="L2451" s="455">
        <f t="shared" ca="1" si="129"/>
        <v>-9950121870.7465115</v>
      </c>
      <c r="M2451" s="471">
        <f t="shared" si="131"/>
        <v>0.05</v>
      </c>
      <c r="N2451" s="475">
        <f t="shared" si="132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30"/>
        <v>-9950121870.7465115</v>
      </c>
      <c r="J2452" s="455">
        <f t="array" ref="J2452">IFERROR(INDEX('Retirement Calculator'!K:K,MATCH('Lorri 401b'!N2452,'Retirement Calculator'!A:A,0),0),0)</f>
        <v>0</v>
      </c>
      <c r="K2452" s="455">
        <f t="shared" ca="1" si="128"/>
        <v>-41458841.128110461</v>
      </c>
      <c r="L2452" s="455">
        <f t="shared" ca="1" si="129"/>
        <v>-9991580711.8746223</v>
      </c>
      <c r="M2452" s="471">
        <f t="shared" si="131"/>
        <v>0.05</v>
      </c>
      <c r="N2452" s="475">
        <f t="shared" si="132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30"/>
        <v>-9991580711.8746223</v>
      </c>
      <c r="J2453" s="455">
        <f t="array" ref="J2453">IFERROR(INDEX('Retirement Calculator'!K:K,MATCH('Lorri 401b'!N2453,'Retirement Calculator'!A:A,0),0),0)</f>
        <v>0</v>
      </c>
      <c r="K2453" s="455">
        <f t="shared" ca="1" si="128"/>
        <v>-41631586.299477592</v>
      </c>
      <c r="L2453" s="455">
        <f t="shared" ca="1" si="129"/>
        <v>-10033212298.174101</v>
      </c>
      <c r="M2453" s="471">
        <f t="shared" si="131"/>
        <v>0.05</v>
      </c>
      <c r="N2453" s="475">
        <f t="shared" si="132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30"/>
        <v>-10033212298.174101</v>
      </c>
      <c r="J2454" s="455">
        <f t="array" ref="J2454">IFERROR(INDEX('Retirement Calculator'!K:K,MATCH('Lorri 401b'!N2454,'Retirement Calculator'!A:A,0),0),0)</f>
        <v>0</v>
      </c>
      <c r="K2454" s="455">
        <f t="shared" ca="1" si="128"/>
        <v>-41805051.242392085</v>
      </c>
      <c r="L2454" s="455">
        <f t="shared" ca="1" si="129"/>
        <v>-10075017349.416492</v>
      </c>
      <c r="M2454" s="471">
        <f t="shared" si="131"/>
        <v>0.05</v>
      </c>
      <c r="N2454" s="475">
        <f t="shared" si="132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30"/>
        <v>-10075017349.416492</v>
      </c>
      <c r="J2455" s="455">
        <f t="array" ref="J2455">IFERROR(INDEX('Retirement Calculator'!K:K,MATCH('Lorri 401b'!N2455,'Retirement Calculator'!A:A,0),0),0)</f>
        <v>0</v>
      </c>
      <c r="K2455" s="455">
        <f t="shared" ca="1" si="128"/>
        <v>-41979238.955902055</v>
      </c>
      <c r="L2455" s="455">
        <f t="shared" ca="1" si="129"/>
        <v>-10116996588.372395</v>
      </c>
      <c r="M2455" s="471">
        <f t="shared" si="131"/>
        <v>0.05</v>
      </c>
      <c r="N2455" s="475">
        <f t="shared" si="132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30"/>
        <v>-10116996588.372395</v>
      </c>
      <c r="J2456" s="455">
        <f t="array" ref="J2456">IFERROR(INDEX('Retirement Calculator'!K:K,MATCH('Lorri 401b'!N2456,'Retirement Calculator'!A:A,0),0),0)</f>
        <v>0</v>
      </c>
      <c r="K2456" s="455">
        <f t="shared" ca="1" si="128"/>
        <v>-42154152.451551646</v>
      </c>
      <c r="L2456" s="455">
        <f t="shared" ca="1" si="129"/>
        <v>-10159150740.823946</v>
      </c>
      <c r="M2456" s="471">
        <f t="shared" si="131"/>
        <v>0.05</v>
      </c>
      <c r="N2456" s="475">
        <f t="shared" si="132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30"/>
        <v>-10159150740.823946</v>
      </c>
      <c r="J2457" s="455">
        <f t="array" ref="J2457">IFERROR(INDEX('Retirement Calculator'!K:K,MATCH('Lorri 401b'!N2457,'Retirement Calculator'!A:A,0),0),0)</f>
        <v>0</v>
      </c>
      <c r="K2457" s="455">
        <f t="shared" ca="1" si="128"/>
        <v>-42329794.753433108</v>
      </c>
      <c r="L2457" s="455">
        <f t="shared" ca="1" si="129"/>
        <v>-10201480535.577379</v>
      </c>
      <c r="M2457" s="471">
        <f t="shared" si="131"/>
        <v>0.05</v>
      </c>
      <c r="N2457" s="475">
        <f t="shared" si="132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30"/>
        <v>-10201480535.577379</v>
      </c>
      <c r="J2458" s="455">
        <f t="array" ref="J2458">IFERROR(INDEX('Retirement Calculator'!K:K,MATCH('Lorri 401b'!N2458,'Retirement Calculator'!A:A,0),0),0)</f>
        <v>0</v>
      </c>
      <c r="K2458" s="455">
        <f t="shared" ca="1" si="128"/>
        <v>-42506168.898239076</v>
      </c>
      <c r="L2458" s="455">
        <f t="shared" ca="1" si="129"/>
        <v>-10243986704.475618</v>
      </c>
      <c r="M2458" s="471">
        <f t="shared" si="131"/>
        <v>0.05</v>
      </c>
      <c r="N2458" s="475">
        <f t="shared" si="132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30"/>
        <v>-10243986704.475618</v>
      </c>
      <c r="J2459" s="455">
        <f t="array" ref="J2459">IFERROR(INDEX('Retirement Calculator'!K:K,MATCH('Lorri 401b'!N2459,'Retirement Calculator'!A:A,0),0),0)</f>
        <v>0</v>
      </c>
      <c r="K2459" s="455">
        <f t="shared" ca="1" si="128"/>
        <v>-42683277.935315073</v>
      </c>
      <c r="L2459" s="455">
        <f t="shared" ca="1" si="129"/>
        <v>-10286669982.410933</v>
      </c>
      <c r="M2459" s="471">
        <f t="shared" si="131"/>
        <v>0.05</v>
      </c>
      <c r="N2459" s="475">
        <f t="shared" si="132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30"/>
        <v>-10286669982.410933</v>
      </c>
      <c r="J2460" s="455">
        <f t="array" ref="J2460">IFERROR(INDEX('Retirement Calculator'!K:K,MATCH('Lorri 401b'!N2460,'Retirement Calculator'!A:A,0),0),0)</f>
        <v>0</v>
      </c>
      <c r="K2460" s="455">
        <f t="shared" ca="1" si="128"/>
        <v>-42861124.926712215</v>
      </c>
      <c r="L2460" s="455">
        <f t="shared" ca="1" si="129"/>
        <v>-10329531107.337645</v>
      </c>
      <c r="M2460" s="471">
        <f t="shared" si="131"/>
        <v>0.05</v>
      </c>
      <c r="N2460" s="475">
        <f t="shared" si="132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30"/>
        <v>-10329531107.337645</v>
      </c>
      <c r="J2461" s="455">
        <f t="array" ref="J2461">IFERROR(INDEX('Retirement Calculator'!K:K,MATCH('Lorri 401b'!N2461,'Retirement Calculator'!A:A,0),0),0)</f>
        <v>0</v>
      </c>
      <c r="K2461" s="455">
        <f t="shared" ca="1" si="128"/>
        <v>-43039712.947240189</v>
      </c>
      <c r="L2461" s="455">
        <f t="shared" ca="1" si="129"/>
        <v>-10372570820.284885</v>
      </c>
      <c r="M2461" s="471">
        <f t="shared" si="131"/>
        <v>0.05</v>
      </c>
      <c r="N2461" s="475">
        <f t="shared" si="132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30"/>
        <v>-10372570820.284885</v>
      </c>
      <c r="J2462" s="455">
        <f t="array" ref="J2462">IFERROR(INDEX('Retirement Calculator'!K:K,MATCH('Lorri 401b'!N2462,'Retirement Calculator'!A:A,0),0),0)</f>
        <v>0</v>
      </c>
      <c r="K2462" s="455">
        <f t="shared" ca="1" si="128"/>
        <v>-43219045.084520355</v>
      </c>
      <c r="L2462" s="455">
        <f t="shared" ca="1" si="129"/>
        <v>-10415789865.369406</v>
      </c>
      <c r="M2462" s="471">
        <f t="shared" si="131"/>
        <v>0.05</v>
      </c>
      <c r="N2462" s="475">
        <f t="shared" si="132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30"/>
        <v>-10415789865.369406</v>
      </c>
      <c r="J2463" s="455">
        <f t="array" ref="J2463">IFERROR(INDEX('Retirement Calculator'!K:K,MATCH('Lorri 401b'!N2463,'Retirement Calculator'!A:A,0),0),0)</f>
        <v>0</v>
      </c>
      <c r="K2463" s="455">
        <f t="shared" ca="1" si="128"/>
        <v>-43399124.439039193</v>
      </c>
      <c r="L2463" s="455">
        <f t="shared" ca="1" si="129"/>
        <v>-10459188989.808445</v>
      </c>
      <c r="M2463" s="471">
        <f t="shared" si="131"/>
        <v>0.05</v>
      </c>
      <c r="N2463" s="475">
        <f t="shared" si="132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30"/>
        <v>-10459188989.808445</v>
      </c>
      <c r="J2464" s="455">
        <f t="array" ref="J2464">IFERROR(INDEX('Retirement Calculator'!K:K,MATCH('Lorri 401b'!N2464,'Retirement Calculator'!A:A,0),0),0)</f>
        <v>0</v>
      </c>
      <c r="K2464" s="455">
        <f t="shared" ca="1" si="128"/>
        <v>-43579954.124201857</v>
      </c>
      <c r="L2464" s="455">
        <f t="shared" ca="1" si="129"/>
        <v>-10502768943.932648</v>
      </c>
      <c r="M2464" s="471">
        <f t="shared" si="131"/>
        <v>0.05</v>
      </c>
      <c r="N2464" s="475">
        <f t="shared" si="132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30"/>
        <v>-10502768943.932648</v>
      </c>
      <c r="J2465" s="455">
        <f t="array" ref="J2465">IFERROR(INDEX('Retirement Calculator'!K:K,MATCH('Lorri 401b'!N2465,'Retirement Calculator'!A:A,0),0),0)</f>
        <v>0</v>
      </c>
      <c r="K2465" s="455">
        <f t="shared" ca="1" si="128"/>
        <v>-43761537.266386032</v>
      </c>
      <c r="L2465" s="455">
        <f t="shared" ca="1" si="129"/>
        <v>-10546530481.199034</v>
      </c>
      <c r="M2465" s="471">
        <f t="shared" si="131"/>
        <v>0.05</v>
      </c>
      <c r="N2465" s="475">
        <f t="shared" si="132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30"/>
        <v>-10546530481.199034</v>
      </c>
      <c r="J2466" s="455">
        <f t="array" ref="J2466">IFERROR(INDEX('Retirement Calculator'!K:K,MATCH('Lorri 401b'!N2466,'Retirement Calculator'!A:A,0),0),0)</f>
        <v>0</v>
      </c>
      <c r="K2466" s="455">
        <f t="shared" ca="1" si="128"/>
        <v>-43943877.004995972</v>
      </c>
      <c r="L2466" s="455">
        <f t="shared" ca="1" si="129"/>
        <v>-10590474358.204029</v>
      </c>
      <c r="M2466" s="471">
        <f t="shared" si="131"/>
        <v>0.05</v>
      </c>
      <c r="N2466" s="475">
        <f t="shared" si="132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30"/>
        <v>-10590474358.204029</v>
      </c>
      <c r="J2467" s="455">
        <f t="array" ref="J2467">IFERROR(INDEX('Retirement Calculator'!K:K,MATCH('Lorri 401b'!N2467,'Retirement Calculator'!A:A,0),0),0)</f>
        <v>0</v>
      </c>
      <c r="K2467" s="455">
        <f t="shared" ca="1" si="128"/>
        <v>-44126976.492516786</v>
      </c>
      <c r="L2467" s="455">
        <f t="shared" ca="1" si="129"/>
        <v>-10634601334.696547</v>
      </c>
      <c r="M2467" s="471">
        <f t="shared" si="131"/>
        <v>0.05</v>
      </c>
      <c r="N2467" s="475">
        <f t="shared" si="132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30"/>
        <v>-10634601334.696547</v>
      </c>
      <c r="J2468" s="455">
        <f t="array" ref="J2468">IFERROR(INDEX('Retirement Calculator'!K:K,MATCH('Lorri 401b'!N2468,'Retirement Calculator'!A:A,0),0),0)</f>
        <v>0</v>
      </c>
      <c r="K2468" s="455">
        <f t="shared" ca="1" si="128"/>
        <v>-44310838.894568942</v>
      </c>
      <c r="L2468" s="455">
        <f t="shared" ca="1" si="129"/>
        <v>-10678912173.591116</v>
      </c>
      <c r="M2468" s="471">
        <f t="shared" si="131"/>
        <v>0.05</v>
      </c>
      <c r="N2468" s="475">
        <f t="shared" si="132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30"/>
        <v>-10678912173.591116</v>
      </c>
      <c r="J2469" s="455">
        <f t="array" ref="J2469">IFERROR(INDEX('Retirement Calculator'!K:K,MATCH('Lorri 401b'!N2469,'Retirement Calculator'!A:A,0),0),0)</f>
        <v>0</v>
      </c>
      <c r="K2469" s="455">
        <f t="shared" ca="1" si="128"/>
        <v>-44495467.389962986</v>
      </c>
      <c r="L2469" s="455">
        <f t="shared" ca="1" si="129"/>
        <v>-10723407640.981079</v>
      </c>
      <c r="M2469" s="471">
        <f t="shared" si="131"/>
        <v>0.05</v>
      </c>
      <c r="N2469" s="475">
        <f t="shared" si="132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30"/>
        <v>-10723407640.981079</v>
      </c>
      <c r="J2470" s="455">
        <f t="array" ref="J2470">IFERROR(INDEX('Retirement Calculator'!K:K,MATCH('Lorri 401b'!N2470,'Retirement Calculator'!A:A,0),0),0)</f>
        <v>0</v>
      </c>
      <c r="K2470" s="455">
        <f t="shared" ca="1" si="128"/>
        <v>-44680865.170754492</v>
      </c>
      <c r="L2470" s="455">
        <f t="shared" ca="1" si="129"/>
        <v>-10768088506.151834</v>
      </c>
      <c r="M2470" s="471">
        <f t="shared" si="131"/>
        <v>0.05</v>
      </c>
      <c r="N2470" s="475">
        <f t="shared" si="132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30"/>
        <v>-10768088506.151834</v>
      </c>
      <c r="J2471" s="455">
        <f t="array" ref="J2471">IFERROR(INDEX('Retirement Calculator'!K:K,MATCH('Lorri 401b'!N2471,'Retirement Calculator'!A:A,0),0),0)</f>
        <v>0</v>
      </c>
      <c r="K2471" s="455">
        <f t="shared" ca="1" si="128"/>
        <v>-44867035.442299306</v>
      </c>
      <c r="L2471" s="455">
        <f t="shared" ca="1" si="129"/>
        <v>-10812955541.594133</v>
      </c>
      <c r="M2471" s="471">
        <f t="shared" si="131"/>
        <v>0.05</v>
      </c>
      <c r="N2471" s="475">
        <f t="shared" si="132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30"/>
        <v>-10812955541.594133</v>
      </c>
      <c r="J2472" s="455">
        <f t="array" ref="J2472">IFERROR(INDEX('Retirement Calculator'!K:K,MATCH('Lorri 401b'!N2472,'Retirement Calculator'!A:A,0),0),0)</f>
        <v>0</v>
      </c>
      <c r="K2472" s="455">
        <f t="shared" ca="1" si="128"/>
        <v>-45053981.423308887</v>
      </c>
      <c r="L2472" s="455">
        <f t="shared" ca="1" si="129"/>
        <v>-10858009523.017443</v>
      </c>
      <c r="M2472" s="471">
        <f t="shared" si="131"/>
        <v>0.05</v>
      </c>
      <c r="N2472" s="475">
        <f t="shared" si="132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30"/>
        <v>-10858009523.017443</v>
      </c>
      <c r="J2473" s="455">
        <f t="array" ref="J2473">IFERROR(INDEX('Retirement Calculator'!K:K,MATCH('Lorri 401b'!N2473,'Retirement Calculator'!A:A,0),0),0)</f>
        <v>0</v>
      </c>
      <c r="K2473" s="455">
        <f t="shared" ca="1" si="128"/>
        <v>-45241706.345906012</v>
      </c>
      <c r="L2473" s="455">
        <f t="shared" ca="1" si="129"/>
        <v>-10903251229.363348</v>
      </c>
      <c r="M2473" s="471">
        <f t="shared" si="131"/>
        <v>0.05</v>
      </c>
      <c r="N2473" s="475">
        <f t="shared" si="132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30"/>
        <v>-10903251229.363348</v>
      </c>
      <c r="J2474" s="455">
        <f t="array" ref="J2474">IFERROR(INDEX('Retirement Calculator'!K:K,MATCH('Lorri 401b'!N2474,'Retirement Calculator'!A:A,0),0),0)</f>
        <v>0</v>
      </c>
      <c r="K2474" s="455">
        <f t="shared" ca="1" si="128"/>
        <v>-45430213.455680616</v>
      </c>
      <c r="L2474" s="455">
        <f t="shared" ca="1" si="129"/>
        <v>-10948681442.819029</v>
      </c>
      <c r="M2474" s="471">
        <f t="shared" si="131"/>
        <v>0.05</v>
      </c>
      <c r="N2474" s="475">
        <f t="shared" si="132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30"/>
        <v>-10948681442.819029</v>
      </c>
      <c r="J2475" s="455">
        <f t="array" ref="J2475">IFERROR(INDEX('Retirement Calculator'!K:K,MATCH('Lorri 401b'!N2475,'Retirement Calculator'!A:A,0),0),0)</f>
        <v>0</v>
      </c>
      <c r="K2475" s="455">
        <f t="shared" ca="1" si="128"/>
        <v>-45619506.011745952</v>
      </c>
      <c r="L2475" s="455">
        <f t="shared" ca="1" si="129"/>
        <v>-10994300948.830774</v>
      </c>
      <c r="M2475" s="471">
        <f t="shared" si="131"/>
        <v>0.05</v>
      </c>
      <c r="N2475" s="475">
        <f t="shared" si="132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30"/>
        <v>-10994300948.830774</v>
      </c>
      <c r="J2476" s="455">
        <f t="array" ref="J2476">IFERROR(INDEX('Retirement Calculator'!K:K,MATCH('Lorri 401b'!N2476,'Retirement Calculator'!A:A,0),0),0)</f>
        <v>0</v>
      </c>
      <c r="K2476" s="455">
        <f t="shared" ca="1" si="128"/>
        <v>-45809587.286794893</v>
      </c>
      <c r="L2476" s="455">
        <f t="shared" ca="1" si="129"/>
        <v>-11040110536.117569</v>
      </c>
      <c r="M2476" s="471">
        <f t="shared" si="131"/>
        <v>0.05</v>
      </c>
      <c r="N2476" s="475">
        <f t="shared" si="132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30"/>
        <v>-11040110536.117569</v>
      </c>
      <c r="J2477" s="455">
        <f t="array" ref="J2477">IFERROR(INDEX('Retirement Calculator'!K:K,MATCH('Lorri 401b'!N2477,'Retirement Calculator'!A:A,0),0),0)</f>
        <v>0</v>
      </c>
      <c r="K2477" s="455">
        <f t="shared" ca="1" si="128"/>
        <v>-46000460.567156538</v>
      </c>
      <c r="L2477" s="455">
        <f t="shared" ca="1" si="129"/>
        <v>-11086110996.684725</v>
      </c>
      <c r="M2477" s="471">
        <f t="shared" si="131"/>
        <v>0.05</v>
      </c>
      <c r="N2477" s="475">
        <f t="shared" si="132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30"/>
        <v>-11086110996.684725</v>
      </c>
      <c r="J2478" s="455">
        <f t="array" ref="J2478">IFERROR(INDEX('Retirement Calculator'!K:K,MATCH('Lorri 401b'!N2478,'Retirement Calculator'!A:A,0),0),0)</f>
        <v>0</v>
      </c>
      <c r="K2478" s="455">
        <f t="shared" ca="1" si="128"/>
        <v>-46192129.15285302</v>
      </c>
      <c r="L2478" s="455">
        <f t="shared" ca="1" si="129"/>
        <v>-11132303125.837578</v>
      </c>
      <c r="M2478" s="471">
        <f t="shared" si="131"/>
        <v>0.05</v>
      </c>
      <c r="N2478" s="475">
        <f t="shared" si="132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30"/>
        <v>-11132303125.837578</v>
      </c>
      <c r="J2479" s="455">
        <f t="array" ref="J2479">IFERROR(INDEX('Retirement Calculator'!K:K,MATCH('Lorri 401b'!N2479,'Retirement Calculator'!A:A,0),0),0)</f>
        <v>0</v>
      </c>
      <c r="K2479" s="455">
        <f t="shared" ca="1" si="128"/>
        <v>-46384596.357656576</v>
      </c>
      <c r="L2479" s="455">
        <f t="shared" ca="1" si="129"/>
        <v>-11178687722.195234</v>
      </c>
      <c r="M2479" s="471">
        <f t="shared" si="131"/>
        <v>0.05</v>
      </c>
      <c r="N2479" s="475">
        <f t="shared" si="132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30"/>
        <v>-11178687722.195234</v>
      </c>
      <c r="J2480" s="455">
        <f t="array" ref="J2480">IFERROR(INDEX('Retirement Calculator'!K:K,MATCH('Lorri 401b'!N2480,'Retirement Calculator'!A:A,0),0),0)</f>
        <v>0</v>
      </c>
      <c r="K2480" s="455">
        <f t="shared" ca="1" si="128"/>
        <v>-46577865.50914681</v>
      </c>
      <c r="L2480" s="455">
        <f t="shared" ca="1" si="129"/>
        <v>-11225265587.704382</v>
      </c>
      <c r="M2480" s="471">
        <f t="shared" si="131"/>
        <v>0.05</v>
      </c>
      <c r="N2480" s="475">
        <f t="shared" si="132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30"/>
        <v>-11225265587.704382</v>
      </c>
      <c r="J2481" s="455">
        <f t="array" ref="J2481">IFERROR(INDEX('Retirement Calculator'!K:K,MATCH('Lorri 401b'!N2481,'Retirement Calculator'!A:A,0),0),0)</f>
        <v>0</v>
      </c>
      <c r="K2481" s="455">
        <f t="shared" ca="1" si="128"/>
        <v>-46771939.948768258</v>
      </c>
      <c r="L2481" s="455">
        <f t="shared" ca="1" si="129"/>
        <v>-11272037527.653151</v>
      </c>
      <c r="M2481" s="471">
        <f t="shared" si="131"/>
        <v>0.05</v>
      </c>
      <c r="N2481" s="475">
        <f t="shared" si="132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30"/>
        <v>-11272037527.653151</v>
      </c>
      <c r="J2482" s="455">
        <f t="array" ref="J2482">IFERROR(INDEX('Retirement Calculator'!K:K,MATCH('Lorri 401b'!N2482,'Retirement Calculator'!A:A,0),0),0)</f>
        <v>0</v>
      </c>
      <c r="K2482" s="455">
        <f t="shared" ca="1" si="128"/>
        <v>-46966823.031888127</v>
      </c>
      <c r="L2482" s="455">
        <f t="shared" ca="1" si="129"/>
        <v>-11319004350.68504</v>
      </c>
      <c r="M2482" s="471">
        <f t="shared" si="131"/>
        <v>0.05</v>
      </c>
      <c r="N2482" s="475">
        <f t="shared" si="132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30"/>
        <v>-11319004350.68504</v>
      </c>
      <c r="J2483" s="455">
        <f t="array" ref="J2483">IFERROR(INDEX('Retirement Calculator'!K:K,MATCH('Lorri 401b'!N2483,'Retirement Calculator'!A:A,0),0),0)</f>
        <v>0</v>
      </c>
      <c r="K2483" s="455">
        <f t="shared" ca="1" si="128"/>
        <v>-47162518.127854332</v>
      </c>
      <c r="L2483" s="455">
        <f t="shared" ca="1" si="129"/>
        <v>-11366166868.812893</v>
      </c>
      <c r="M2483" s="471">
        <f t="shared" si="131"/>
        <v>0.05</v>
      </c>
      <c r="N2483" s="475">
        <f t="shared" si="132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30"/>
        <v>-11366166868.812893</v>
      </c>
      <c r="J2484" s="455">
        <f t="array" ref="J2484">IFERROR(INDEX('Retirement Calculator'!K:K,MATCH('Lorri 401b'!N2484,'Retirement Calculator'!A:A,0),0),0)</f>
        <v>0</v>
      </c>
      <c r="K2484" s="455">
        <f t="shared" ca="1" si="128"/>
        <v>-47359028.620053723</v>
      </c>
      <c r="L2484" s="455">
        <f t="shared" ca="1" si="129"/>
        <v>-11413525897.432947</v>
      </c>
      <c r="M2484" s="471">
        <f t="shared" si="131"/>
        <v>0.05</v>
      </c>
      <c r="N2484" s="475">
        <f t="shared" si="132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30"/>
        <v>-11413525897.432947</v>
      </c>
      <c r="J2485" s="455">
        <f t="array" ref="J2485">IFERROR(INDEX('Retirement Calculator'!K:K,MATCH('Lorri 401b'!N2485,'Retirement Calculator'!A:A,0),0),0)</f>
        <v>0</v>
      </c>
      <c r="K2485" s="455">
        <f t="shared" ca="1" si="128"/>
        <v>-47556357.905970611</v>
      </c>
      <c r="L2485" s="455">
        <f t="shared" ca="1" si="129"/>
        <v>-11461082255.338919</v>
      </c>
      <c r="M2485" s="471">
        <f t="shared" si="131"/>
        <v>0.05</v>
      </c>
      <c r="N2485" s="475">
        <f t="shared" si="132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30"/>
        <v>-11461082255.338919</v>
      </c>
      <c r="J2486" s="455">
        <f t="array" ref="J2486">IFERROR(INDEX('Retirement Calculator'!K:K,MATCH('Lorri 401b'!N2486,'Retirement Calculator'!A:A,0),0),0)</f>
        <v>0</v>
      </c>
      <c r="K2486" s="455">
        <f t="shared" ca="1" si="128"/>
        <v>-47754509.397245497</v>
      </c>
      <c r="L2486" s="455">
        <f t="shared" ca="1" si="129"/>
        <v>-11508836764.736164</v>
      </c>
      <c r="M2486" s="471">
        <f t="shared" si="131"/>
        <v>0.05</v>
      </c>
      <c r="N2486" s="475">
        <f t="shared" si="132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30"/>
        <v>-11508836764.736164</v>
      </c>
      <c r="J2487" s="455">
        <f t="array" ref="J2487">IFERROR(INDEX('Retirement Calculator'!K:K,MATCH('Lorri 401b'!N2487,'Retirement Calculator'!A:A,0),0),0)</f>
        <v>0</v>
      </c>
      <c r="K2487" s="455">
        <f t="shared" ca="1" si="128"/>
        <v>-47953486.519734018</v>
      </c>
      <c r="L2487" s="455">
        <f t="shared" ca="1" si="129"/>
        <v>-11556790251.255898</v>
      </c>
      <c r="M2487" s="471">
        <f t="shared" si="131"/>
        <v>0.05</v>
      </c>
      <c r="N2487" s="475">
        <f t="shared" si="132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30"/>
        <v>-11556790251.255898</v>
      </c>
      <c r="J2488" s="455">
        <f t="array" ref="J2488">IFERROR(INDEX('Retirement Calculator'!K:K,MATCH('Lorri 401b'!N2488,'Retirement Calculator'!A:A,0),0),0)</f>
        <v>0</v>
      </c>
      <c r="K2488" s="455">
        <f t="shared" ca="1" si="128"/>
        <v>-48153292.713566236</v>
      </c>
      <c r="L2488" s="455">
        <f t="shared" ca="1" si="129"/>
        <v>-11604943543.969463</v>
      </c>
      <c r="M2488" s="471">
        <f t="shared" si="131"/>
        <v>0.05</v>
      </c>
      <c r="N2488" s="475">
        <f t="shared" si="132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30"/>
        <v>-11604943543.969463</v>
      </c>
      <c r="J2489" s="455">
        <f t="array" ref="J2489">IFERROR(INDEX('Retirement Calculator'!K:K,MATCH('Lorri 401b'!N2489,'Retirement Calculator'!A:A,0),0),0)</f>
        <v>0</v>
      </c>
      <c r="K2489" s="455">
        <f t="shared" ca="1" si="128"/>
        <v>-48353931.433206096</v>
      </c>
      <c r="L2489" s="455">
        <f t="shared" ca="1" si="129"/>
        <v>-11653297475.40267</v>
      </c>
      <c r="M2489" s="471">
        <f t="shared" si="131"/>
        <v>0.05</v>
      </c>
      <c r="N2489" s="475">
        <f t="shared" si="132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30"/>
        <v>-11653297475.40267</v>
      </c>
      <c r="J2490" s="455">
        <f t="array" ref="J2490">IFERROR(INDEX('Retirement Calculator'!K:K,MATCH('Lorri 401b'!N2490,'Retirement Calculator'!A:A,0),0),0)</f>
        <v>0</v>
      </c>
      <c r="K2490" s="455">
        <f t="shared" ca="1" si="128"/>
        <v>-48555406.147511125</v>
      </c>
      <c r="L2490" s="455">
        <f t="shared" ca="1" si="129"/>
        <v>-11701852881.55018</v>
      </c>
      <c r="M2490" s="471">
        <f t="shared" si="131"/>
        <v>0.05</v>
      </c>
      <c r="N2490" s="475">
        <f t="shared" si="132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30"/>
        <v>-11701852881.55018</v>
      </c>
      <c r="J2491" s="455">
        <f t="array" ref="J2491">IFERROR(INDEX('Retirement Calculator'!K:K,MATCH('Lorri 401b'!N2491,'Retirement Calculator'!A:A,0),0),0)</f>
        <v>0</v>
      </c>
      <c r="K2491" s="455">
        <f t="shared" ca="1" si="128"/>
        <v>-48757720.339792415</v>
      </c>
      <c r="L2491" s="455">
        <f t="shared" ca="1" si="129"/>
        <v>-11750610601.889973</v>
      </c>
      <c r="M2491" s="471">
        <f t="shared" si="131"/>
        <v>0.05</v>
      </c>
      <c r="N2491" s="475">
        <f t="shared" si="132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30"/>
        <v>-11750610601.889973</v>
      </c>
      <c r="J2492" s="455">
        <f t="array" ref="J2492">IFERROR(INDEX('Retirement Calculator'!K:K,MATCH('Lorri 401b'!N2492,'Retirement Calculator'!A:A,0),0),0)</f>
        <v>0</v>
      </c>
      <c r="K2492" s="455">
        <f t="shared" ca="1" si="128"/>
        <v>-48960877.507874884</v>
      </c>
      <c r="L2492" s="455">
        <f t="shared" ca="1" si="129"/>
        <v>-11799571479.397848</v>
      </c>
      <c r="M2492" s="471">
        <f t="shared" si="131"/>
        <v>0.05</v>
      </c>
      <c r="N2492" s="475">
        <f t="shared" si="132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30"/>
        <v>-11799571479.397848</v>
      </c>
      <c r="J2493" s="455">
        <f t="array" ref="J2493">IFERROR(INDEX('Retirement Calculator'!K:K,MATCH('Lorri 401b'!N2493,'Retirement Calculator'!A:A,0),0),0)</f>
        <v>0</v>
      </c>
      <c r="K2493" s="455">
        <f t="shared" ca="1" si="128"/>
        <v>-49164881.164157704</v>
      </c>
      <c r="L2493" s="455">
        <f t="shared" ca="1" si="129"/>
        <v>-11848736360.562006</v>
      </c>
      <c r="M2493" s="471">
        <f t="shared" si="131"/>
        <v>0.05</v>
      </c>
      <c r="N2493" s="475">
        <f t="shared" si="132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30"/>
        <v>-11848736360.562006</v>
      </c>
      <c r="J2494" s="455">
        <f t="array" ref="J2494">IFERROR(INDEX('Retirement Calculator'!K:K,MATCH('Lorri 401b'!N2494,'Retirement Calculator'!A:A,0),0),0)</f>
        <v>0</v>
      </c>
      <c r="K2494" s="455">
        <f t="shared" ca="1" si="128"/>
        <v>-49369734.835675023</v>
      </c>
      <c r="L2494" s="455">
        <f t="shared" ca="1" si="129"/>
        <v>-11898106095.39768</v>
      </c>
      <c r="M2494" s="471">
        <f t="shared" si="131"/>
        <v>0.05</v>
      </c>
      <c r="N2494" s="475">
        <f t="shared" si="132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30"/>
        <v>-11898106095.39768</v>
      </c>
      <c r="J2495" s="455">
        <f t="array" ref="J2495">IFERROR(INDEX('Retirement Calculator'!K:K,MATCH('Lorri 401b'!N2495,'Retirement Calculator'!A:A,0),0),0)</f>
        <v>0</v>
      </c>
      <c r="K2495" s="455">
        <f t="shared" ca="1" si="128"/>
        <v>-49575442.064157002</v>
      </c>
      <c r="L2495" s="455">
        <f t="shared" ca="1" si="129"/>
        <v>-11947681537.461838</v>
      </c>
      <c r="M2495" s="471">
        <f t="shared" si="131"/>
        <v>0.05</v>
      </c>
      <c r="N2495" s="475">
        <f t="shared" si="132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30"/>
        <v>-11947681537.461838</v>
      </c>
      <c r="J2496" s="455">
        <f t="array" ref="J2496">IFERROR(INDEX('Retirement Calculator'!K:K,MATCH('Lorri 401b'!N2496,'Retirement Calculator'!A:A,0),0),0)</f>
        <v>0</v>
      </c>
      <c r="K2496" s="455">
        <f t="shared" ca="1" si="128"/>
        <v>-49782006.40609099</v>
      </c>
      <c r="L2496" s="455">
        <f t="shared" ca="1" si="129"/>
        <v>-11997463543.867929</v>
      </c>
      <c r="M2496" s="471">
        <f t="shared" si="131"/>
        <v>0.05</v>
      </c>
      <c r="N2496" s="475">
        <f t="shared" si="132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30"/>
        <v>-11997463543.867929</v>
      </c>
      <c r="J2497" s="455">
        <f t="array" ref="J2497">IFERROR(INDEX('Retirement Calculator'!K:K,MATCH('Lorri 401b'!N2497,'Retirement Calculator'!A:A,0),0),0)</f>
        <v>0</v>
      </c>
      <c r="K2497" s="455">
        <f t="shared" ca="1" si="128"/>
        <v>-49989431.432783037</v>
      </c>
      <c r="L2497" s="455">
        <f t="shared" ca="1" si="129"/>
        <v>-12047452975.300713</v>
      </c>
      <c r="M2497" s="471">
        <f t="shared" si="131"/>
        <v>0.05</v>
      </c>
      <c r="N2497" s="475">
        <f t="shared" si="132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30"/>
        <v>-12047452975.300713</v>
      </c>
      <c r="J2498" s="455">
        <f t="array" ref="J2498">IFERROR(INDEX('Retirement Calculator'!K:K,MATCH('Lorri 401b'!N2498,'Retirement Calculator'!A:A,0),0),0)</f>
        <v>0</v>
      </c>
      <c r="K2498" s="455">
        <f t="shared" ca="1" si="128"/>
        <v>-50197720.730419636</v>
      </c>
      <c r="L2498" s="455">
        <f t="shared" ca="1" si="129"/>
        <v>-12097650696.031132</v>
      </c>
      <c r="M2498" s="471">
        <f t="shared" si="131"/>
        <v>0.05</v>
      </c>
      <c r="N2498" s="475">
        <f t="shared" si="132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30"/>
        <v>-12097650696.031132</v>
      </c>
      <c r="J2499" s="455">
        <f t="array" ref="J2499">IFERROR(INDEX('Retirement Calculator'!K:K,MATCH('Lorri 401b'!N2499,'Retirement Calculator'!A:A,0),0),0)</f>
        <v>0</v>
      </c>
      <c r="K2499" s="455">
        <f t="shared" ca="1" si="128"/>
        <v>-50406877.900129713</v>
      </c>
      <c r="L2499" s="455">
        <f t="shared" ca="1" si="129"/>
        <v>-12148057573.931261</v>
      </c>
      <c r="M2499" s="471">
        <f t="shared" si="131"/>
        <v>0.05</v>
      </c>
      <c r="N2499" s="475">
        <f t="shared" si="132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30"/>
        <v>-12148057573.931261</v>
      </c>
      <c r="J2500" s="455">
        <f t="array" ref="J2500">IFERROR(INDEX('Retirement Calculator'!K:K,MATCH('Lorri 401b'!N2500,'Retirement Calculator'!A:A,0),0),0)</f>
        <v>0</v>
      </c>
      <c r="K2500" s="455">
        <f t="shared" ca="1" si="128"/>
        <v>-50616906.558046922</v>
      </c>
      <c r="L2500" s="455">
        <f t="shared" ca="1" si="129"/>
        <v>-12198674480.489307</v>
      </c>
      <c r="M2500" s="471">
        <f t="shared" si="131"/>
        <v>0.05</v>
      </c>
      <c r="N2500" s="475">
        <f t="shared" si="132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30"/>
        <v>-12198674480.489307</v>
      </c>
      <c r="J2501" s="455">
        <f t="array" ref="J2501">IFERROR(INDEX('Retirement Calculator'!K:K,MATCH('Lorri 401b'!N2501,'Retirement Calculator'!A:A,0),0),0)</f>
        <v>0</v>
      </c>
      <c r="K2501" s="455">
        <f t="shared" ca="1" si="128"/>
        <v>-50827810.335372113</v>
      </c>
      <c r="L2501" s="455">
        <f t="shared" ca="1" si="129"/>
        <v>-12249502290.82468</v>
      </c>
      <c r="M2501" s="471">
        <f t="shared" si="131"/>
        <v>0.05</v>
      </c>
      <c r="N2501" s="475">
        <f t="shared" si="132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30"/>
        <v>-12249502290.82468</v>
      </c>
      <c r="J2502" s="455">
        <f t="array" ref="J2502">IFERROR(INDEX('Retirement Calculator'!K:K,MATCH('Lorri 401b'!N2502,'Retirement Calculator'!A:A,0),0),0)</f>
        <v>0</v>
      </c>
      <c r="K2502" s="455">
        <f t="shared" ca="1" si="128"/>
        <v>-51039592.878436171</v>
      </c>
      <c r="L2502" s="455">
        <f t="shared" ca="1" si="129"/>
        <v>-12300541883.703117</v>
      </c>
      <c r="M2502" s="471">
        <f t="shared" si="131"/>
        <v>0.05</v>
      </c>
      <c r="N2502" s="475">
        <f t="shared" si="132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30"/>
        <v>-12300541883.703117</v>
      </c>
      <c r="J2503" s="455">
        <f t="array" ref="J2503">IFERROR(INDEX('Retirement Calculator'!K:K,MATCH('Lorri 401b'!N2503,'Retirement Calculator'!A:A,0),0),0)</f>
        <v>0</v>
      </c>
      <c r="K2503" s="455">
        <f t="shared" ca="1" si="128"/>
        <v>-51252257.848762989</v>
      </c>
      <c r="L2503" s="455">
        <f t="shared" ca="1" si="129"/>
        <v>-12351794141.55188</v>
      </c>
      <c r="M2503" s="471">
        <f t="shared" si="131"/>
        <v>0.05</v>
      </c>
      <c r="N2503" s="475">
        <f t="shared" si="132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30"/>
        <v>-12351794141.55188</v>
      </c>
      <c r="J2504" s="455">
        <f t="array" ref="J2504">IFERROR(INDEX('Retirement Calculator'!K:K,MATCH('Lorri 401b'!N2504,'Retirement Calculator'!A:A,0),0),0)</f>
        <v>0</v>
      </c>
      <c r="K2504" s="455">
        <f t="shared" ca="1" si="128"/>
        <v>-51465808.923132829</v>
      </c>
      <c r="L2504" s="455">
        <f t="shared" ca="1" si="129"/>
        <v>-12403259950.475012</v>
      </c>
      <c r="M2504" s="471">
        <f t="shared" si="131"/>
        <v>0.05</v>
      </c>
      <c r="N2504" s="475">
        <f t="shared" si="132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30"/>
        <v>-12403259950.475012</v>
      </c>
      <c r="J2505" s="455">
        <f t="array" ref="J2505">IFERROR(INDEX('Retirement Calculator'!K:K,MATCH('Lorri 401b'!N2505,'Retirement Calculator'!A:A,0),0),0)</f>
        <v>0</v>
      </c>
      <c r="K2505" s="455">
        <f t="shared" ca="1" si="128"/>
        <v>-51680249.793645881</v>
      </c>
      <c r="L2505" s="455">
        <f t="shared" ca="1" si="129"/>
        <v>-12454940200.268658</v>
      </c>
      <c r="M2505" s="471">
        <f t="shared" si="131"/>
        <v>0.05</v>
      </c>
      <c r="N2505" s="475">
        <f t="shared" si="132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30"/>
        <v>-12454940200.268658</v>
      </c>
      <c r="J2506" s="455">
        <f t="array" ref="J2506">IFERROR(INDEX('Retirement Calculator'!K:K,MATCH('Lorri 401b'!N2506,'Retirement Calculator'!A:A,0),0),0)</f>
        <v>0</v>
      </c>
      <c r="K2506" s="455">
        <f t="shared" ca="1" si="128"/>
        <v>-51895584.167786077</v>
      </c>
      <c r="L2506" s="455">
        <f t="shared" ca="1" si="129"/>
        <v>-12506835784.436443</v>
      </c>
      <c r="M2506" s="471">
        <f t="shared" si="131"/>
        <v>0.05</v>
      </c>
      <c r="N2506" s="475">
        <f t="shared" si="132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30"/>
        <v>-12506835784.436443</v>
      </c>
      <c r="J2507" s="455">
        <f t="array" ref="J2507">IFERROR(INDEX('Retirement Calculator'!K:K,MATCH('Lorri 401b'!N2507,'Retirement Calculator'!A:A,0),0),0)</f>
        <v>0</v>
      </c>
      <c r="K2507" s="455">
        <f t="shared" ca="1" si="128"/>
        <v>-52111815.768485181</v>
      </c>
      <c r="L2507" s="455">
        <f t="shared" ca="1" si="129"/>
        <v>-12558947600.204929</v>
      </c>
      <c r="M2507" s="471">
        <f t="shared" si="131"/>
        <v>0.05</v>
      </c>
      <c r="N2507" s="475">
        <f t="shared" si="132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30"/>
        <v>-12558947600.204929</v>
      </c>
      <c r="J2508" s="455">
        <f t="array" ref="J2508">IFERROR(INDEX('Retirement Calculator'!K:K,MATCH('Lorri 401b'!N2508,'Retirement Calculator'!A:A,0),0),0)</f>
        <v>0</v>
      </c>
      <c r="K2508" s="455">
        <f t="shared" ca="1" si="128"/>
        <v>-52328948.334187202</v>
      </c>
      <c r="L2508" s="455">
        <f t="shared" ca="1" si="129"/>
        <v>-12611276548.539116</v>
      </c>
      <c r="M2508" s="471">
        <f t="shared" si="131"/>
        <v>0.05</v>
      </c>
      <c r="N2508" s="475">
        <f t="shared" si="132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30"/>
        <v>-12611276548.539116</v>
      </c>
      <c r="J2509" s="455">
        <f t="array" ref="J2509">IFERROR(INDEX('Retirement Calculator'!K:K,MATCH('Lorri 401b'!N2509,'Retirement Calculator'!A:A,0),0),0)</f>
        <v>0</v>
      </c>
      <c r="K2509" s="455">
        <f t="shared" ca="1" si="128"/>
        <v>-52546985.61891298</v>
      </c>
      <c r="L2509" s="455">
        <f t="shared" ca="1" si="129"/>
        <v>-12663823534.15803</v>
      </c>
      <c r="M2509" s="471">
        <f t="shared" si="131"/>
        <v>0.05</v>
      </c>
      <c r="N2509" s="475">
        <f t="shared" si="132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30"/>
        <v>-12663823534.15803</v>
      </c>
      <c r="J2510" s="455">
        <f t="array" ref="J2510">IFERROR(INDEX('Retirement Calculator'!K:K,MATCH('Lorri 401b'!N2510,'Retirement Calculator'!A:A,0),0),0)</f>
        <v>0</v>
      </c>
      <c r="K2510" s="455">
        <f t="shared" ca="1" si="128"/>
        <v>-52765931.392325126</v>
      </c>
      <c r="L2510" s="455">
        <f t="shared" ca="1" si="129"/>
        <v>-12716589465.550354</v>
      </c>
      <c r="M2510" s="471">
        <f t="shared" si="131"/>
        <v>0.05</v>
      </c>
      <c r="N2510" s="475">
        <f t="shared" si="132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30"/>
        <v>-12716589465.550354</v>
      </c>
      <c r="J2511" s="455">
        <f t="array" ref="J2511">IFERROR(INDEX('Retirement Calculator'!K:K,MATCH('Lorri 401b'!N2511,'Retirement Calculator'!A:A,0),0),0)</f>
        <v>0</v>
      </c>
      <c r="K2511" s="455">
        <f t="shared" ca="1" si="128"/>
        <v>-52985789.43979314</v>
      </c>
      <c r="L2511" s="455">
        <f t="shared" ca="1" si="129"/>
        <v>-12769575254.990147</v>
      </c>
      <c r="M2511" s="471">
        <f t="shared" si="131"/>
        <v>0.05</v>
      </c>
      <c r="N2511" s="475">
        <f t="shared" si="132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30"/>
        <v>-12769575254.990147</v>
      </c>
      <c r="J2512" s="455">
        <f t="array" ref="J2512">IFERROR(INDEX('Retirement Calculator'!K:K,MATCH('Lorri 401b'!N2512,'Retirement Calculator'!A:A,0),0),0)</f>
        <v>0</v>
      </c>
      <c r="K2512" s="455">
        <f t="shared" ca="1" si="128"/>
        <v>-53206563.562458947</v>
      </c>
      <c r="L2512" s="455">
        <f t="shared" ca="1" si="129"/>
        <v>-12822781818.552605</v>
      </c>
      <c r="M2512" s="471">
        <f t="shared" si="131"/>
        <v>0.05</v>
      </c>
      <c r="N2512" s="475">
        <f t="shared" si="132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30"/>
        <v>-12822781818.552605</v>
      </c>
      <c r="J2513" s="455">
        <f t="array" ref="J2513">IFERROR(INDEX('Retirement Calculator'!K:K,MATCH('Lorri 401b'!N2513,'Retirement Calculator'!A:A,0),0),0)</f>
        <v>0</v>
      </c>
      <c r="K2513" s="455">
        <f t="shared" ca="1" si="128"/>
        <v>-53428257.577302516</v>
      </c>
      <c r="L2513" s="455">
        <f t="shared" ca="1" si="129"/>
        <v>-12876210076.129908</v>
      </c>
      <c r="M2513" s="471">
        <f t="shared" si="131"/>
        <v>0.05</v>
      </c>
      <c r="N2513" s="475">
        <f t="shared" si="132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30"/>
        <v>-12876210076.129908</v>
      </c>
      <c r="J2514" s="455">
        <f t="array" ref="J2514">IFERROR(INDEX('Retirement Calculator'!K:K,MATCH('Lorri 401b'!N2514,'Retirement Calculator'!A:A,0),0),0)</f>
        <v>0</v>
      </c>
      <c r="K2514" s="455">
        <f t="shared" ca="1" si="128"/>
        <v>-53650875.317207947</v>
      </c>
      <c r="L2514" s="455">
        <f t="shared" ca="1" si="129"/>
        <v>-12929860951.447115</v>
      </c>
      <c r="M2514" s="471">
        <f t="shared" si="131"/>
        <v>0.05</v>
      </c>
      <c r="N2514" s="475">
        <f t="shared" si="132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30"/>
        <v>-12929860951.447115</v>
      </c>
      <c r="J2515" s="455">
        <f t="array" ref="J2515">IFERROR(INDEX('Retirement Calculator'!K:K,MATCH('Lorri 401b'!N2515,'Retirement Calculator'!A:A,0),0),0)</f>
        <v>0</v>
      </c>
      <c r="K2515" s="455">
        <f t="shared" ca="1" si="128"/>
        <v>-53874420.631029643</v>
      </c>
      <c r="L2515" s="455">
        <f t="shared" ca="1" si="129"/>
        <v>-12983735372.078144</v>
      </c>
      <c r="M2515" s="471">
        <f t="shared" si="131"/>
        <v>0.05</v>
      </c>
      <c r="N2515" s="475">
        <f t="shared" si="132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30"/>
        <v>-12983735372.078144</v>
      </c>
      <c r="J2516" s="455">
        <f t="array" ref="J2516">IFERROR(INDEX('Retirement Calculator'!K:K,MATCH('Lorri 401b'!N2516,'Retirement Calculator'!A:A,0),0),0)</f>
        <v>0</v>
      </c>
      <c r="K2516" s="455">
        <f t="shared" ca="1" si="128"/>
        <v>-54098897.383658931</v>
      </c>
      <c r="L2516" s="455">
        <f t="shared" ca="1" si="129"/>
        <v>-13037834269.461803</v>
      </c>
      <c r="M2516" s="471">
        <f t="shared" si="131"/>
        <v>0.05</v>
      </c>
      <c r="N2516" s="475">
        <f t="shared" si="132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30"/>
        <v>-13037834269.461803</v>
      </c>
      <c r="J2517" s="455">
        <f t="array" ref="J2517">IFERROR(INDEX('Retirement Calculator'!K:K,MATCH('Lorri 401b'!N2517,'Retirement Calculator'!A:A,0),0),0)</f>
        <v>0</v>
      </c>
      <c r="K2517" s="455">
        <f t="shared" ca="1" si="128"/>
        <v>-54324309.456090845</v>
      </c>
      <c r="L2517" s="455">
        <f t="shared" ca="1" si="129"/>
        <v>-13092158578.917894</v>
      </c>
      <c r="M2517" s="471">
        <f t="shared" si="131"/>
        <v>0.05</v>
      </c>
      <c r="N2517" s="475">
        <f t="shared" si="132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30"/>
        <v>-13092158578.917894</v>
      </c>
      <c r="J2518" s="455">
        <f t="array" ref="J2518">IFERROR(INDEX('Retirement Calculator'!K:K,MATCH('Lorri 401b'!N2518,'Retirement Calculator'!A:A,0),0),0)</f>
        <v>0</v>
      </c>
      <c r="K2518" s="455">
        <f t="shared" ca="1" si="128"/>
        <v>-54550660.745491229</v>
      </c>
      <c r="L2518" s="455">
        <f t="shared" ca="1" si="129"/>
        <v>-13146709239.663385</v>
      </c>
      <c r="M2518" s="471">
        <f t="shared" si="131"/>
        <v>0.05</v>
      </c>
      <c r="N2518" s="475">
        <f t="shared" si="132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30"/>
        <v>-13146709239.663385</v>
      </c>
      <c r="J2519" s="455">
        <f t="array" ref="J2519">IFERROR(INDEX('Retirement Calculator'!K:K,MATCH('Lorri 401b'!N2519,'Retirement Calculator'!A:A,0),0),0)</f>
        <v>0</v>
      </c>
      <c r="K2519" s="455">
        <f t="shared" ca="1" si="128"/>
        <v>-54777955.165264107</v>
      </c>
      <c r="L2519" s="455">
        <f t="shared" ca="1" si="129"/>
        <v>-13201487194.82865</v>
      </c>
      <c r="M2519" s="471">
        <f t="shared" si="131"/>
        <v>0.05</v>
      </c>
      <c r="N2519" s="475">
        <f t="shared" si="132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30"/>
        <v>-13201487194.82865</v>
      </c>
      <c r="J2520" s="455">
        <f t="array" ref="J2520">IFERROR(INDEX('Retirement Calculator'!K:K,MATCH('Lorri 401b'!N2520,'Retirement Calculator'!A:A,0),0),0)</f>
        <v>0</v>
      </c>
      <c r="K2520" s="455">
        <f t="shared" ca="1" si="128"/>
        <v>-55006196.645119369</v>
      </c>
      <c r="L2520" s="455">
        <f t="shared" ca="1" si="129"/>
        <v>-13256493391.473768</v>
      </c>
      <c r="M2520" s="471">
        <f t="shared" si="131"/>
        <v>0.05</v>
      </c>
      <c r="N2520" s="475">
        <f t="shared" si="132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30"/>
        <v>-13256493391.473768</v>
      </c>
      <c r="J2521" s="455">
        <f t="array" ref="J2521">IFERROR(INDEX('Retirement Calculator'!K:K,MATCH('Lorri 401b'!N2521,'Retirement Calculator'!A:A,0),0),0)</f>
        <v>0</v>
      </c>
      <c r="K2521" s="455">
        <f t="shared" ca="1" si="128"/>
        <v>-55235389.131140701</v>
      </c>
      <c r="L2521" s="455">
        <f t="shared" ca="1" si="129"/>
        <v>-13311728780.604908</v>
      </c>
      <c r="M2521" s="471">
        <f t="shared" si="131"/>
        <v>0.05</v>
      </c>
      <c r="N2521" s="475">
        <f t="shared" si="132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30"/>
        <v>-13311728780.604908</v>
      </c>
      <c r="J2522" s="455">
        <f t="array" ref="J2522">IFERROR(INDEX('Retirement Calculator'!K:K,MATCH('Lorri 401b'!N2522,'Retirement Calculator'!A:A,0),0),0)</f>
        <v>0</v>
      </c>
      <c r="K2522" s="455">
        <f t="shared" ca="1" si="128"/>
        <v>-55465536.585853785</v>
      </c>
      <c r="L2522" s="455">
        <f t="shared" ca="1" si="129"/>
        <v>-13367194317.190762</v>
      </c>
      <c r="M2522" s="471">
        <f t="shared" si="131"/>
        <v>0.05</v>
      </c>
      <c r="N2522" s="475">
        <f t="shared" si="132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30"/>
        <v>-13367194317.190762</v>
      </c>
      <c r="J2523" s="455">
        <f t="array" ref="J2523">IFERROR(INDEX('Retirement Calculator'!K:K,MATCH('Lorri 401b'!N2523,'Retirement Calculator'!A:A,0),0),0)</f>
        <v>0</v>
      </c>
      <c r="K2523" s="455">
        <f t="shared" ca="1" si="128"/>
        <v>-55696642.98829484</v>
      </c>
      <c r="L2523" s="455">
        <f t="shared" ca="1" si="129"/>
        <v>-13422890960.179056</v>
      </c>
      <c r="M2523" s="471">
        <f t="shared" si="131"/>
        <v>0.05</v>
      </c>
      <c r="N2523" s="475">
        <f t="shared" si="132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30"/>
        <v>-13422890960.179056</v>
      </c>
      <c r="J2524" s="455">
        <f t="array" ref="J2524">IFERROR(INDEX('Retirement Calculator'!K:K,MATCH('Lorri 401b'!N2524,'Retirement Calculator'!A:A,0),0),0)</f>
        <v>0</v>
      </c>
      <c r="K2524" s="455">
        <f t="shared" ca="1" si="128"/>
        <v>-55928712.334079407</v>
      </c>
      <c r="L2524" s="455">
        <f t="shared" ca="1" si="129"/>
        <v>-13478819672.513136</v>
      </c>
      <c r="M2524" s="471">
        <f t="shared" si="131"/>
        <v>0.05</v>
      </c>
      <c r="N2524" s="475">
        <f t="shared" si="132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30"/>
        <v>-13478819672.513136</v>
      </c>
      <c r="J2525" s="455">
        <f t="array" ref="J2525">IFERROR(INDEX('Retirement Calculator'!K:K,MATCH('Lorri 401b'!N2525,'Retirement Calculator'!A:A,0),0),0)</f>
        <v>0</v>
      </c>
      <c r="K2525" s="455">
        <f t="shared" ca="1" si="128"/>
        <v>-56161748.635471404</v>
      </c>
      <c r="L2525" s="455">
        <f t="shared" ca="1" si="129"/>
        <v>-13534981421.148607</v>
      </c>
      <c r="M2525" s="471">
        <f t="shared" si="131"/>
        <v>0.05</v>
      </c>
      <c r="N2525" s="475">
        <f t="shared" si="132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30"/>
        <v>-13534981421.148607</v>
      </c>
      <c r="J2526" s="455">
        <f t="array" ref="J2526">IFERROR(INDEX('Retirement Calculator'!K:K,MATCH('Lorri 401b'!N2526,'Retirement Calculator'!A:A,0),0),0)</f>
        <v>0</v>
      </c>
      <c r="K2526" s="455">
        <f t="shared" ca="1" si="128"/>
        <v>-56395755.92145253</v>
      </c>
      <c r="L2526" s="455">
        <f t="shared" ca="1" si="129"/>
        <v>-13591377177.070061</v>
      </c>
      <c r="M2526" s="471">
        <f t="shared" si="131"/>
        <v>0.05</v>
      </c>
      <c r="N2526" s="475">
        <f t="shared" si="132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30"/>
        <v>-13591377177.070061</v>
      </c>
      <c r="J2527" s="455">
        <f t="array" ref="J2527">IFERROR(INDEX('Retirement Calculator'!K:K,MATCH('Lorri 401b'!N2527,'Retirement Calculator'!A:A,0),0),0)</f>
        <v>0</v>
      </c>
      <c r="K2527" s="455">
        <f t="shared" ca="1" si="128"/>
        <v>-56630738.237791918</v>
      </c>
      <c r="L2527" s="455">
        <f t="shared" ca="1" si="129"/>
        <v>-13648007915.307852</v>
      </c>
      <c r="M2527" s="471">
        <f t="shared" si="131"/>
        <v>0.05</v>
      </c>
      <c r="N2527" s="475">
        <f t="shared" si="132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30"/>
        <v>-13648007915.307852</v>
      </c>
      <c r="J2528" s="455">
        <f t="array" ref="J2528">IFERROR(INDEX('Retirement Calculator'!K:K,MATCH('Lorri 401b'!N2528,'Retirement Calculator'!A:A,0),0),0)</f>
        <v>0</v>
      </c>
      <c r="K2528" s="455">
        <f t="shared" ca="1" si="128"/>
        <v>-56866699.64711605</v>
      </c>
      <c r="L2528" s="455">
        <f t="shared" ca="1" si="129"/>
        <v>-13704874614.954967</v>
      </c>
      <c r="M2528" s="471">
        <f t="shared" si="131"/>
        <v>0.05</v>
      </c>
      <c r="N2528" s="475">
        <f t="shared" si="132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30"/>
        <v>-13704874614.954967</v>
      </c>
      <c r="J2529" s="455">
        <f t="array" ref="J2529">IFERROR(INDEX('Retirement Calculator'!K:K,MATCH('Lorri 401b'!N2529,'Retirement Calculator'!A:A,0),0),0)</f>
        <v>0</v>
      </c>
      <c r="K2529" s="455">
        <f t="shared" ca="1" si="128"/>
        <v>-57103644.228979036</v>
      </c>
      <c r="L2529" s="455">
        <f t="shared" ca="1" si="129"/>
        <v>-13761978259.183947</v>
      </c>
      <c r="M2529" s="471">
        <f t="shared" si="131"/>
        <v>0.05</v>
      </c>
      <c r="N2529" s="475">
        <f t="shared" si="132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30"/>
        <v>-13761978259.183947</v>
      </c>
      <c r="J2530" s="455">
        <f t="array" ref="J2530">IFERROR(INDEX('Retirement Calculator'!K:K,MATCH('Lorri 401b'!N2530,'Retirement Calculator'!A:A,0),0),0)</f>
        <v>0</v>
      </c>
      <c r="K2530" s="455">
        <f t="shared" ca="1" si="128"/>
        <v>-57341576.079933099</v>
      </c>
      <c r="L2530" s="455">
        <f t="shared" ca="1" si="129"/>
        <v>-13819319835.26388</v>
      </c>
      <c r="M2530" s="471">
        <f t="shared" si="131"/>
        <v>0.05</v>
      </c>
      <c r="N2530" s="475">
        <f t="shared" si="132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30"/>
        <v>-13819319835.26388</v>
      </c>
      <c r="J2531" s="455">
        <f t="array" ref="J2531">IFERROR(INDEX('Retirement Calculator'!K:K,MATCH('Lorri 401b'!N2531,'Retirement Calculator'!A:A,0),0),0)</f>
        <v>0</v>
      </c>
      <c r="K2531" s="455">
        <f t="shared" ca="1" si="128"/>
        <v>-57580499.313599497</v>
      </c>
      <c r="L2531" s="455">
        <f t="shared" ca="1" si="129"/>
        <v>-13876900334.577478</v>
      </c>
      <c r="M2531" s="471">
        <f t="shared" si="131"/>
        <v>0.05</v>
      </c>
      <c r="N2531" s="475">
        <f t="shared" si="132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30"/>
        <v>-13876900334.577478</v>
      </c>
      <c r="J2532" s="455">
        <f t="array" ref="J2532">IFERROR(INDEX('Retirement Calculator'!K:K,MATCH('Lorri 401b'!N2532,'Retirement Calculator'!A:A,0),0),0)</f>
        <v>0</v>
      </c>
      <c r="K2532" s="455">
        <f t="shared" ca="1" si="128"/>
        <v>-57820418.060739502</v>
      </c>
      <c r="L2532" s="455">
        <f t="shared" ca="1" si="129"/>
        <v>-13934720752.638218</v>
      </c>
      <c r="M2532" s="471">
        <f t="shared" si="131"/>
        <v>0.05</v>
      </c>
      <c r="N2532" s="475">
        <f t="shared" si="132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30"/>
        <v>-13934720752.638218</v>
      </c>
      <c r="J2533" s="455">
        <f t="array" ref="J2533">IFERROR(INDEX('Retirement Calculator'!K:K,MATCH('Lorri 401b'!N2533,'Retirement Calculator'!A:A,0),0),0)</f>
        <v>0</v>
      </c>
      <c r="K2533" s="455">
        <f t="shared" ca="1" si="128"/>
        <v>-58061336.4693259</v>
      </c>
      <c r="L2533" s="455">
        <f t="shared" ca="1" si="129"/>
        <v>-13992782089.107544</v>
      </c>
      <c r="M2533" s="471">
        <f t="shared" si="131"/>
        <v>0.05</v>
      </c>
      <c r="N2533" s="475">
        <f t="shared" si="132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30"/>
        <v>-13992782089.107544</v>
      </c>
      <c r="J2534" s="455">
        <f t="array" ref="J2534">IFERROR(INDEX('Retirement Calculator'!K:K,MATCH('Lorri 401b'!N2534,'Retirement Calculator'!A:A,0),0),0)</f>
        <v>0</v>
      </c>
      <c r="K2534" s="455">
        <f t="shared" ca="1" si="128"/>
        <v>-58303258.704614773</v>
      </c>
      <c r="L2534" s="455">
        <f t="shared" ca="1" si="129"/>
        <v>-14051085347.812159</v>
      </c>
      <c r="M2534" s="471">
        <f t="shared" si="131"/>
        <v>0.05</v>
      </c>
      <c r="N2534" s="475">
        <f t="shared" si="132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30"/>
        <v>-14051085347.812159</v>
      </c>
      <c r="J2535" s="455">
        <f t="array" ref="J2535">IFERROR(INDEX('Retirement Calculator'!K:K,MATCH('Lorri 401b'!N2535,'Retirement Calculator'!A:A,0),0),0)</f>
        <v>0</v>
      </c>
      <c r="K2535" s="455">
        <f t="shared" ca="1" si="128"/>
        <v>-58546188.949217327</v>
      </c>
      <c r="L2535" s="455">
        <f t="shared" ca="1" si="129"/>
        <v>-14109631536.761375</v>
      </c>
      <c r="M2535" s="471">
        <f t="shared" si="131"/>
        <v>0.05</v>
      </c>
      <c r="N2535" s="475">
        <f t="shared" si="132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30"/>
        <v>-14109631536.761375</v>
      </c>
      <c r="J2536" s="455">
        <f t="array" ref="J2536">IFERROR(INDEX('Retirement Calculator'!K:K,MATCH('Lorri 401b'!N2536,'Retirement Calculator'!A:A,0),0),0)</f>
        <v>0</v>
      </c>
      <c r="K2536" s="455">
        <f t="shared" ca="1" si="128"/>
        <v>-58790131.403172404</v>
      </c>
      <c r="L2536" s="455">
        <f t="shared" ca="1" si="129"/>
        <v>-14168421668.164547</v>
      </c>
      <c r="M2536" s="471">
        <f t="shared" si="131"/>
        <v>0.05</v>
      </c>
      <c r="N2536" s="475">
        <f t="shared" si="132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30"/>
        <v>-14168421668.164547</v>
      </c>
      <c r="J2537" s="455">
        <f t="array" ref="J2537">IFERROR(INDEX('Retirement Calculator'!K:K,MATCH('Lorri 401b'!N2537,'Retirement Calculator'!A:A,0),0),0)</f>
        <v>0</v>
      </c>
      <c r="K2537" s="455">
        <f t="shared" ca="1" si="128"/>
        <v>-59035090.284018941</v>
      </c>
      <c r="L2537" s="455">
        <f t="shared" ca="1" si="129"/>
        <v>-14227456758.448566</v>
      </c>
      <c r="M2537" s="471">
        <f t="shared" si="131"/>
        <v>0.05</v>
      </c>
      <c r="N2537" s="475">
        <f t="shared" si="132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30"/>
        <v>-14227456758.448566</v>
      </c>
      <c r="J2538" s="455">
        <f t="array" ref="J2538">IFERROR(INDEX('Retirement Calculator'!K:K,MATCH('Lorri 401b'!N2538,'Retirement Calculator'!A:A,0),0),0)</f>
        <v>0</v>
      </c>
      <c r="K2538" s="455">
        <f t="shared" ca="1" si="128"/>
        <v>-59281069.826869026</v>
      </c>
      <c r="L2538" s="455">
        <f t="shared" ca="1" si="129"/>
        <v>-14286737828.275436</v>
      </c>
      <c r="M2538" s="471">
        <f t="shared" si="131"/>
        <v>0.05</v>
      </c>
      <c r="N2538" s="475">
        <f t="shared" si="132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30"/>
        <v>-14286737828.275436</v>
      </c>
      <c r="J2539" s="455">
        <f t="array" ref="J2539">IFERROR(INDEX('Retirement Calculator'!K:K,MATCH('Lorri 401b'!N2539,'Retirement Calculator'!A:A,0),0),0)</f>
        <v>0</v>
      </c>
      <c r="K2539" s="455">
        <f t="shared" ca="1" si="128"/>
        <v>-59528074.284480974</v>
      </c>
      <c r="L2539" s="455">
        <f t="shared" ca="1" si="129"/>
        <v>-14346265902.559917</v>
      </c>
      <c r="M2539" s="471">
        <f t="shared" si="131"/>
        <v>0.05</v>
      </c>
      <c r="N2539" s="475">
        <f t="shared" si="132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30"/>
        <v>-14346265902.559917</v>
      </c>
      <c r="J2540" s="455">
        <f t="array" ref="J2540">IFERROR(INDEX('Retirement Calculator'!K:K,MATCH('Lorri 401b'!N2540,'Retirement Calculator'!A:A,0),0),0)</f>
        <v>0</v>
      </c>
      <c r="K2540" s="455">
        <f t="shared" ca="1" si="128"/>
        <v>-59776107.927332997</v>
      </c>
      <c r="L2540" s="455">
        <f t="shared" ca="1" si="129"/>
        <v>-14406042010.487251</v>
      </c>
      <c r="M2540" s="471">
        <f t="shared" si="131"/>
        <v>0.05</v>
      </c>
      <c r="N2540" s="475">
        <f t="shared" si="132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30"/>
        <v>-14406042010.487251</v>
      </c>
      <c r="J2541" s="455">
        <f t="array" ref="J2541">IFERROR(INDEX('Retirement Calculator'!K:K,MATCH('Lorri 401b'!N2541,'Retirement Calculator'!A:A,0),0),0)</f>
        <v>0</v>
      </c>
      <c r="K2541" s="455">
        <f t="shared" ca="1" si="128"/>
        <v>-60025175.04369688</v>
      </c>
      <c r="L2541" s="455">
        <f t="shared" ca="1" si="129"/>
        <v>-14466067185.530949</v>
      </c>
      <c r="M2541" s="471">
        <f t="shared" si="131"/>
        <v>0.05</v>
      </c>
      <c r="N2541" s="475">
        <f t="shared" si="132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30"/>
        <v>-14466067185.530949</v>
      </c>
      <c r="J2542" s="455">
        <f t="array" ref="J2542">IFERROR(INDEX('Retirement Calculator'!K:K,MATCH('Lorri 401b'!N2542,'Retirement Calculator'!A:A,0),0),0)</f>
        <v>0</v>
      </c>
      <c r="K2542" s="455">
        <f t="shared" ca="1" si="128"/>
        <v>-60275279.939712293</v>
      </c>
      <c r="L2542" s="455">
        <f t="shared" ca="1" si="129"/>
        <v>-14526342465.470661</v>
      </c>
      <c r="M2542" s="471">
        <f t="shared" si="131"/>
        <v>0.05</v>
      </c>
      <c r="N2542" s="475">
        <f t="shared" si="132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30"/>
        <v>-14526342465.470661</v>
      </c>
      <c r="J2543" s="455">
        <f t="array" ref="J2543">IFERROR(INDEX('Retirement Calculator'!K:K,MATCH('Lorri 401b'!N2543,'Retirement Calculator'!A:A,0),0),0)</f>
        <v>0</v>
      </c>
      <c r="K2543" s="455">
        <f t="shared" ca="1" si="128"/>
        <v>-60526426.939461082</v>
      </c>
      <c r="L2543" s="455">
        <f t="shared" ca="1" si="129"/>
        <v>-14586868892.410122</v>
      </c>
      <c r="M2543" s="471">
        <f t="shared" si="131"/>
        <v>0.05</v>
      </c>
      <c r="N2543" s="475">
        <f t="shared" si="132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30"/>
        <v>-14586868892.410122</v>
      </c>
      <c r="J2544" s="455">
        <f t="array" ref="J2544">IFERROR(INDEX('Retirement Calculator'!K:K,MATCH('Lorri 401b'!N2544,'Retirement Calculator'!A:A,0),0),0)</f>
        <v>0</v>
      </c>
      <c r="K2544" s="455">
        <f t="shared" ca="1" si="128"/>
        <v>-60778620.385042183</v>
      </c>
      <c r="L2544" s="455">
        <f t="shared" ca="1" si="129"/>
        <v>-14647647512.795164</v>
      </c>
      <c r="M2544" s="471">
        <f t="shared" si="131"/>
        <v>0.05</v>
      </c>
      <c r="N2544" s="475">
        <f t="shared" si="132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30"/>
        <v>-14647647512.795164</v>
      </c>
      <c r="J2545" s="455">
        <f t="array" ref="J2545">IFERROR(INDEX('Retirement Calculator'!K:K,MATCH('Lorri 401b'!N2545,'Retirement Calculator'!A:A,0),0),0)</f>
        <v>0</v>
      </c>
      <c r="K2545" s="455">
        <f t="shared" ca="1" si="128"/>
        <v>-61031864.636646517</v>
      </c>
      <c r="L2545" s="455">
        <f t="shared" ca="1" si="129"/>
        <v>-14708679377.43181</v>
      </c>
      <c r="M2545" s="471">
        <f t="shared" si="131"/>
        <v>0.05</v>
      </c>
      <c r="N2545" s="475">
        <f t="shared" si="132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30"/>
        <v>-14708679377.43181</v>
      </c>
      <c r="J2546" s="455">
        <f t="array" ref="J2546">IFERROR(INDEX('Retirement Calculator'!K:K,MATCH('Lorri 401b'!N2546,'Retirement Calculator'!A:A,0),0),0)</f>
        <v>0</v>
      </c>
      <c r="K2546" s="455">
        <f t="shared" ca="1" si="128"/>
        <v>-61286164.072632544</v>
      </c>
      <c r="L2546" s="455">
        <f t="shared" ca="1" si="129"/>
        <v>-14769965541.504442</v>
      </c>
      <c r="M2546" s="471">
        <f t="shared" si="131"/>
        <v>0.05</v>
      </c>
      <c r="N2546" s="475">
        <f t="shared" si="132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30"/>
        <v>-14769965541.504442</v>
      </c>
      <c r="J2547" s="455">
        <f t="array" ref="J2547">IFERROR(INDEX('Retirement Calculator'!K:K,MATCH('Lorri 401b'!N2547,'Retirement Calculator'!A:A,0),0),0)</f>
        <v>0</v>
      </c>
      <c r="K2547" s="455">
        <f t="shared" ca="1" si="128"/>
        <v>-61541523.089601845</v>
      </c>
      <c r="L2547" s="455">
        <f t="shared" ca="1" si="129"/>
        <v>-14831507064.594044</v>
      </c>
      <c r="M2547" s="471">
        <f t="shared" si="131"/>
        <v>0.05</v>
      </c>
      <c r="N2547" s="475">
        <f t="shared" si="132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30"/>
        <v>-14831507064.594044</v>
      </c>
      <c r="J2548" s="455">
        <f t="array" ref="J2548">IFERROR(INDEX('Retirement Calculator'!K:K,MATCH('Lorri 401b'!N2548,'Retirement Calculator'!A:A,0),0),0)</f>
        <v>0</v>
      </c>
      <c r="K2548" s="455">
        <f t="shared" ca="1" si="128"/>
        <v>-61797946.102475181</v>
      </c>
      <c r="L2548" s="455">
        <f t="shared" ca="1" si="129"/>
        <v>-14893305010.69652</v>
      </c>
      <c r="M2548" s="471">
        <f t="shared" si="131"/>
        <v>0.05</v>
      </c>
      <c r="N2548" s="475">
        <f t="shared" si="132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30"/>
        <v>-14893305010.69652</v>
      </c>
      <c r="J2549" s="455">
        <f t="array" ref="J2549">IFERROR(INDEX('Retirement Calculator'!K:K,MATCH('Lorri 401b'!N2549,'Retirement Calculator'!A:A,0),0),0)</f>
        <v>0</v>
      </c>
      <c r="K2549" s="455">
        <f t="shared" ca="1" si="128"/>
        <v>-62055437.544568822</v>
      </c>
      <c r="L2549" s="455">
        <f t="shared" ca="1" si="129"/>
        <v>-14955360448.241089</v>
      </c>
      <c r="M2549" s="471">
        <f t="shared" si="131"/>
        <v>0.05</v>
      </c>
      <c r="N2549" s="475">
        <f t="shared" si="132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30"/>
        <v>-14955360448.241089</v>
      </c>
      <c r="J2550" s="455">
        <f t="array" ref="J2550">IFERROR(INDEX('Retirement Calculator'!K:K,MATCH('Lorri 401b'!N2550,'Retirement Calculator'!A:A,0),0),0)</f>
        <v>0</v>
      </c>
      <c r="K2550" s="455">
        <f t="shared" ca="1" si="128"/>
        <v>-62314001.867671199</v>
      </c>
      <c r="L2550" s="455">
        <f t="shared" ca="1" si="129"/>
        <v>-15017674450.108761</v>
      </c>
      <c r="M2550" s="471">
        <f t="shared" si="131"/>
        <v>0.05</v>
      </c>
      <c r="N2550" s="475">
        <f t="shared" si="132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30"/>
        <v>-15017674450.108761</v>
      </c>
      <c r="J2551" s="455">
        <f t="array" ref="J2551">IFERROR(INDEX('Retirement Calculator'!K:K,MATCH('Lorri 401b'!N2551,'Retirement Calculator'!A:A,0),0),0)</f>
        <v>0</v>
      </c>
      <c r="K2551" s="455">
        <f t="shared" ca="1" si="128"/>
        <v>-62573643.542119838</v>
      </c>
      <c r="L2551" s="455">
        <f t="shared" ca="1" si="129"/>
        <v>-15080248093.650881</v>
      </c>
      <c r="M2551" s="471">
        <f t="shared" si="131"/>
        <v>0.05</v>
      </c>
      <c r="N2551" s="475">
        <f t="shared" si="132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30"/>
        <v>-15080248093.650881</v>
      </c>
      <c r="J2552" s="455">
        <f t="array" ref="J2552">IFERROR(INDEX('Retirement Calculator'!K:K,MATCH('Lorri 401b'!N2552,'Retirement Calculator'!A:A,0),0),0)</f>
        <v>0</v>
      </c>
      <c r="K2552" s="455">
        <f t="shared" ca="1" si="128"/>
        <v>-62834367.056878671</v>
      </c>
      <c r="L2552" s="455">
        <f t="shared" ca="1" si="129"/>
        <v>-15143082460.70776</v>
      </c>
      <c r="M2552" s="471">
        <f t="shared" si="131"/>
        <v>0.05</v>
      </c>
      <c r="N2552" s="475">
        <f t="shared" si="132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30"/>
        <v>-15143082460.70776</v>
      </c>
      <c r="J2553" s="455">
        <f t="array" ref="J2553">IFERROR(INDEX('Retirement Calculator'!K:K,MATCH('Lorri 401b'!N2553,'Retirement Calculator'!A:A,0),0),0)</f>
        <v>0</v>
      </c>
      <c r="K2553" s="455">
        <f t="shared" ca="1" si="128"/>
        <v>-63096176.919615656</v>
      </c>
      <c r="L2553" s="455">
        <f t="shared" ca="1" si="129"/>
        <v>-15206178637.627375</v>
      </c>
      <c r="M2553" s="471">
        <f t="shared" si="131"/>
        <v>0.05</v>
      </c>
      <c r="N2553" s="475">
        <f t="shared" si="132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30"/>
        <v>-15206178637.627375</v>
      </c>
      <c r="J2554" s="455">
        <f t="array" ref="J2554">IFERROR(INDEX('Retirement Calculator'!K:K,MATCH('Lorri 401b'!N2554,'Retirement Calculator'!A:A,0),0),0)</f>
        <v>0</v>
      </c>
      <c r="K2554" s="455">
        <f t="shared" ca="1" si="128"/>
        <v>-63359077.656780735</v>
      </c>
      <c r="L2554" s="455">
        <f t="shared" ca="1" si="129"/>
        <v>-15269537715.284155</v>
      </c>
      <c r="M2554" s="471">
        <f t="shared" si="131"/>
        <v>0.05</v>
      </c>
      <c r="N2554" s="475">
        <f t="shared" si="132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30"/>
        <v>-15269537715.284155</v>
      </c>
      <c r="J2555" s="455">
        <f t="array" ref="J2555">IFERROR(INDEX('Retirement Calculator'!K:K,MATCH('Lorri 401b'!N2555,'Retirement Calculator'!A:A,0),0),0)</f>
        <v>0</v>
      </c>
      <c r="K2555" s="455">
        <f t="shared" ca="1" si="128"/>
        <v>-63623073.813683979</v>
      </c>
      <c r="L2555" s="455">
        <f t="shared" ca="1" si="129"/>
        <v>-15333160789.097839</v>
      </c>
      <c r="M2555" s="471">
        <f t="shared" si="131"/>
        <v>0.05</v>
      </c>
      <c r="N2555" s="475">
        <f t="shared" si="132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30"/>
        <v>-15333160789.097839</v>
      </c>
      <c r="J2556" s="455">
        <f t="array" ref="J2556">IFERROR(INDEX('Retirement Calculator'!K:K,MATCH('Lorri 401b'!N2556,'Retirement Calculator'!A:A,0),0),0)</f>
        <v>0</v>
      </c>
      <c r="K2556" s="455">
        <f t="shared" ca="1" si="128"/>
        <v>-63888169.954574339</v>
      </c>
      <c r="L2556" s="455">
        <f t="shared" ca="1" si="129"/>
        <v>-15397048959.052414</v>
      </c>
      <c r="M2556" s="471">
        <f t="shared" si="131"/>
        <v>0.05</v>
      </c>
      <c r="N2556" s="475">
        <f t="shared" si="132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30"/>
        <v>-15397048959.052414</v>
      </c>
      <c r="J2557" s="455">
        <f t="array" ref="J2557">IFERROR(INDEX('Retirement Calculator'!K:K,MATCH('Lorri 401b'!N2557,'Retirement Calculator'!A:A,0),0),0)</f>
        <v>0</v>
      </c>
      <c r="K2557" s="455">
        <f t="shared" ca="1" si="128"/>
        <v>-64154370.662718393</v>
      </c>
      <c r="L2557" s="455">
        <f t="shared" ca="1" si="129"/>
        <v>-15461203329.715132</v>
      </c>
      <c r="M2557" s="471">
        <f t="shared" si="131"/>
        <v>0.05</v>
      </c>
      <c r="N2557" s="475">
        <f t="shared" si="132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30"/>
        <v>-15461203329.715132</v>
      </c>
      <c r="J2558" s="455">
        <f t="array" ref="J2558">IFERROR(INDEX('Retirement Calculator'!K:K,MATCH('Lorri 401b'!N2558,'Retirement Calculator'!A:A,0),0),0)</f>
        <v>0</v>
      </c>
      <c r="K2558" s="455">
        <f t="shared" ref="K2558:K2812" ca="1" si="133">IPMT(M2558/12,1,12,-I2558+J2558,,0)</f>
        <v>-64421680.54047972</v>
      </c>
      <c r="L2558" s="455">
        <f t="shared" ref="L2558:L2812" ca="1" si="134">I2558-J2558+K2558</f>
        <v>-15525625010.255611</v>
      </c>
      <c r="M2558" s="471">
        <f t="shared" si="131"/>
        <v>0.05</v>
      </c>
      <c r="N2558" s="475">
        <f t="shared" si="132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35">L2558</f>
        <v>-15525625010.255611</v>
      </c>
      <c r="J2559" s="455">
        <f t="array" ref="J2559">IFERROR(INDEX('Retirement Calculator'!K:K,MATCH('Lorri 401b'!N2559,'Retirement Calculator'!A:A,0),0),0)</f>
        <v>0</v>
      </c>
      <c r="K2559" s="455">
        <f t="shared" ca="1" si="133"/>
        <v>-64690104.209398389</v>
      </c>
      <c r="L2559" s="455">
        <f t="shared" ca="1" si="134"/>
        <v>-15590315114.46501</v>
      </c>
      <c r="M2559" s="471">
        <f t="shared" ref="M2559:M2813" si="136">M2558</f>
        <v>0.05</v>
      </c>
      <c r="N2559" s="475">
        <f t="shared" ref="N2559:N2813" si="137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35"/>
        <v>-15590315114.46501</v>
      </c>
      <c r="J2560" s="455">
        <f t="array" ref="J2560">IFERROR(INDEX('Retirement Calculator'!K:K,MATCH('Lorri 401b'!N2560,'Retirement Calculator'!A:A,0),0),0)</f>
        <v>0</v>
      </c>
      <c r="K2560" s="455">
        <f t="shared" ca="1" si="133"/>
        <v>-64959646.310270876</v>
      </c>
      <c r="L2560" s="455">
        <f t="shared" ca="1" si="134"/>
        <v>-15655274760.77528</v>
      </c>
      <c r="M2560" s="471">
        <f t="shared" si="136"/>
        <v>0.05</v>
      </c>
      <c r="N2560" s="475">
        <f t="shared" si="137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35"/>
        <v>-15655274760.77528</v>
      </c>
      <c r="J2561" s="455">
        <f t="array" ref="J2561">IFERROR(INDEX('Retirement Calculator'!K:K,MATCH('Lorri 401b'!N2561,'Retirement Calculator'!A:A,0),0),0)</f>
        <v>0</v>
      </c>
      <c r="K2561" s="455">
        <f t="shared" ca="1" si="133"/>
        <v>-65230311.503230326</v>
      </c>
      <c r="L2561" s="455">
        <f t="shared" ca="1" si="134"/>
        <v>-15720505072.278511</v>
      </c>
      <c r="M2561" s="471">
        <f t="shared" si="136"/>
        <v>0.05</v>
      </c>
      <c r="N2561" s="475">
        <f t="shared" si="137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35"/>
        <v>-15720505072.278511</v>
      </c>
      <c r="J2562" s="455">
        <f t="array" ref="J2562">IFERROR(INDEX('Retirement Calculator'!K:K,MATCH('Lorri 401b'!N2562,'Retirement Calculator'!A:A,0),0),0)</f>
        <v>0</v>
      </c>
      <c r="K2562" s="455">
        <f t="shared" ca="1" si="133"/>
        <v>-65502104.467827126</v>
      </c>
      <c r="L2562" s="455">
        <f t="shared" ca="1" si="134"/>
        <v>-15786007176.746338</v>
      </c>
      <c r="M2562" s="471">
        <f t="shared" si="136"/>
        <v>0.05</v>
      </c>
      <c r="N2562" s="475">
        <f t="shared" si="137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35"/>
        <v>-15786007176.746338</v>
      </c>
      <c r="J2563" s="455">
        <f t="array" ref="J2563">IFERROR(INDEX('Retirement Calculator'!K:K,MATCH('Lorri 401b'!N2563,'Retirement Calculator'!A:A,0),0),0)</f>
        <v>0</v>
      </c>
      <c r="K2563" s="455">
        <f t="shared" ca="1" si="133"/>
        <v>-65775029.903109752</v>
      </c>
      <c r="L2563" s="455">
        <f t="shared" ca="1" si="134"/>
        <v>-15851782206.649448</v>
      </c>
      <c r="M2563" s="471">
        <f t="shared" si="136"/>
        <v>0.05</v>
      </c>
      <c r="N2563" s="475">
        <f t="shared" si="137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35"/>
        <v>-15851782206.649448</v>
      </c>
      <c r="J2564" s="455">
        <f t="array" ref="J2564">IFERROR(INDEX('Retirement Calculator'!K:K,MATCH('Lorri 401b'!N2564,'Retirement Calculator'!A:A,0),0),0)</f>
        <v>0</v>
      </c>
      <c r="K2564" s="455">
        <f t="shared" ca="1" si="133"/>
        <v>-66049092.527706034</v>
      </c>
      <c r="L2564" s="455">
        <f t="shared" ca="1" si="134"/>
        <v>-15917831299.177155</v>
      </c>
      <c r="M2564" s="471">
        <f t="shared" si="136"/>
        <v>0.05</v>
      </c>
      <c r="N2564" s="475">
        <f t="shared" si="137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35"/>
        <v>-15917831299.177155</v>
      </c>
      <c r="J2565" s="455">
        <f t="array" ref="J2565">IFERROR(INDEX('Retirement Calculator'!K:K,MATCH('Lorri 401b'!N2565,'Retirement Calculator'!A:A,0),0),0)</f>
        <v>0</v>
      </c>
      <c r="K2565" s="455">
        <f t="shared" ca="1" si="133"/>
        <v>-66324297.079904817</v>
      </c>
      <c r="L2565" s="455">
        <f t="shared" ca="1" si="134"/>
        <v>-15984155596.257059</v>
      </c>
      <c r="M2565" s="471">
        <f t="shared" si="136"/>
        <v>0.05</v>
      </c>
      <c r="N2565" s="475">
        <f t="shared" si="137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35"/>
        <v>-15984155596.257059</v>
      </c>
      <c r="J2566" s="455">
        <f t="array" ref="J2566">IFERROR(INDEX('Retirement Calculator'!K:K,MATCH('Lorri 401b'!N2566,'Retirement Calculator'!A:A,0),0),0)</f>
        <v>0</v>
      </c>
      <c r="K2566" s="455">
        <f t="shared" ca="1" si="133"/>
        <v>-66600648.317737736</v>
      </c>
      <c r="L2566" s="455">
        <f t="shared" ca="1" si="134"/>
        <v>-16050756244.574797</v>
      </c>
      <c r="M2566" s="471">
        <f t="shared" si="136"/>
        <v>0.05</v>
      </c>
      <c r="N2566" s="475">
        <f t="shared" si="137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35"/>
        <v>-16050756244.574797</v>
      </c>
      <c r="J2567" s="455">
        <f t="array" ref="J2567">IFERROR(INDEX('Retirement Calculator'!K:K,MATCH('Lorri 401b'!N2567,'Retirement Calculator'!A:A,0),0),0)</f>
        <v>0</v>
      </c>
      <c r="K2567" s="455">
        <f t="shared" ca="1" si="133"/>
        <v>-66878151.019061647</v>
      </c>
      <c r="L2567" s="455">
        <f t="shared" ca="1" si="134"/>
        <v>-16117634395.593859</v>
      </c>
      <c r="M2567" s="471">
        <f t="shared" si="136"/>
        <v>0.05</v>
      </c>
      <c r="N2567" s="475">
        <f t="shared" si="137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35"/>
        <v>-16117634395.593859</v>
      </c>
      <c r="J2568" s="455">
        <f t="array" ref="J2568">IFERROR(INDEX('Retirement Calculator'!K:K,MATCH('Lorri 401b'!N2568,'Retirement Calculator'!A:A,0),0),0)</f>
        <v>0</v>
      </c>
      <c r="K2568" s="455">
        <f t="shared" ca="1" si="133"/>
        <v>-67156809.981641084</v>
      </c>
      <c r="L2568" s="455">
        <f t="shared" ca="1" si="134"/>
        <v>-16184791205.5755</v>
      </c>
      <c r="M2568" s="471">
        <f t="shared" si="136"/>
        <v>0.05</v>
      </c>
      <c r="N2568" s="475">
        <f t="shared" si="137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35"/>
        <v>-16184791205.5755</v>
      </c>
      <c r="J2569" s="455">
        <f t="array" ref="J2569">IFERROR(INDEX('Retirement Calculator'!K:K,MATCH('Lorri 401b'!N2569,'Retirement Calculator'!A:A,0),0),0)</f>
        <v>0</v>
      </c>
      <c r="K2569" s="455">
        <f t="shared" ca="1" si="133"/>
        <v>-67436630.023231253</v>
      </c>
      <c r="L2569" s="455">
        <f t="shared" ca="1" si="134"/>
        <v>-16252227835.598732</v>
      </c>
      <c r="M2569" s="471">
        <f t="shared" si="136"/>
        <v>0.05</v>
      </c>
      <c r="N2569" s="475">
        <f t="shared" si="137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35"/>
        <v>-16252227835.598732</v>
      </c>
      <c r="J2570" s="455">
        <f t="array" ref="J2570">IFERROR(INDEX('Retirement Calculator'!K:K,MATCH('Lorri 401b'!N2570,'Retirement Calculator'!A:A,0),0),0)</f>
        <v>0</v>
      </c>
      <c r="K2570" s="455">
        <f t="shared" ca="1" si="133"/>
        <v>-67717615.981661379</v>
      </c>
      <c r="L2570" s="455">
        <f t="shared" ca="1" si="134"/>
        <v>-16319945451.580393</v>
      </c>
      <c r="M2570" s="471">
        <f t="shared" si="136"/>
        <v>0.05</v>
      </c>
      <c r="N2570" s="475">
        <f t="shared" si="137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35"/>
        <v>-16319945451.580393</v>
      </c>
      <c r="J2571" s="455">
        <f t="array" ref="J2571">IFERROR(INDEX('Retirement Calculator'!K:K,MATCH('Lorri 401b'!N2571,'Retirement Calculator'!A:A,0),0),0)</f>
        <v>0</v>
      </c>
      <c r="K2571" s="455">
        <f t="shared" ca="1" si="133"/>
        <v>-67999772.714918301</v>
      </c>
      <c r="L2571" s="455">
        <f t="shared" ca="1" si="134"/>
        <v>-16387945224.295311</v>
      </c>
      <c r="M2571" s="471">
        <f t="shared" si="136"/>
        <v>0.05</v>
      </c>
      <c r="N2571" s="475">
        <f t="shared" si="137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35"/>
        <v>-16387945224.295311</v>
      </c>
      <c r="J2572" s="455">
        <f t="array" ref="J2572">IFERROR(INDEX('Retirement Calculator'!K:K,MATCH('Lorri 401b'!N2572,'Retirement Calculator'!A:A,0),0),0)</f>
        <v>0</v>
      </c>
      <c r="K2572" s="455">
        <f t="shared" ca="1" si="133"/>
        <v>-68283105.101230472</v>
      </c>
      <c r="L2572" s="455">
        <f t="shared" ca="1" si="134"/>
        <v>-16456228329.396542</v>
      </c>
      <c r="M2572" s="471">
        <f t="shared" si="136"/>
        <v>0.05</v>
      </c>
      <c r="N2572" s="475">
        <f t="shared" si="137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35"/>
        <v>-16456228329.396542</v>
      </c>
      <c r="J2573" s="455">
        <f t="array" ref="J2573">IFERROR(INDEX('Retirement Calculator'!K:K,MATCH('Lorri 401b'!N2573,'Retirement Calculator'!A:A,0),0),0)</f>
        <v>0</v>
      </c>
      <c r="K2573" s="455">
        <f t="shared" ca="1" si="133"/>
        <v>-68567618.03915225</v>
      </c>
      <c r="L2573" s="455">
        <f t="shared" ca="1" si="134"/>
        <v>-16524795947.435694</v>
      </c>
      <c r="M2573" s="471">
        <f t="shared" si="136"/>
        <v>0.05</v>
      </c>
      <c r="N2573" s="475">
        <f t="shared" si="137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35"/>
        <v>-16524795947.435694</v>
      </c>
      <c r="J2574" s="455">
        <f t="array" ref="J2574">IFERROR(INDEX('Retirement Calculator'!K:K,MATCH('Lorri 401b'!N2574,'Retirement Calculator'!A:A,0),0),0)</f>
        <v>0</v>
      </c>
      <c r="K2574" s="455">
        <f t="shared" ca="1" si="133"/>
        <v>-68853316.447648719</v>
      </c>
      <c r="L2574" s="455">
        <f t="shared" ca="1" si="134"/>
        <v>-16593649263.883343</v>
      </c>
      <c r="M2574" s="471">
        <f t="shared" si="136"/>
        <v>0.05</v>
      </c>
      <c r="N2574" s="475">
        <f t="shared" si="137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35"/>
        <v>-16593649263.883343</v>
      </c>
      <c r="J2575" s="455">
        <f t="array" ref="J2575">IFERROR(INDEX('Retirement Calculator'!K:K,MATCH('Lorri 401b'!N2575,'Retirement Calculator'!A:A,0),0),0)</f>
        <v>0</v>
      </c>
      <c r="K2575" s="455">
        <f t="shared" ca="1" si="133"/>
        <v>-69140205.26618059</v>
      </c>
      <c r="L2575" s="455">
        <f t="shared" ca="1" si="134"/>
        <v>-16662789469.149523</v>
      </c>
      <c r="M2575" s="471">
        <f t="shared" si="136"/>
        <v>0.05</v>
      </c>
      <c r="N2575" s="475">
        <f t="shared" si="137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35"/>
        <v>-16662789469.149523</v>
      </c>
      <c r="J2576" s="455">
        <f t="array" ref="J2576">IFERROR(INDEX('Retirement Calculator'!K:K,MATCH('Lorri 401b'!N2576,'Retirement Calculator'!A:A,0),0),0)</f>
        <v>0</v>
      </c>
      <c r="K2576" s="455">
        <f t="shared" ca="1" si="133"/>
        <v>-69428289.454789683</v>
      </c>
      <c r="L2576" s="455">
        <f t="shared" ca="1" si="134"/>
        <v>-16732217758.604313</v>
      </c>
      <c r="M2576" s="471">
        <f t="shared" si="136"/>
        <v>0.05</v>
      </c>
      <c r="N2576" s="475">
        <f t="shared" si="137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35"/>
        <v>-16732217758.604313</v>
      </c>
      <c r="J2577" s="455">
        <f t="array" ref="J2577">IFERROR(INDEX('Retirement Calculator'!K:K,MATCH('Lorri 401b'!N2577,'Retirement Calculator'!A:A,0),0),0)</f>
        <v>0</v>
      </c>
      <c r="K2577" s="455">
        <f t="shared" ca="1" si="133"/>
        <v>-69717573.994184643</v>
      </c>
      <c r="L2577" s="455">
        <f t="shared" ca="1" si="134"/>
        <v>-16801935332.598497</v>
      </c>
      <c r="M2577" s="471">
        <f t="shared" si="136"/>
        <v>0.05</v>
      </c>
      <c r="N2577" s="475">
        <f t="shared" si="137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35"/>
        <v>-16801935332.598497</v>
      </c>
      <c r="J2578" s="455">
        <f t="array" ref="J2578">IFERROR(INDEX('Retirement Calculator'!K:K,MATCH('Lorri 401b'!N2578,'Retirement Calculator'!A:A,0),0),0)</f>
        <v>0</v>
      </c>
      <c r="K2578" s="455">
        <f t="shared" ca="1" si="133"/>
        <v>-70008063.885827065</v>
      </c>
      <c r="L2578" s="455">
        <f t="shared" ca="1" si="134"/>
        <v>-16871943396.484325</v>
      </c>
      <c r="M2578" s="471">
        <f t="shared" si="136"/>
        <v>0.05</v>
      </c>
      <c r="N2578" s="475">
        <f t="shared" si="137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35"/>
        <v>-16871943396.484325</v>
      </c>
      <c r="J2579" s="455">
        <f t="array" ref="J2579">IFERROR(INDEX('Retirement Calculator'!K:K,MATCH('Lorri 401b'!N2579,'Retirement Calculator'!A:A,0),0),0)</f>
        <v>0</v>
      </c>
      <c r="K2579" s="455">
        <f t="shared" ca="1" si="133"/>
        <v>-70299764.152018026</v>
      </c>
      <c r="L2579" s="455">
        <f t="shared" ca="1" si="134"/>
        <v>-16942243160.636343</v>
      </c>
      <c r="M2579" s="471">
        <f t="shared" si="136"/>
        <v>0.05</v>
      </c>
      <c r="N2579" s="475">
        <f t="shared" si="137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35"/>
        <v>-16942243160.636343</v>
      </c>
      <c r="J2580" s="455">
        <f t="array" ref="J2580">IFERROR(INDEX('Retirement Calculator'!K:K,MATCH('Lorri 401b'!N2580,'Retirement Calculator'!A:A,0),0),0)</f>
        <v>0</v>
      </c>
      <c r="K2580" s="455">
        <f t="shared" ca="1" si="133"/>
        <v>-70592679.835984766</v>
      </c>
      <c r="L2580" s="455">
        <f t="shared" ca="1" si="134"/>
        <v>-17012835840.472328</v>
      </c>
      <c r="M2580" s="471">
        <f t="shared" si="136"/>
        <v>0.05</v>
      </c>
      <c r="N2580" s="475">
        <f t="shared" si="137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35"/>
        <v>-17012835840.472328</v>
      </c>
      <c r="J2581" s="455">
        <f t="array" ref="J2581">IFERROR(INDEX('Retirement Calculator'!K:K,MATCH('Lorri 401b'!N2581,'Retirement Calculator'!A:A,0),0),0)</f>
        <v>0</v>
      </c>
      <c r="K2581" s="455">
        <f t="shared" ca="1" si="133"/>
        <v>-70886816.001968026</v>
      </c>
      <c r="L2581" s="455">
        <f t="shared" ca="1" si="134"/>
        <v>-17083722656.474297</v>
      </c>
      <c r="M2581" s="471">
        <f t="shared" si="136"/>
        <v>0.05</v>
      </c>
      <c r="N2581" s="475">
        <f t="shared" si="137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35"/>
        <v>-17083722656.474297</v>
      </c>
      <c r="J2582" s="455">
        <f t="array" ref="J2582">IFERROR(INDEX('Retirement Calculator'!K:K,MATCH('Lorri 401b'!N2582,'Retirement Calculator'!A:A,0),0),0)</f>
        <v>0</v>
      </c>
      <c r="K2582" s="455">
        <f t="shared" ca="1" si="133"/>
        <v>-71182177.735309571</v>
      </c>
      <c r="L2582" s="455">
        <f t="shared" ca="1" si="134"/>
        <v>-17154904834.209606</v>
      </c>
      <c r="M2582" s="471">
        <f t="shared" si="136"/>
        <v>0.05</v>
      </c>
      <c r="N2582" s="475">
        <f t="shared" si="137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35"/>
        <v>-17154904834.209606</v>
      </c>
      <c r="J2583" s="455">
        <f t="array" ref="J2583">IFERROR(INDEX('Retirement Calculator'!K:K,MATCH('Lorri 401b'!N2583,'Retirement Calculator'!A:A,0),0),0)</f>
        <v>0</v>
      </c>
      <c r="K2583" s="455">
        <f t="shared" ca="1" si="133"/>
        <v>-71478770.142540023</v>
      </c>
      <c r="L2583" s="455">
        <f t="shared" ca="1" si="134"/>
        <v>-17226383604.352146</v>
      </c>
      <c r="M2583" s="471">
        <f t="shared" si="136"/>
        <v>0.05</v>
      </c>
      <c r="N2583" s="475">
        <f t="shared" si="137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35"/>
        <v>-17226383604.352146</v>
      </c>
      <c r="J2584" s="455">
        <f t="array" ref="J2584">IFERROR(INDEX('Retirement Calculator'!K:K,MATCH('Lorri 401b'!N2584,'Retirement Calculator'!A:A,0),0),0)</f>
        <v>0</v>
      </c>
      <c r="K2584" s="455">
        <f t="shared" ca="1" si="133"/>
        <v>-71776598.351467282</v>
      </c>
      <c r="L2584" s="455">
        <f t="shared" ca="1" si="134"/>
        <v>-17298160202.703613</v>
      </c>
      <c r="M2584" s="471">
        <f t="shared" si="136"/>
        <v>0.05</v>
      </c>
      <c r="N2584" s="475">
        <f t="shared" si="137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35"/>
        <v>-17298160202.703613</v>
      </c>
      <c r="J2585" s="455">
        <f t="array" ref="J2585">IFERROR(INDEX('Retirement Calculator'!K:K,MATCH('Lorri 401b'!N2585,'Retirement Calculator'!A:A,0),0),0)</f>
        <v>0</v>
      </c>
      <c r="K2585" s="455">
        <f t="shared" ca="1" si="133"/>
        <v>-72075667.511265054</v>
      </c>
      <c r="L2585" s="455">
        <f t="shared" ca="1" si="134"/>
        <v>-17370235870.214878</v>
      </c>
      <c r="M2585" s="471">
        <f t="shared" si="136"/>
        <v>0.05</v>
      </c>
      <c r="N2585" s="475">
        <f t="shared" si="137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35"/>
        <v>-17370235870.214878</v>
      </c>
      <c r="J2586" s="455">
        <f t="array" ref="J2586">IFERROR(INDEX('Retirement Calculator'!K:K,MATCH('Lorri 401b'!N2586,'Retirement Calculator'!A:A,0),0),0)</f>
        <v>0</v>
      </c>
      <c r="K2586" s="455">
        <f t="shared" ca="1" si="133"/>
        <v>-72375982.792561993</v>
      </c>
      <c r="L2586" s="455">
        <f t="shared" ca="1" si="134"/>
        <v>-17442611853.007439</v>
      </c>
      <c r="M2586" s="471">
        <f t="shared" si="136"/>
        <v>0.05</v>
      </c>
      <c r="N2586" s="475">
        <f t="shared" si="137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35"/>
        <v>-17442611853.007439</v>
      </c>
      <c r="J2587" s="455">
        <f t="array" ref="J2587">IFERROR(INDEX('Retirement Calculator'!K:K,MATCH('Lorri 401b'!N2587,'Retirement Calculator'!A:A,0),0),0)</f>
        <v>0</v>
      </c>
      <c r="K2587" s="455">
        <f t="shared" ca="1" si="133"/>
        <v>-72677549.387530997</v>
      </c>
      <c r="L2587" s="455">
        <f t="shared" ca="1" si="134"/>
        <v>-17515289402.39497</v>
      </c>
      <c r="M2587" s="471">
        <f t="shared" si="136"/>
        <v>0.05</v>
      </c>
      <c r="N2587" s="475">
        <f t="shared" si="137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35"/>
        <v>-17515289402.39497</v>
      </c>
      <c r="J2588" s="455">
        <f t="array" ref="J2588">IFERROR(INDEX('Retirement Calculator'!K:K,MATCH('Lorri 401b'!N2588,'Retirement Calculator'!A:A,0),0),0)</f>
        <v>0</v>
      </c>
      <c r="K2588" s="455">
        <f t="shared" ca="1" si="133"/>
        <v>-72980372.509979039</v>
      </c>
      <c r="L2588" s="455">
        <f t="shared" ca="1" si="134"/>
        <v>-17588269774.904949</v>
      </c>
      <c r="M2588" s="471">
        <f t="shared" si="136"/>
        <v>0.05</v>
      </c>
      <c r="N2588" s="475">
        <f t="shared" si="137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35"/>
        <v>-17588269774.904949</v>
      </c>
      <c r="J2589" s="455">
        <f t="array" ref="J2589">IFERROR(INDEX('Retirement Calculator'!K:K,MATCH('Lorri 401b'!N2589,'Retirement Calculator'!A:A,0),0),0)</f>
        <v>0</v>
      </c>
      <c r="K2589" s="455">
        <f t="shared" ca="1" si="133"/>
        <v>-73284457.395437285</v>
      </c>
      <c r="L2589" s="455">
        <f t="shared" ca="1" si="134"/>
        <v>-17661554232.300388</v>
      </c>
      <c r="M2589" s="471">
        <f t="shared" si="136"/>
        <v>0.05</v>
      </c>
      <c r="N2589" s="475">
        <f t="shared" si="137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35"/>
        <v>-17661554232.300388</v>
      </c>
      <c r="J2590" s="455">
        <f t="array" ref="J2590">IFERROR(INDEX('Retirement Calculator'!K:K,MATCH('Lorri 401b'!N2590,'Retirement Calculator'!A:A,0),0),0)</f>
        <v>0</v>
      </c>
      <c r="K2590" s="455">
        <f t="shared" ca="1" si="133"/>
        <v>-73589809.30125162</v>
      </c>
      <c r="L2590" s="455">
        <f t="shared" ca="1" si="134"/>
        <v>-17735144041.601639</v>
      </c>
      <c r="M2590" s="471">
        <f t="shared" si="136"/>
        <v>0.05</v>
      </c>
      <c r="N2590" s="475">
        <f t="shared" si="137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35"/>
        <v>-17735144041.601639</v>
      </c>
      <c r="J2591" s="455">
        <f t="array" ref="J2591">IFERROR(INDEX('Retirement Calculator'!K:K,MATCH('Lorri 401b'!N2591,'Retirement Calculator'!A:A,0),0),0)</f>
        <v>0</v>
      </c>
      <c r="K2591" s="455">
        <f t="shared" ca="1" si="133"/>
        <v>-73896433.5066735</v>
      </c>
      <c r="L2591" s="455">
        <f t="shared" ca="1" si="134"/>
        <v>-17809040475.108311</v>
      </c>
      <c r="M2591" s="471">
        <f t="shared" si="136"/>
        <v>0.05</v>
      </c>
      <c r="N2591" s="475">
        <f t="shared" si="137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35"/>
        <v>-17809040475.108311</v>
      </c>
      <c r="J2592" s="455">
        <f t="array" ref="J2592">IFERROR(INDEX('Retirement Calculator'!K:K,MATCH('Lorri 401b'!N2592,'Retirement Calculator'!A:A,0),0),0)</f>
        <v>0</v>
      </c>
      <c r="K2592" s="455">
        <f t="shared" ca="1" si="133"/>
        <v>-74204335.312951297</v>
      </c>
      <c r="L2592" s="455">
        <f t="shared" ca="1" si="134"/>
        <v>-17883244810.421261</v>
      </c>
      <c r="M2592" s="471">
        <f t="shared" si="136"/>
        <v>0.05</v>
      </c>
      <c r="N2592" s="475">
        <f t="shared" si="137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35"/>
        <v>-17883244810.421261</v>
      </c>
      <c r="J2593" s="455">
        <f t="array" ref="J2593">IFERROR(INDEX('Retirement Calculator'!K:K,MATCH('Lorri 401b'!N2593,'Retirement Calculator'!A:A,0),0),0)</f>
        <v>0</v>
      </c>
      <c r="K2593" s="455">
        <f t="shared" ca="1" si="133"/>
        <v>-74513520.043421924</v>
      </c>
      <c r="L2593" s="455">
        <f t="shared" ca="1" si="134"/>
        <v>-17957758330.464684</v>
      </c>
      <c r="M2593" s="471">
        <f t="shared" si="136"/>
        <v>0.05</v>
      </c>
      <c r="N2593" s="475">
        <f t="shared" si="137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35"/>
        <v>-17957758330.464684</v>
      </c>
      <c r="J2594" s="455">
        <f t="array" ref="J2594">IFERROR(INDEX('Retirement Calculator'!K:K,MATCH('Lorri 401b'!N2594,'Retirement Calculator'!A:A,0),0),0)</f>
        <v>0</v>
      </c>
      <c r="K2594" s="455">
        <f t="shared" ca="1" si="133"/>
        <v>-74823993.043602854</v>
      </c>
      <c r="L2594" s="455">
        <f t="shared" ca="1" si="134"/>
        <v>-18032582323.508286</v>
      </c>
      <c r="M2594" s="471">
        <f t="shared" si="136"/>
        <v>0.05</v>
      </c>
      <c r="N2594" s="475">
        <f t="shared" si="137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35"/>
        <v>-18032582323.508286</v>
      </c>
      <c r="J2595" s="455">
        <f t="array" ref="J2595">IFERROR(INDEX('Retirement Calculator'!K:K,MATCH('Lorri 401b'!N2595,'Retirement Calculator'!A:A,0),0),0)</f>
        <v>0</v>
      </c>
      <c r="K2595" s="455">
        <f t="shared" ca="1" si="133"/>
        <v>-75135759.681284517</v>
      </c>
      <c r="L2595" s="455">
        <f t="shared" ca="1" si="134"/>
        <v>-18107718083.189571</v>
      </c>
      <c r="M2595" s="471">
        <f t="shared" si="136"/>
        <v>0.05</v>
      </c>
      <c r="N2595" s="475">
        <f t="shared" si="137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35"/>
        <v>-18107718083.189571</v>
      </c>
      <c r="J2596" s="455">
        <f t="array" ref="J2596">IFERROR(INDEX('Retirement Calculator'!K:K,MATCH('Lorri 401b'!N2596,'Retirement Calculator'!A:A,0),0),0)</f>
        <v>0</v>
      </c>
      <c r="K2596" s="455">
        <f t="shared" ca="1" si="133"/>
        <v>-75448825.346623212</v>
      </c>
      <c r="L2596" s="455">
        <f t="shared" ca="1" si="134"/>
        <v>-18183166908.536194</v>
      </c>
      <c r="M2596" s="471">
        <f t="shared" si="136"/>
        <v>0.05</v>
      </c>
      <c r="N2596" s="475">
        <f t="shared" si="137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35"/>
        <v>-18183166908.536194</v>
      </c>
      <c r="J2597" s="455">
        <f t="array" ref="J2597">IFERROR(INDEX('Retirement Calculator'!K:K,MATCH('Lorri 401b'!N2597,'Retirement Calculator'!A:A,0),0),0)</f>
        <v>0</v>
      </c>
      <c r="K2597" s="455">
        <f t="shared" ca="1" si="133"/>
        <v>-75763195.452234134</v>
      </c>
      <c r="L2597" s="455">
        <f t="shared" ca="1" si="134"/>
        <v>-18258930103.988426</v>
      </c>
      <c r="M2597" s="471">
        <f t="shared" si="136"/>
        <v>0.05</v>
      </c>
      <c r="N2597" s="475">
        <f t="shared" si="137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35"/>
        <v>-18258930103.988426</v>
      </c>
      <c r="J2598" s="455">
        <f t="array" ref="J2598">IFERROR(INDEX('Retirement Calculator'!K:K,MATCH('Lorri 401b'!N2598,'Retirement Calculator'!A:A,0),0),0)</f>
        <v>0</v>
      </c>
      <c r="K2598" s="455">
        <f t="shared" ca="1" si="133"/>
        <v>-76078875.433285102</v>
      </c>
      <c r="L2598" s="455">
        <f t="shared" ca="1" si="134"/>
        <v>-18335008979.421711</v>
      </c>
      <c r="M2598" s="471">
        <f t="shared" si="136"/>
        <v>0.05</v>
      </c>
      <c r="N2598" s="475">
        <f t="shared" si="137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35"/>
        <v>-18335008979.421711</v>
      </c>
      <c r="J2599" s="455">
        <f t="array" ref="J2599">IFERROR(INDEX('Retirement Calculator'!K:K,MATCH('Lorri 401b'!N2599,'Retirement Calculator'!A:A,0),0),0)</f>
        <v>0</v>
      </c>
      <c r="K2599" s="455">
        <f t="shared" ca="1" si="133"/>
        <v>-76395870.747590467</v>
      </c>
      <c r="L2599" s="455">
        <f t="shared" ca="1" si="134"/>
        <v>-18411404850.1693</v>
      </c>
      <c r="M2599" s="471">
        <f t="shared" si="136"/>
        <v>0.05</v>
      </c>
      <c r="N2599" s="475">
        <f t="shared" si="137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35"/>
        <v>-18411404850.1693</v>
      </c>
      <c r="J2600" s="455">
        <f t="array" ref="J2600">IFERROR(INDEX('Retirement Calculator'!K:K,MATCH('Lorri 401b'!N2600,'Retirement Calculator'!A:A,0),0),0)</f>
        <v>0</v>
      </c>
      <c r="K2600" s="455">
        <f t="shared" ca="1" si="133"/>
        <v>-76714186.875705421</v>
      </c>
      <c r="L2600" s="455">
        <f t="shared" ca="1" si="134"/>
        <v>-18488119037.045006</v>
      </c>
      <c r="M2600" s="471">
        <f t="shared" si="136"/>
        <v>0.05</v>
      </c>
      <c r="N2600" s="475">
        <f t="shared" si="137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35"/>
        <v>-18488119037.045006</v>
      </c>
      <c r="J2601" s="455">
        <f t="array" ref="J2601">IFERROR(INDEX('Retirement Calculator'!K:K,MATCH('Lorri 401b'!N2601,'Retirement Calculator'!A:A,0),0),0)</f>
        <v>0</v>
      </c>
      <c r="K2601" s="455">
        <f t="shared" ca="1" si="133"/>
        <v>-77033829.321020856</v>
      </c>
      <c r="L2601" s="455">
        <f t="shared" ca="1" si="134"/>
        <v>-18565152866.366028</v>
      </c>
      <c r="M2601" s="471">
        <f t="shared" si="136"/>
        <v>0.05</v>
      </c>
      <c r="N2601" s="475">
        <f t="shared" si="137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35"/>
        <v>-18565152866.366028</v>
      </c>
      <c r="J2602" s="455">
        <f t="array" ref="J2602">IFERROR(INDEX('Retirement Calculator'!K:K,MATCH('Lorri 401b'!N2602,'Retirement Calculator'!A:A,0),0),0)</f>
        <v>0</v>
      </c>
      <c r="K2602" s="455">
        <f t="shared" ca="1" si="133"/>
        <v>-77354803.609858453</v>
      </c>
      <c r="L2602" s="455">
        <f t="shared" ca="1" si="134"/>
        <v>-18642507669.975887</v>
      </c>
      <c r="M2602" s="471">
        <f t="shared" si="136"/>
        <v>0.05</v>
      </c>
      <c r="N2602" s="475">
        <f t="shared" si="137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35"/>
        <v>-18642507669.975887</v>
      </c>
      <c r="J2603" s="455">
        <f t="array" ref="J2603">IFERROR(INDEX('Retirement Calculator'!K:K,MATCH('Lorri 401b'!N2603,'Retirement Calculator'!A:A,0),0),0)</f>
        <v>0</v>
      </c>
      <c r="K2603" s="455">
        <f t="shared" ca="1" si="133"/>
        <v>-77677115.291566193</v>
      </c>
      <c r="L2603" s="455">
        <f t="shared" ca="1" si="134"/>
        <v>-18720184785.267452</v>
      </c>
      <c r="M2603" s="471">
        <f t="shared" si="136"/>
        <v>0.05</v>
      </c>
      <c r="N2603" s="475">
        <f t="shared" si="137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35"/>
        <v>-18720184785.267452</v>
      </c>
      <c r="J2604" s="455">
        <f t="array" ref="J2604">IFERROR(INDEX('Retirement Calculator'!K:K,MATCH('Lorri 401b'!N2604,'Retirement Calculator'!A:A,0),0),0)</f>
        <v>0</v>
      </c>
      <c r="K2604" s="455">
        <f t="shared" ca="1" si="133"/>
        <v>-78000769.938614383</v>
      </c>
      <c r="L2604" s="455">
        <f t="shared" ca="1" si="134"/>
        <v>-18798185555.206066</v>
      </c>
      <c r="M2604" s="471">
        <f t="shared" si="136"/>
        <v>0.05</v>
      </c>
      <c r="N2604" s="475">
        <f t="shared" si="137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35"/>
        <v>-18798185555.206066</v>
      </c>
      <c r="J2605" s="455">
        <f t="array" ref="J2605">IFERROR(INDEX('Retirement Calculator'!K:K,MATCH('Lorri 401b'!N2605,'Retirement Calculator'!A:A,0),0),0)</f>
        <v>0</v>
      </c>
      <c r="K2605" s="455">
        <f t="shared" ca="1" si="133"/>
        <v>-78325773.146691948</v>
      </c>
      <c r="L2605" s="455">
        <f t="shared" ca="1" si="134"/>
        <v>-18876511328.352757</v>
      </c>
      <c r="M2605" s="471">
        <f t="shared" si="136"/>
        <v>0.05</v>
      </c>
      <c r="N2605" s="475">
        <f t="shared" si="137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35"/>
        <v>-18876511328.352757</v>
      </c>
      <c r="J2606" s="455">
        <f t="array" ref="J2606">IFERROR(INDEX('Retirement Calculator'!K:K,MATCH('Lorri 401b'!N2606,'Retirement Calculator'!A:A,0),0),0)</f>
        <v>0</v>
      </c>
      <c r="K2606" s="455">
        <f t="shared" ca="1" si="133"/>
        <v>-78652130.534803152</v>
      </c>
      <c r="L2606" s="455">
        <f t="shared" ca="1" si="134"/>
        <v>-18955163458.887558</v>
      </c>
      <c r="M2606" s="471">
        <f t="shared" si="136"/>
        <v>0.05</v>
      </c>
      <c r="N2606" s="475">
        <f t="shared" si="137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35"/>
        <v>-18955163458.887558</v>
      </c>
      <c r="J2607" s="455">
        <f t="array" ref="J2607">IFERROR(INDEX('Retirement Calculator'!K:K,MATCH('Lorri 401b'!N2607,'Retirement Calculator'!A:A,0),0),0)</f>
        <v>0</v>
      </c>
      <c r="K2607" s="455">
        <f t="shared" ca="1" si="133"/>
        <v>-78979847.74536483</v>
      </c>
      <c r="L2607" s="455">
        <f t="shared" ca="1" si="134"/>
        <v>-19034143306.632923</v>
      </c>
      <c r="M2607" s="471">
        <f t="shared" si="136"/>
        <v>0.05</v>
      </c>
      <c r="N2607" s="475">
        <f t="shared" si="137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35"/>
        <v>-19034143306.632923</v>
      </c>
      <c r="J2608" s="455">
        <f t="array" ref="J2608">IFERROR(INDEX('Retirement Calculator'!K:K,MATCH('Lorri 401b'!N2608,'Retirement Calculator'!A:A,0),0),0)</f>
        <v>0</v>
      </c>
      <c r="K2608" s="455">
        <f t="shared" ca="1" si="133"/>
        <v>-79308930.44430384</v>
      </c>
      <c r="L2608" s="455">
        <f t="shared" ca="1" si="134"/>
        <v>-19113452237.077229</v>
      </c>
      <c r="M2608" s="471">
        <f t="shared" si="136"/>
        <v>0.05</v>
      </c>
      <c r="N2608" s="475">
        <f t="shared" si="137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35"/>
        <v>-19113452237.077229</v>
      </c>
      <c r="J2609" s="455">
        <f t="array" ref="J2609">IFERROR(INDEX('Retirement Calculator'!K:K,MATCH('Lorri 401b'!N2609,'Retirement Calculator'!A:A,0),0),0)</f>
        <v>0</v>
      </c>
      <c r="K2609" s="455">
        <f t="shared" ca="1" si="133"/>
        <v>-79639384.321155116</v>
      </c>
      <c r="L2609" s="455">
        <f t="shared" ca="1" si="134"/>
        <v>-19193091621.398384</v>
      </c>
      <c r="M2609" s="471">
        <f t="shared" si="136"/>
        <v>0.05</v>
      </c>
      <c r="N2609" s="475">
        <f t="shared" si="137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35"/>
        <v>-19193091621.398384</v>
      </c>
      <c r="J2610" s="455">
        <f t="array" ref="J2610">IFERROR(INDEX('Retirement Calculator'!K:K,MATCH('Lorri 401b'!N2610,'Retirement Calculator'!A:A,0),0),0)</f>
        <v>0</v>
      </c>
      <c r="K2610" s="455">
        <f t="shared" ca="1" si="133"/>
        <v>-79971215.089159936</v>
      </c>
      <c r="L2610" s="455">
        <f t="shared" ca="1" si="134"/>
        <v>-19273062836.487545</v>
      </c>
      <c r="M2610" s="471">
        <f t="shared" si="136"/>
        <v>0.05</v>
      </c>
      <c r="N2610" s="475">
        <f t="shared" si="137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35"/>
        <v>-19273062836.487545</v>
      </c>
      <c r="J2611" s="455">
        <f t="array" ref="J2611">IFERROR(INDEX('Retirement Calculator'!K:K,MATCH('Lorri 401b'!N2611,'Retirement Calculator'!A:A,0),0),0)</f>
        <v>0</v>
      </c>
      <c r="K2611" s="455">
        <f t="shared" ca="1" si="133"/>
        <v>-80304428.485364765</v>
      </c>
      <c r="L2611" s="455">
        <f t="shared" ca="1" si="134"/>
        <v>-19353367264.972908</v>
      </c>
      <c r="M2611" s="471">
        <f t="shared" si="136"/>
        <v>0.05</v>
      </c>
      <c r="N2611" s="475">
        <f t="shared" si="137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35"/>
        <v>-19353367264.972908</v>
      </c>
      <c r="J2612" s="455">
        <f t="array" ref="J2612">IFERROR(INDEX('Retirement Calculator'!K:K,MATCH('Lorri 401b'!N2612,'Retirement Calculator'!A:A,0),0),0)</f>
        <v>0</v>
      </c>
      <c r="K2612" s="455">
        <f t="shared" ca="1" si="133"/>
        <v>-80639030.270720452</v>
      </c>
      <c r="L2612" s="455">
        <f t="shared" ca="1" si="134"/>
        <v>-19434006295.243629</v>
      </c>
      <c r="M2612" s="471">
        <f t="shared" si="136"/>
        <v>0.05</v>
      </c>
      <c r="N2612" s="475">
        <f t="shared" si="137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35"/>
        <v>-19434006295.243629</v>
      </c>
      <c r="J2613" s="455">
        <f t="array" ref="J2613">IFERROR(INDEX('Retirement Calculator'!K:K,MATCH('Lorri 401b'!N2613,'Retirement Calculator'!A:A,0),0),0)</f>
        <v>0</v>
      </c>
      <c r="K2613" s="455">
        <f t="shared" ca="1" si="133"/>
        <v>-80975026.230181783</v>
      </c>
      <c r="L2613" s="455">
        <f t="shared" ca="1" si="134"/>
        <v>-19514981321.473812</v>
      </c>
      <c r="M2613" s="471">
        <f t="shared" si="136"/>
        <v>0.05</v>
      </c>
      <c r="N2613" s="475">
        <f t="shared" si="137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35"/>
        <v>-19514981321.473812</v>
      </c>
      <c r="J2614" s="455">
        <f t="array" ref="J2614">IFERROR(INDEX('Retirement Calculator'!K:K,MATCH('Lorri 401b'!N2614,'Retirement Calculator'!A:A,0),0),0)</f>
        <v>0</v>
      </c>
      <c r="K2614" s="455">
        <f t="shared" ca="1" si="133"/>
        <v>-81312422.172807544</v>
      </c>
      <c r="L2614" s="455">
        <f t="shared" ca="1" si="134"/>
        <v>-19596293743.646618</v>
      </c>
      <c r="M2614" s="471">
        <f t="shared" si="136"/>
        <v>0.05</v>
      </c>
      <c r="N2614" s="475">
        <f t="shared" si="137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35"/>
        <v>-19596293743.646618</v>
      </c>
      <c r="J2615" s="455">
        <f t="array" ref="J2615">IFERROR(INDEX('Retirement Calculator'!K:K,MATCH('Lorri 401b'!N2615,'Retirement Calculator'!A:A,0),0),0)</f>
        <v>0</v>
      </c>
      <c r="K2615" s="455">
        <f t="shared" ca="1" si="133"/>
        <v>-81651223.931860909</v>
      </c>
      <c r="L2615" s="455">
        <f t="shared" ca="1" si="134"/>
        <v>-19677944967.57848</v>
      </c>
      <c r="M2615" s="471">
        <f t="shared" si="136"/>
        <v>0.05</v>
      </c>
      <c r="N2615" s="475">
        <f t="shared" si="137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35"/>
        <v>-19677944967.57848</v>
      </c>
      <c r="J2616" s="455">
        <f t="array" ref="J2616">IFERROR(INDEX('Retirement Calculator'!K:K,MATCH('Lorri 401b'!N2616,'Retirement Calculator'!A:A,0),0),0)</f>
        <v>0</v>
      </c>
      <c r="K2616" s="455">
        <f t="shared" ca="1" si="133"/>
        <v>-81991437.364910334</v>
      </c>
      <c r="L2616" s="455">
        <f t="shared" ca="1" si="134"/>
        <v>-19759936404.94339</v>
      </c>
      <c r="M2616" s="471">
        <f t="shared" si="136"/>
        <v>0.05</v>
      </c>
      <c r="N2616" s="475">
        <f t="shared" si="137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35"/>
        <v>-19759936404.94339</v>
      </c>
      <c r="J2617" s="455">
        <f t="array" ref="J2617">IFERROR(INDEX('Retirement Calculator'!K:K,MATCH('Lorri 401b'!N2617,'Retirement Calculator'!A:A,0),0),0)</f>
        <v>0</v>
      </c>
      <c r="K2617" s="455">
        <f t="shared" ca="1" si="133"/>
        <v>-82333068.353930786</v>
      </c>
      <c r="L2617" s="455">
        <f t="shared" ca="1" si="134"/>
        <v>-19842269473.297321</v>
      </c>
      <c r="M2617" s="471">
        <f t="shared" si="136"/>
        <v>0.05</v>
      </c>
      <c r="N2617" s="475">
        <f t="shared" si="137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35"/>
        <v>-19842269473.297321</v>
      </c>
      <c r="J2618" s="455">
        <f t="array" ref="J2618">IFERROR(INDEX('Retirement Calculator'!K:K,MATCH('Lorri 401b'!N2618,'Retirement Calculator'!A:A,0),0),0)</f>
        <v>0</v>
      </c>
      <c r="K2618" s="455">
        <f t="shared" ca="1" si="133"/>
        <v>-82676122.805405498</v>
      </c>
      <c r="L2618" s="455">
        <f t="shared" ca="1" si="134"/>
        <v>-19924945596.102726</v>
      </c>
      <c r="M2618" s="471">
        <f t="shared" si="136"/>
        <v>0.05</v>
      </c>
      <c r="N2618" s="475">
        <f t="shared" si="137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35"/>
        <v>-19924945596.102726</v>
      </c>
      <c r="J2619" s="455">
        <f t="array" ref="J2619">IFERROR(INDEX('Retirement Calculator'!K:K,MATCH('Lorri 401b'!N2619,'Retirement Calculator'!A:A,0),0),0)</f>
        <v>0</v>
      </c>
      <c r="K2619" s="455">
        <f t="shared" ca="1" si="133"/>
        <v>-83020606.650428027</v>
      </c>
      <c r="L2619" s="455">
        <f t="shared" ca="1" si="134"/>
        <v>-20007966202.753155</v>
      </c>
      <c r="M2619" s="471">
        <f t="shared" si="136"/>
        <v>0.05</v>
      </c>
      <c r="N2619" s="475">
        <f t="shared" si="137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35"/>
        <v>-20007966202.753155</v>
      </c>
      <c r="J2620" s="455">
        <f t="array" ref="J2620">IFERROR(INDEX('Retirement Calculator'!K:K,MATCH('Lorri 401b'!N2620,'Retirement Calculator'!A:A,0),0),0)</f>
        <v>0</v>
      </c>
      <c r="K2620" s="455">
        <f t="shared" ca="1" si="133"/>
        <v>-83366525.844804808</v>
      </c>
      <c r="L2620" s="455">
        <f t="shared" ca="1" si="134"/>
        <v>-20091332728.597961</v>
      </c>
      <c r="M2620" s="471">
        <f t="shared" si="136"/>
        <v>0.05</v>
      </c>
      <c r="N2620" s="475">
        <f t="shared" si="137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35"/>
        <v>-20091332728.597961</v>
      </c>
      <c r="J2621" s="455">
        <f t="array" ref="J2621">IFERROR(INDEX('Retirement Calculator'!K:K,MATCH('Lorri 401b'!N2621,'Retirement Calculator'!A:A,0),0),0)</f>
        <v>0</v>
      </c>
      <c r="K2621" s="455">
        <f t="shared" ca="1" si="133"/>
        <v>-83713886.369158179</v>
      </c>
      <c r="L2621" s="455">
        <f t="shared" ca="1" si="134"/>
        <v>-20175046614.967121</v>
      </c>
      <c r="M2621" s="471">
        <f t="shared" si="136"/>
        <v>0.05</v>
      </c>
      <c r="N2621" s="475">
        <f t="shared" si="137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35"/>
        <v>-20175046614.967121</v>
      </c>
      <c r="J2622" s="455">
        <f t="array" ref="J2622">IFERROR(INDEX('Retirement Calculator'!K:K,MATCH('Lorri 401b'!N2622,'Retirement Calculator'!A:A,0),0),0)</f>
        <v>0</v>
      </c>
      <c r="K2622" s="455">
        <f t="shared" ca="1" si="133"/>
        <v>-84062694.22902967</v>
      </c>
      <c r="L2622" s="455">
        <f t="shared" ca="1" si="134"/>
        <v>-20259109309.196152</v>
      </c>
      <c r="M2622" s="471">
        <f t="shared" si="136"/>
        <v>0.05</v>
      </c>
      <c r="N2622" s="475">
        <f t="shared" si="137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35"/>
        <v>-20259109309.196152</v>
      </c>
      <c r="J2623" s="455">
        <f t="array" ref="J2623">IFERROR(INDEX('Retirement Calculator'!K:K,MATCH('Lorri 401b'!N2623,'Retirement Calculator'!A:A,0),0),0)</f>
        <v>0</v>
      </c>
      <c r="K2623" s="455">
        <f t="shared" ca="1" si="133"/>
        <v>-84412955.454983965</v>
      </c>
      <c r="L2623" s="455">
        <f t="shared" ca="1" si="134"/>
        <v>-20343522264.651134</v>
      </c>
      <c r="M2623" s="471">
        <f t="shared" si="136"/>
        <v>0.05</v>
      </c>
      <c r="N2623" s="475">
        <f t="shared" si="137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35"/>
        <v>-20343522264.651134</v>
      </c>
      <c r="J2624" s="455">
        <f t="array" ref="J2624">IFERROR(INDEX('Retirement Calculator'!K:K,MATCH('Lorri 401b'!N2624,'Retirement Calculator'!A:A,0),0),0)</f>
        <v>0</v>
      </c>
      <c r="K2624" s="455">
        <f t="shared" ca="1" si="133"/>
        <v>-84764676.102713063</v>
      </c>
      <c r="L2624" s="455">
        <f t="shared" ca="1" si="134"/>
        <v>-20428286940.753849</v>
      </c>
      <c r="M2624" s="471">
        <f t="shared" si="136"/>
        <v>0.05</v>
      </c>
      <c r="N2624" s="475">
        <f t="shared" si="137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35"/>
        <v>-20428286940.753849</v>
      </c>
      <c r="J2625" s="455">
        <f t="array" ref="J2625">IFERROR(INDEX('Retirement Calculator'!K:K,MATCH('Lorri 401b'!N2625,'Retirement Calculator'!A:A,0),0),0)</f>
        <v>0</v>
      </c>
      <c r="K2625" s="455">
        <f t="shared" ca="1" si="133"/>
        <v>-85117862.253141031</v>
      </c>
      <c r="L2625" s="455">
        <f t="shared" ca="1" si="134"/>
        <v>-20513404803.006989</v>
      </c>
      <c r="M2625" s="471">
        <f t="shared" si="136"/>
        <v>0.05</v>
      </c>
      <c r="N2625" s="475">
        <f t="shared" si="137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35"/>
        <v>-20513404803.006989</v>
      </c>
      <c r="J2626" s="455">
        <f t="array" ref="J2626">IFERROR(INDEX('Retirement Calculator'!K:K,MATCH('Lorri 401b'!N2626,'Retirement Calculator'!A:A,0),0),0)</f>
        <v>0</v>
      </c>
      <c r="K2626" s="455">
        <f t="shared" ca="1" si="133"/>
        <v>-85472520.01252912</v>
      </c>
      <c r="L2626" s="455">
        <f t="shared" ca="1" si="134"/>
        <v>-20598877323.019516</v>
      </c>
      <c r="M2626" s="471">
        <f t="shared" si="136"/>
        <v>0.05</v>
      </c>
      <c r="N2626" s="475">
        <f t="shared" si="137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35"/>
        <v>-20598877323.019516</v>
      </c>
      <c r="J2627" s="455">
        <f t="array" ref="J2627">IFERROR(INDEX('Retirement Calculator'!K:K,MATCH('Lorri 401b'!N2627,'Retirement Calculator'!A:A,0),0),0)</f>
        <v>0</v>
      </c>
      <c r="K2627" s="455">
        <f t="shared" ca="1" si="133"/>
        <v>-85828655.512581319</v>
      </c>
      <c r="L2627" s="455">
        <f t="shared" ca="1" si="134"/>
        <v>-20684705978.532097</v>
      </c>
      <c r="M2627" s="471">
        <f t="shared" si="136"/>
        <v>0.05</v>
      </c>
      <c r="N2627" s="475">
        <f t="shared" si="137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35"/>
        <v>-20684705978.532097</v>
      </c>
      <c r="J2628" s="455">
        <f t="array" ref="J2628">IFERROR(INDEX('Retirement Calculator'!K:K,MATCH('Lorri 401b'!N2628,'Retirement Calculator'!A:A,0),0),0)</f>
        <v>0</v>
      </c>
      <c r="K2628" s="455">
        <f t="shared" ca="1" si="133"/>
        <v>-86186274.910550401</v>
      </c>
      <c r="L2628" s="455">
        <f t="shared" ca="1" si="134"/>
        <v>-20770892253.442646</v>
      </c>
      <c r="M2628" s="471">
        <f t="shared" si="136"/>
        <v>0.05</v>
      </c>
      <c r="N2628" s="475">
        <f t="shared" si="137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35"/>
        <v>-20770892253.442646</v>
      </c>
      <c r="J2629" s="455">
        <f t="array" ref="J2629">IFERROR(INDEX('Retirement Calculator'!K:K,MATCH('Lorri 401b'!N2629,'Retirement Calculator'!A:A,0),0),0)</f>
        <v>0</v>
      </c>
      <c r="K2629" s="455">
        <f t="shared" ca="1" si="133"/>
        <v>-86545384.389344364</v>
      </c>
      <c r="L2629" s="455">
        <f t="shared" ca="1" si="134"/>
        <v>-20857437637.831989</v>
      </c>
      <c r="M2629" s="471">
        <f t="shared" si="136"/>
        <v>0.05</v>
      </c>
      <c r="N2629" s="475">
        <f t="shared" si="137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35"/>
        <v>-20857437637.831989</v>
      </c>
      <c r="J2630" s="455">
        <f t="array" ref="J2630">IFERROR(INDEX('Retirement Calculator'!K:K,MATCH('Lorri 401b'!N2630,'Retirement Calculator'!A:A,0),0),0)</f>
        <v>0</v>
      </c>
      <c r="K2630" s="455">
        <f t="shared" ca="1" si="133"/>
        <v>-86905990.15763329</v>
      </c>
      <c r="L2630" s="455">
        <f t="shared" ca="1" si="134"/>
        <v>-20944343627.989624</v>
      </c>
      <c r="M2630" s="471">
        <f t="shared" si="136"/>
        <v>0.05</v>
      </c>
      <c r="N2630" s="475">
        <f t="shared" si="137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35"/>
        <v>-20944343627.989624</v>
      </c>
      <c r="J2631" s="455">
        <f t="array" ref="J2631">IFERROR(INDEX('Retirement Calculator'!K:K,MATCH('Lorri 401b'!N2631,'Retirement Calculator'!A:A,0),0),0)</f>
        <v>0</v>
      </c>
      <c r="K2631" s="455">
        <f t="shared" ca="1" si="133"/>
        <v>-87268098.44995676</v>
      </c>
      <c r="L2631" s="455">
        <f t="shared" ca="1" si="134"/>
        <v>-21031611726.439579</v>
      </c>
      <c r="M2631" s="471">
        <f t="shared" si="136"/>
        <v>0.05</v>
      </c>
      <c r="N2631" s="475">
        <f t="shared" si="137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35"/>
        <v>-21031611726.439579</v>
      </c>
      <c r="J2632" s="455">
        <f t="array" ref="J2632">IFERROR(INDEX('Retirement Calculator'!K:K,MATCH('Lorri 401b'!N2632,'Retirement Calculator'!A:A,0),0),0)</f>
        <v>0</v>
      </c>
      <c r="K2632" s="455">
        <f t="shared" ca="1" si="133"/>
        <v>-87631715.526831582</v>
      </c>
      <c r="L2632" s="455">
        <f t="shared" ca="1" si="134"/>
        <v>-21119243441.966412</v>
      </c>
      <c r="M2632" s="471">
        <f t="shared" si="136"/>
        <v>0.05</v>
      </c>
      <c r="N2632" s="475">
        <f t="shared" si="137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35"/>
        <v>-21119243441.966412</v>
      </c>
      <c r="J2633" s="455">
        <f t="array" ref="J2633">IFERROR(INDEX('Retirement Calculator'!K:K,MATCH('Lorri 401b'!N2633,'Retirement Calculator'!A:A,0),0),0)</f>
        <v>0</v>
      </c>
      <c r="K2633" s="455">
        <f t="shared" ca="1" si="133"/>
        <v>-87996847.674860045</v>
      </c>
      <c r="L2633" s="455">
        <f t="shared" ca="1" si="134"/>
        <v>-21207240289.641273</v>
      </c>
      <c r="M2633" s="471">
        <f t="shared" si="136"/>
        <v>0.05</v>
      </c>
      <c r="N2633" s="475">
        <f t="shared" si="137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35"/>
        <v>-21207240289.641273</v>
      </c>
      <c r="J2634" s="455">
        <f t="array" ref="J2634">IFERROR(INDEX('Retirement Calculator'!K:K,MATCH('Lorri 401b'!N2634,'Retirement Calculator'!A:A,0),0),0)</f>
        <v>0</v>
      </c>
      <c r="K2634" s="455">
        <f t="shared" ca="1" si="133"/>
        <v>-88363501.206838638</v>
      </c>
      <c r="L2634" s="455">
        <f t="shared" ca="1" si="134"/>
        <v>-21295603790.848114</v>
      </c>
      <c r="M2634" s="471">
        <f t="shared" si="136"/>
        <v>0.05</v>
      </c>
      <c r="N2634" s="475">
        <f t="shared" si="137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35"/>
        <v>-21295603790.848114</v>
      </c>
      <c r="J2635" s="455">
        <f t="array" ref="J2635">IFERROR(INDEX('Retirement Calculator'!K:K,MATCH('Lorri 401b'!N2635,'Retirement Calculator'!A:A,0),0),0)</f>
        <v>0</v>
      </c>
      <c r="K2635" s="455">
        <f t="shared" ca="1" si="133"/>
        <v>-88731682.461867139</v>
      </c>
      <c r="L2635" s="455">
        <f t="shared" ca="1" si="134"/>
        <v>-21384335473.309982</v>
      </c>
      <c r="M2635" s="471">
        <f t="shared" si="136"/>
        <v>0.05</v>
      </c>
      <c r="N2635" s="475">
        <f t="shared" si="137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35"/>
        <v>-21384335473.309982</v>
      </c>
      <c r="J2636" s="455">
        <f t="array" ref="J2636">IFERROR(INDEX('Retirement Calculator'!K:K,MATCH('Lorri 401b'!N2636,'Retirement Calculator'!A:A,0),0),0)</f>
        <v>0</v>
      </c>
      <c r="K2636" s="455">
        <f t="shared" ca="1" si="133"/>
        <v>-89101397.805458263</v>
      </c>
      <c r="L2636" s="455">
        <f t="shared" ca="1" si="134"/>
        <v>-21473436871.11544</v>
      </c>
      <c r="M2636" s="471">
        <f t="shared" si="136"/>
        <v>0.05</v>
      </c>
      <c r="N2636" s="475">
        <f t="shared" si="137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35"/>
        <v>-21473436871.11544</v>
      </c>
      <c r="J2637" s="455">
        <f t="array" ref="J2637">IFERROR(INDEX('Retirement Calculator'!K:K,MATCH('Lorri 401b'!N2637,'Retirement Calculator'!A:A,0),0),0)</f>
        <v>0</v>
      </c>
      <c r="K2637" s="455">
        <f t="shared" ca="1" si="133"/>
        <v>-89472653.629647672</v>
      </c>
      <c r="L2637" s="455">
        <f t="shared" ca="1" si="134"/>
        <v>-21562909524.745087</v>
      </c>
      <c r="M2637" s="471">
        <f t="shared" si="136"/>
        <v>0.05</v>
      </c>
      <c r="N2637" s="475">
        <f t="shared" si="137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35"/>
        <v>-21562909524.745087</v>
      </c>
      <c r="J2638" s="455">
        <f t="array" ref="J2638">IFERROR(INDEX('Retirement Calculator'!K:K,MATCH('Lorri 401b'!N2638,'Retirement Calculator'!A:A,0),0),0)</f>
        <v>0</v>
      </c>
      <c r="K2638" s="455">
        <f t="shared" ca="1" si="133"/>
        <v>-89845456.353104532</v>
      </c>
      <c r="L2638" s="455">
        <f t="shared" ca="1" si="134"/>
        <v>-21652754981.09819</v>
      </c>
      <c r="M2638" s="471">
        <f t="shared" si="136"/>
        <v>0.05</v>
      </c>
      <c r="N2638" s="475">
        <f t="shared" si="137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35"/>
        <v>-21652754981.09819</v>
      </c>
      <c r="J2639" s="455">
        <f t="array" ref="J2639">IFERROR(INDEX('Retirement Calculator'!K:K,MATCH('Lorri 401b'!N2639,'Retirement Calculator'!A:A,0),0),0)</f>
        <v>0</v>
      </c>
      <c r="K2639" s="455">
        <f t="shared" ca="1" si="133"/>
        <v>-90219812.421242461</v>
      </c>
      <c r="L2639" s="455">
        <f t="shared" ca="1" si="134"/>
        <v>-21742974793.519432</v>
      </c>
      <c r="M2639" s="471">
        <f t="shared" si="136"/>
        <v>0.05</v>
      </c>
      <c r="N2639" s="475">
        <f t="shared" si="137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35"/>
        <v>-21742974793.519432</v>
      </c>
      <c r="J2640" s="455">
        <f t="array" ref="J2640">IFERROR(INDEX('Retirement Calculator'!K:K,MATCH('Lorri 401b'!N2640,'Retirement Calculator'!A:A,0),0),0)</f>
        <v>0</v>
      </c>
      <c r="K2640" s="455">
        <f t="shared" ca="1" si="133"/>
        <v>-90595728.306330964</v>
      </c>
      <c r="L2640" s="455">
        <f t="shared" ca="1" si="134"/>
        <v>-21833570521.825764</v>
      </c>
      <c r="M2640" s="471">
        <f t="shared" si="136"/>
        <v>0.05</v>
      </c>
      <c r="N2640" s="475">
        <f t="shared" si="137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35"/>
        <v>-21833570521.825764</v>
      </c>
      <c r="J2641" s="455">
        <f t="array" ref="J2641">IFERROR(INDEX('Retirement Calculator'!K:K,MATCH('Lorri 401b'!N2641,'Retirement Calculator'!A:A,0),0),0)</f>
        <v>0</v>
      </c>
      <c r="K2641" s="455">
        <f t="shared" ca="1" si="133"/>
        <v>-90973210.507607341</v>
      </c>
      <c r="L2641" s="455">
        <f t="shared" ca="1" si="134"/>
        <v>-21924543732.33337</v>
      </c>
      <c r="M2641" s="471">
        <f t="shared" si="136"/>
        <v>0.05</v>
      </c>
      <c r="N2641" s="475">
        <f t="shared" si="137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35"/>
        <v>-21924543732.33337</v>
      </c>
      <c r="J2642" s="455">
        <f t="array" ref="J2642">IFERROR(INDEX('Retirement Calculator'!K:K,MATCH('Lorri 401b'!N2642,'Retirement Calculator'!A:A,0),0),0)</f>
        <v>0</v>
      </c>
      <c r="K2642" s="455">
        <f t="shared" ca="1" si="133"/>
        <v>-91352265.551389039</v>
      </c>
      <c r="L2642" s="455">
        <f t="shared" ca="1" si="134"/>
        <v>-22015895997.884758</v>
      </c>
      <c r="M2642" s="471">
        <f t="shared" si="136"/>
        <v>0.05</v>
      </c>
      <c r="N2642" s="475">
        <f t="shared" si="137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35"/>
        <v>-22015895997.884758</v>
      </c>
      <c r="J2643" s="455">
        <f t="array" ref="J2643">IFERROR(INDEX('Retirement Calculator'!K:K,MATCH('Lorri 401b'!N2643,'Retirement Calculator'!A:A,0),0),0)</f>
        <v>0</v>
      </c>
      <c r="K2643" s="455">
        <f t="shared" ca="1" si="133"/>
        <v>-91732899.991186485</v>
      </c>
      <c r="L2643" s="455">
        <f t="shared" ca="1" si="134"/>
        <v>-22107628897.875946</v>
      </c>
      <c r="M2643" s="471">
        <f t="shared" si="136"/>
        <v>0.05</v>
      </c>
      <c r="N2643" s="475">
        <f t="shared" si="137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35"/>
        <v>-22107628897.875946</v>
      </c>
      <c r="J2644" s="455">
        <f t="array" ref="J2644">IFERROR(INDEX('Retirement Calculator'!K:K,MATCH('Lorri 401b'!N2644,'Retirement Calculator'!A:A,0),0),0)</f>
        <v>0</v>
      </c>
      <c r="K2644" s="455">
        <f t="shared" ca="1" si="133"/>
        <v>-92115120.40781644</v>
      </c>
      <c r="L2644" s="455">
        <f t="shared" ca="1" si="134"/>
        <v>-22199744018.283764</v>
      </c>
      <c r="M2644" s="471">
        <f t="shared" si="136"/>
        <v>0.05</v>
      </c>
      <c r="N2644" s="475">
        <f t="shared" si="137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35"/>
        <v>-22199744018.283764</v>
      </c>
      <c r="J2645" s="455">
        <f t="array" ref="J2645">IFERROR(INDEX('Retirement Calculator'!K:K,MATCH('Lorri 401b'!N2645,'Retirement Calculator'!A:A,0),0),0)</f>
        <v>0</v>
      </c>
      <c r="K2645" s="455">
        <f t="shared" ca="1" si="133"/>
        <v>-92498933.409515679</v>
      </c>
      <c r="L2645" s="455">
        <f t="shared" ca="1" si="134"/>
        <v>-22292242951.693279</v>
      </c>
      <c r="M2645" s="471">
        <f t="shared" si="136"/>
        <v>0.05</v>
      </c>
      <c r="N2645" s="475">
        <f t="shared" si="137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35"/>
        <v>-22292242951.693279</v>
      </c>
      <c r="J2646" s="455">
        <f t="array" ref="J2646">IFERROR(INDEX('Retirement Calculator'!K:K,MATCH('Lorri 401b'!N2646,'Retirement Calculator'!A:A,0),0),0)</f>
        <v>0</v>
      </c>
      <c r="K2646" s="455">
        <f t="shared" ca="1" si="133"/>
        <v>-92884345.632055327</v>
      </c>
      <c r="L2646" s="455">
        <f t="shared" ca="1" si="134"/>
        <v>-22385127297.325336</v>
      </c>
      <c r="M2646" s="471">
        <f t="shared" si="136"/>
        <v>0.05</v>
      </c>
      <c r="N2646" s="475">
        <f t="shared" si="137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35"/>
        <v>-22385127297.325336</v>
      </c>
      <c r="J2647" s="455">
        <f t="array" ref="J2647">IFERROR(INDEX('Retirement Calculator'!K:K,MATCH('Lorri 401b'!N2647,'Retirement Calculator'!A:A,0),0),0)</f>
        <v>0</v>
      </c>
      <c r="K2647" s="455">
        <f t="shared" ca="1" si="133"/>
        <v>-93271363.738855571</v>
      </c>
      <c r="L2647" s="455">
        <f t="shared" ca="1" si="134"/>
        <v>-22478398661.064194</v>
      </c>
      <c r="M2647" s="471">
        <f t="shared" si="136"/>
        <v>0.05</v>
      </c>
      <c r="N2647" s="475">
        <f t="shared" si="137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35"/>
        <v>-22478398661.064194</v>
      </c>
      <c r="J2648" s="455">
        <f t="array" ref="J2648">IFERROR(INDEX('Retirement Calculator'!K:K,MATCH('Lorri 401b'!N2648,'Retirement Calculator'!A:A,0),0),0)</f>
        <v>0</v>
      </c>
      <c r="K2648" s="455">
        <f t="shared" ca="1" si="133"/>
        <v>-93659994.42110081</v>
      </c>
      <c r="L2648" s="455">
        <f t="shared" ca="1" si="134"/>
        <v>-22572058655.485294</v>
      </c>
      <c r="M2648" s="471">
        <f t="shared" si="136"/>
        <v>0.05</v>
      </c>
      <c r="N2648" s="475">
        <f t="shared" si="137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35"/>
        <v>-22572058655.485294</v>
      </c>
      <c r="J2649" s="455">
        <f t="array" ref="J2649">IFERROR(INDEX('Retirement Calculator'!K:K,MATCH('Lorri 401b'!N2649,'Retirement Calculator'!A:A,0),0),0)</f>
        <v>0</v>
      </c>
      <c r="K2649" s="455">
        <f t="shared" ca="1" si="133"/>
        <v>-94050244.397855386</v>
      </c>
      <c r="L2649" s="455">
        <f t="shared" ca="1" si="134"/>
        <v>-22666108899.883148</v>
      </c>
      <c r="M2649" s="471">
        <f t="shared" si="136"/>
        <v>0.05</v>
      </c>
      <c r="N2649" s="475">
        <f t="shared" si="137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35"/>
        <v>-22666108899.883148</v>
      </c>
      <c r="J2650" s="455">
        <f t="array" ref="J2650">IFERROR(INDEX('Retirement Calculator'!K:K,MATCH('Lorri 401b'!N2650,'Retirement Calculator'!A:A,0),0),0)</f>
        <v>0</v>
      </c>
      <c r="K2650" s="455">
        <f t="shared" ca="1" si="133"/>
        <v>-94442120.416179776</v>
      </c>
      <c r="L2650" s="455">
        <f t="shared" ca="1" si="134"/>
        <v>-22760551020.299328</v>
      </c>
      <c r="M2650" s="471">
        <f t="shared" si="136"/>
        <v>0.05</v>
      </c>
      <c r="N2650" s="475">
        <f t="shared" si="137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35"/>
        <v>-22760551020.299328</v>
      </c>
      <c r="J2651" s="455">
        <f t="array" ref="J2651">IFERROR(INDEX('Retirement Calculator'!K:K,MATCH('Lorri 401b'!N2651,'Retirement Calculator'!A:A,0),0),0)</f>
        <v>0</v>
      </c>
      <c r="K2651" s="455">
        <f t="shared" ca="1" si="133"/>
        <v>-94835629.251247197</v>
      </c>
      <c r="L2651" s="455">
        <f t="shared" ca="1" si="134"/>
        <v>-22855386649.550575</v>
      </c>
      <c r="M2651" s="471">
        <f t="shared" si="136"/>
        <v>0.05</v>
      </c>
      <c r="N2651" s="475">
        <f t="shared" si="137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35"/>
        <v>-22855386649.550575</v>
      </c>
      <c r="J2652" s="455">
        <f t="array" ref="J2652">IFERROR(INDEX('Retirement Calculator'!K:K,MATCH('Lorri 401b'!N2652,'Retirement Calculator'!A:A,0),0),0)</f>
        <v>0</v>
      </c>
      <c r="K2652" s="455">
        <f t="shared" ca="1" si="133"/>
        <v>-95230777.706460729</v>
      </c>
      <c r="L2652" s="455">
        <f t="shared" ca="1" si="134"/>
        <v>-22950617427.257034</v>
      </c>
      <c r="M2652" s="471">
        <f t="shared" si="136"/>
        <v>0.05</v>
      </c>
      <c r="N2652" s="475">
        <f t="shared" si="137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35"/>
        <v>-22950617427.257034</v>
      </c>
      <c r="J2653" s="455">
        <f t="array" ref="J2653">IFERROR(INDEX('Retirement Calculator'!K:K,MATCH('Lorri 401b'!N2653,'Retirement Calculator'!A:A,0),0),0)</f>
        <v>0</v>
      </c>
      <c r="K2653" s="455">
        <f t="shared" ca="1" si="133"/>
        <v>-95627572.613570973</v>
      </c>
      <c r="L2653" s="455">
        <f t="shared" ca="1" si="134"/>
        <v>-23046244999.870605</v>
      </c>
      <c r="M2653" s="471">
        <f t="shared" si="136"/>
        <v>0.05</v>
      </c>
      <c r="N2653" s="475">
        <f t="shared" si="137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35"/>
        <v>-23046244999.870605</v>
      </c>
      <c r="J2654" s="455">
        <f t="array" ref="J2654">IFERROR(INDEX('Retirement Calculator'!K:K,MATCH('Lorri 401b'!N2654,'Retirement Calculator'!A:A,0),0),0)</f>
        <v>0</v>
      </c>
      <c r="K2654" s="455">
        <f t="shared" ca="1" si="133"/>
        <v>-96026020.832794189</v>
      </c>
      <c r="L2654" s="455">
        <f t="shared" ca="1" si="134"/>
        <v>-23142271020.7034</v>
      </c>
      <c r="M2654" s="471">
        <f t="shared" si="136"/>
        <v>0.05</v>
      </c>
      <c r="N2654" s="475">
        <f t="shared" si="137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35"/>
        <v>-23142271020.7034</v>
      </c>
      <c r="J2655" s="455">
        <f t="array" ref="J2655">IFERROR(INDEX('Retirement Calculator'!K:K,MATCH('Lorri 401b'!N2655,'Retirement Calculator'!A:A,0),0),0)</f>
        <v>0</v>
      </c>
      <c r="K2655" s="455">
        <f t="shared" ca="1" si="133"/>
        <v>-96426129.252930835</v>
      </c>
      <c r="L2655" s="455">
        <f t="shared" ca="1" si="134"/>
        <v>-23238697149.956329</v>
      </c>
      <c r="M2655" s="471">
        <f t="shared" si="136"/>
        <v>0.05</v>
      </c>
      <c r="N2655" s="475">
        <f t="shared" si="137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35"/>
        <v>-23238697149.956329</v>
      </c>
      <c r="J2656" s="455">
        <f t="array" ref="J2656">IFERROR(INDEX('Retirement Calculator'!K:K,MATCH('Lorri 401b'!N2656,'Retirement Calculator'!A:A,0),0),0)</f>
        <v>0</v>
      </c>
      <c r="K2656" s="455">
        <f t="shared" ca="1" si="133"/>
        <v>-96827904.791484699</v>
      </c>
      <c r="L2656" s="455">
        <f t="shared" ca="1" si="134"/>
        <v>-23335525054.747814</v>
      </c>
      <c r="M2656" s="471">
        <f t="shared" si="136"/>
        <v>0.05</v>
      </c>
      <c r="N2656" s="475">
        <f t="shared" si="137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35"/>
        <v>-23335525054.747814</v>
      </c>
      <c r="J2657" s="455">
        <f t="array" ref="J2657">IFERROR(INDEX('Retirement Calculator'!K:K,MATCH('Lorri 401b'!N2657,'Retirement Calculator'!A:A,0),0),0)</f>
        <v>0</v>
      </c>
      <c r="K2657" s="455">
        <f t="shared" ca="1" si="133"/>
        <v>-97231354.394782558</v>
      </c>
      <c r="L2657" s="455">
        <f t="shared" ca="1" si="134"/>
        <v>-23432756409.142597</v>
      </c>
      <c r="M2657" s="471">
        <f t="shared" si="136"/>
        <v>0.05</v>
      </c>
      <c r="N2657" s="475">
        <f t="shared" si="137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35"/>
        <v>-23432756409.142597</v>
      </c>
      <c r="J2658" s="455">
        <f t="array" ref="J2658">IFERROR(INDEX('Retirement Calculator'!K:K,MATCH('Lorri 401b'!N2658,'Retirement Calculator'!A:A,0),0),0)</f>
        <v>0</v>
      </c>
      <c r="K2658" s="455">
        <f t="shared" ca="1" si="133"/>
        <v>-97636485.038094148</v>
      </c>
      <c r="L2658" s="455">
        <f t="shared" ca="1" si="134"/>
        <v>-23530392894.180691</v>
      </c>
      <c r="M2658" s="471">
        <f t="shared" si="136"/>
        <v>0.05</v>
      </c>
      <c r="N2658" s="475">
        <f t="shared" si="137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35"/>
        <v>-23530392894.180691</v>
      </c>
      <c r="J2659" s="455">
        <f t="array" ref="J2659">IFERROR(INDEX('Retirement Calculator'!K:K,MATCH('Lorri 401b'!N2659,'Retirement Calculator'!A:A,0),0),0)</f>
        <v>0</v>
      </c>
      <c r="K2659" s="455">
        <f t="shared" ca="1" si="133"/>
        <v>-98043303.725752875</v>
      </c>
      <c r="L2659" s="455">
        <f t="shared" ca="1" si="134"/>
        <v>-23628436197.906445</v>
      </c>
      <c r="M2659" s="471">
        <f t="shared" si="136"/>
        <v>0.05</v>
      </c>
      <c r="N2659" s="475">
        <f t="shared" si="137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35"/>
        <v>-23628436197.906445</v>
      </c>
      <c r="J2660" s="455">
        <f t="array" ref="J2660">IFERROR(INDEX('Retirement Calculator'!K:K,MATCH('Lorri 401b'!N2660,'Retirement Calculator'!A:A,0),0),0)</f>
        <v>0</v>
      </c>
      <c r="K2660" s="455">
        <f t="shared" ca="1" si="133"/>
        <v>-98451817.491276845</v>
      </c>
      <c r="L2660" s="455">
        <f t="shared" ca="1" si="134"/>
        <v>-23726888015.39772</v>
      </c>
      <c r="M2660" s="471">
        <f t="shared" si="136"/>
        <v>0.05</v>
      </c>
      <c r="N2660" s="475">
        <f t="shared" si="137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35"/>
        <v>-23726888015.39772</v>
      </c>
      <c r="J2661" s="455">
        <f t="array" ref="J2661">IFERROR(INDEX('Retirement Calculator'!K:K,MATCH('Lorri 401b'!N2661,'Retirement Calculator'!A:A,0),0),0)</f>
        <v>0</v>
      </c>
      <c r="K2661" s="455">
        <f t="shared" ca="1" si="133"/>
        <v>-98862033.397490501</v>
      </c>
      <c r="L2661" s="455">
        <f t="shared" ca="1" si="134"/>
        <v>-23825750048.795212</v>
      </c>
      <c r="M2661" s="471">
        <f t="shared" si="136"/>
        <v>0.05</v>
      </c>
      <c r="N2661" s="475">
        <f t="shared" si="137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35"/>
        <v>-23825750048.795212</v>
      </c>
      <c r="J2662" s="455">
        <f t="array" ref="J2662">IFERROR(INDEX('Retirement Calculator'!K:K,MATCH('Lorri 401b'!N2662,'Retirement Calculator'!A:A,0),0),0)</f>
        <v>0</v>
      </c>
      <c r="K2662" s="455">
        <f t="shared" ca="1" si="133"/>
        <v>-99273958.536646709</v>
      </c>
      <c r="L2662" s="455">
        <f t="shared" ca="1" si="134"/>
        <v>-23925024007.33186</v>
      </c>
      <c r="M2662" s="471">
        <f t="shared" si="136"/>
        <v>0.05</v>
      </c>
      <c r="N2662" s="475">
        <f t="shared" si="137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35"/>
        <v>-23925024007.33186</v>
      </c>
      <c r="J2663" s="455">
        <f t="array" ref="J2663">IFERROR(INDEX('Retirement Calculator'!K:K,MATCH('Lorri 401b'!N2663,'Retirement Calculator'!A:A,0),0),0)</f>
        <v>0</v>
      </c>
      <c r="K2663" s="455">
        <f t="shared" ca="1" si="133"/>
        <v>-99687600.030549407</v>
      </c>
      <c r="L2663" s="455">
        <f t="shared" ca="1" si="134"/>
        <v>-24024711607.362408</v>
      </c>
      <c r="M2663" s="471">
        <f t="shared" si="136"/>
        <v>0.05</v>
      </c>
      <c r="N2663" s="475">
        <f t="shared" si="137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35"/>
        <v>-24024711607.362408</v>
      </c>
      <c r="J2664" s="455">
        <f t="array" ref="J2664">IFERROR(INDEX('Retirement Calculator'!K:K,MATCH('Lorri 401b'!N2664,'Retirement Calculator'!A:A,0),0),0)</f>
        <v>0</v>
      </c>
      <c r="K2664" s="455">
        <f t="shared" ca="1" si="133"/>
        <v>-100102965.03067669</v>
      </c>
      <c r="L2664" s="455">
        <f t="shared" ca="1" si="134"/>
        <v>-24124814572.393085</v>
      </c>
      <c r="M2664" s="471">
        <f t="shared" si="136"/>
        <v>0.05</v>
      </c>
      <c r="N2664" s="475">
        <f t="shared" si="137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35"/>
        <v>-24124814572.393085</v>
      </c>
      <c r="J2665" s="455">
        <f t="array" ref="J2665">IFERROR(INDEX('Retirement Calculator'!K:K,MATCH('Lorri 401b'!N2665,'Retirement Calculator'!A:A,0),0),0)</f>
        <v>0</v>
      </c>
      <c r="K2665" s="455">
        <f t="shared" ca="1" si="133"/>
        <v>-100520060.71830451</v>
      </c>
      <c r="L2665" s="455">
        <f t="shared" ca="1" si="134"/>
        <v>-24225334633.111389</v>
      </c>
      <c r="M2665" s="471">
        <f t="shared" si="136"/>
        <v>0.05</v>
      </c>
      <c r="N2665" s="475">
        <f t="shared" si="137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35"/>
        <v>-24225334633.111389</v>
      </c>
      <c r="J2666" s="455">
        <f t="array" ref="J2666">IFERROR(INDEX('Retirement Calculator'!K:K,MATCH('Lorri 401b'!N2666,'Retirement Calculator'!A:A,0),0),0)</f>
        <v>0</v>
      </c>
      <c r="K2666" s="455">
        <f t="shared" ca="1" si="133"/>
        <v>-100938894.30463079</v>
      </c>
      <c r="L2666" s="455">
        <f t="shared" ca="1" si="134"/>
        <v>-24326273527.416019</v>
      </c>
      <c r="M2666" s="471">
        <f t="shared" si="136"/>
        <v>0.05</v>
      </c>
      <c r="N2666" s="475">
        <f t="shared" si="137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35"/>
        <v>-24326273527.416019</v>
      </c>
      <c r="J2667" s="455">
        <f t="array" ref="J2667">IFERROR(INDEX('Retirement Calculator'!K:K,MATCH('Lorri 401b'!N2667,'Retirement Calculator'!A:A,0),0),0)</f>
        <v>0</v>
      </c>
      <c r="K2667" s="455">
        <f t="shared" ca="1" si="133"/>
        <v>-101359473.03090008</v>
      </c>
      <c r="L2667" s="455">
        <f t="shared" ca="1" si="134"/>
        <v>-24427633000.446918</v>
      </c>
      <c r="M2667" s="471">
        <f t="shared" si="136"/>
        <v>0.05</v>
      </c>
      <c r="N2667" s="475">
        <f t="shared" si="137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35"/>
        <v>-24427633000.446918</v>
      </c>
      <c r="J2668" s="455">
        <f t="array" ref="J2668">IFERROR(INDEX('Retirement Calculator'!K:K,MATCH('Lorri 401b'!N2668,'Retirement Calculator'!A:A,0),0),0)</f>
        <v>0</v>
      </c>
      <c r="K2668" s="455">
        <f t="shared" ca="1" si="133"/>
        <v>-101781804.16852883</v>
      </c>
      <c r="L2668" s="455">
        <f t="shared" ca="1" si="134"/>
        <v>-24529414804.615448</v>
      </c>
      <c r="M2668" s="471">
        <f t="shared" si="136"/>
        <v>0.05</v>
      </c>
      <c r="N2668" s="475">
        <f t="shared" si="137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35"/>
        <v>-24529414804.615448</v>
      </c>
      <c r="J2669" s="455">
        <f t="array" ref="J2669">IFERROR(INDEX('Retirement Calculator'!K:K,MATCH('Lorri 401b'!N2669,'Retirement Calculator'!A:A,0),0),0)</f>
        <v>0</v>
      </c>
      <c r="K2669" s="455">
        <f t="shared" ca="1" si="133"/>
        <v>-102205895.01923104</v>
      </c>
      <c r="L2669" s="455">
        <f t="shared" ca="1" si="134"/>
        <v>-24631620699.634678</v>
      </c>
      <c r="M2669" s="471">
        <f t="shared" si="136"/>
        <v>0.05</v>
      </c>
      <c r="N2669" s="475">
        <f t="shared" si="137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35"/>
        <v>-24631620699.634678</v>
      </c>
      <c r="J2670" s="455">
        <f t="array" ref="J2670">IFERROR(INDEX('Retirement Calculator'!K:K,MATCH('Lorri 401b'!N2670,'Retirement Calculator'!A:A,0),0),0)</f>
        <v>0</v>
      </c>
      <c r="K2670" s="455">
        <f t="shared" ca="1" si="133"/>
        <v>-102631752.91514449</v>
      </c>
      <c r="L2670" s="455">
        <f t="shared" ca="1" si="134"/>
        <v>-24734252452.549824</v>
      </c>
      <c r="M2670" s="471">
        <f t="shared" si="136"/>
        <v>0.05</v>
      </c>
      <c r="N2670" s="475">
        <f t="shared" si="137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35"/>
        <v>-24734252452.549824</v>
      </c>
      <c r="J2671" s="455">
        <f t="array" ref="J2671">IFERROR(INDEX('Retirement Calculator'!K:K,MATCH('Lorri 401b'!N2671,'Retirement Calculator'!A:A,0),0),0)</f>
        <v>0</v>
      </c>
      <c r="K2671" s="455">
        <f t="shared" ca="1" si="133"/>
        <v>-103059385.2189576</v>
      </c>
      <c r="L2671" s="455">
        <f t="shared" ca="1" si="134"/>
        <v>-24837311837.76878</v>
      </c>
      <c r="M2671" s="471">
        <f t="shared" si="136"/>
        <v>0.05</v>
      </c>
      <c r="N2671" s="475">
        <f t="shared" si="137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35"/>
        <v>-24837311837.76878</v>
      </c>
      <c r="J2672" s="455">
        <f t="array" ref="J2672">IFERROR(INDEX('Retirement Calculator'!K:K,MATCH('Lorri 401b'!N2672,'Retirement Calculator'!A:A,0),0),0)</f>
        <v>0</v>
      </c>
      <c r="K2672" s="455">
        <f t="shared" ca="1" si="133"/>
        <v>-103488799.32403658</v>
      </c>
      <c r="L2672" s="455">
        <f t="shared" ca="1" si="134"/>
        <v>-24940800637.092815</v>
      </c>
      <c r="M2672" s="471">
        <f t="shared" si="136"/>
        <v>0.05</v>
      </c>
      <c r="N2672" s="475">
        <f t="shared" si="137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35"/>
        <v>-24940800637.092815</v>
      </c>
      <c r="J2673" s="455">
        <f t="array" ref="J2673">IFERROR(INDEX('Retirement Calculator'!K:K,MATCH('Lorri 401b'!N2673,'Retirement Calculator'!A:A,0),0),0)</f>
        <v>0</v>
      </c>
      <c r="K2673" s="455">
        <f t="shared" ca="1" si="133"/>
        <v>-103920002.6545534</v>
      </c>
      <c r="L2673" s="455">
        <f t="shared" ca="1" si="134"/>
        <v>-25044720639.747368</v>
      </c>
      <c r="M2673" s="471">
        <f t="shared" si="136"/>
        <v>0.05</v>
      </c>
      <c r="N2673" s="475">
        <f t="shared" si="137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35"/>
        <v>-25044720639.747368</v>
      </c>
      <c r="J2674" s="455">
        <f t="array" ref="J2674">IFERROR(INDEX('Retirement Calculator'!K:K,MATCH('Lorri 401b'!N2674,'Retirement Calculator'!A:A,0),0),0)</f>
        <v>0</v>
      </c>
      <c r="K2674" s="455">
        <f t="shared" ca="1" si="133"/>
        <v>-104353002.66561404</v>
      </c>
      <c r="L2674" s="455">
        <f t="shared" ca="1" si="134"/>
        <v>-25149073642.412983</v>
      </c>
      <c r="M2674" s="471">
        <f t="shared" si="136"/>
        <v>0.05</v>
      </c>
      <c r="N2674" s="475">
        <f t="shared" si="137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35"/>
        <v>-25149073642.412983</v>
      </c>
      <c r="J2675" s="455">
        <f t="array" ref="J2675">IFERROR(INDEX('Retirement Calculator'!K:K,MATCH('Lorri 401b'!N2675,'Retirement Calculator'!A:A,0),0),0)</f>
        <v>0</v>
      </c>
      <c r="K2675" s="455">
        <f t="shared" ca="1" si="133"/>
        <v>-104787806.84338742</v>
      </c>
      <c r="L2675" s="455">
        <f t="shared" ca="1" si="134"/>
        <v>-25253861449.256371</v>
      </c>
      <c r="M2675" s="471">
        <f t="shared" si="136"/>
        <v>0.05</v>
      </c>
      <c r="N2675" s="475">
        <f t="shared" si="137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35"/>
        <v>-25253861449.256371</v>
      </c>
      <c r="J2676" s="455">
        <f t="array" ref="J2676">IFERROR(INDEX('Retirement Calculator'!K:K,MATCH('Lorri 401b'!N2676,'Retirement Calculator'!A:A,0),0),0)</f>
        <v>0</v>
      </c>
      <c r="K2676" s="455">
        <f t="shared" ca="1" si="133"/>
        <v>-105224422.70523487</v>
      </c>
      <c r="L2676" s="455">
        <f t="shared" ca="1" si="134"/>
        <v>-25359085871.961605</v>
      </c>
      <c r="M2676" s="471">
        <f t="shared" si="136"/>
        <v>0.05</v>
      </c>
      <c r="N2676" s="475">
        <f t="shared" si="137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35"/>
        <v>-25359085871.961605</v>
      </c>
      <c r="J2677" s="455">
        <f t="array" ref="J2677">IFERROR(INDEX('Retirement Calculator'!K:K,MATCH('Lorri 401b'!N2677,'Retirement Calculator'!A:A,0),0),0)</f>
        <v>0</v>
      </c>
      <c r="K2677" s="455">
        <f t="shared" ca="1" si="133"/>
        <v>-105662857.79984002</v>
      </c>
      <c r="L2677" s="455">
        <f t="shared" ca="1" si="134"/>
        <v>-25464748729.761444</v>
      </c>
      <c r="M2677" s="471">
        <f t="shared" si="136"/>
        <v>0.05</v>
      </c>
      <c r="N2677" s="475">
        <f t="shared" si="137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35"/>
        <v>-25464748729.761444</v>
      </c>
      <c r="J2678" s="455">
        <f t="array" ref="J2678">IFERROR(INDEX('Retirement Calculator'!K:K,MATCH('Lorri 401b'!N2678,'Retirement Calculator'!A:A,0),0),0)</f>
        <v>0</v>
      </c>
      <c r="K2678" s="455">
        <f t="shared" ca="1" si="133"/>
        <v>-106103119.70733935</v>
      </c>
      <c r="L2678" s="455">
        <f t="shared" ca="1" si="134"/>
        <v>-25570851849.468784</v>
      </c>
      <c r="M2678" s="471">
        <f t="shared" si="136"/>
        <v>0.05</v>
      </c>
      <c r="N2678" s="475">
        <f t="shared" si="137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35"/>
        <v>-25570851849.468784</v>
      </c>
      <c r="J2679" s="455">
        <f t="array" ref="J2679">IFERROR(INDEX('Retirement Calculator'!K:K,MATCH('Lorri 401b'!N2679,'Retirement Calculator'!A:A,0),0),0)</f>
        <v>0</v>
      </c>
      <c r="K2679" s="455">
        <f t="shared" ca="1" si="133"/>
        <v>-106545216.03945327</v>
      </c>
      <c r="L2679" s="455">
        <f t="shared" ca="1" si="134"/>
        <v>-25677397065.508236</v>
      </c>
      <c r="M2679" s="471">
        <f t="shared" si="136"/>
        <v>0.05</v>
      </c>
      <c r="N2679" s="475">
        <f t="shared" si="137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35"/>
        <v>-25677397065.508236</v>
      </c>
      <c r="J2680" s="455">
        <f t="array" ref="J2680">IFERROR(INDEX('Retirement Calculator'!K:K,MATCH('Lorri 401b'!N2680,'Retirement Calculator'!A:A,0),0),0)</f>
        <v>0</v>
      </c>
      <c r="K2680" s="455">
        <f t="shared" ca="1" si="133"/>
        <v>-106989154.43961765</v>
      </c>
      <c r="L2680" s="455">
        <f t="shared" ca="1" si="134"/>
        <v>-25784386219.947853</v>
      </c>
      <c r="M2680" s="471">
        <f t="shared" si="136"/>
        <v>0.05</v>
      </c>
      <c r="N2680" s="475">
        <f t="shared" si="137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35"/>
        <v>-25784386219.947853</v>
      </c>
      <c r="J2681" s="455">
        <f t="array" ref="J2681">IFERROR(INDEX('Retirement Calculator'!K:K,MATCH('Lorri 401b'!N2681,'Retirement Calculator'!A:A,0),0),0)</f>
        <v>0</v>
      </c>
      <c r="K2681" s="455">
        <f t="shared" ca="1" si="133"/>
        <v>-107434942.58311605</v>
      </c>
      <c r="L2681" s="455">
        <f t="shared" ca="1" si="134"/>
        <v>-25891821162.530968</v>
      </c>
      <c r="M2681" s="471">
        <f t="shared" si="136"/>
        <v>0.05</v>
      </c>
      <c r="N2681" s="475">
        <f t="shared" si="137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35"/>
        <v>-25891821162.530968</v>
      </c>
      <c r="J2682" s="455">
        <f t="array" ref="J2682">IFERROR(INDEX('Retirement Calculator'!K:K,MATCH('Lorri 401b'!N2682,'Retirement Calculator'!A:A,0),0),0)</f>
        <v>0</v>
      </c>
      <c r="K2682" s="455">
        <f t="shared" ca="1" si="133"/>
        <v>-107882588.17721236</v>
      </c>
      <c r="L2682" s="455">
        <f t="shared" ca="1" si="134"/>
        <v>-25999703750.708179</v>
      </c>
      <c r="M2682" s="471">
        <f t="shared" si="136"/>
        <v>0.05</v>
      </c>
      <c r="N2682" s="475">
        <f t="shared" si="137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35"/>
        <v>-25999703750.708179</v>
      </c>
      <c r="J2683" s="455">
        <f t="array" ref="J2683">IFERROR(INDEX('Retirement Calculator'!K:K,MATCH('Lorri 401b'!N2683,'Retirement Calculator'!A:A,0),0),0)</f>
        <v>0</v>
      </c>
      <c r="K2683" s="455">
        <f t="shared" ca="1" si="133"/>
        <v>-108332098.96128409</v>
      </c>
      <c r="L2683" s="455">
        <f t="shared" ca="1" si="134"/>
        <v>-26108035849.669464</v>
      </c>
      <c r="M2683" s="471">
        <f t="shared" si="136"/>
        <v>0.05</v>
      </c>
      <c r="N2683" s="475">
        <f t="shared" si="137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35"/>
        <v>-26108035849.669464</v>
      </c>
      <c r="J2684" s="455">
        <f t="array" ref="J2684">IFERROR(INDEX('Retirement Calculator'!K:K,MATCH('Lorri 401b'!N2684,'Retirement Calculator'!A:A,0),0),0)</f>
        <v>0</v>
      </c>
      <c r="K2684" s="455">
        <f t="shared" ca="1" si="133"/>
        <v>-108783482.7069561</v>
      </c>
      <c r="L2684" s="455">
        <f t="shared" ca="1" si="134"/>
        <v>-26216819332.376419</v>
      </c>
      <c r="M2684" s="471">
        <f t="shared" si="136"/>
        <v>0.05</v>
      </c>
      <c r="N2684" s="475">
        <f t="shared" si="137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35"/>
        <v>-26216819332.376419</v>
      </c>
      <c r="J2685" s="455">
        <f t="array" ref="J2685">IFERROR(INDEX('Retirement Calculator'!K:K,MATCH('Lorri 401b'!N2685,'Retirement Calculator'!A:A,0),0),0)</f>
        <v>0</v>
      </c>
      <c r="K2685" s="455">
        <f t="shared" ca="1" si="133"/>
        <v>-109236747.21823508</v>
      </c>
      <c r="L2685" s="455">
        <f t="shared" ca="1" si="134"/>
        <v>-26326056079.594654</v>
      </c>
      <c r="M2685" s="471">
        <f t="shared" si="136"/>
        <v>0.05</v>
      </c>
      <c r="N2685" s="475">
        <f t="shared" si="137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35"/>
        <v>-26326056079.594654</v>
      </c>
      <c r="J2686" s="455">
        <f t="array" ref="J2686">IFERROR(INDEX('Retirement Calculator'!K:K,MATCH('Lorri 401b'!N2686,'Retirement Calculator'!A:A,0),0),0)</f>
        <v>0</v>
      </c>
      <c r="K2686" s="455">
        <f t="shared" ca="1" si="133"/>
        <v>-109691900.33164439</v>
      </c>
      <c r="L2686" s="455">
        <f t="shared" ca="1" si="134"/>
        <v>-26435747979.9263</v>
      </c>
      <c r="M2686" s="471">
        <f t="shared" si="136"/>
        <v>0.05</v>
      </c>
      <c r="N2686" s="475">
        <f t="shared" si="137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35"/>
        <v>-26435747979.9263</v>
      </c>
      <c r="J2687" s="455">
        <f t="array" ref="J2687">IFERROR(INDEX('Retirement Calculator'!K:K,MATCH('Lorri 401b'!N2687,'Retirement Calculator'!A:A,0),0),0)</f>
        <v>0</v>
      </c>
      <c r="K2687" s="455">
        <f t="shared" ca="1" si="133"/>
        <v>-110148949.91635959</v>
      </c>
      <c r="L2687" s="455">
        <f t="shared" ca="1" si="134"/>
        <v>-26545896929.842659</v>
      </c>
      <c r="M2687" s="471">
        <f t="shared" si="136"/>
        <v>0.05</v>
      </c>
      <c r="N2687" s="475">
        <f t="shared" si="137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35"/>
        <v>-26545896929.842659</v>
      </c>
      <c r="J2688" s="455">
        <f t="array" ref="J2688">IFERROR(INDEX('Retirement Calculator'!K:K,MATCH('Lorri 401b'!N2688,'Retirement Calculator'!A:A,0),0),0)</f>
        <v>0</v>
      </c>
      <c r="K2688" s="455">
        <f t="shared" ca="1" si="133"/>
        <v>-110607903.87434441</v>
      </c>
      <c r="L2688" s="455">
        <f t="shared" ca="1" si="134"/>
        <v>-26656504833.717003</v>
      </c>
      <c r="M2688" s="471">
        <f t="shared" si="136"/>
        <v>0.05</v>
      </c>
      <c r="N2688" s="475">
        <f t="shared" si="137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35"/>
        <v>-26656504833.717003</v>
      </c>
      <c r="J2689" s="455">
        <f t="array" ref="J2689">IFERROR(INDEX('Retirement Calculator'!K:K,MATCH('Lorri 401b'!N2689,'Retirement Calculator'!A:A,0),0),0)</f>
        <v>0</v>
      </c>
      <c r="K2689" s="455">
        <f t="shared" ca="1" si="133"/>
        <v>-111068770.14048751</v>
      </c>
      <c r="L2689" s="455">
        <f t="shared" ca="1" si="134"/>
        <v>-26767573603.857491</v>
      </c>
      <c r="M2689" s="471">
        <f t="shared" si="136"/>
        <v>0.05</v>
      </c>
      <c r="N2689" s="475">
        <f t="shared" si="137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35"/>
        <v>-26767573603.857491</v>
      </c>
      <c r="J2690" s="455">
        <f t="array" ref="J2690">IFERROR(INDEX('Retirement Calculator'!K:K,MATCH('Lorri 401b'!N2690,'Retirement Calculator'!A:A,0),0),0)</f>
        <v>0</v>
      </c>
      <c r="K2690" s="455">
        <f t="shared" ca="1" si="133"/>
        <v>-111531556.68273954</v>
      </c>
      <c r="L2690" s="455">
        <f t="shared" ca="1" si="134"/>
        <v>-26879105160.54023</v>
      </c>
      <c r="M2690" s="471">
        <f t="shared" si="136"/>
        <v>0.05</v>
      </c>
      <c r="N2690" s="475">
        <f t="shared" si="137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35"/>
        <v>-26879105160.54023</v>
      </c>
      <c r="J2691" s="455">
        <f t="array" ref="J2691">IFERROR(INDEX('Retirement Calculator'!K:K,MATCH('Lorri 401b'!N2691,'Retirement Calculator'!A:A,0),0),0)</f>
        <v>0</v>
      </c>
      <c r="K2691" s="455">
        <f t="shared" ca="1" si="133"/>
        <v>-111996271.50225097</v>
      </c>
      <c r="L2691" s="455">
        <f t="shared" ca="1" si="134"/>
        <v>-26991101432.04248</v>
      </c>
      <c r="M2691" s="471">
        <f t="shared" si="136"/>
        <v>0.05</v>
      </c>
      <c r="N2691" s="475">
        <f t="shared" si="137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35"/>
        <v>-26991101432.04248</v>
      </c>
      <c r="J2692" s="455">
        <f t="array" ref="J2692">IFERROR(INDEX('Retirement Calculator'!K:K,MATCH('Lorri 401b'!N2692,'Retirement Calculator'!A:A,0),0),0)</f>
        <v>0</v>
      </c>
      <c r="K2692" s="455">
        <f t="shared" ca="1" si="133"/>
        <v>-112462922.63351035</v>
      </c>
      <c r="L2692" s="455">
        <f t="shared" ca="1" si="134"/>
        <v>-27103564354.675991</v>
      </c>
      <c r="M2692" s="471">
        <f t="shared" si="136"/>
        <v>0.05</v>
      </c>
      <c r="N2692" s="475">
        <f t="shared" si="137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35"/>
        <v>-27103564354.675991</v>
      </c>
      <c r="J2693" s="455">
        <f t="array" ref="J2693">IFERROR(INDEX('Retirement Calculator'!K:K,MATCH('Lorri 401b'!N2693,'Retirement Calculator'!A:A,0),0),0)</f>
        <v>0</v>
      </c>
      <c r="K2693" s="455">
        <f t="shared" ca="1" si="133"/>
        <v>-112931518.1444833</v>
      </c>
      <c r="L2693" s="455">
        <f t="shared" ca="1" si="134"/>
        <v>-27216495872.820473</v>
      </c>
      <c r="M2693" s="471">
        <f t="shared" si="136"/>
        <v>0.05</v>
      </c>
      <c r="N2693" s="475">
        <f t="shared" si="137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35"/>
        <v>-27216495872.820473</v>
      </c>
      <c r="J2694" s="455">
        <f t="array" ref="J2694">IFERROR(INDEX('Retirement Calculator'!K:K,MATCH('Lorri 401b'!N2694,'Retirement Calculator'!A:A,0),0),0)</f>
        <v>0</v>
      </c>
      <c r="K2694" s="455">
        <f t="shared" ca="1" si="133"/>
        <v>-113402066.13675198</v>
      </c>
      <c r="L2694" s="455">
        <f t="shared" ca="1" si="134"/>
        <v>-27329897938.957226</v>
      </c>
      <c r="M2694" s="471">
        <f t="shared" si="136"/>
        <v>0.05</v>
      </c>
      <c r="N2694" s="475">
        <f t="shared" si="137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35"/>
        <v>-27329897938.957226</v>
      </c>
      <c r="J2695" s="455">
        <f t="array" ref="J2695">IFERROR(INDEX('Retirement Calculator'!K:K,MATCH('Lorri 401b'!N2695,'Retirement Calculator'!A:A,0),0),0)</f>
        <v>0</v>
      </c>
      <c r="K2695" s="455">
        <f t="shared" ca="1" si="133"/>
        <v>-113874574.7456551</v>
      </c>
      <c r="L2695" s="455">
        <f t="shared" ca="1" si="134"/>
        <v>-27443772513.702881</v>
      </c>
      <c r="M2695" s="471">
        <f t="shared" si="136"/>
        <v>0.05</v>
      </c>
      <c r="N2695" s="475">
        <f t="shared" si="137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35"/>
        <v>-27443772513.702881</v>
      </c>
      <c r="J2696" s="455">
        <f t="array" ref="J2696">IFERROR(INDEX('Retirement Calculator'!K:K,MATCH('Lorri 401b'!N2696,'Retirement Calculator'!A:A,0),0),0)</f>
        <v>0</v>
      </c>
      <c r="K2696" s="455">
        <f t="shared" ca="1" si="133"/>
        <v>-114349052.14042866</v>
      </c>
      <c r="L2696" s="455">
        <f t="shared" ca="1" si="134"/>
        <v>-27558121565.843311</v>
      </c>
      <c r="M2696" s="471">
        <f t="shared" si="136"/>
        <v>0.05</v>
      </c>
      <c r="N2696" s="475">
        <f t="shared" si="137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35"/>
        <v>-27558121565.843311</v>
      </c>
      <c r="J2697" s="455">
        <f t="array" ref="J2697">IFERROR(INDEX('Retirement Calculator'!K:K,MATCH('Lorri 401b'!N2697,'Retirement Calculator'!A:A,0),0),0)</f>
        <v>0</v>
      </c>
      <c r="K2697" s="455">
        <f t="shared" ca="1" si="133"/>
        <v>-114825506.52434713</v>
      </c>
      <c r="L2697" s="455">
        <f t="shared" ca="1" si="134"/>
        <v>-27672947072.367657</v>
      </c>
      <c r="M2697" s="471">
        <f t="shared" si="136"/>
        <v>0.05</v>
      </c>
      <c r="N2697" s="475">
        <f t="shared" si="137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35"/>
        <v>-27672947072.367657</v>
      </c>
      <c r="J2698" s="455">
        <f t="array" ref="J2698">IFERROR(INDEX('Retirement Calculator'!K:K,MATCH('Lorri 401b'!N2698,'Retirement Calculator'!A:A,0),0),0)</f>
        <v>0</v>
      </c>
      <c r="K2698" s="455">
        <f t="shared" ca="1" si="133"/>
        <v>-115303946.13486524</v>
      </c>
      <c r="L2698" s="455">
        <f t="shared" ca="1" si="134"/>
        <v>-27788251018.502522</v>
      </c>
      <c r="M2698" s="471">
        <f t="shared" si="136"/>
        <v>0.05</v>
      </c>
      <c r="N2698" s="475">
        <f t="shared" si="137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35"/>
        <v>-27788251018.502522</v>
      </c>
      <c r="J2699" s="455">
        <f t="array" ref="J2699">IFERROR(INDEX('Retirement Calculator'!K:K,MATCH('Lorri 401b'!N2699,'Retirement Calculator'!A:A,0),0),0)</f>
        <v>0</v>
      </c>
      <c r="K2699" s="455">
        <f t="shared" ca="1" si="133"/>
        <v>-115784379.24376051</v>
      </c>
      <c r="L2699" s="455">
        <f t="shared" ca="1" si="134"/>
        <v>-27904035397.746281</v>
      </c>
      <c r="M2699" s="471">
        <f t="shared" si="136"/>
        <v>0.05</v>
      </c>
      <c r="N2699" s="475">
        <f t="shared" si="137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35"/>
        <v>-27904035397.746281</v>
      </c>
      <c r="J2700" s="455">
        <f t="array" ref="J2700">IFERROR(INDEX('Retirement Calculator'!K:K,MATCH('Lorri 401b'!N2700,'Retirement Calculator'!A:A,0),0),0)</f>
        <v>0</v>
      </c>
      <c r="K2700" s="455">
        <f t="shared" ca="1" si="133"/>
        <v>-116266814.15727617</v>
      </c>
      <c r="L2700" s="455">
        <f t="shared" ca="1" si="134"/>
        <v>-28020302211.903557</v>
      </c>
      <c r="M2700" s="471">
        <f t="shared" si="136"/>
        <v>0.05</v>
      </c>
      <c r="N2700" s="475">
        <f t="shared" si="137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35"/>
        <v>-28020302211.903557</v>
      </c>
      <c r="J2701" s="455">
        <f t="array" ref="J2701">IFERROR(INDEX('Retirement Calculator'!K:K,MATCH('Lorri 401b'!N2701,'Retirement Calculator'!A:A,0),0),0)</f>
        <v>0</v>
      </c>
      <c r="K2701" s="455">
        <f t="shared" ca="1" si="133"/>
        <v>-116751259.21626481</v>
      </c>
      <c r="L2701" s="455">
        <f t="shared" ca="1" si="134"/>
        <v>-28137053471.119823</v>
      </c>
      <c r="M2701" s="471">
        <f t="shared" si="136"/>
        <v>0.05</v>
      </c>
      <c r="N2701" s="475">
        <f t="shared" si="137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35"/>
        <v>-28137053471.119823</v>
      </c>
      <c r="J2702" s="455">
        <f t="array" ref="J2702">IFERROR(INDEX('Retirement Calculator'!K:K,MATCH('Lorri 401b'!N2702,'Retirement Calculator'!A:A,0),0),0)</f>
        <v>0</v>
      </c>
      <c r="K2702" s="455">
        <f t="shared" ca="1" si="133"/>
        <v>-117237722.79633258</v>
      </c>
      <c r="L2702" s="455">
        <f t="shared" ca="1" si="134"/>
        <v>-28254291193.916157</v>
      </c>
      <c r="M2702" s="471">
        <f t="shared" si="136"/>
        <v>0.05</v>
      </c>
      <c r="N2702" s="475">
        <f t="shared" si="137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35"/>
        <v>-28254291193.916157</v>
      </c>
      <c r="J2703" s="455">
        <f t="array" ref="J2703">IFERROR(INDEX('Retirement Calculator'!K:K,MATCH('Lorri 401b'!N2703,'Retirement Calculator'!A:A,0),0),0)</f>
        <v>0</v>
      </c>
      <c r="K2703" s="455">
        <f t="shared" ca="1" si="133"/>
        <v>-117726213.30798398</v>
      </c>
      <c r="L2703" s="455">
        <f t="shared" ca="1" si="134"/>
        <v>-28372017407.22414</v>
      </c>
      <c r="M2703" s="471">
        <f t="shared" si="136"/>
        <v>0.05</v>
      </c>
      <c r="N2703" s="475">
        <f t="shared" si="137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35"/>
        <v>-28372017407.22414</v>
      </c>
      <c r="J2704" s="455">
        <f t="array" ref="J2704">IFERROR(INDEX('Retirement Calculator'!K:K,MATCH('Lorri 401b'!N2704,'Retirement Calculator'!A:A,0),0),0)</f>
        <v>0</v>
      </c>
      <c r="K2704" s="455">
        <f t="shared" ca="1" si="133"/>
        <v>-118216739.19676726</v>
      </c>
      <c r="L2704" s="455">
        <f t="shared" ca="1" si="134"/>
        <v>-28490234146.420906</v>
      </c>
      <c r="M2704" s="471">
        <f t="shared" si="136"/>
        <v>0.05</v>
      </c>
      <c r="N2704" s="475">
        <f t="shared" si="137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35"/>
        <v>-28490234146.420906</v>
      </c>
      <c r="J2705" s="455">
        <f t="array" ref="J2705">IFERROR(INDEX('Retirement Calculator'!K:K,MATCH('Lorri 401b'!N2705,'Retirement Calculator'!A:A,0),0),0)</f>
        <v>0</v>
      </c>
      <c r="K2705" s="455">
        <f t="shared" ca="1" si="133"/>
        <v>-118709308.94342044</v>
      </c>
      <c r="L2705" s="455">
        <f t="shared" ca="1" si="134"/>
        <v>-28608943455.364326</v>
      </c>
      <c r="M2705" s="471">
        <f t="shared" si="136"/>
        <v>0.05</v>
      </c>
      <c r="N2705" s="475">
        <f t="shared" si="137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35"/>
        <v>-28608943455.364326</v>
      </c>
      <c r="J2706" s="455">
        <f t="array" ref="J2706">IFERROR(INDEX('Retirement Calculator'!K:K,MATCH('Lorri 401b'!N2706,'Retirement Calculator'!A:A,0),0),0)</f>
        <v>0</v>
      </c>
      <c r="K2706" s="455">
        <f t="shared" ca="1" si="133"/>
        <v>-119203931.06401803</v>
      </c>
      <c r="L2706" s="455">
        <f t="shared" ca="1" si="134"/>
        <v>-28728147386.428345</v>
      </c>
      <c r="M2706" s="471">
        <f t="shared" si="136"/>
        <v>0.05</v>
      </c>
      <c r="N2706" s="475">
        <f t="shared" si="137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35"/>
        <v>-28728147386.428345</v>
      </c>
      <c r="J2707" s="455">
        <f t="array" ref="J2707">IFERROR(INDEX('Retirement Calculator'!K:K,MATCH('Lorri 401b'!N2707,'Retirement Calculator'!A:A,0),0),0)</f>
        <v>0</v>
      </c>
      <c r="K2707" s="455">
        <f t="shared" ca="1" si="133"/>
        <v>-119700614.11011811</v>
      </c>
      <c r="L2707" s="455">
        <f t="shared" ca="1" si="134"/>
        <v>-28847848000.538464</v>
      </c>
      <c r="M2707" s="471">
        <f t="shared" si="136"/>
        <v>0.05</v>
      </c>
      <c r="N2707" s="475">
        <f t="shared" si="137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35"/>
        <v>-28847848000.538464</v>
      </c>
      <c r="J2708" s="455">
        <f t="array" ref="J2708">IFERROR(INDEX('Retirement Calculator'!K:K,MATCH('Lorri 401b'!N2708,'Retirement Calculator'!A:A,0),0),0)</f>
        <v>0</v>
      </c>
      <c r="K2708" s="455">
        <f t="shared" ca="1" si="133"/>
        <v>-120199366.66891026</v>
      </c>
      <c r="L2708" s="455">
        <f t="shared" ca="1" si="134"/>
        <v>-28968047367.207375</v>
      </c>
      <c r="M2708" s="471">
        <f t="shared" si="136"/>
        <v>0.05</v>
      </c>
      <c r="N2708" s="475">
        <f t="shared" si="137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35"/>
        <v>-28968047367.207375</v>
      </c>
      <c r="J2709" s="455">
        <f t="array" ref="J2709">IFERROR(INDEX('Retirement Calculator'!K:K,MATCH('Lorri 401b'!N2709,'Retirement Calculator'!A:A,0),0),0)</f>
        <v>0</v>
      </c>
      <c r="K2709" s="455">
        <f t="shared" ca="1" si="133"/>
        <v>-120700197.36336404</v>
      </c>
      <c r="L2709" s="455">
        <f t="shared" ca="1" si="134"/>
        <v>-29088747564.57074</v>
      </c>
      <c r="M2709" s="471">
        <f t="shared" si="136"/>
        <v>0.05</v>
      </c>
      <c r="N2709" s="475">
        <f t="shared" si="137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35"/>
        <v>-29088747564.57074</v>
      </c>
      <c r="J2710" s="455">
        <f t="array" ref="J2710">IFERROR(INDEX('Retirement Calculator'!K:K,MATCH('Lorri 401b'!N2710,'Retirement Calculator'!A:A,0),0),0)</f>
        <v>0</v>
      </c>
      <c r="K2710" s="455">
        <f t="shared" ca="1" si="133"/>
        <v>-121203114.8523781</v>
      </c>
      <c r="L2710" s="455">
        <f t="shared" ca="1" si="134"/>
        <v>-29209950679.423119</v>
      </c>
      <c r="M2710" s="471">
        <f t="shared" si="136"/>
        <v>0.05</v>
      </c>
      <c r="N2710" s="475">
        <f t="shared" si="137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35"/>
        <v>-29209950679.423119</v>
      </c>
      <c r="J2711" s="455">
        <f t="array" ref="J2711">IFERROR(INDEX('Retirement Calculator'!K:K,MATCH('Lorri 401b'!N2711,'Retirement Calculator'!A:A,0),0),0)</f>
        <v>0</v>
      </c>
      <c r="K2711" s="455">
        <f t="shared" ca="1" si="133"/>
        <v>-121708127.83092965</v>
      </c>
      <c r="L2711" s="455">
        <f t="shared" ca="1" si="134"/>
        <v>-29331658807.254047</v>
      </c>
      <c r="M2711" s="471">
        <f t="shared" si="136"/>
        <v>0.05</v>
      </c>
      <c r="N2711" s="475">
        <f t="shared" si="137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35"/>
        <v>-29331658807.254047</v>
      </c>
      <c r="J2712" s="455">
        <f t="array" ref="J2712">IFERROR(INDEX('Retirement Calculator'!K:K,MATCH('Lorri 401b'!N2712,'Retirement Calculator'!A:A,0),0),0)</f>
        <v>0</v>
      </c>
      <c r="K2712" s="455">
        <f t="shared" ca="1" si="133"/>
        <v>-122215245.0302252</v>
      </c>
      <c r="L2712" s="455">
        <f t="shared" ca="1" si="134"/>
        <v>-29453874052.284271</v>
      </c>
      <c r="M2712" s="471">
        <f t="shared" si="136"/>
        <v>0.05</v>
      </c>
      <c r="N2712" s="475">
        <f t="shared" si="137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35"/>
        <v>-29453874052.284271</v>
      </c>
      <c r="J2713" s="455">
        <f t="array" ref="J2713">IFERROR(INDEX('Retirement Calculator'!K:K,MATCH('Lorri 401b'!N2713,'Retirement Calculator'!A:A,0),0),0)</f>
        <v>0</v>
      </c>
      <c r="K2713" s="455">
        <f t="shared" ca="1" si="133"/>
        <v>-122724475.21785113</v>
      </c>
      <c r="L2713" s="455">
        <f t="shared" ca="1" si="134"/>
        <v>-29576598527.502121</v>
      </c>
      <c r="M2713" s="471">
        <f t="shared" si="136"/>
        <v>0.05</v>
      </c>
      <c r="N2713" s="475">
        <f t="shared" si="137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35"/>
        <v>-29576598527.502121</v>
      </c>
      <c r="J2714" s="455">
        <f t="array" ref="J2714">IFERROR(INDEX('Retirement Calculator'!K:K,MATCH('Lorri 401b'!N2714,'Retirement Calculator'!A:A,0),0),0)</f>
        <v>0</v>
      </c>
      <c r="K2714" s="455">
        <f t="shared" ca="1" si="133"/>
        <v>-123235827.19792551</v>
      </c>
      <c r="L2714" s="455">
        <f t="shared" ca="1" si="134"/>
        <v>-29699834354.700047</v>
      </c>
      <c r="M2714" s="471">
        <f t="shared" si="136"/>
        <v>0.05</v>
      </c>
      <c r="N2714" s="475">
        <f t="shared" si="137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35"/>
        <v>-29699834354.700047</v>
      </c>
      <c r="J2715" s="455">
        <f t="array" ref="J2715">IFERROR(INDEX('Retirement Calculator'!K:K,MATCH('Lorri 401b'!N2715,'Retirement Calculator'!A:A,0),0),0)</f>
        <v>0</v>
      </c>
      <c r="K2715" s="455">
        <f t="shared" ca="1" si="133"/>
        <v>-123749309.81125018</v>
      </c>
      <c r="L2715" s="455">
        <f t="shared" ca="1" si="134"/>
        <v>-29823583664.511295</v>
      </c>
      <c r="M2715" s="471">
        <f t="shared" si="136"/>
        <v>0.05</v>
      </c>
      <c r="N2715" s="475">
        <f t="shared" si="137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35"/>
        <v>-29823583664.511295</v>
      </c>
      <c r="J2716" s="455">
        <f t="array" ref="J2716">IFERROR(INDEX('Retirement Calculator'!K:K,MATCH('Lorri 401b'!N2716,'Retirement Calculator'!A:A,0),0),0)</f>
        <v>0</v>
      </c>
      <c r="K2716" s="455">
        <f t="shared" ca="1" si="133"/>
        <v>-124264931.93546373</v>
      </c>
      <c r="L2716" s="455">
        <f t="shared" ca="1" si="134"/>
        <v>-29947848596.446758</v>
      </c>
      <c r="M2716" s="471">
        <f t="shared" si="136"/>
        <v>0.05</v>
      </c>
      <c r="N2716" s="475">
        <f t="shared" si="137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35"/>
        <v>-29947848596.446758</v>
      </c>
      <c r="J2717" s="455">
        <f t="array" ref="J2717">IFERROR(INDEX('Retirement Calculator'!K:K,MATCH('Lorri 401b'!N2717,'Retirement Calculator'!A:A,0),0),0)</f>
        <v>0</v>
      </c>
      <c r="K2717" s="455">
        <f t="shared" ca="1" si="133"/>
        <v>-124782702.4851948</v>
      </c>
      <c r="L2717" s="455">
        <f t="shared" ca="1" si="134"/>
        <v>-30072631298.931953</v>
      </c>
      <c r="M2717" s="471">
        <f t="shared" si="136"/>
        <v>0.05</v>
      </c>
      <c r="N2717" s="475">
        <f t="shared" si="137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35"/>
        <v>-30072631298.931953</v>
      </c>
      <c r="J2718" s="455">
        <f t="array" ref="J2718">IFERROR(INDEX('Retirement Calculator'!K:K,MATCH('Lorri 401b'!N2718,'Retirement Calculator'!A:A,0),0),0)</f>
        <v>0</v>
      </c>
      <c r="K2718" s="455">
        <f t="shared" ca="1" si="133"/>
        <v>-125302630.41221645</v>
      </c>
      <c r="L2718" s="455">
        <f t="shared" ca="1" si="134"/>
        <v>-30197933929.34417</v>
      </c>
      <c r="M2718" s="471">
        <f t="shared" si="136"/>
        <v>0.05</v>
      </c>
      <c r="N2718" s="475">
        <f t="shared" si="137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35"/>
        <v>-30197933929.34417</v>
      </c>
      <c r="J2719" s="455">
        <f t="array" ref="J2719">IFERROR(INDEX('Retirement Calculator'!K:K,MATCH('Lorri 401b'!N2719,'Retirement Calculator'!A:A,0),0),0)</f>
        <v>0</v>
      </c>
      <c r="K2719" s="455">
        <f t="shared" ca="1" si="133"/>
        <v>-125824724.70560071</v>
      </c>
      <c r="L2719" s="455">
        <f t="shared" ca="1" si="134"/>
        <v>-30323758654.04977</v>
      </c>
      <c r="M2719" s="471">
        <f t="shared" si="136"/>
        <v>0.05</v>
      </c>
      <c r="N2719" s="475">
        <f t="shared" si="137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35"/>
        <v>-30323758654.04977</v>
      </c>
      <c r="J2720" s="455">
        <f t="array" ref="J2720">IFERROR(INDEX('Retirement Calculator'!K:K,MATCH('Lorri 401b'!N2720,'Retirement Calculator'!A:A,0),0),0)</f>
        <v>0</v>
      </c>
      <c r="K2720" s="455">
        <f t="shared" ca="1" si="133"/>
        <v>-126348994.39187405</v>
      </c>
      <c r="L2720" s="455">
        <f t="shared" ca="1" si="134"/>
        <v>-30450107648.441643</v>
      </c>
      <c r="M2720" s="471">
        <f t="shared" si="136"/>
        <v>0.05</v>
      </c>
      <c r="N2720" s="475">
        <f t="shared" si="137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35"/>
        <v>-30450107648.441643</v>
      </c>
      <c r="J2721" s="455">
        <f t="array" ref="J2721">IFERROR(INDEX('Retirement Calculator'!K:K,MATCH('Lorri 401b'!N2721,'Retirement Calculator'!A:A,0),0),0)</f>
        <v>0</v>
      </c>
      <c r="K2721" s="455">
        <f t="shared" ca="1" si="133"/>
        <v>-126875448.53517352</v>
      </c>
      <c r="L2721" s="455">
        <f t="shared" ca="1" si="134"/>
        <v>-30576983096.976818</v>
      </c>
      <c r="M2721" s="471">
        <f t="shared" si="136"/>
        <v>0.05</v>
      </c>
      <c r="N2721" s="475">
        <f t="shared" si="137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35"/>
        <v>-30576983096.976818</v>
      </c>
      <c r="J2722" s="455">
        <f t="array" ref="J2722">IFERROR(INDEX('Retirement Calculator'!K:K,MATCH('Lorri 401b'!N2722,'Retirement Calculator'!A:A,0),0),0)</f>
        <v>0</v>
      </c>
      <c r="K2722" s="455">
        <f t="shared" ca="1" si="133"/>
        <v>-127404096.23740341</v>
      </c>
      <c r="L2722" s="455">
        <f t="shared" ca="1" si="134"/>
        <v>-30704387193.214222</v>
      </c>
      <c r="M2722" s="471">
        <f t="shared" si="136"/>
        <v>0.05</v>
      </c>
      <c r="N2722" s="475">
        <f t="shared" si="137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35"/>
        <v>-30704387193.214222</v>
      </c>
      <c r="J2723" s="455">
        <f t="array" ref="J2723">IFERROR(INDEX('Retirement Calculator'!K:K,MATCH('Lorri 401b'!N2723,'Retirement Calculator'!A:A,0),0),0)</f>
        <v>0</v>
      </c>
      <c r="K2723" s="455">
        <f t="shared" ca="1" si="133"/>
        <v>-127934946.63839258</v>
      </c>
      <c r="L2723" s="455">
        <f t="shared" ca="1" si="134"/>
        <v>-30832322139.852615</v>
      </c>
      <c r="M2723" s="471">
        <f t="shared" si="136"/>
        <v>0.05</v>
      </c>
      <c r="N2723" s="475">
        <f t="shared" si="137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35"/>
        <v>-30832322139.852615</v>
      </c>
      <c r="J2724" s="455">
        <f t="array" ref="J2724">IFERROR(INDEX('Retirement Calculator'!K:K,MATCH('Lorri 401b'!N2724,'Retirement Calculator'!A:A,0),0),0)</f>
        <v>0</v>
      </c>
      <c r="K2724" s="455">
        <f t="shared" ca="1" si="133"/>
        <v>-128468008.91605256</v>
      </c>
      <c r="L2724" s="455">
        <f t="shared" ca="1" si="134"/>
        <v>-30960790148.768669</v>
      </c>
      <c r="M2724" s="471">
        <f t="shared" si="136"/>
        <v>0.05</v>
      </c>
      <c r="N2724" s="475">
        <f t="shared" si="137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35"/>
        <v>-30960790148.768669</v>
      </c>
      <c r="J2725" s="455">
        <f t="array" ref="J2725">IFERROR(INDEX('Retirement Calculator'!K:K,MATCH('Lorri 401b'!N2725,'Retirement Calculator'!A:A,0),0),0)</f>
        <v>0</v>
      </c>
      <c r="K2725" s="455">
        <f t="shared" ca="1" si="133"/>
        <v>-129003292.28653611</v>
      </c>
      <c r="L2725" s="455">
        <f t="shared" ca="1" si="134"/>
        <v>-31089793441.055206</v>
      </c>
      <c r="M2725" s="471">
        <f t="shared" si="136"/>
        <v>0.05</v>
      </c>
      <c r="N2725" s="475">
        <f t="shared" si="137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35"/>
        <v>-31089793441.055206</v>
      </c>
      <c r="J2726" s="455">
        <f t="array" ref="J2726">IFERROR(INDEX('Retirement Calculator'!K:K,MATCH('Lorri 401b'!N2726,'Retirement Calculator'!A:A,0),0),0)</f>
        <v>0</v>
      </c>
      <c r="K2726" s="455">
        <f t="shared" ca="1" si="133"/>
        <v>-129540806.00439669</v>
      </c>
      <c r="L2726" s="455">
        <f t="shared" ca="1" si="134"/>
        <v>-31219334247.059605</v>
      </c>
      <c r="M2726" s="471">
        <f t="shared" si="136"/>
        <v>0.05</v>
      </c>
      <c r="N2726" s="475">
        <f t="shared" si="137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35"/>
        <v>-31219334247.059605</v>
      </c>
      <c r="J2727" s="455">
        <f t="array" ref="J2727">IFERROR(INDEX('Retirement Calculator'!K:K,MATCH('Lorri 401b'!N2727,'Retirement Calculator'!A:A,0),0),0)</f>
        <v>0</v>
      </c>
      <c r="K2727" s="455">
        <f t="shared" ca="1" si="133"/>
        <v>-130080559.36274835</v>
      </c>
      <c r="L2727" s="455">
        <f t="shared" ca="1" si="134"/>
        <v>-31349414806.422352</v>
      </c>
      <c r="M2727" s="471">
        <f t="shared" si="136"/>
        <v>0.05</v>
      </c>
      <c r="N2727" s="475">
        <f t="shared" si="137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35"/>
        <v>-31349414806.422352</v>
      </c>
      <c r="J2728" s="455">
        <f t="array" ref="J2728">IFERROR(INDEX('Retirement Calculator'!K:K,MATCH('Lorri 401b'!N2728,'Retirement Calculator'!A:A,0),0),0)</f>
        <v>0</v>
      </c>
      <c r="K2728" s="455">
        <f t="shared" ca="1" si="133"/>
        <v>-130622561.69342645</v>
      </c>
      <c r="L2728" s="455">
        <f t="shared" ca="1" si="134"/>
        <v>-31480037368.11578</v>
      </c>
      <c r="M2728" s="471">
        <f t="shared" si="136"/>
        <v>0.05</v>
      </c>
      <c r="N2728" s="475">
        <f t="shared" si="137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35"/>
        <v>-31480037368.11578</v>
      </c>
      <c r="J2729" s="455">
        <f t="array" ref="J2729">IFERROR(INDEX('Retirement Calculator'!K:K,MATCH('Lorri 401b'!N2729,'Retirement Calculator'!A:A,0),0),0)</f>
        <v>0</v>
      </c>
      <c r="K2729" s="455">
        <f t="shared" ca="1" si="133"/>
        <v>-131166822.36714908</v>
      </c>
      <c r="L2729" s="455">
        <f t="shared" ca="1" si="134"/>
        <v>-31611204190.482929</v>
      </c>
      <c r="M2729" s="471">
        <f t="shared" si="136"/>
        <v>0.05</v>
      </c>
      <c r="N2729" s="475">
        <f t="shared" si="137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35"/>
        <v>-31611204190.482929</v>
      </c>
      <c r="J2730" s="455">
        <f t="array" ref="J2730">IFERROR(INDEX('Retirement Calculator'!K:K,MATCH('Lorri 401b'!N2730,'Retirement Calculator'!A:A,0),0),0)</f>
        <v>0</v>
      </c>
      <c r="K2730" s="455">
        <f t="shared" ca="1" si="133"/>
        <v>-131713350.79367888</v>
      </c>
      <c r="L2730" s="455">
        <f t="shared" ca="1" si="134"/>
        <v>-31742917541.276608</v>
      </c>
      <c r="M2730" s="471">
        <f t="shared" si="136"/>
        <v>0.05</v>
      </c>
      <c r="N2730" s="475">
        <f t="shared" si="137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35"/>
        <v>-31742917541.276608</v>
      </c>
      <c r="J2731" s="455">
        <f t="array" ref="J2731">IFERROR(INDEX('Retirement Calculator'!K:K,MATCH('Lorri 401b'!N2731,'Retirement Calculator'!A:A,0),0),0)</f>
        <v>0</v>
      </c>
      <c r="K2731" s="455">
        <f t="shared" ca="1" si="133"/>
        <v>-132262156.42198586</v>
      </c>
      <c r="L2731" s="455">
        <f t="shared" ca="1" si="134"/>
        <v>-31875179697.698593</v>
      </c>
      <c r="M2731" s="471">
        <f t="shared" si="136"/>
        <v>0.05</v>
      </c>
      <c r="N2731" s="475">
        <f t="shared" si="137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35"/>
        <v>-31875179697.698593</v>
      </c>
      <c r="J2732" s="455">
        <f t="array" ref="J2732">IFERROR(INDEX('Retirement Calculator'!K:K,MATCH('Lorri 401b'!N2732,'Retirement Calculator'!A:A,0),0),0)</f>
        <v>0</v>
      </c>
      <c r="K2732" s="455">
        <f t="shared" ca="1" si="133"/>
        <v>-132813248.7404108</v>
      </c>
      <c r="L2732" s="455">
        <f t="shared" ca="1" si="134"/>
        <v>-32007992946.439003</v>
      </c>
      <c r="M2732" s="471">
        <f t="shared" si="136"/>
        <v>0.05</v>
      </c>
      <c r="N2732" s="475">
        <f t="shared" si="137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35"/>
        <v>-32007992946.439003</v>
      </c>
      <c r="J2733" s="455">
        <f t="array" ref="J2733">IFERROR(INDEX('Retirement Calculator'!K:K,MATCH('Lorri 401b'!N2733,'Retirement Calculator'!A:A,0),0),0)</f>
        <v>0</v>
      </c>
      <c r="K2733" s="455">
        <f t="shared" ca="1" si="133"/>
        <v>-133366637.27682918</v>
      </c>
      <c r="L2733" s="455">
        <f t="shared" ca="1" si="134"/>
        <v>-32141359583.715832</v>
      </c>
      <c r="M2733" s="471">
        <f t="shared" si="136"/>
        <v>0.05</v>
      </c>
      <c r="N2733" s="475">
        <f t="shared" si="137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35"/>
        <v>-32141359583.715832</v>
      </c>
      <c r="J2734" s="455">
        <f t="array" ref="J2734">IFERROR(INDEX('Retirement Calculator'!K:K,MATCH('Lorri 401b'!N2734,'Retirement Calculator'!A:A,0),0),0)</f>
        <v>0</v>
      </c>
      <c r="K2734" s="455">
        <f t="shared" ca="1" si="133"/>
        <v>-133922331.59881598</v>
      </c>
      <c r="L2734" s="455">
        <f t="shared" ca="1" si="134"/>
        <v>-32275281915.314648</v>
      </c>
      <c r="M2734" s="471">
        <f t="shared" si="136"/>
        <v>0.05</v>
      </c>
      <c r="N2734" s="475">
        <f t="shared" si="137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35"/>
        <v>-32275281915.314648</v>
      </c>
      <c r="J2735" s="455">
        <f t="array" ref="J2735">IFERROR(INDEX('Retirement Calculator'!K:K,MATCH('Lorri 401b'!N2735,'Retirement Calculator'!A:A,0),0),0)</f>
        <v>0</v>
      </c>
      <c r="K2735" s="455">
        <f t="shared" ca="1" si="133"/>
        <v>-134480341.31381103</v>
      </c>
      <c r="L2735" s="455">
        <f t="shared" ca="1" si="134"/>
        <v>-32409762256.62846</v>
      </c>
      <c r="M2735" s="471">
        <f t="shared" si="136"/>
        <v>0.05</v>
      </c>
      <c r="N2735" s="475">
        <f t="shared" si="137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35"/>
        <v>-32409762256.62846</v>
      </c>
      <c r="J2736" s="455">
        <f t="array" ref="J2736">IFERROR(INDEX('Retirement Calculator'!K:K,MATCH('Lorri 401b'!N2736,'Retirement Calculator'!A:A,0),0),0)</f>
        <v>0</v>
      </c>
      <c r="K2736" s="455">
        <f t="shared" ca="1" si="133"/>
        <v>-135040676.06928524</v>
      </c>
      <c r="L2736" s="455">
        <f t="shared" ca="1" si="134"/>
        <v>-32544802932.697746</v>
      </c>
      <c r="M2736" s="471">
        <f t="shared" si="136"/>
        <v>0.05</v>
      </c>
      <c r="N2736" s="475">
        <f t="shared" si="137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35"/>
        <v>-32544802932.697746</v>
      </c>
      <c r="J2737" s="455">
        <f t="array" ref="J2737">IFERROR(INDEX('Retirement Calculator'!K:K,MATCH('Lorri 401b'!N2737,'Retirement Calculator'!A:A,0),0),0)</f>
        <v>0</v>
      </c>
      <c r="K2737" s="455">
        <f t="shared" ca="1" si="133"/>
        <v>-135603345.55290729</v>
      </c>
      <c r="L2737" s="455">
        <f t="shared" ca="1" si="134"/>
        <v>-32680406278.250652</v>
      </c>
      <c r="M2737" s="471">
        <f t="shared" si="136"/>
        <v>0.05</v>
      </c>
      <c r="N2737" s="475">
        <f t="shared" si="137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35"/>
        <v>-32680406278.250652</v>
      </c>
      <c r="J2738" s="455">
        <f t="array" ref="J2738">IFERROR(INDEX('Retirement Calculator'!K:K,MATCH('Lorri 401b'!N2738,'Retirement Calculator'!A:A,0),0),0)</f>
        <v>0</v>
      </c>
      <c r="K2738" s="455">
        <f t="shared" ca="1" si="133"/>
        <v>-136168359.49271104</v>
      </c>
      <c r="L2738" s="455">
        <f t="shared" ca="1" si="134"/>
        <v>-32816574637.743362</v>
      </c>
      <c r="M2738" s="471">
        <f t="shared" si="136"/>
        <v>0.05</v>
      </c>
      <c r="N2738" s="475">
        <f t="shared" si="137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35"/>
        <v>-32816574637.743362</v>
      </c>
      <c r="J2739" s="455">
        <f t="array" ref="J2739">IFERROR(INDEX('Retirement Calculator'!K:K,MATCH('Lorri 401b'!N2739,'Retirement Calculator'!A:A,0),0),0)</f>
        <v>0</v>
      </c>
      <c r="K2739" s="455">
        <f t="shared" ca="1" si="133"/>
        <v>-136735727.65726402</v>
      </c>
      <c r="L2739" s="455">
        <f t="shared" ca="1" si="134"/>
        <v>-32953310365.400627</v>
      </c>
      <c r="M2739" s="471">
        <f t="shared" si="136"/>
        <v>0.05</v>
      </c>
      <c r="N2739" s="475">
        <f t="shared" si="137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35"/>
        <v>-32953310365.400627</v>
      </c>
      <c r="J2740" s="455">
        <f t="array" ref="J2740">IFERROR(INDEX('Retirement Calculator'!K:K,MATCH('Lorri 401b'!N2740,'Retirement Calculator'!A:A,0),0),0)</f>
        <v>0</v>
      </c>
      <c r="K2740" s="455">
        <f t="shared" ca="1" si="133"/>
        <v>-137305459.85583591</v>
      </c>
      <c r="L2740" s="455">
        <f t="shared" ca="1" si="134"/>
        <v>-33090615825.256462</v>
      </c>
      <c r="M2740" s="471">
        <f t="shared" si="136"/>
        <v>0.05</v>
      </c>
      <c r="N2740" s="475">
        <f t="shared" si="137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35"/>
        <v>-33090615825.256462</v>
      </c>
      <c r="J2741" s="455">
        <f t="array" ref="J2741">IFERROR(INDEX('Retirement Calculator'!K:K,MATCH('Lorri 401b'!N2741,'Retirement Calculator'!A:A,0),0),0)</f>
        <v>0</v>
      </c>
      <c r="K2741" s="455">
        <f t="shared" ca="1" si="133"/>
        <v>-137877565.93856859</v>
      </c>
      <c r="L2741" s="455">
        <f t="shared" ca="1" si="134"/>
        <v>-33228493391.19503</v>
      </c>
      <c r="M2741" s="471">
        <f t="shared" si="136"/>
        <v>0.05</v>
      </c>
      <c r="N2741" s="475">
        <f t="shared" si="137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35"/>
        <v>-33228493391.19503</v>
      </c>
      <c r="J2742" s="455">
        <f t="array" ref="J2742">IFERROR(INDEX('Retirement Calculator'!K:K,MATCH('Lorri 401b'!N2742,'Retirement Calculator'!A:A,0),0),0)</f>
        <v>0</v>
      </c>
      <c r="K2742" s="455">
        <f t="shared" ca="1" si="133"/>
        <v>-138452055.79664597</v>
      </c>
      <c r="L2742" s="455">
        <f t="shared" ca="1" si="134"/>
        <v>-33366945446.991676</v>
      </c>
      <c r="M2742" s="471">
        <f t="shared" si="136"/>
        <v>0.05</v>
      </c>
      <c r="N2742" s="475">
        <f t="shared" si="137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35"/>
        <v>-33366945446.991676</v>
      </c>
      <c r="J2743" s="455">
        <f t="array" ref="J2743">IFERROR(INDEX('Retirement Calculator'!K:K,MATCH('Lorri 401b'!N2743,'Retirement Calculator'!A:A,0),0),0)</f>
        <v>0</v>
      </c>
      <c r="K2743" s="455">
        <f t="shared" ca="1" si="133"/>
        <v>-139028939.36246532</v>
      </c>
      <c r="L2743" s="455">
        <f t="shared" ca="1" si="134"/>
        <v>-33505974386.354141</v>
      </c>
      <c r="M2743" s="471">
        <f t="shared" si="136"/>
        <v>0.05</v>
      </c>
      <c r="N2743" s="475">
        <f t="shared" si="137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35"/>
        <v>-33505974386.354141</v>
      </c>
      <c r="J2744" s="455">
        <f t="array" ref="J2744">IFERROR(INDEX('Retirement Calculator'!K:K,MATCH('Lorri 401b'!N2744,'Retirement Calculator'!A:A,0),0),0)</f>
        <v>0</v>
      </c>
      <c r="K2744" s="455">
        <f t="shared" ca="1" si="133"/>
        <v>-139608226.60980892</v>
      </c>
      <c r="L2744" s="455">
        <f t="shared" ca="1" si="134"/>
        <v>-33645582612.963951</v>
      </c>
      <c r="M2744" s="471">
        <f t="shared" si="136"/>
        <v>0.05</v>
      </c>
      <c r="N2744" s="475">
        <f t="shared" si="137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35"/>
        <v>-33645582612.963951</v>
      </c>
      <c r="J2745" s="455">
        <f t="array" ref="J2745">IFERROR(INDEX('Retirement Calculator'!K:K,MATCH('Lorri 401b'!N2745,'Retirement Calculator'!A:A,0),0),0)</f>
        <v>0</v>
      </c>
      <c r="K2745" s="455">
        <f t="shared" ca="1" si="133"/>
        <v>-140189927.55401647</v>
      </c>
      <c r="L2745" s="455">
        <f t="shared" ca="1" si="134"/>
        <v>-33785772540.517967</v>
      </c>
      <c r="M2745" s="471">
        <f t="shared" si="136"/>
        <v>0.05</v>
      </c>
      <c r="N2745" s="475">
        <f t="shared" si="137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35"/>
        <v>-33785772540.517967</v>
      </c>
      <c r="J2746" s="455">
        <f t="array" ref="J2746">IFERROR(INDEX('Retirement Calculator'!K:K,MATCH('Lorri 401b'!N2746,'Retirement Calculator'!A:A,0),0),0)</f>
        <v>0</v>
      </c>
      <c r="K2746" s="455">
        <f t="shared" ca="1" si="133"/>
        <v>-140774052.25215819</v>
      </c>
      <c r="L2746" s="455">
        <f t="shared" ca="1" si="134"/>
        <v>-33926546592.770126</v>
      </c>
      <c r="M2746" s="471">
        <f t="shared" si="136"/>
        <v>0.05</v>
      </c>
      <c r="N2746" s="475">
        <f t="shared" si="137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35"/>
        <v>-33926546592.770126</v>
      </c>
      <c r="J2747" s="455">
        <f t="array" ref="J2747">IFERROR(INDEX('Retirement Calculator'!K:K,MATCH('Lorri 401b'!N2747,'Retirement Calculator'!A:A,0),0),0)</f>
        <v>0</v>
      </c>
      <c r="K2747" s="455">
        <f t="shared" ca="1" si="133"/>
        <v>-141360610.80320886</v>
      </c>
      <c r="L2747" s="455">
        <f t="shared" ca="1" si="134"/>
        <v>-34067907203.573334</v>
      </c>
      <c r="M2747" s="471">
        <f t="shared" si="136"/>
        <v>0.05</v>
      </c>
      <c r="N2747" s="475">
        <f t="shared" si="137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35"/>
        <v>-34067907203.573334</v>
      </c>
      <c r="J2748" s="455">
        <f t="array" ref="J2748">IFERROR(INDEX('Retirement Calculator'!K:K,MATCH('Lorri 401b'!N2748,'Retirement Calculator'!A:A,0),0),0)</f>
        <v>0</v>
      </c>
      <c r="K2748" s="455">
        <f t="shared" ca="1" si="133"/>
        <v>-141949613.34822223</v>
      </c>
      <c r="L2748" s="455">
        <f t="shared" ca="1" si="134"/>
        <v>-34209856816.921555</v>
      </c>
      <c r="M2748" s="471">
        <f t="shared" si="136"/>
        <v>0.05</v>
      </c>
      <c r="N2748" s="475">
        <f t="shared" si="137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35"/>
        <v>-34209856816.921555</v>
      </c>
      <c r="J2749" s="455">
        <f t="array" ref="J2749">IFERROR(INDEX('Retirement Calculator'!K:K,MATCH('Lorri 401b'!N2749,'Retirement Calculator'!A:A,0),0),0)</f>
        <v>0</v>
      </c>
      <c r="K2749" s="455">
        <f t="shared" ca="1" si="133"/>
        <v>-142541070.07050648</v>
      </c>
      <c r="L2749" s="455">
        <f t="shared" ca="1" si="134"/>
        <v>-34352397886.992062</v>
      </c>
      <c r="M2749" s="471">
        <f t="shared" si="136"/>
        <v>0.05</v>
      </c>
      <c r="N2749" s="475">
        <f t="shared" si="137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35"/>
        <v>-34352397886.992062</v>
      </c>
      <c r="J2750" s="455">
        <f t="array" ref="J2750">IFERROR(INDEX('Retirement Calculator'!K:K,MATCH('Lorri 401b'!N2750,'Retirement Calculator'!A:A,0),0),0)</f>
        <v>0</v>
      </c>
      <c r="K2750" s="455">
        <f t="shared" ca="1" si="133"/>
        <v>-143134991.19580024</v>
      </c>
      <c r="L2750" s="455">
        <f t="shared" ca="1" si="134"/>
        <v>-34495532878.187859</v>
      </c>
      <c r="M2750" s="471">
        <f t="shared" si="136"/>
        <v>0.05</v>
      </c>
      <c r="N2750" s="475">
        <f t="shared" si="137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35"/>
        <v>-34495532878.187859</v>
      </c>
      <c r="J2751" s="455">
        <f t="array" ref="J2751">IFERROR(INDEX('Retirement Calculator'!K:K,MATCH('Lorri 401b'!N2751,'Retirement Calculator'!A:A,0),0),0)</f>
        <v>0</v>
      </c>
      <c r="K2751" s="455">
        <f t="shared" ca="1" si="133"/>
        <v>-143731386.9924494</v>
      </c>
      <c r="L2751" s="455">
        <f t="shared" ca="1" si="134"/>
        <v>-34639264265.180305</v>
      </c>
      <c r="M2751" s="471">
        <f t="shared" si="136"/>
        <v>0.05</v>
      </c>
      <c r="N2751" s="475">
        <f t="shared" si="137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35"/>
        <v>-34639264265.180305</v>
      </c>
      <c r="J2752" s="455">
        <f t="array" ref="J2752">IFERROR(INDEX('Retirement Calculator'!K:K,MATCH('Lorri 401b'!N2752,'Retirement Calculator'!A:A,0),0),0)</f>
        <v>0</v>
      </c>
      <c r="K2752" s="455">
        <f t="shared" ca="1" si="133"/>
        <v>-144330267.7715846</v>
      </c>
      <c r="L2752" s="455">
        <f t="shared" ca="1" si="134"/>
        <v>-34783594532.951889</v>
      </c>
      <c r="M2752" s="471">
        <f t="shared" si="136"/>
        <v>0.05</v>
      </c>
      <c r="N2752" s="475">
        <f t="shared" si="137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35"/>
        <v>-34783594532.951889</v>
      </c>
      <c r="J2753" s="455">
        <f t="array" ref="J2753">IFERROR(INDEX('Retirement Calculator'!K:K,MATCH('Lorri 401b'!N2753,'Retirement Calculator'!A:A,0),0),0)</f>
        <v>0</v>
      </c>
      <c r="K2753" s="455">
        <f t="shared" ca="1" si="133"/>
        <v>-144931643.88729954</v>
      </c>
      <c r="L2753" s="455">
        <f t="shared" ca="1" si="134"/>
        <v>-34928526176.839188</v>
      </c>
      <c r="M2753" s="471">
        <f t="shared" si="136"/>
        <v>0.05</v>
      </c>
      <c r="N2753" s="475">
        <f t="shared" si="137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35"/>
        <v>-34928526176.839188</v>
      </c>
      <c r="J2754" s="455">
        <f t="array" ref="J2754">IFERROR(INDEX('Retirement Calculator'!K:K,MATCH('Lorri 401b'!N2754,'Retirement Calculator'!A:A,0),0),0)</f>
        <v>0</v>
      </c>
      <c r="K2754" s="455">
        <f t="shared" ca="1" si="133"/>
        <v>-145535525.73682994</v>
      </c>
      <c r="L2754" s="455">
        <f t="shared" ca="1" si="134"/>
        <v>-35074061702.576019</v>
      </c>
      <c r="M2754" s="471">
        <f t="shared" si="136"/>
        <v>0.05</v>
      </c>
      <c r="N2754" s="475">
        <f t="shared" si="137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35"/>
        <v>-35074061702.576019</v>
      </c>
      <c r="J2755" s="455">
        <f t="array" ref="J2755">IFERROR(INDEX('Retirement Calculator'!K:K,MATCH('Lorri 401b'!N2755,'Retirement Calculator'!A:A,0),0),0)</f>
        <v>0</v>
      </c>
      <c r="K2755" s="455">
        <f t="shared" ca="1" si="133"/>
        <v>-146141923.76073343</v>
      </c>
      <c r="L2755" s="455">
        <f t="shared" ca="1" si="134"/>
        <v>-35220203626.336754</v>
      </c>
      <c r="M2755" s="471">
        <f t="shared" si="136"/>
        <v>0.05</v>
      </c>
      <c r="N2755" s="475">
        <f t="shared" si="137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35"/>
        <v>-35220203626.336754</v>
      </c>
      <c r="J2756" s="455">
        <f t="array" ref="J2756">IFERROR(INDEX('Retirement Calculator'!K:K,MATCH('Lorri 401b'!N2756,'Retirement Calculator'!A:A,0),0),0)</f>
        <v>0</v>
      </c>
      <c r="K2756" s="455">
        <f t="shared" ca="1" si="133"/>
        <v>-146750848.44306982</v>
      </c>
      <c r="L2756" s="455">
        <f t="shared" ca="1" si="134"/>
        <v>-35366954474.779823</v>
      </c>
      <c r="M2756" s="471">
        <f t="shared" si="136"/>
        <v>0.05</v>
      </c>
      <c r="N2756" s="475">
        <f t="shared" si="137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35"/>
        <v>-35366954474.779823</v>
      </c>
      <c r="J2757" s="455">
        <f t="array" ref="J2757">IFERROR(INDEX('Retirement Calculator'!K:K,MATCH('Lorri 401b'!N2757,'Retirement Calculator'!A:A,0),0),0)</f>
        <v>0</v>
      </c>
      <c r="K2757" s="455">
        <f t="shared" ca="1" si="133"/>
        <v>-147362310.3115826</v>
      </c>
      <c r="L2757" s="455">
        <f t="shared" ca="1" si="134"/>
        <v>-35514316785.091408</v>
      </c>
      <c r="M2757" s="471">
        <f t="shared" si="136"/>
        <v>0.05</v>
      </c>
      <c r="N2757" s="475">
        <f t="shared" si="137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35"/>
        <v>-35514316785.091408</v>
      </c>
      <c r="J2758" s="455">
        <f t="array" ref="J2758">IFERROR(INDEX('Retirement Calculator'!K:K,MATCH('Lorri 401b'!N2758,'Retirement Calculator'!A:A,0),0),0)</f>
        <v>0</v>
      </c>
      <c r="K2758" s="455">
        <f t="shared" ca="1" si="133"/>
        <v>-147976319.93788087</v>
      </c>
      <c r="L2758" s="455">
        <f t="shared" ca="1" si="134"/>
        <v>-35662293105.029289</v>
      </c>
      <c r="M2758" s="471">
        <f t="shared" si="136"/>
        <v>0.05</v>
      </c>
      <c r="N2758" s="475">
        <f t="shared" si="137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35"/>
        <v>-35662293105.029289</v>
      </c>
      <c r="J2759" s="455">
        <f t="array" ref="J2759">IFERROR(INDEX('Retirement Calculator'!K:K,MATCH('Lorri 401b'!N2759,'Retirement Calculator'!A:A,0),0),0)</f>
        <v>0</v>
      </c>
      <c r="K2759" s="455">
        <f t="shared" ca="1" si="133"/>
        <v>-148592887.93762204</v>
      </c>
      <c r="L2759" s="455">
        <f t="shared" ca="1" si="134"/>
        <v>-35810885992.966911</v>
      </c>
      <c r="M2759" s="471">
        <f t="shared" si="136"/>
        <v>0.05</v>
      </c>
      <c r="N2759" s="475">
        <f t="shared" si="137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35"/>
        <v>-35810885992.966911</v>
      </c>
      <c r="J2760" s="455">
        <f t="array" ref="J2760">IFERROR(INDEX('Retirement Calculator'!K:K,MATCH('Lorri 401b'!N2760,'Retirement Calculator'!A:A,0),0),0)</f>
        <v>0</v>
      </c>
      <c r="K2760" s="455">
        <f t="shared" ca="1" si="133"/>
        <v>-149212024.97069547</v>
      </c>
      <c r="L2760" s="455">
        <f t="shared" ca="1" si="134"/>
        <v>-35960098017.937607</v>
      </c>
      <c r="M2760" s="471">
        <f t="shared" si="136"/>
        <v>0.05</v>
      </c>
      <c r="N2760" s="475">
        <f t="shared" si="137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35"/>
        <v>-35960098017.937607</v>
      </c>
      <c r="J2761" s="455">
        <f t="array" ref="J2761">IFERROR(INDEX('Retirement Calculator'!K:K,MATCH('Lorri 401b'!N2761,'Retirement Calculator'!A:A,0),0),0)</f>
        <v>0</v>
      </c>
      <c r="K2761" s="455">
        <f t="shared" ca="1" si="133"/>
        <v>-149833741.74140668</v>
      </c>
      <c r="L2761" s="455">
        <f t="shared" ca="1" si="134"/>
        <v>-36109931759.679016</v>
      </c>
      <c r="M2761" s="471">
        <f t="shared" si="136"/>
        <v>0.05</v>
      </c>
      <c r="N2761" s="475">
        <f t="shared" si="137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35"/>
        <v>-36109931759.679016</v>
      </c>
      <c r="J2762" s="455">
        <f t="array" ref="J2762">IFERROR(INDEX('Retirement Calculator'!K:K,MATCH('Lorri 401b'!N2762,'Retirement Calculator'!A:A,0),0),0)</f>
        <v>0</v>
      </c>
      <c r="K2762" s="455">
        <f t="shared" ca="1" si="133"/>
        <v>-150458048.99866256</v>
      </c>
      <c r="L2762" s="455">
        <f t="shared" ca="1" si="134"/>
        <v>-36260389808.677681</v>
      </c>
      <c r="M2762" s="471">
        <f t="shared" si="136"/>
        <v>0.05</v>
      </c>
      <c r="N2762" s="475">
        <f t="shared" si="137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35"/>
        <v>-36260389808.677681</v>
      </c>
      <c r="J2763" s="455">
        <f t="array" ref="J2763">IFERROR(INDEX('Retirement Calculator'!K:K,MATCH('Lorri 401b'!N2763,'Retirement Calculator'!A:A,0),0),0)</f>
        <v>0</v>
      </c>
      <c r="K2763" s="455">
        <f t="shared" ca="1" si="133"/>
        <v>-151084957.53615701</v>
      </c>
      <c r="L2763" s="455">
        <f t="shared" ca="1" si="134"/>
        <v>-36411474766.213837</v>
      </c>
      <c r="M2763" s="471">
        <f t="shared" si="136"/>
        <v>0.05</v>
      </c>
      <c r="N2763" s="475">
        <f t="shared" si="137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35"/>
        <v>-36411474766.213837</v>
      </c>
      <c r="J2764" s="455">
        <f t="array" ref="J2764">IFERROR(INDEX('Retirement Calculator'!K:K,MATCH('Lorri 401b'!N2764,'Retirement Calculator'!A:A,0),0),0)</f>
        <v>0</v>
      </c>
      <c r="K2764" s="455">
        <f t="shared" ca="1" si="133"/>
        <v>-151714478.19255766</v>
      </c>
      <c r="L2764" s="455">
        <f t="shared" ca="1" si="134"/>
        <v>-36563189244.406395</v>
      </c>
      <c r="M2764" s="471">
        <f t="shared" si="136"/>
        <v>0.05</v>
      </c>
      <c r="N2764" s="475">
        <f t="shared" si="137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35"/>
        <v>-36563189244.406395</v>
      </c>
      <c r="J2765" s="455">
        <f t="array" ref="J2765">IFERROR(INDEX('Retirement Calculator'!K:K,MATCH('Lorri 401b'!N2765,'Retirement Calculator'!A:A,0),0),0)</f>
        <v>0</v>
      </c>
      <c r="K2765" s="455">
        <f t="shared" ca="1" si="133"/>
        <v>-152346621.8516933</v>
      </c>
      <c r="L2765" s="455">
        <f t="shared" ca="1" si="134"/>
        <v>-36715535866.258087</v>
      </c>
      <c r="M2765" s="471">
        <f t="shared" si="136"/>
        <v>0.05</v>
      </c>
      <c r="N2765" s="475">
        <f t="shared" si="137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35"/>
        <v>-36715535866.258087</v>
      </c>
      <c r="J2766" s="455">
        <f t="array" ref="J2766">IFERROR(INDEX('Retirement Calculator'!K:K,MATCH('Lorri 401b'!N2766,'Retirement Calculator'!A:A,0),0),0)</f>
        <v>0</v>
      </c>
      <c r="K2766" s="455">
        <f t="shared" ca="1" si="133"/>
        <v>-152981399.44274202</v>
      </c>
      <c r="L2766" s="455">
        <f t="shared" ca="1" si="134"/>
        <v>-36868517265.700829</v>
      </c>
      <c r="M2766" s="471">
        <f t="shared" si="136"/>
        <v>0.05</v>
      </c>
      <c r="N2766" s="475">
        <f t="shared" si="137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35"/>
        <v>-36868517265.700829</v>
      </c>
      <c r="J2767" s="455">
        <f t="array" ref="J2767">IFERROR(INDEX('Retirement Calculator'!K:K,MATCH('Lorri 401b'!N2767,'Retirement Calculator'!A:A,0),0),0)</f>
        <v>0</v>
      </c>
      <c r="K2767" s="455">
        <f t="shared" ca="1" si="133"/>
        <v>-153618821.94042012</v>
      </c>
      <c r="L2767" s="455">
        <f t="shared" ca="1" si="134"/>
        <v>-37022136087.641251</v>
      </c>
      <c r="M2767" s="471">
        <f t="shared" si="136"/>
        <v>0.05</v>
      </c>
      <c r="N2767" s="475">
        <f t="shared" si="137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35"/>
        <v>-37022136087.641251</v>
      </c>
      <c r="J2768" s="455">
        <f t="array" ref="J2768">IFERROR(INDEX('Retirement Calculator'!K:K,MATCH('Lorri 401b'!N2768,'Retirement Calculator'!A:A,0),0),0)</f>
        <v>0</v>
      </c>
      <c r="K2768" s="455">
        <f t="shared" ca="1" si="133"/>
        <v>-154258900.36517188</v>
      </c>
      <c r="L2768" s="455">
        <f t="shared" ca="1" si="134"/>
        <v>-37176394988.006424</v>
      </c>
      <c r="M2768" s="471">
        <f t="shared" si="136"/>
        <v>0.05</v>
      </c>
      <c r="N2768" s="475">
        <f t="shared" si="137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35"/>
        <v>-37176394988.006424</v>
      </c>
      <c r="J2769" s="455">
        <f t="array" ref="J2769">IFERROR(INDEX('Retirement Calculator'!K:K,MATCH('Lorri 401b'!N2769,'Retirement Calculator'!A:A,0),0),0)</f>
        <v>0</v>
      </c>
      <c r="K2769" s="455">
        <f t="shared" ca="1" si="133"/>
        <v>-154901645.78336009</v>
      </c>
      <c r="L2769" s="455">
        <f t="shared" ca="1" si="134"/>
        <v>-37331296633.789787</v>
      </c>
      <c r="M2769" s="471">
        <f t="shared" si="136"/>
        <v>0.05</v>
      </c>
      <c r="N2769" s="475">
        <f t="shared" si="137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35"/>
        <v>-37331296633.789787</v>
      </c>
      <c r="J2770" s="455">
        <f t="array" ref="J2770">IFERROR(INDEX('Retirement Calculator'!K:K,MATCH('Lorri 401b'!N2770,'Retirement Calculator'!A:A,0),0),0)</f>
        <v>0</v>
      </c>
      <c r="K2770" s="455">
        <f t="shared" ca="1" si="133"/>
        <v>-155547069.30745745</v>
      </c>
      <c r="L2770" s="455">
        <f t="shared" ca="1" si="134"/>
        <v>-37486843703.097244</v>
      </c>
      <c r="M2770" s="471">
        <f t="shared" si="136"/>
        <v>0.05</v>
      </c>
      <c r="N2770" s="475">
        <f t="shared" si="137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35"/>
        <v>-37486843703.097244</v>
      </c>
      <c r="J2771" s="455">
        <f t="array" ref="J2771">IFERROR(INDEX('Retirement Calculator'!K:K,MATCH('Lorri 401b'!N2771,'Retirement Calculator'!A:A,0),0),0)</f>
        <v>0</v>
      </c>
      <c r="K2771" s="455">
        <f t="shared" ca="1" si="133"/>
        <v>-156195182.09623852</v>
      </c>
      <c r="L2771" s="455">
        <f t="shared" ca="1" si="134"/>
        <v>-37643038885.193481</v>
      </c>
      <c r="M2771" s="471">
        <f t="shared" si="136"/>
        <v>0.05</v>
      </c>
      <c r="N2771" s="475">
        <f t="shared" si="137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35"/>
        <v>-37643038885.193481</v>
      </c>
      <c r="J2772" s="455">
        <f t="array" ref="J2772">IFERROR(INDEX('Retirement Calculator'!K:K,MATCH('Lorri 401b'!N2772,'Retirement Calculator'!A:A,0),0),0)</f>
        <v>0</v>
      </c>
      <c r="K2772" s="455">
        <f t="shared" ca="1" si="133"/>
        <v>-156845995.35497284</v>
      </c>
      <c r="L2772" s="455">
        <f t="shared" ca="1" si="134"/>
        <v>-37799884880.548454</v>
      </c>
      <c r="M2772" s="471">
        <f t="shared" si="136"/>
        <v>0.05</v>
      </c>
      <c r="N2772" s="475">
        <f t="shared" si="137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35"/>
        <v>-37799884880.548454</v>
      </c>
      <c r="J2773" s="455">
        <f t="array" ref="J2773">IFERROR(INDEX('Retirement Calculator'!K:K,MATCH('Lorri 401b'!N2773,'Retirement Calculator'!A:A,0),0),0)</f>
        <v>0</v>
      </c>
      <c r="K2773" s="455">
        <f t="shared" ca="1" si="133"/>
        <v>-157499520.33561856</v>
      </c>
      <c r="L2773" s="455">
        <f t="shared" ca="1" si="134"/>
        <v>-37957384400.884071</v>
      </c>
      <c r="M2773" s="471">
        <f t="shared" si="136"/>
        <v>0.05</v>
      </c>
      <c r="N2773" s="475">
        <f t="shared" si="137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35"/>
        <v>-37957384400.884071</v>
      </c>
      <c r="J2774" s="455">
        <f t="array" ref="J2774">IFERROR(INDEX('Retirement Calculator'!K:K,MATCH('Lorri 401b'!N2774,'Retirement Calculator'!A:A,0),0),0)</f>
        <v>0</v>
      </c>
      <c r="K2774" s="455">
        <f t="shared" ca="1" si="133"/>
        <v>-158155768.33701697</v>
      </c>
      <c r="L2774" s="455">
        <f t="shared" ca="1" si="134"/>
        <v>-38115540169.221085</v>
      </c>
      <c r="M2774" s="471">
        <f t="shared" si="136"/>
        <v>0.05</v>
      </c>
      <c r="N2774" s="475">
        <f t="shared" si="137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35"/>
        <v>-38115540169.221085</v>
      </c>
      <c r="J2775" s="455">
        <f t="array" ref="J2775">IFERROR(INDEX('Retirement Calculator'!K:K,MATCH('Lorri 401b'!N2775,'Retirement Calculator'!A:A,0),0),0)</f>
        <v>0</v>
      </c>
      <c r="K2775" s="455">
        <f t="shared" ca="1" si="133"/>
        <v>-158814750.70508784</v>
      </c>
      <c r="L2775" s="455">
        <f t="shared" ca="1" si="134"/>
        <v>-38274354919.92617</v>
      </c>
      <c r="M2775" s="471">
        <f t="shared" si="136"/>
        <v>0.05</v>
      </c>
      <c r="N2775" s="475">
        <f t="shared" si="137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35"/>
        <v>-38274354919.92617</v>
      </c>
      <c r="J2776" s="455">
        <f t="array" ref="J2776">IFERROR(INDEX('Retirement Calculator'!K:K,MATCH('Lorri 401b'!N2776,'Retirement Calculator'!A:A,0),0),0)</f>
        <v>0</v>
      </c>
      <c r="K2776" s="455">
        <f t="shared" ca="1" si="133"/>
        <v>-159476478.83302569</v>
      </c>
      <c r="L2776" s="455">
        <f t="shared" ca="1" si="134"/>
        <v>-38433831398.759193</v>
      </c>
      <c r="M2776" s="471">
        <f t="shared" si="136"/>
        <v>0.05</v>
      </c>
      <c r="N2776" s="475">
        <f t="shared" si="137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35"/>
        <v>-38433831398.759193</v>
      </c>
      <c r="J2777" s="455">
        <f t="array" ref="J2777">IFERROR(INDEX('Retirement Calculator'!K:K,MATCH('Lorri 401b'!N2777,'Retirement Calculator'!A:A,0),0),0)</f>
        <v>0</v>
      </c>
      <c r="K2777" s="455">
        <f t="shared" ca="1" si="133"/>
        <v>-160140964.16149664</v>
      </c>
      <c r="L2777" s="455">
        <f t="shared" ca="1" si="134"/>
        <v>-38593972362.920692</v>
      </c>
      <c r="M2777" s="471">
        <f t="shared" si="136"/>
        <v>0.05</v>
      </c>
      <c r="N2777" s="475">
        <f t="shared" si="137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35"/>
        <v>-38593972362.920692</v>
      </c>
      <c r="J2778" s="455">
        <f t="array" ref="J2778">IFERROR(INDEX('Retirement Calculator'!K:K,MATCH('Lorri 401b'!N2778,'Retirement Calculator'!A:A,0),0),0)</f>
        <v>0</v>
      </c>
      <c r="K2778" s="455">
        <f t="shared" ca="1" si="133"/>
        <v>-160808218.17883623</v>
      </c>
      <c r="L2778" s="455">
        <f t="shared" ca="1" si="134"/>
        <v>-38754780581.099525</v>
      </c>
      <c r="M2778" s="471">
        <f t="shared" si="136"/>
        <v>0.05</v>
      </c>
      <c r="N2778" s="475">
        <f t="shared" si="137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35"/>
        <v>-38754780581.099525</v>
      </c>
      <c r="J2779" s="455">
        <f t="array" ref="J2779">IFERROR(INDEX('Retirement Calculator'!K:K,MATCH('Lorri 401b'!N2779,'Retirement Calculator'!A:A,0),0),0)</f>
        <v>0</v>
      </c>
      <c r="K2779" s="455">
        <f t="shared" ca="1" si="133"/>
        <v>-161478252.42124802</v>
      </c>
      <c r="L2779" s="455">
        <f t="shared" ca="1" si="134"/>
        <v>-38916258833.520775</v>
      </c>
      <c r="M2779" s="471">
        <f t="shared" si="136"/>
        <v>0.05</v>
      </c>
      <c r="N2779" s="475">
        <f t="shared" si="137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35"/>
        <v>-38916258833.520775</v>
      </c>
      <c r="J2780" s="455">
        <f t="array" ref="J2780">IFERROR(INDEX('Retirement Calculator'!K:K,MATCH('Lorri 401b'!N2780,'Retirement Calculator'!A:A,0),0),0)</f>
        <v>0</v>
      </c>
      <c r="K2780" s="455">
        <f t="shared" ca="1" si="133"/>
        <v>-162151078.47300324</v>
      </c>
      <c r="L2780" s="455">
        <f t="shared" ca="1" si="134"/>
        <v>-39078409911.993774</v>
      </c>
      <c r="M2780" s="471">
        <f t="shared" si="136"/>
        <v>0.05</v>
      </c>
      <c r="N2780" s="475">
        <f t="shared" si="137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35"/>
        <v>-39078409911.993774</v>
      </c>
      <c r="J2781" s="455">
        <f t="array" ref="J2781">IFERROR(INDEX('Retirement Calculator'!K:K,MATCH('Lorri 401b'!N2781,'Retirement Calculator'!A:A,0),0),0)</f>
        <v>0</v>
      </c>
      <c r="K2781" s="455">
        <f t="shared" ca="1" si="133"/>
        <v>-162826707.96664071</v>
      </c>
      <c r="L2781" s="455">
        <f t="shared" ca="1" si="134"/>
        <v>-39241236619.960419</v>
      </c>
      <c r="M2781" s="471">
        <f t="shared" si="136"/>
        <v>0.05</v>
      </c>
      <c r="N2781" s="475">
        <f t="shared" si="137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35"/>
        <v>-39241236619.960419</v>
      </c>
      <c r="J2782" s="455">
        <f t="array" ref="J2782">IFERROR(INDEX('Retirement Calculator'!K:K,MATCH('Lorri 401b'!N2782,'Retirement Calculator'!A:A,0),0),0)</f>
        <v>0</v>
      </c>
      <c r="K2782" s="455">
        <f t="shared" ca="1" si="133"/>
        <v>-163505152.58316842</v>
      </c>
      <c r="L2782" s="455">
        <f t="shared" ca="1" si="134"/>
        <v>-39404741772.543587</v>
      </c>
      <c r="M2782" s="471">
        <f t="shared" si="136"/>
        <v>0.05</v>
      </c>
      <c r="N2782" s="475">
        <f t="shared" si="137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35"/>
        <v>-39404741772.543587</v>
      </c>
      <c r="J2783" s="455">
        <f t="array" ref="J2783">IFERROR(INDEX('Retirement Calculator'!K:K,MATCH('Lorri 401b'!N2783,'Retirement Calculator'!A:A,0),0),0)</f>
        <v>0</v>
      </c>
      <c r="K2783" s="455">
        <f t="shared" ca="1" si="133"/>
        <v>-164186424.05226493</v>
      </c>
      <c r="L2783" s="455">
        <f t="shared" ca="1" si="134"/>
        <v>-39568928196.595848</v>
      </c>
      <c r="M2783" s="471">
        <f t="shared" si="136"/>
        <v>0.05</v>
      </c>
      <c r="N2783" s="475">
        <f t="shared" si="137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35"/>
        <v>-39568928196.595848</v>
      </c>
      <c r="J2784" s="455">
        <f t="array" ref="J2784">IFERROR(INDEX('Retirement Calculator'!K:K,MATCH('Lorri 401b'!N2784,'Retirement Calculator'!A:A,0),0),0)</f>
        <v>0</v>
      </c>
      <c r="K2784" s="455">
        <f t="shared" ca="1" si="133"/>
        <v>-164870534.15248269</v>
      </c>
      <c r="L2784" s="455">
        <f t="shared" ca="1" si="134"/>
        <v>-39733798730.748329</v>
      </c>
      <c r="M2784" s="471">
        <f t="shared" si="136"/>
        <v>0.05</v>
      </c>
      <c r="N2784" s="475">
        <f t="shared" si="137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35"/>
        <v>-39733798730.748329</v>
      </c>
      <c r="J2785" s="455">
        <f t="array" ref="J2785">IFERROR(INDEX('Retirement Calculator'!K:K,MATCH('Lorri 401b'!N2785,'Retirement Calculator'!A:A,0),0),0)</f>
        <v>0</v>
      </c>
      <c r="K2785" s="455">
        <f t="shared" ca="1" si="133"/>
        <v>-165557494.71145138</v>
      </c>
      <c r="L2785" s="455">
        <f t="shared" ca="1" si="134"/>
        <v>-39899356225.459778</v>
      </c>
      <c r="M2785" s="471">
        <f t="shared" si="136"/>
        <v>0.05</v>
      </c>
      <c r="N2785" s="475">
        <f t="shared" si="137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35"/>
        <v>-39899356225.459778</v>
      </c>
      <c r="J2786" s="455">
        <f t="array" ref="J2786">IFERROR(INDEX('Retirement Calculator'!K:K,MATCH('Lorri 401b'!N2786,'Retirement Calculator'!A:A,0),0),0)</f>
        <v>0</v>
      </c>
      <c r="K2786" s="455">
        <f t="shared" ca="1" si="133"/>
        <v>-166247317.60608241</v>
      </c>
      <c r="L2786" s="455">
        <f t="shared" ca="1" si="134"/>
        <v>-40065603543.065857</v>
      </c>
      <c r="M2786" s="471">
        <f t="shared" si="136"/>
        <v>0.05</v>
      </c>
      <c r="N2786" s="475">
        <f t="shared" si="137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35"/>
        <v>-40065603543.065857</v>
      </c>
      <c r="J2787" s="455">
        <f t="array" ref="J2787">IFERROR(INDEX('Retirement Calculator'!K:K,MATCH('Lorri 401b'!N2787,'Retirement Calculator'!A:A,0),0),0)</f>
        <v>0</v>
      </c>
      <c r="K2787" s="455">
        <f t="shared" ca="1" si="133"/>
        <v>-166940014.76277441</v>
      </c>
      <c r="L2787" s="455">
        <f t="shared" ca="1" si="134"/>
        <v>-40232543557.828629</v>
      </c>
      <c r="M2787" s="471">
        <f t="shared" si="136"/>
        <v>0.05</v>
      </c>
      <c r="N2787" s="475">
        <f t="shared" si="137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35"/>
        <v>-40232543557.828629</v>
      </c>
      <c r="J2788" s="455">
        <f t="array" ref="J2788">IFERROR(INDEX('Retirement Calculator'!K:K,MATCH('Lorri 401b'!N2788,'Retirement Calculator'!A:A,0),0),0)</f>
        <v>0</v>
      </c>
      <c r="K2788" s="455">
        <f t="shared" ca="1" si="133"/>
        <v>-167635598.1576193</v>
      </c>
      <c r="L2788" s="455">
        <f t="shared" ca="1" si="134"/>
        <v>-40400179155.986244</v>
      </c>
      <c r="M2788" s="471">
        <f t="shared" si="136"/>
        <v>0.05</v>
      </c>
      <c r="N2788" s="475">
        <f t="shared" si="137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35"/>
        <v>-40400179155.986244</v>
      </c>
      <c r="J2789" s="455">
        <f t="array" ref="J2789">IFERROR(INDEX('Retirement Calculator'!K:K,MATCH('Lorri 401b'!N2789,'Retirement Calculator'!A:A,0),0),0)</f>
        <v>0</v>
      </c>
      <c r="K2789" s="455">
        <f t="shared" ca="1" si="133"/>
        <v>-168334079.81660935</v>
      </c>
      <c r="L2789" s="455">
        <f t="shared" ca="1" si="134"/>
        <v>-40568513235.802856</v>
      </c>
      <c r="M2789" s="471">
        <f t="shared" si="136"/>
        <v>0.05</v>
      </c>
      <c r="N2789" s="475">
        <f t="shared" si="137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35"/>
        <v>-40568513235.802856</v>
      </c>
      <c r="J2790" s="455">
        <f t="array" ref="J2790">IFERROR(INDEX('Retirement Calculator'!K:K,MATCH('Lorri 401b'!N2790,'Retirement Calculator'!A:A,0),0),0)</f>
        <v>0</v>
      </c>
      <c r="K2790" s="455">
        <f t="shared" ca="1" si="133"/>
        <v>-169035471.81584522</v>
      </c>
      <c r="L2790" s="455">
        <f t="shared" ca="1" si="134"/>
        <v>-40737548707.618698</v>
      </c>
      <c r="M2790" s="471">
        <f t="shared" si="136"/>
        <v>0.05</v>
      </c>
      <c r="N2790" s="475">
        <f t="shared" si="137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35"/>
        <v>-40737548707.618698</v>
      </c>
      <c r="J2791" s="455">
        <f t="array" ref="J2791">IFERROR(INDEX('Retirement Calculator'!K:K,MATCH('Lorri 401b'!N2791,'Retirement Calculator'!A:A,0),0),0)</f>
        <v>0</v>
      </c>
      <c r="K2791" s="455">
        <f t="shared" ca="1" si="133"/>
        <v>-169739786.28174457</v>
      </c>
      <c r="L2791" s="455">
        <f t="shared" ca="1" si="134"/>
        <v>-40907288493.900444</v>
      </c>
      <c r="M2791" s="471">
        <f t="shared" si="136"/>
        <v>0.05</v>
      </c>
      <c r="N2791" s="475">
        <f t="shared" si="137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35"/>
        <v>-40907288493.900444</v>
      </c>
      <c r="J2792" s="455">
        <f t="array" ref="J2792">IFERROR(INDEX('Retirement Calculator'!K:K,MATCH('Lorri 401b'!N2792,'Retirement Calculator'!A:A,0),0),0)</f>
        <v>0</v>
      </c>
      <c r="K2792" s="455">
        <f t="shared" ca="1" si="133"/>
        <v>-170447035.39125186</v>
      </c>
      <c r="L2792" s="455">
        <f t="shared" ca="1" si="134"/>
        <v>-41077735529.291695</v>
      </c>
      <c r="M2792" s="471">
        <f t="shared" si="136"/>
        <v>0.05</v>
      </c>
      <c r="N2792" s="475">
        <f t="shared" si="137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35"/>
        <v>-41077735529.291695</v>
      </c>
      <c r="J2793" s="455">
        <f t="array" ref="J2793">IFERROR(INDEX('Retirement Calculator'!K:K,MATCH('Lorri 401b'!N2793,'Retirement Calculator'!A:A,0),0),0)</f>
        <v>0</v>
      </c>
      <c r="K2793" s="455">
        <f t="shared" ca="1" si="133"/>
        <v>-171157231.37204874</v>
      </c>
      <c r="L2793" s="455">
        <f t="shared" ca="1" si="134"/>
        <v>-41248892760.663742</v>
      </c>
      <c r="M2793" s="471">
        <f t="shared" si="136"/>
        <v>0.05</v>
      </c>
      <c r="N2793" s="475">
        <f t="shared" si="137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35"/>
        <v>-41248892760.663742</v>
      </c>
      <c r="J2794" s="455">
        <f t="array" ref="J2794">IFERROR(INDEX('Retirement Calculator'!K:K,MATCH('Lorri 401b'!N2794,'Retirement Calculator'!A:A,0),0),0)</f>
        <v>0</v>
      </c>
      <c r="K2794" s="455">
        <f t="shared" ca="1" si="133"/>
        <v>-171870386.5027656</v>
      </c>
      <c r="L2794" s="455">
        <f t="shared" ca="1" si="134"/>
        <v>-41420763147.166504</v>
      </c>
      <c r="M2794" s="471">
        <f t="shared" si="136"/>
        <v>0.05</v>
      </c>
      <c r="N2794" s="475">
        <f t="shared" si="137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35"/>
        <v>-41420763147.166504</v>
      </c>
      <c r="J2795" s="455">
        <f t="array" ref="J2795">IFERROR(INDEX('Retirement Calculator'!K:K,MATCH('Lorri 401b'!N2795,'Retirement Calculator'!A:A,0),0),0)</f>
        <v>0</v>
      </c>
      <c r="K2795" s="455">
        <f t="shared" ca="1" si="133"/>
        <v>-172586513.11319375</v>
      </c>
      <c r="L2795" s="455">
        <f t="shared" ca="1" si="134"/>
        <v>-41593349660.279701</v>
      </c>
      <c r="M2795" s="471">
        <f t="shared" si="136"/>
        <v>0.05</v>
      </c>
      <c r="N2795" s="475">
        <f t="shared" si="137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35"/>
        <v>-41593349660.279701</v>
      </c>
      <c r="J2796" s="455">
        <f t="array" ref="J2796">IFERROR(INDEX('Retirement Calculator'!K:K,MATCH('Lorri 401b'!N2796,'Retirement Calculator'!A:A,0),0),0)</f>
        <v>0</v>
      </c>
      <c r="K2796" s="455">
        <f t="shared" ca="1" si="133"/>
        <v>-173305623.58449876</v>
      </c>
      <c r="L2796" s="455">
        <f t="shared" ca="1" si="134"/>
        <v>-41766655283.864197</v>
      </c>
      <c r="M2796" s="471">
        <f t="shared" si="136"/>
        <v>0.05</v>
      </c>
      <c r="N2796" s="475">
        <f t="shared" si="137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35"/>
        <v>-41766655283.864197</v>
      </c>
      <c r="J2797" s="455">
        <f t="array" ref="J2797">IFERROR(INDEX('Retirement Calculator'!K:K,MATCH('Lorri 401b'!N2797,'Retirement Calculator'!A:A,0),0),0)</f>
        <v>0</v>
      </c>
      <c r="K2797" s="455">
        <f t="shared" ca="1" si="133"/>
        <v>-174027730.34943414</v>
      </c>
      <c r="L2797" s="455">
        <f t="shared" ca="1" si="134"/>
        <v>-41940683014.213631</v>
      </c>
      <c r="M2797" s="471">
        <f t="shared" si="136"/>
        <v>0.05</v>
      </c>
      <c r="N2797" s="475">
        <f t="shared" si="137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35"/>
        <v>-41940683014.213631</v>
      </c>
      <c r="J2798" s="455">
        <f t="array" ref="J2798">IFERROR(INDEX('Retirement Calculator'!K:K,MATCH('Lorri 401b'!N2798,'Retirement Calculator'!A:A,0),0),0)</f>
        <v>0</v>
      </c>
      <c r="K2798" s="455">
        <f t="shared" ca="1" si="133"/>
        <v>-174752845.89255679</v>
      </c>
      <c r="L2798" s="455">
        <f t="shared" ca="1" si="134"/>
        <v>-42115435860.106186</v>
      </c>
      <c r="M2798" s="471">
        <f t="shared" si="136"/>
        <v>0.05</v>
      </c>
      <c r="N2798" s="475">
        <f t="shared" si="137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35"/>
        <v>-42115435860.106186</v>
      </c>
      <c r="J2799" s="455">
        <f t="array" ref="J2799">IFERROR(INDEX('Retirement Calculator'!K:K,MATCH('Lorri 401b'!N2799,'Retirement Calculator'!A:A,0),0),0)</f>
        <v>0</v>
      </c>
      <c r="K2799" s="455">
        <f t="shared" ca="1" si="133"/>
        <v>-175480982.75044245</v>
      </c>
      <c r="L2799" s="455">
        <f t="shared" ca="1" si="134"/>
        <v>-42290916842.856628</v>
      </c>
      <c r="M2799" s="471">
        <f t="shared" si="136"/>
        <v>0.05</v>
      </c>
      <c r="N2799" s="475">
        <f t="shared" si="137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35"/>
        <v>-42290916842.856628</v>
      </c>
      <c r="J2800" s="455">
        <f t="array" ref="J2800">IFERROR(INDEX('Retirement Calculator'!K:K,MATCH('Lorri 401b'!N2800,'Retirement Calculator'!A:A,0),0),0)</f>
        <v>0</v>
      </c>
      <c r="K2800" s="455">
        <f t="shared" ca="1" si="133"/>
        <v>-176212153.51190263</v>
      </c>
      <c r="L2800" s="455">
        <f t="shared" ca="1" si="134"/>
        <v>-42467128996.36853</v>
      </c>
      <c r="M2800" s="471">
        <f t="shared" si="136"/>
        <v>0.05</v>
      </c>
      <c r="N2800" s="475">
        <f t="shared" si="137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35"/>
        <v>-42467128996.36853</v>
      </c>
      <c r="J2801" s="455">
        <f t="array" ref="J2801">IFERROR(INDEX('Retirement Calculator'!K:K,MATCH('Lorri 401b'!N2801,'Retirement Calculator'!A:A,0),0),0)</f>
        <v>0</v>
      </c>
      <c r="K2801" s="455">
        <f t="shared" ca="1" si="133"/>
        <v>-176946370.8182022</v>
      </c>
      <c r="L2801" s="455">
        <f t="shared" ca="1" si="134"/>
        <v>-42644075367.186729</v>
      </c>
      <c r="M2801" s="471">
        <f t="shared" si="136"/>
        <v>0.05</v>
      </c>
      <c r="N2801" s="475">
        <f t="shared" si="137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35"/>
        <v>-42644075367.186729</v>
      </c>
      <c r="J2802" s="455">
        <f t="array" ref="J2802">IFERROR(INDEX('Retirement Calculator'!K:K,MATCH('Lorri 401b'!N2802,'Retirement Calculator'!A:A,0),0),0)</f>
        <v>0</v>
      </c>
      <c r="K2802" s="455">
        <f t="shared" ca="1" si="133"/>
        <v>-177683647.36327803</v>
      </c>
      <c r="L2802" s="455">
        <f t="shared" ca="1" si="134"/>
        <v>-42821759014.550011</v>
      </c>
      <c r="M2802" s="471">
        <f t="shared" si="136"/>
        <v>0.05</v>
      </c>
      <c r="N2802" s="475">
        <f t="shared" si="137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35"/>
        <v>-42821759014.550011</v>
      </c>
      <c r="J2803" s="455">
        <f t="array" ref="J2803">IFERROR(INDEX('Retirement Calculator'!K:K,MATCH('Lorri 401b'!N2803,'Retirement Calculator'!A:A,0),0),0)</f>
        <v>0</v>
      </c>
      <c r="K2803" s="455">
        <f t="shared" ca="1" si="133"/>
        <v>-178423995.89395839</v>
      </c>
      <c r="L2803" s="455">
        <f t="shared" ca="1" si="134"/>
        <v>-43000183010.44397</v>
      </c>
      <c r="M2803" s="471">
        <f t="shared" si="136"/>
        <v>0.05</v>
      </c>
      <c r="N2803" s="475">
        <f t="shared" si="137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35"/>
        <v>-43000183010.44397</v>
      </c>
      <c r="J2804" s="455">
        <f t="array" ref="J2804">IFERROR(INDEX('Retirement Calculator'!K:K,MATCH('Lorri 401b'!N2804,'Retirement Calculator'!A:A,0),0),0)</f>
        <v>0</v>
      </c>
      <c r="K2804" s="455">
        <f t="shared" ca="1" si="133"/>
        <v>-179167429.2101832</v>
      </c>
      <c r="L2804" s="455">
        <f t="shared" ca="1" si="134"/>
        <v>-43179350439.654152</v>
      </c>
      <c r="M2804" s="471">
        <f t="shared" si="136"/>
        <v>0.05</v>
      </c>
      <c r="N2804" s="475">
        <f t="shared" si="137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35"/>
        <v>-43179350439.654152</v>
      </c>
      <c r="J2805" s="455">
        <f t="array" ref="J2805">IFERROR(INDEX('Retirement Calculator'!K:K,MATCH('Lorri 401b'!N2805,'Retirement Calculator'!A:A,0),0),0)</f>
        <v>0</v>
      </c>
      <c r="K2805" s="455">
        <f t="shared" ca="1" si="133"/>
        <v>-179913960.16522563</v>
      </c>
      <c r="L2805" s="455">
        <f t="shared" ca="1" si="134"/>
        <v>-43359264399.819374</v>
      </c>
      <c r="M2805" s="471">
        <f t="shared" si="136"/>
        <v>0.05</v>
      </c>
      <c r="N2805" s="475">
        <f t="shared" si="137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35"/>
        <v>-43359264399.819374</v>
      </c>
      <c r="J2806" s="455">
        <f t="array" ref="J2806">IFERROR(INDEX('Retirement Calculator'!K:K,MATCH('Lorri 401b'!N2806,'Retirement Calculator'!A:A,0),0),0)</f>
        <v>0</v>
      </c>
      <c r="K2806" s="455">
        <f t="shared" ca="1" si="133"/>
        <v>-180663601.66591406</v>
      </c>
      <c r="L2806" s="455">
        <f t="shared" ca="1" si="134"/>
        <v>-43539928001.485291</v>
      </c>
      <c r="M2806" s="471">
        <f t="shared" si="136"/>
        <v>0.05</v>
      </c>
      <c r="N2806" s="475">
        <f t="shared" si="137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35"/>
        <v>-43539928001.485291</v>
      </c>
      <c r="J2807" s="455">
        <f t="array" ref="J2807">IFERROR(INDEX('Retirement Calculator'!K:K,MATCH('Lorri 401b'!N2807,'Retirement Calculator'!A:A,0),0),0)</f>
        <v>0</v>
      </c>
      <c r="K2807" s="455">
        <f t="shared" ca="1" si="133"/>
        <v>-181416366.67285538</v>
      </c>
      <c r="L2807" s="455">
        <f t="shared" ca="1" si="134"/>
        <v>-43721344368.158142</v>
      </c>
      <c r="M2807" s="471">
        <f t="shared" si="136"/>
        <v>0.05</v>
      </c>
      <c r="N2807" s="475">
        <f t="shared" si="137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35"/>
        <v>-43721344368.158142</v>
      </c>
      <c r="J2808" s="455">
        <f t="array" ref="J2808">IFERROR(INDEX('Retirement Calculator'!K:K,MATCH('Lorri 401b'!N2808,'Retirement Calculator'!A:A,0),0),0)</f>
        <v>0</v>
      </c>
      <c r="K2808" s="455">
        <f t="shared" ca="1" si="133"/>
        <v>-182172268.20065892</v>
      </c>
      <c r="L2808" s="455">
        <f t="shared" ca="1" si="134"/>
        <v>-43903516636.358803</v>
      </c>
      <c r="M2808" s="471">
        <f t="shared" si="136"/>
        <v>0.05</v>
      </c>
      <c r="N2808" s="475">
        <f t="shared" si="137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35"/>
        <v>-43903516636.358803</v>
      </c>
      <c r="J2809" s="455">
        <f t="array" ref="J2809">IFERROR(INDEX('Retirement Calculator'!K:K,MATCH('Lorri 401b'!N2809,'Retirement Calculator'!A:A,0),0),0)</f>
        <v>0</v>
      </c>
      <c r="K2809" s="455">
        <f t="shared" ca="1" si="133"/>
        <v>-182931319.31816167</v>
      </c>
      <c r="L2809" s="455">
        <f t="shared" ca="1" si="134"/>
        <v>-44086447955.676964</v>
      </c>
      <c r="M2809" s="471">
        <f t="shared" si="136"/>
        <v>0.05</v>
      </c>
      <c r="N2809" s="475">
        <f t="shared" si="137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35"/>
        <v>-44086447955.676964</v>
      </c>
      <c r="J2810" s="455">
        <f t="array" ref="J2810">IFERROR(INDEX('Retirement Calculator'!K:K,MATCH('Lorri 401b'!N2810,'Retirement Calculator'!A:A,0),0),0)</f>
        <v>0</v>
      </c>
      <c r="K2810" s="455">
        <f t="shared" ca="1" si="133"/>
        <v>-183693533.14865401</v>
      </c>
      <c r="L2810" s="455">
        <f t="shared" ca="1" si="134"/>
        <v>-44270141488.825615</v>
      </c>
      <c r="M2810" s="471">
        <f t="shared" si="136"/>
        <v>0.05</v>
      </c>
      <c r="N2810" s="475">
        <f t="shared" si="137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35"/>
        <v>-44270141488.825615</v>
      </c>
      <c r="J2811" s="455">
        <f t="array" ref="J2811">IFERROR(INDEX('Retirement Calculator'!K:K,MATCH('Lorri 401b'!N2811,'Retirement Calculator'!A:A,0),0),0)</f>
        <v>0</v>
      </c>
      <c r="K2811" s="455">
        <f t="shared" ca="1" si="133"/>
        <v>-184458922.87010673</v>
      </c>
      <c r="L2811" s="455">
        <f t="shared" ca="1" si="134"/>
        <v>-44454600411.695724</v>
      </c>
      <c r="M2811" s="471">
        <f t="shared" si="136"/>
        <v>0.05</v>
      </c>
      <c r="N2811" s="475">
        <f t="shared" si="137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35"/>
        <v>-44454600411.695724</v>
      </c>
      <c r="J2812" s="455">
        <f t="array" ref="J2812">IFERROR(INDEX('Retirement Calculator'!K:K,MATCH('Lorri 401b'!N2812,'Retirement Calculator'!A:A,0),0),0)</f>
        <v>0</v>
      </c>
      <c r="K2812" s="455">
        <f t="shared" ca="1" si="133"/>
        <v>-185227501.71539885</v>
      </c>
      <c r="L2812" s="455">
        <f t="shared" ca="1" si="134"/>
        <v>-44639827913.411125</v>
      </c>
      <c r="M2812" s="471">
        <f t="shared" si="136"/>
        <v>0.05</v>
      </c>
      <c r="N2812" s="475">
        <f t="shared" si="137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35"/>
        <v>-44639827913.411125</v>
      </c>
      <c r="J2813" s="455">
        <f t="array" ref="J2813">IFERROR(INDEX('Retirement Calculator'!K:K,MATCH('Lorri 401b'!N2813,'Retirement Calculator'!A:A,0),0),0)</f>
        <v>0</v>
      </c>
      <c r="K2813" s="455">
        <f t="shared" ref="K2813:K3067" ca="1" si="138">IPMT(M2813/12,1,12,-I2813+J2813,,0)</f>
        <v>-185999282.97254634</v>
      </c>
      <c r="L2813" s="455">
        <f t="shared" ref="L2813:L3067" ca="1" si="139">I2813-J2813+K2813</f>
        <v>-44825827196.383675</v>
      </c>
      <c r="M2813" s="471">
        <f t="shared" si="136"/>
        <v>0.05</v>
      </c>
      <c r="N2813" s="475">
        <f t="shared" si="137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40">L2813</f>
        <v>-44825827196.383675</v>
      </c>
      <c r="J2814" s="455">
        <f t="array" ref="J2814">IFERROR(INDEX('Retirement Calculator'!K:K,MATCH('Lorri 401b'!N2814,'Retirement Calculator'!A:A,0),0),0)</f>
        <v>0</v>
      </c>
      <c r="K2814" s="455">
        <f t="shared" ca="1" si="138"/>
        <v>-186774279.98493198</v>
      </c>
      <c r="L2814" s="455">
        <f t="shared" ca="1" si="139"/>
        <v>-45012601476.368607</v>
      </c>
      <c r="M2814" s="471">
        <f t="shared" ref="M2814:M3068" si="141">M2813</f>
        <v>0.05</v>
      </c>
      <c r="N2814" s="475">
        <f t="shared" ref="N2814:N3068" si="142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40"/>
        <v>-45012601476.368607</v>
      </c>
      <c r="J2815" s="455">
        <f t="array" ref="J2815">IFERROR(INDEX('Retirement Calculator'!K:K,MATCH('Lorri 401b'!N2815,'Retirement Calculator'!A:A,0),0),0)</f>
        <v>0</v>
      </c>
      <c r="K2815" s="455">
        <f t="shared" ca="1" si="138"/>
        <v>-187552506.15153587</v>
      </c>
      <c r="L2815" s="455">
        <f t="shared" ca="1" si="139"/>
        <v>-45200153982.520142</v>
      </c>
      <c r="M2815" s="471">
        <f t="shared" si="141"/>
        <v>0.05</v>
      </c>
      <c r="N2815" s="475">
        <f t="shared" si="142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40"/>
        <v>-45200153982.520142</v>
      </c>
      <c r="J2816" s="455">
        <f t="array" ref="J2816">IFERROR(INDEX('Retirement Calculator'!K:K,MATCH('Lorri 401b'!N2816,'Retirement Calculator'!A:A,0),0),0)</f>
        <v>0</v>
      </c>
      <c r="K2816" s="455">
        <f t="shared" ca="1" si="138"/>
        <v>-188333974.92716727</v>
      </c>
      <c r="L2816" s="455">
        <f t="shared" ca="1" si="139"/>
        <v>-45388487957.447311</v>
      </c>
      <c r="M2816" s="471">
        <f t="shared" si="141"/>
        <v>0.05</v>
      </c>
      <c r="N2816" s="475">
        <f t="shared" si="142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40"/>
        <v>-45388487957.447311</v>
      </c>
      <c r="J2817" s="455">
        <f t="array" ref="J2817">IFERROR(INDEX('Retirement Calculator'!K:K,MATCH('Lorri 401b'!N2817,'Retirement Calculator'!A:A,0),0),0)</f>
        <v>0</v>
      </c>
      <c r="K2817" s="455">
        <f t="shared" ca="1" si="138"/>
        <v>-189118699.82269713</v>
      </c>
      <c r="L2817" s="455">
        <f t="shared" ca="1" si="139"/>
        <v>-45577606657.270012</v>
      </c>
      <c r="M2817" s="471">
        <f t="shared" si="141"/>
        <v>0.05</v>
      </c>
      <c r="N2817" s="475">
        <f t="shared" si="142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40"/>
        <v>-45577606657.270012</v>
      </c>
      <c r="J2818" s="455">
        <f t="array" ref="J2818">IFERROR(INDEX('Retirement Calculator'!K:K,MATCH('Lorri 401b'!N2818,'Retirement Calculator'!A:A,0),0),0)</f>
        <v>0</v>
      </c>
      <c r="K2818" s="455">
        <f t="shared" ca="1" si="138"/>
        <v>-189906694.40529171</v>
      </c>
      <c r="L2818" s="455">
        <f t="shared" ca="1" si="139"/>
        <v>-45767513351.675301</v>
      </c>
      <c r="M2818" s="471">
        <f t="shared" si="141"/>
        <v>0.05</v>
      </c>
      <c r="N2818" s="475">
        <f t="shared" si="142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40"/>
        <v>-45767513351.675301</v>
      </c>
      <c r="J2819" s="455">
        <f t="array" ref="J2819">IFERROR(INDEX('Retirement Calculator'!K:K,MATCH('Lorri 401b'!N2819,'Retirement Calculator'!A:A,0),0),0)</f>
        <v>0</v>
      </c>
      <c r="K2819" s="455">
        <f t="shared" ca="1" si="138"/>
        <v>-190697972.29864708</v>
      </c>
      <c r="L2819" s="455">
        <f t="shared" ca="1" si="139"/>
        <v>-45958211323.973946</v>
      </c>
      <c r="M2819" s="471">
        <f t="shared" si="141"/>
        <v>0.05</v>
      </c>
      <c r="N2819" s="475">
        <f t="shared" si="142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40"/>
        <v>-45958211323.973946</v>
      </c>
      <c r="J2820" s="455">
        <f t="array" ref="J2820">IFERROR(INDEX('Retirement Calculator'!K:K,MATCH('Lorri 401b'!N2820,'Retirement Calculator'!A:A,0),0),0)</f>
        <v>0</v>
      </c>
      <c r="K2820" s="455">
        <f t="shared" ca="1" si="138"/>
        <v>-191492547.18322477</v>
      </c>
      <c r="L2820" s="455">
        <f t="shared" ca="1" si="139"/>
        <v>-46149703871.157173</v>
      </c>
      <c r="M2820" s="471">
        <f t="shared" si="141"/>
        <v>0.05</v>
      </c>
      <c r="N2820" s="475">
        <f t="shared" si="142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40"/>
        <v>-46149703871.157173</v>
      </c>
      <c r="J2821" s="455">
        <f t="array" ref="J2821">IFERROR(INDEX('Retirement Calculator'!K:K,MATCH('Lorri 401b'!N2821,'Retirement Calculator'!A:A,0),0),0)</f>
        <v>0</v>
      </c>
      <c r="K2821" s="455">
        <f t="shared" ca="1" si="138"/>
        <v>-192290432.79648823</v>
      </c>
      <c r="L2821" s="455">
        <f t="shared" ca="1" si="139"/>
        <v>-46341994303.953659</v>
      </c>
      <c r="M2821" s="471">
        <f t="shared" si="141"/>
        <v>0.05</v>
      </c>
      <c r="N2821" s="475">
        <f t="shared" si="142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40"/>
        <v>-46341994303.953659</v>
      </c>
      <c r="J2822" s="455">
        <f t="array" ref="J2822">IFERROR(INDEX('Retirement Calculator'!K:K,MATCH('Lorri 401b'!N2822,'Retirement Calculator'!A:A,0),0),0)</f>
        <v>0</v>
      </c>
      <c r="K2822" s="455">
        <f t="shared" ca="1" si="138"/>
        <v>-193091642.93314025</v>
      </c>
      <c r="L2822" s="455">
        <f t="shared" ca="1" si="139"/>
        <v>-46535085946.886803</v>
      </c>
      <c r="M2822" s="471">
        <f t="shared" si="141"/>
        <v>0.05</v>
      </c>
      <c r="N2822" s="475">
        <f t="shared" si="142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40"/>
        <v>-46535085946.886803</v>
      </c>
      <c r="J2823" s="455">
        <f t="array" ref="J2823">IFERROR(INDEX('Retirement Calculator'!K:K,MATCH('Lorri 401b'!N2823,'Retirement Calculator'!A:A,0),0),0)</f>
        <v>0</v>
      </c>
      <c r="K2823" s="455">
        <f t="shared" ca="1" si="138"/>
        <v>-193896191.44536167</v>
      </c>
      <c r="L2823" s="455">
        <f t="shared" ca="1" si="139"/>
        <v>-46728982138.332161</v>
      </c>
      <c r="M2823" s="471">
        <f t="shared" si="141"/>
        <v>0.05</v>
      </c>
      <c r="N2823" s="475">
        <f t="shared" si="142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40"/>
        <v>-46728982138.332161</v>
      </c>
      <c r="J2824" s="455">
        <f t="array" ref="J2824">IFERROR(INDEX('Retirement Calculator'!K:K,MATCH('Lorri 401b'!N2824,'Retirement Calculator'!A:A,0),0),0)</f>
        <v>0</v>
      </c>
      <c r="K2824" s="455">
        <f t="shared" ca="1" si="138"/>
        <v>-194704092.24305066</v>
      </c>
      <c r="L2824" s="455">
        <f t="shared" ca="1" si="139"/>
        <v>-46923686230.575211</v>
      </c>
      <c r="M2824" s="471">
        <f t="shared" si="141"/>
        <v>0.05</v>
      </c>
      <c r="N2824" s="475">
        <f t="shared" si="142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40"/>
        <v>-46923686230.575211</v>
      </c>
      <c r="J2825" s="455">
        <f t="array" ref="J2825">IFERROR(INDEX('Retirement Calculator'!K:K,MATCH('Lorri 401b'!N2825,'Retirement Calculator'!A:A,0),0),0)</f>
        <v>0</v>
      </c>
      <c r="K2825" s="455">
        <f t="shared" ca="1" si="138"/>
        <v>-195515359.29406339</v>
      </c>
      <c r="L2825" s="455">
        <f t="shared" ca="1" si="139"/>
        <v>-47119201589.86927</v>
      </c>
      <c r="M2825" s="471">
        <f t="shared" si="141"/>
        <v>0.05</v>
      </c>
      <c r="N2825" s="475">
        <f t="shared" si="142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40"/>
        <v>-47119201589.86927</v>
      </c>
      <c r="J2826" s="455">
        <f t="array" ref="J2826">IFERROR(INDEX('Retirement Calculator'!K:K,MATCH('Lorri 401b'!N2826,'Retirement Calculator'!A:A,0),0),0)</f>
        <v>0</v>
      </c>
      <c r="K2826" s="455">
        <f t="shared" ca="1" si="138"/>
        <v>-196330006.6244553</v>
      </c>
      <c r="L2826" s="455">
        <f t="shared" ca="1" si="139"/>
        <v>-47315531596.493729</v>
      </c>
      <c r="M2826" s="471">
        <f t="shared" si="141"/>
        <v>0.05</v>
      </c>
      <c r="N2826" s="475">
        <f t="shared" si="142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40"/>
        <v>-47315531596.493729</v>
      </c>
      <c r="J2827" s="455">
        <f t="array" ref="J2827">IFERROR(INDEX('Retirement Calculator'!K:K,MATCH('Lorri 401b'!N2827,'Retirement Calculator'!A:A,0),0),0)</f>
        <v>0</v>
      </c>
      <c r="K2827" s="455">
        <f t="shared" ca="1" si="138"/>
        <v>-197148048.31872386</v>
      </c>
      <c r="L2827" s="455">
        <f t="shared" ca="1" si="139"/>
        <v>-47512679644.812454</v>
      </c>
      <c r="M2827" s="471">
        <f t="shared" si="141"/>
        <v>0.05</v>
      </c>
      <c r="N2827" s="475">
        <f t="shared" si="142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40"/>
        <v>-47512679644.812454</v>
      </c>
      <c r="J2828" s="455">
        <f t="array" ref="J2828">IFERROR(INDEX('Retirement Calculator'!K:K,MATCH('Lorri 401b'!N2828,'Retirement Calculator'!A:A,0),0),0)</f>
        <v>0</v>
      </c>
      <c r="K2828" s="455">
        <f t="shared" ca="1" si="138"/>
        <v>-197969498.5200519</v>
      </c>
      <c r="L2828" s="455">
        <f t="shared" ca="1" si="139"/>
        <v>-47710649143.332504</v>
      </c>
      <c r="M2828" s="471">
        <f t="shared" si="141"/>
        <v>0.05</v>
      </c>
      <c r="N2828" s="475">
        <f t="shared" si="142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40"/>
        <v>-47710649143.332504</v>
      </c>
      <c r="J2829" s="455">
        <f t="array" ref="J2829">IFERROR(INDEX('Retirement Calculator'!K:K,MATCH('Lorri 401b'!N2829,'Retirement Calculator'!A:A,0),0),0)</f>
        <v>0</v>
      </c>
      <c r="K2829" s="455">
        <f t="shared" ca="1" si="138"/>
        <v>-198794371.4305521</v>
      </c>
      <c r="L2829" s="455">
        <f t="shared" ca="1" si="139"/>
        <v>-47909443514.763054</v>
      </c>
      <c r="M2829" s="471">
        <f t="shared" si="141"/>
        <v>0.05</v>
      </c>
      <c r="N2829" s="475">
        <f t="shared" si="142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40"/>
        <v>-47909443514.763054</v>
      </c>
      <c r="J2830" s="455">
        <f t="array" ref="J2830">IFERROR(INDEX('Retirement Calculator'!K:K,MATCH('Lorri 401b'!N2830,'Retirement Calculator'!A:A,0),0),0)</f>
        <v>0</v>
      </c>
      <c r="K2830" s="455">
        <f t="shared" ca="1" si="138"/>
        <v>-199622681.31151271</v>
      </c>
      <c r="L2830" s="455">
        <f t="shared" ca="1" si="139"/>
        <v>-48109066196.07457</v>
      </c>
      <c r="M2830" s="471">
        <f t="shared" si="141"/>
        <v>0.05</v>
      </c>
      <c r="N2830" s="475">
        <f t="shared" si="142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40"/>
        <v>-48109066196.07457</v>
      </c>
      <c r="J2831" s="455">
        <f t="array" ref="J2831">IFERROR(INDEX('Retirement Calculator'!K:K,MATCH('Lorri 401b'!N2831,'Retirement Calculator'!A:A,0),0),0)</f>
        <v>0</v>
      </c>
      <c r="K2831" s="455">
        <f t="shared" ca="1" si="138"/>
        <v>-200454442.48364404</v>
      </c>
      <c r="L2831" s="455">
        <f t="shared" ca="1" si="139"/>
        <v>-48309520638.558212</v>
      </c>
      <c r="M2831" s="471">
        <f t="shared" si="141"/>
        <v>0.05</v>
      </c>
      <c r="N2831" s="475">
        <f t="shared" si="142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40"/>
        <v>-48309520638.558212</v>
      </c>
      <c r="J2832" s="455">
        <f t="array" ref="J2832">IFERROR(INDEX('Retirement Calculator'!K:K,MATCH('Lorri 401b'!N2832,'Retirement Calculator'!A:A,0),0),0)</f>
        <v>0</v>
      </c>
      <c r="K2832" s="455">
        <f t="shared" ca="1" si="138"/>
        <v>-201289669.32732588</v>
      </c>
      <c r="L2832" s="455">
        <f t="shared" ca="1" si="139"/>
        <v>-48510810307.885536</v>
      </c>
      <c r="M2832" s="471">
        <f t="shared" si="141"/>
        <v>0.05</v>
      </c>
      <c r="N2832" s="475">
        <f t="shared" si="142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40"/>
        <v>-48510810307.885536</v>
      </c>
      <c r="J2833" s="455">
        <f t="array" ref="J2833">IFERROR(INDEX('Retirement Calculator'!K:K,MATCH('Lorri 401b'!N2833,'Retirement Calculator'!A:A,0),0),0)</f>
        <v>0</v>
      </c>
      <c r="K2833" s="455">
        <f t="shared" ca="1" si="138"/>
        <v>-202128376.2828564</v>
      </c>
      <c r="L2833" s="455">
        <f t="shared" ca="1" si="139"/>
        <v>-48712938684.168396</v>
      </c>
      <c r="M2833" s="471">
        <f t="shared" si="141"/>
        <v>0.05</v>
      </c>
      <c r="N2833" s="475">
        <f t="shared" si="142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40"/>
        <v>-48712938684.168396</v>
      </c>
      <c r="J2834" s="455">
        <f t="array" ref="J2834">IFERROR(INDEX('Retirement Calculator'!K:K,MATCH('Lorri 401b'!N2834,'Retirement Calculator'!A:A,0),0),0)</f>
        <v>0</v>
      </c>
      <c r="K2834" s="455">
        <f t="shared" ca="1" si="138"/>
        <v>-202970577.85070166</v>
      </c>
      <c r="L2834" s="455">
        <f t="shared" ca="1" si="139"/>
        <v>-48915909262.019096</v>
      </c>
      <c r="M2834" s="471">
        <f t="shared" si="141"/>
        <v>0.05</v>
      </c>
      <c r="N2834" s="475">
        <f t="shared" si="142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40"/>
        <v>-48915909262.019096</v>
      </c>
      <c r="J2835" s="455">
        <f t="array" ref="J2835">IFERROR(INDEX('Retirement Calculator'!K:K,MATCH('Lorri 401b'!N2835,'Retirement Calculator'!A:A,0),0),0)</f>
        <v>0</v>
      </c>
      <c r="K2835" s="455">
        <f t="shared" ca="1" si="138"/>
        <v>-203816288.59174624</v>
      </c>
      <c r="L2835" s="455">
        <f t="shared" ca="1" si="139"/>
        <v>-49119725550.61084</v>
      </c>
      <c r="M2835" s="471">
        <f t="shared" si="141"/>
        <v>0.05</v>
      </c>
      <c r="N2835" s="475">
        <f t="shared" si="142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40"/>
        <v>-49119725550.61084</v>
      </c>
      <c r="J2836" s="455">
        <f t="array" ref="J2836">IFERROR(INDEX('Retirement Calculator'!K:K,MATCH('Lorri 401b'!N2836,'Retirement Calculator'!A:A,0),0),0)</f>
        <v>0</v>
      </c>
      <c r="K2836" s="455">
        <f t="shared" ca="1" si="138"/>
        <v>-204665523.12754518</v>
      </c>
      <c r="L2836" s="455">
        <f t="shared" ca="1" si="139"/>
        <v>-49324391073.738388</v>
      </c>
      <c r="M2836" s="471">
        <f t="shared" si="141"/>
        <v>0.05</v>
      </c>
      <c r="N2836" s="475">
        <f t="shared" si="142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40"/>
        <v>-49324391073.738388</v>
      </c>
      <c r="J2837" s="455">
        <f t="array" ref="J2837">IFERROR(INDEX('Retirement Calculator'!K:K,MATCH('Lorri 401b'!N2837,'Retirement Calculator'!A:A,0),0),0)</f>
        <v>0</v>
      </c>
      <c r="K2837" s="455">
        <f t="shared" ca="1" si="138"/>
        <v>-205518296.1405766</v>
      </c>
      <c r="L2837" s="455">
        <f t="shared" ca="1" si="139"/>
        <v>-49529909369.878967</v>
      </c>
      <c r="M2837" s="471">
        <f t="shared" si="141"/>
        <v>0.05</v>
      </c>
      <c r="N2837" s="475">
        <f t="shared" si="142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40"/>
        <v>-49529909369.878967</v>
      </c>
      <c r="J2838" s="455">
        <f t="array" ref="J2838">IFERROR(INDEX('Retirement Calculator'!K:K,MATCH('Lorri 401b'!N2838,'Retirement Calculator'!A:A,0),0),0)</f>
        <v>0</v>
      </c>
      <c r="K2838" s="455">
        <f t="shared" ca="1" si="138"/>
        <v>-206374622.37449569</v>
      </c>
      <c r="L2838" s="455">
        <f t="shared" ca="1" si="139"/>
        <v>-49736283992.253464</v>
      </c>
      <c r="M2838" s="471">
        <f t="shared" si="141"/>
        <v>0.05</v>
      </c>
      <c r="N2838" s="475">
        <f t="shared" si="142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40"/>
        <v>-49736283992.253464</v>
      </c>
      <c r="J2839" s="455">
        <f t="array" ref="J2839">IFERROR(INDEX('Retirement Calculator'!K:K,MATCH('Lorri 401b'!N2839,'Retirement Calculator'!A:A,0),0),0)</f>
        <v>0</v>
      </c>
      <c r="K2839" s="455">
        <f t="shared" ca="1" si="138"/>
        <v>-207234516.63438943</v>
      </c>
      <c r="L2839" s="455">
        <f t="shared" ca="1" si="139"/>
        <v>-49943518508.887856</v>
      </c>
      <c r="M2839" s="471">
        <f t="shared" si="141"/>
        <v>0.05</v>
      </c>
      <c r="N2839" s="475">
        <f t="shared" si="142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40"/>
        <v>-49943518508.887856</v>
      </c>
      <c r="J2840" s="455">
        <f t="array" ref="J2840">IFERROR(INDEX('Retirement Calculator'!K:K,MATCH('Lorri 401b'!N2840,'Retirement Calculator'!A:A,0),0),0)</f>
        <v>0</v>
      </c>
      <c r="K2840" s="455">
        <f t="shared" ca="1" si="138"/>
        <v>-208097993.78703272</v>
      </c>
      <c r="L2840" s="455">
        <f t="shared" ca="1" si="139"/>
        <v>-50151616502.674889</v>
      </c>
      <c r="M2840" s="471">
        <f t="shared" si="141"/>
        <v>0.05</v>
      </c>
      <c r="N2840" s="475">
        <f t="shared" si="142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40"/>
        <v>-50151616502.674889</v>
      </c>
      <c r="J2841" s="455">
        <f t="array" ref="J2841">IFERROR(INDEX('Retirement Calculator'!K:K,MATCH('Lorri 401b'!N2841,'Retirement Calculator'!A:A,0),0),0)</f>
        <v>0</v>
      </c>
      <c r="K2841" s="455">
        <f t="shared" ca="1" si="138"/>
        <v>-208965068.76114535</v>
      </c>
      <c r="L2841" s="455">
        <f t="shared" ca="1" si="139"/>
        <v>-50360581571.436035</v>
      </c>
      <c r="M2841" s="471">
        <f t="shared" si="141"/>
        <v>0.05</v>
      </c>
      <c r="N2841" s="475">
        <f t="shared" si="142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40"/>
        <v>-50360581571.436035</v>
      </c>
      <c r="J2842" s="455">
        <f t="array" ref="J2842">IFERROR(INDEX('Retirement Calculator'!K:K,MATCH('Lorri 401b'!N2842,'Retirement Calculator'!A:A,0),0),0)</f>
        <v>0</v>
      </c>
      <c r="K2842" s="455">
        <f t="shared" ca="1" si="138"/>
        <v>-209835756.54765016</v>
      </c>
      <c r="L2842" s="455">
        <f t="shared" ca="1" si="139"/>
        <v>-50570417327.983688</v>
      </c>
      <c r="M2842" s="471">
        <f t="shared" si="141"/>
        <v>0.05</v>
      </c>
      <c r="N2842" s="475">
        <f t="shared" si="142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40"/>
        <v>-50570417327.983688</v>
      </c>
      <c r="J2843" s="455">
        <f t="array" ref="J2843">IFERROR(INDEX('Retirement Calculator'!K:K,MATCH('Lorri 401b'!N2843,'Retirement Calculator'!A:A,0),0),0)</f>
        <v>0</v>
      </c>
      <c r="K2843" s="455">
        <f t="shared" ca="1" si="138"/>
        <v>-210710072.19993204</v>
      </c>
      <c r="L2843" s="455">
        <f t="shared" ca="1" si="139"/>
        <v>-50781127400.183617</v>
      </c>
      <c r="M2843" s="471">
        <f t="shared" si="141"/>
        <v>0.05</v>
      </c>
      <c r="N2843" s="475">
        <f t="shared" si="142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40"/>
        <v>-50781127400.183617</v>
      </c>
      <c r="J2844" s="455">
        <f t="array" ref="J2844">IFERROR(INDEX('Retirement Calculator'!K:K,MATCH('Lorri 401b'!N2844,'Retirement Calculator'!A:A,0),0),0)</f>
        <v>0</v>
      </c>
      <c r="K2844" s="455">
        <f t="shared" ca="1" si="138"/>
        <v>-211588030.8340984</v>
      </c>
      <c r="L2844" s="455">
        <f t="shared" ca="1" si="139"/>
        <v>-50992715431.017715</v>
      </c>
      <c r="M2844" s="471">
        <f t="shared" si="141"/>
        <v>0.05</v>
      </c>
      <c r="N2844" s="475">
        <f t="shared" si="142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40"/>
        <v>-50992715431.017715</v>
      </c>
      <c r="J2845" s="455">
        <f t="array" ref="J2845">IFERROR(INDEX('Retirement Calculator'!K:K,MATCH('Lorri 401b'!N2845,'Retirement Calculator'!A:A,0),0),0)</f>
        <v>0</v>
      </c>
      <c r="K2845" s="455">
        <f t="shared" ca="1" si="138"/>
        <v>-212469647.62924048</v>
      </c>
      <c r="L2845" s="455">
        <f t="shared" ca="1" si="139"/>
        <v>-51205185078.646957</v>
      </c>
      <c r="M2845" s="471">
        <f t="shared" si="141"/>
        <v>0.05</v>
      </c>
      <c r="N2845" s="475">
        <f t="shared" si="142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40"/>
        <v>-51205185078.646957</v>
      </c>
      <c r="J2846" s="455">
        <f t="array" ref="J2846">IFERROR(INDEX('Retirement Calculator'!K:K,MATCH('Lorri 401b'!N2846,'Retirement Calculator'!A:A,0),0),0)</f>
        <v>0</v>
      </c>
      <c r="K2846" s="455">
        <f t="shared" ca="1" si="138"/>
        <v>-213354937.82769567</v>
      </c>
      <c r="L2846" s="455">
        <f t="shared" ca="1" si="139"/>
        <v>-51418540016.474655</v>
      </c>
      <c r="M2846" s="471">
        <f t="shared" si="141"/>
        <v>0.05</v>
      </c>
      <c r="N2846" s="475">
        <f t="shared" si="142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40"/>
        <v>-51418540016.474655</v>
      </c>
      <c r="J2847" s="455">
        <f t="array" ref="J2847">IFERROR(INDEX('Retirement Calculator'!K:K,MATCH('Lorri 401b'!N2847,'Retirement Calculator'!A:A,0),0),0)</f>
        <v>0</v>
      </c>
      <c r="K2847" s="455">
        <f t="shared" ca="1" si="138"/>
        <v>-214243916.73531106</v>
      </c>
      <c r="L2847" s="455">
        <f t="shared" ca="1" si="139"/>
        <v>-51632783933.209969</v>
      </c>
      <c r="M2847" s="471">
        <f t="shared" si="141"/>
        <v>0.05</v>
      </c>
      <c r="N2847" s="475">
        <f t="shared" si="142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40"/>
        <v>-51632783933.209969</v>
      </c>
      <c r="J2848" s="455">
        <f t="array" ref="J2848">IFERROR(INDEX('Retirement Calculator'!K:K,MATCH('Lorri 401b'!N2848,'Retirement Calculator'!A:A,0),0),0)</f>
        <v>0</v>
      </c>
      <c r="K2848" s="455">
        <f t="shared" ca="1" si="138"/>
        <v>-215136599.72170821</v>
      </c>
      <c r="L2848" s="455">
        <f t="shared" ca="1" si="139"/>
        <v>-51847920532.931679</v>
      </c>
      <c r="M2848" s="471">
        <f t="shared" si="141"/>
        <v>0.05</v>
      </c>
      <c r="N2848" s="475">
        <f t="shared" si="142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40"/>
        <v>-51847920532.931679</v>
      </c>
      <c r="J2849" s="455">
        <f t="array" ref="J2849">IFERROR(INDEX('Retirement Calculator'!K:K,MATCH('Lorri 401b'!N2849,'Retirement Calculator'!A:A,0),0),0)</f>
        <v>0</v>
      </c>
      <c r="K2849" s="455">
        <f t="shared" ca="1" si="138"/>
        <v>-216033002.22054866</v>
      </c>
      <c r="L2849" s="455">
        <f t="shared" ca="1" si="139"/>
        <v>-52063953535.152229</v>
      </c>
      <c r="M2849" s="471">
        <f t="shared" si="141"/>
        <v>0.05</v>
      </c>
      <c r="N2849" s="475">
        <f t="shared" si="142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40"/>
        <v>-52063953535.152229</v>
      </c>
      <c r="J2850" s="455">
        <f t="array" ref="J2850">IFERROR(INDEX('Retirement Calculator'!K:K,MATCH('Lorri 401b'!N2850,'Retirement Calculator'!A:A,0),0),0)</f>
        <v>0</v>
      </c>
      <c r="K2850" s="455">
        <f t="shared" ca="1" si="138"/>
        <v>-216933139.72980094</v>
      </c>
      <c r="L2850" s="455">
        <f t="shared" ca="1" si="139"/>
        <v>-52280886674.882027</v>
      </c>
      <c r="M2850" s="471">
        <f t="shared" si="141"/>
        <v>0.05</v>
      </c>
      <c r="N2850" s="475">
        <f t="shared" si="142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40"/>
        <v>-52280886674.882027</v>
      </c>
      <c r="J2851" s="455">
        <f t="array" ref="J2851">IFERROR(INDEX('Retirement Calculator'!K:K,MATCH('Lorri 401b'!N2851,'Retirement Calculator'!A:A,0),0),0)</f>
        <v>0</v>
      </c>
      <c r="K2851" s="455">
        <f t="shared" ca="1" si="138"/>
        <v>-217837027.81200844</v>
      </c>
      <c r="L2851" s="455">
        <f t="shared" ca="1" si="139"/>
        <v>-52498723702.694038</v>
      </c>
      <c r="M2851" s="471">
        <f t="shared" si="141"/>
        <v>0.05</v>
      </c>
      <c r="N2851" s="475">
        <f t="shared" si="142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40"/>
        <v>-52498723702.694038</v>
      </c>
      <c r="J2852" s="455">
        <f t="array" ref="J2852">IFERROR(INDEX('Retirement Calculator'!K:K,MATCH('Lorri 401b'!N2852,'Retirement Calculator'!A:A,0),0),0)</f>
        <v>0</v>
      </c>
      <c r="K2852" s="455">
        <f t="shared" ca="1" si="138"/>
        <v>-218744682.09455848</v>
      </c>
      <c r="L2852" s="455">
        <f t="shared" ca="1" si="139"/>
        <v>-52717468384.788597</v>
      </c>
      <c r="M2852" s="471">
        <f t="shared" si="141"/>
        <v>0.05</v>
      </c>
      <c r="N2852" s="475">
        <f t="shared" si="142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40"/>
        <v>-52717468384.788597</v>
      </c>
      <c r="J2853" s="455">
        <f t="array" ref="J2853">IFERROR(INDEX('Retirement Calculator'!K:K,MATCH('Lorri 401b'!N2853,'Retirement Calculator'!A:A,0),0),0)</f>
        <v>0</v>
      </c>
      <c r="K2853" s="455">
        <f t="shared" ca="1" si="138"/>
        <v>-219656118.26995248</v>
      </c>
      <c r="L2853" s="455">
        <f t="shared" ca="1" si="139"/>
        <v>-52937124503.058548</v>
      </c>
      <c r="M2853" s="471">
        <f t="shared" si="141"/>
        <v>0.05</v>
      </c>
      <c r="N2853" s="475">
        <f t="shared" si="142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40"/>
        <v>-52937124503.058548</v>
      </c>
      <c r="J2854" s="455">
        <f t="array" ref="J2854">IFERROR(INDEX('Retirement Calculator'!K:K,MATCH('Lorri 401b'!N2854,'Retirement Calculator'!A:A,0),0),0)</f>
        <v>0</v>
      </c>
      <c r="K2854" s="455">
        <f t="shared" ca="1" si="138"/>
        <v>-220571352.09607729</v>
      </c>
      <c r="L2854" s="455">
        <f t="shared" ca="1" si="139"/>
        <v>-53157695855.154625</v>
      </c>
      <c r="M2854" s="471">
        <f t="shared" si="141"/>
        <v>0.05</v>
      </c>
      <c r="N2854" s="475">
        <f t="shared" si="142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40"/>
        <v>-53157695855.154625</v>
      </c>
      <c r="J2855" s="455">
        <f t="array" ref="J2855">IFERROR(INDEX('Retirement Calculator'!K:K,MATCH('Lorri 401b'!N2855,'Retirement Calculator'!A:A,0),0),0)</f>
        <v>0</v>
      </c>
      <c r="K2855" s="455">
        <f t="shared" ca="1" si="138"/>
        <v>-221490399.39647761</v>
      </c>
      <c r="L2855" s="455">
        <f t="shared" ca="1" si="139"/>
        <v>-53379186254.551102</v>
      </c>
      <c r="M2855" s="471">
        <f t="shared" si="141"/>
        <v>0.05</v>
      </c>
      <c r="N2855" s="475">
        <f t="shared" si="142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40"/>
        <v>-53379186254.551102</v>
      </c>
      <c r="J2856" s="455">
        <f t="array" ref="J2856">IFERROR(INDEX('Retirement Calculator'!K:K,MATCH('Lorri 401b'!N2856,'Retirement Calculator'!A:A,0),0),0)</f>
        <v>0</v>
      </c>
      <c r="K2856" s="455">
        <f t="shared" ca="1" si="138"/>
        <v>-222413276.06062958</v>
      </c>
      <c r="L2856" s="455">
        <f t="shared" ca="1" si="139"/>
        <v>-53601599530.611732</v>
      </c>
      <c r="M2856" s="471">
        <f t="shared" si="141"/>
        <v>0.05</v>
      </c>
      <c r="N2856" s="475">
        <f t="shared" si="142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40"/>
        <v>-53601599530.611732</v>
      </c>
      <c r="J2857" s="455">
        <f t="array" ref="J2857">IFERROR(INDEX('Retirement Calculator'!K:K,MATCH('Lorri 401b'!N2857,'Retirement Calculator'!A:A,0),0),0)</f>
        <v>0</v>
      </c>
      <c r="K2857" s="455">
        <f t="shared" ca="1" si="138"/>
        <v>-223339998.04421556</v>
      </c>
      <c r="L2857" s="455">
        <f t="shared" ca="1" si="139"/>
        <v>-53824939528.655945</v>
      </c>
      <c r="M2857" s="471">
        <f t="shared" si="141"/>
        <v>0.05</v>
      </c>
      <c r="N2857" s="475">
        <f t="shared" si="142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40"/>
        <v>-53824939528.655945</v>
      </c>
      <c r="J2858" s="455">
        <f t="array" ref="J2858">IFERROR(INDEX('Retirement Calculator'!K:K,MATCH('Lorri 401b'!N2858,'Retirement Calculator'!A:A,0),0),0)</f>
        <v>0</v>
      </c>
      <c r="K2858" s="455">
        <f t="shared" ca="1" si="138"/>
        <v>-224270581.36939976</v>
      </c>
      <c r="L2858" s="455">
        <f t="shared" ca="1" si="139"/>
        <v>-54049210110.025345</v>
      </c>
      <c r="M2858" s="471">
        <f t="shared" si="141"/>
        <v>0.05</v>
      </c>
      <c r="N2858" s="475">
        <f t="shared" si="142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40"/>
        <v>-54049210110.025345</v>
      </c>
      <c r="J2859" s="455">
        <f t="array" ref="J2859">IFERROR(INDEX('Retirement Calculator'!K:K,MATCH('Lorri 401b'!N2859,'Retirement Calculator'!A:A,0),0),0)</f>
        <v>0</v>
      </c>
      <c r="K2859" s="455">
        <f t="shared" ca="1" si="138"/>
        <v>-225205042.12510559</v>
      </c>
      <c r="L2859" s="455">
        <f t="shared" ca="1" si="139"/>
        <v>-54274415152.150452</v>
      </c>
      <c r="M2859" s="471">
        <f t="shared" si="141"/>
        <v>0.05</v>
      </c>
      <c r="N2859" s="475">
        <f t="shared" si="142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40"/>
        <v>-54274415152.150452</v>
      </c>
      <c r="J2860" s="455">
        <f t="array" ref="J2860">IFERROR(INDEX('Retirement Calculator'!K:K,MATCH('Lorri 401b'!N2860,'Retirement Calculator'!A:A,0),0),0)</f>
        <v>0</v>
      </c>
      <c r="K2860" s="455">
        <f t="shared" ca="1" si="138"/>
        <v>-226143396.46729353</v>
      </c>
      <c r="L2860" s="455">
        <f t="shared" ca="1" si="139"/>
        <v>-54500558548.617744</v>
      </c>
      <c r="M2860" s="471">
        <f t="shared" si="141"/>
        <v>0.05</v>
      </c>
      <c r="N2860" s="475">
        <f t="shared" si="142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40"/>
        <v>-54500558548.617744</v>
      </c>
      <c r="J2861" s="455">
        <f t="array" ref="J2861">IFERROR(INDEX('Retirement Calculator'!K:K,MATCH('Lorri 401b'!N2861,'Retirement Calculator'!A:A,0),0),0)</f>
        <v>0</v>
      </c>
      <c r="K2861" s="455">
        <f t="shared" ca="1" si="138"/>
        <v>-227085660.61924061</v>
      </c>
      <c r="L2861" s="455">
        <f t="shared" ca="1" si="139"/>
        <v>-54727644209.236984</v>
      </c>
      <c r="M2861" s="471">
        <f t="shared" si="141"/>
        <v>0.05</v>
      </c>
      <c r="N2861" s="475">
        <f t="shared" si="142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40"/>
        <v>-54727644209.236984</v>
      </c>
      <c r="J2862" s="455">
        <f t="array" ref="J2862">IFERROR(INDEX('Retirement Calculator'!K:K,MATCH('Lorri 401b'!N2862,'Retirement Calculator'!A:A,0),0),0)</f>
        <v>0</v>
      </c>
      <c r="K2862" s="455">
        <f t="shared" ca="1" si="138"/>
        <v>-228031850.87182078</v>
      </c>
      <c r="L2862" s="455">
        <f t="shared" ca="1" si="139"/>
        <v>-54955676060.108803</v>
      </c>
      <c r="M2862" s="471">
        <f t="shared" si="141"/>
        <v>0.05</v>
      </c>
      <c r="N2862" s="475">
        <f t="shared" si="142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40"/>
        <v>-54955676060.108803</v>
      </c>
      <c r="J2863" s="455">
        <f t="array" ref="J2863">IFERROR(INDEX('Retirement Calculator'!K:K,MATCH('Lorri 401b'!N2863,'Retirement Calculator'!A:A,0),0),0)</f>
        <v>0</v>
      </c>
      <c r="K2863" s="455">
        <f t="shared" ca="1" si="138"/>
        <v>-228981983.5837867</v>
      </c>
      <c r="L2863" s="455">
        <f t="shared" ca="1" si="139"/>
        <v>-55184658043.692589</v>
      </c>
      <c r="M2863" s="471">
        <f t="shared" si="141"/>
        <v>0.05</v>
      </c>
      <c r="N2863" s="475">
        <f t="shared" si="142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40"/>
        <v>-55184658043.692589</v>
      </c>
      <c r="J2864" s="455">
        <f t="array" ref="J2864">IFERROR(INDEX('Retirement Calculator'!K:K,MATCH('Lorri 401b'!N2864,'Retirement Calculator'!A:A,0),0),0)</f>
        <v>0</v>
      </c>
      <c r="K2864" s="455">
        <f t="shared" ca="1" si="138"/>
        <v>-229936075.18205246</v>
      </c>
      <c r="L2864" s="455">
        <f t="shared" ca="1" si="139"/>
        <v>-55414594118.874641</v>
      </c>
      <c r="M2864" s="471">
        <f t="shared" si="141"/>
        <v>0.05</v>
      </c>
      <c r="N2864" s="475">
        <f t="shared" si="142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40"/>
        <v>-55414594118.874641</v>
      </c>
      <c r="J2865" s="455">
        <f t="array" ref="J2865">IFERROR(INDEX('Retirement Calculator'!K:K,MATCH('Lorri 401b'!N2865,'Retirement Calculator'!A:A,0),0),0)</f>
        <v>0</v>
      </c>
      <c r="K2865" s="455">
        <f t="shared" ca="1" si="138"/>
        <v>-230894142.16197768</v>
      </c>
      <c r="L2865" s="455">
        <f t="shared" ca="1" si="139"/>
        <v>-55645488261.036621</v>
      </c>
      <c r="M2865" s="471">
        <f t="shared" si="141"/>
        <v>0.05</v>
      </c>
      <c r="N2865" s="475">
        <f t="shared" si="142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40"/>
        <v>-55645488261.036621</v>
      </c>
      <c r="J2866" s="455">
        <f t="array" ref="J2866">IFERROR(INDEX('Retirement Calculator'!K:K,MATCH('Lorri 401b'!N2866,'Retirement Calculator'!A:A,0),0),0)</f>
        <v>0</v>
      </c>
      <c r="K2866" s="455">
        <f t="shared" ca="1" si="138"/>
        <v>-231856201.08765259</v>
      </c>
      <c r="L2866" s="455">
        <f t="shared" ca="1" si="139"/>
        <v>-55877344462.124275</v>
      </c>
      <c r="M2866" s="471">
        <f t="shared" si="141"/>
        <v>0.05</v>
      </c>
      <c r="N2866" s="475">
        <f t="shared" si="142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40"/>
        <v>-55877344462.124275</v>
      </c>
      <c r="J2867" s="455">
        <f t="array" ref="J2867">IFERROR(INDEX('Retirement Calculator'!K:K,MATCH('Lorri 401b'!N2867,'Retirement Calculator'!A:A,0),0),0)</f>
        <v>0</v>
      </c>
      <c r="K2867" s="455">
        <f t="shared" ca="1" si="138"/>
        <v>-232822268.59218448</v>
      </c>
      <c r="L2867" s="455">
        <f t="shared" ca="1" si="139"/>
        <v>-56110166730.716461</v>
      </c>
      <c r="M2867" s="471">
        <f t="shared" si="141"/>
        <v>0.05</v>
      </c>
      <c r="N2867" s="475">
        <f t="shared" si="142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40"/>
        <v>-56110166730.716461</v>
      </c>
      <c r="J2868" s="455">
        <f t="array" ref="J2868">IFERROR(INDEX('Retirement Calculator'!K:K,MATCH('Lorri 401b'!N2868,'Retirement Calculator'!A:A,0),0),0)</f>
        <v>0</v>
      </c>
      <c r="K2868" s="455">
        <f t="shared" ca="1" si="138"/>
        <v>-233792361.37798524</v>
      </c>
      <c r="L2868" s="455">
        <f t="shared" ca="1" si="139"/>
        <v>-56343959092.094444</v>
      </c>
      <c r="M2868" s="471">
        <f t="shared" si="141"/>
        <v>0.05</v>
      </c>
      <c r="N2868" s="475">
        <f t="shared" si="142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40"/>
        <v>-56343959092.094444</v>
      </c>
      <c r="J2869" s="455">
        <f t="array" ref="J2869">IFERROR(INDEX('Retirement Calculator'!K:K,MATCH('Lorri 401b'!N2869,'Retirement Calculator'!A:A,0),0),0)</f>
        <v>0</v>
      </c>
      <c r="K2869" s="455">
        <f t="shared" ca="1" si="138"/>
        <v>-234766496.21706015</v>
      </c>
      <c r="L2869" s="455">
        <f t="shared" ca="1" si="139"/>
        <v>-56578725588.311508</v>
      </c>
      <c r="M2869" s="471">
        <f t="shared" si="141"/>
        <v>0.05</v>
      </c>
      <c r="N2869" s="475">
        <f t="shared" si="142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40"/>
        <v>-56578725588.311508</v>
      </c>
      <c r="J2870" s="455">
        <f t="array" ref="J2870">IFERROR(INDEX('Retirement Calculator'!K:K,MATCH('Lorri 401b'!N2870,'Retirement Calculator'!A:A,0),0),0)</f>
        <v>0</v>
      </c>
      <c r="K2870" s="455">
        <f t="shared" ca="1" si="138"/>
        <v>-235744689.95129794</v>
      </c>
      <c r="L2870" s="455">
        <f t="shared" ca="1" si="139"/>
        <v>-56814470278.26281</v>
      </c>
      <c r="M2870" s="471">
        <f t="shared" si="141"/>
        <v>0.05</v>
      </c>
      <c r="N2870" s="475">
        <f t="shared" si="142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40"/>
        <v>-56814470278.26281</v>
      </c>
      <c r="J2871" s="455">
        <f t="array" ref="J2871">IFERROR(INDEX('Retirement Calculator'!K:K,MATCH('Lorri 401b'!N2871,'Retirement Calculator'!A:A,0),0),0)</f>
        <v>0</v>
      </c>
      <c r="K2871" s="455">
        <f t="shared" ca="1" si="138"/>
        <v>-236726959.4927617</v>
      </c>
      <c r="L2871" s="455">
        <f t="shared" ca="1" si="139"/>
        <v>-57051197237.755569</v>
      </c>
      <c r="M2871" s="471">
        <f t="shared" si="141"/>
        <v>0.05</v>
      </c>
      <c r="N2871" s="475">
        <f t="shared" si="142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40"/>
        <v>-57051197237.755569</v>
      </c>
      <c r="J2872" s="455">
        <f t="array" ref="J2872">IFERROR(INDEX('Retirement Calculator'!K:K,MATCH('Lorri 401b'!N2872,'Retirement Calculator'!A:A,0),0),0)</f>
        <v>0</v>
      </c>
      <c r="K2872" s="455">
        <f t="shared" ca="1" si="138"/>
        <v>-237713321.82398152</v>
      </c>
      <c r="L2872" s="455">
        <f t="shared" ca="1" si="139"/>
        <v>-57288910559.579552</v>
      </c>
      <c r="M2872" s="471">
        <f t="shared" si="141"/>
        <v>0.05</v>
      </c>
      <c r="N2872" s="475">
        <f t="shared" si="142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40"/>
        <v>-57288910559.579552</v>
      </c>
      <c r="J2873" s="455">
        <f t="array" ref="J2873">IFERROR(INDEX('Retirement Calculator'!K:K,MATCH('Lorri 401b'!N2873,'Retirement Calculator'!A:A,0),0),0)</f>
        <v>0</v>
      </c>
      <c r="K2873" s="455">
        <f t="shared" ca="1" si="138"/>
        <v>-238703793.99824816</v>
      </c>
      <c r="L2873" s="455">
        <f t="shared" ca="1" si="139"/>
        <v>-57527614353.577797</v>
      </c>
      <c r="M2873" s="471">
        <f t="shared" si="141"/>
        <v>0.05</v>
      </c>
      <c r="N2873" s="475">
        <f t="shared" si="142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40"/>
        <v>-57527614353.577797</v>
      </c>
      <c r="J2874" s="455">
        <f t="array" ref="J2874">IFERROR(INDEX('Retirement Calculator'!K:K,MATCH('Lorri 401b'!N2874,'Retirement Calculator'!A:A,0),0),0)</f>
        <v>0</v>
      </c>
      <c r="K2874" s="455">
        <f t="shared" ca="1" si="138"/>
        <v>-239698393.13990748</v>
      </c>
      <c r="L2874" s="455">
        <f t="shared" ca="1" si="139"/>
        <v>-57767312746.717705</v>
      </c>
      <c r="M2874" s="471">
        <f t="shared" si="141"/>
        <v>0.05</v>
      </c>
      <c r="N2874" s="475">
        <f t="shared" si="142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40"/>
        <v>-57767312746.717705</v>
      </c>
      <c r="J2875" s="455">
        <f t="array" ref="J2875">IFERROR(INDEX('Retirement Calculator'!K:K,MATCH('Lorri 401b'!N2875,'Retirement Calculator'!A:A,0),0),0)</f>
        <v>0</v>
      </c>
      <c r="K2875" s="455">
        <f t="shared" ca="1" si="138"/>
        <v>-240697136.44465709</v>
      </c>
      <c r="L2875" s="455">
        <f t="shared" ca="1" si="139"/>
        <v>-58008009883.162361</v>
      </c>
      <c r="M2875" s="471">
        <f t="shared" si="141"/>
        <v>0.05</v>
      </c>
      <c r="N2875" s="475">
        <f t="shared" si="142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40"/>
        <v>-58008009883.162361</v>
      </c>
      <c r="J2876" s="455">
        <f t="array" ref="J2876">IFERROR(INDEX('Retirement Calculator'!K:K,MATCH('Lorri 401b'!N2876,'Retirement Calculator'!A:A,0),0),0)</f>
        <v>0</v>
      </c>
      <c r="K2876" s="455">
        <f t="shared" ca="1" si="138"/>
        <v>-241700041.17984319</v>
      </c>
      <c r="L2876" s="455">
        <f t="shared" ca="1" si="139"/>
        <v>-58249709924.342201</v>
      </c>
      <c r="M2876" s="471">
        <f t="shared" si="141"/>
        <v>0.05</v>
      </c>
      <c r="N2876" s="475">
        <f t="shared" si="142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40"/>
        <v>-58249709924.342201</v>
      </c>
      <c r="J2877" s="455">
        <f t="array" ref="J2877">IFERROR(INDEX('Retirement Calculator'!K:K,MATCH('Lorri 401b'!N2877,'Retirement Calculator'!A:A,0),0),0)</f>
        <v>0</v>
      </c>
      <c r="K2877" s="455">
        <f t="shared" ca="1" si="138"/>
        <v>-242707124.68475917</v>
      </c>
      <c r="L2877" s="455">
        <f t="shared" ca="1" si="139"/>
        <v>-58492417049.026962</v>
      </c>
      <c r="M2877" s="471">
        <f t="shared" si="141"/>
        <v>0.05</v>
      </c>
      <c r="N2877" s="475">
        <f t="shared" si="142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40"/>
        <v>-58492417049.026962</v>
      </c>
      <c r="J2878" s="455">
        <f t="array" ref="J2878">IFERROR(INDEX('Retirement Calculator'!K:K,MATCH('Lorri 401b'!N2878,'Retirement Calculator'!A:A,0),0),0)</f>
        <v>0</v>
      </c>
      <c r="K2878" s="455">
        <f t="shared" ca="1" si="138"/>
        <v>-243718404.37094563</v>
      </c>
      <c r="L2878" s="455">
        <f t="shared" ca="1" si="139"/>
        <v>-58736135453.397911</v>
      </c>
      <c r="M2878" s="471">
        <f t="shared" si="141"/>
        <v>0.05</v>
      </c>
      <c r="N2878" s="475">
        <f t="shared" si="142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40"/>
        <v>-58736135453.397911</v>
      </c>
      <c r="J2879" s="455">
        <f t="array" ref="J2879">IFERROR(INDEX('Retirement Calculator'!K:K,MATCH('Lorri 401b'!N2879,'Retirement Calculator'!A:A,0),0),0)</f>
        <v>0</v>
      </c>
      <c r="K2879" s="455">
        <f t="shared" ca="1" si="138"/>
        <v>-244733897.72249126</v>
      </c>
      <c r="L2879" s="455">
        <f t="shared" ca="1" si="139"/>
        <v>-58980869351.120399</v>
      </c>
      <c r="M2879" s="471">
        <f t="shared" si="141"/>
        <v>0.05</v>
      </c>
      <c r="N2879" s="475">
        <f t="shared" si="142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40"/>
        <v>-58980869351.120399</v>
      </c>
      <c r="J2880" s="455">
        <f t="array" ref="J2880">IFERROR(INDEX('Retirement Calculator'!K:K,MATCH('Lorri 401b'!N2880,'Retirement Calculator'!A:A,0),0),0)</f>
        <v>0</v>
      </c>
      <c r="K2880" s="455">
        <f t="shared" ca="1" si="138"/>
        <v>-245753622.29633495</v>
      </c>
      <c r="L2880" s="455">
        <f t="shared" ca="1" si="139"/>
        <v>-59226622973.416733</v>
      </c>
      <c r="M2880" s="471">
        <f t="shared" si="141"/>
        <v>0.05</v>
      </c>
      <c r="N2880" s="475">
        <f t="shared" si="142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40"/>
        <v>-59226622973.416733</v>
      </c>
      <c r="J2881" s="455">
        <f t="array" ref="J2881">IFERROR(INDEX('Retirement Calculator'!K:K,MATCH('Lorri 401b'!N2881,'Retirement Calculator'!A:A,0),0),0)</f>
        <v>0</v>
      </c>
      <c r="K2881" s="455">
        <f t="shared" ca="1" si="138"/>
        <v>-246777595.72256967</v>
      </c>
      <c r="L2881" s="455">
        <f t="shared" ca="1" si="139"/>
        <v>-59473400569.139305</v>
      </c>
      <c r="M2881" s="471">
        <f t="shared" si="141"/>
        <v>0.05</v>
      </c>
      <c r="N2881" s="475">
        <f t="shared" si="142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40"/>
        <v>-59473400569.139305</v>
      </c>
      <c r="J2882" s="455">
        <f t="array" ref="J2882">IFERROR(INDEX('Retirement Calculator'!K:K,MATCH('Lorri 401b'!N2882,'Retirement Calculator'!A:A,0),0),0)</f>
        <v>0</v>
      </c>
      <c r="K2882" s="455">
        <f t="shared" ca="1" si="138"/>
        <v>-247805835.70474711</v>
      </c>
      <c r="L2882" s="455">
        <f t="shared" ca="1" si="139"/>
        <v>-59721206404.844055</v>
      </c>
      <c r="M2882" s="471">
        <f t="shared" si="141"/>
        <v>0.05</v>
      </c>
      <c r="N2882" s="475">
        <f t="shared" si="142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40"/>
        <v>-59721206404.844055</v>
      </c>
      <c r="J2883" s="455">
        <f t="array" ref="J2883">IFERROR(INDEX('Retirement Calculator'!K:K,MATCH('Lorri 401b'!N2883,'Retirement Calculator'!A:A,0),0),0)</f>
        <v>0</v>
      </c>
      <c r="K2883" s="455">
        <f t="shared" ca="1" si="138"/>
        <v>-248838360.02018356</v>
      </c>
      <c r="L2883" s="455">
        <f t="shared" ca="1" si="139"/>
        <v>-59970044764.864243</v>
      </c>
      <c r="M2883" s="471">
        <f t="shared" si="141"/>
        <v>0.05</v>
      </c>
      <c r="N2883" s="475">
        <f t="shared" si="142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40"/>
        <v>-59970044764.864243</v>
      </c>
      <c r="J2884" s="455">
        <f t="array" ref="J2884">IFERROR(INDEX('Retirement Calculator'!K:K,MATCH('Lorri 401b'!N2884,'Retirement Calculator'!A:A,0),0),0)</f>
        <v>0</v>
      </c>
      <c r="K2884" s="455">
        <f t="shared" ca="1" si="138"/>
        <v>-249875186.52026767</v>
      </c>
      <c r="L2884" s="455">
        <f t="shared" ca="1" si="139"/>
        <v>-60219919951.384514</v>
      </c>
      <c r="M2884" s="471">
        <f t="shared" si="141"/>
        <v>0.05</v>
      </c>
      <c r="N2884" s="475">
        <f t="shared" si="142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40"/>
        <v>-60219919951.384514</v>
      </c>
      <c r="J2885" s="455">
        <f t="array" ref="J2885">IFERROR(INDEX('Retirement Calculator'!K:K,MATCH('Lorri 401b'!N2885,'Retirement Calculator'!A:A,0),0),0)</f>
        <v>0</v>
      </c>
      <c r="K2885" s="455">
        <f t="shared" ca="1" si="138"/>
        <v>-250916333.13076881</v>
      </c>
      <c r="L2885" s="455">
        <f t="shared" ca="1" si="139"/>
        <v>-60470836284.515282</v>
      </c>
      <c r="M2885" s="471">
        <f t="shared" si="141"/>
        <v>0.05</v>
      </c>
      <c r="N2885" s="475">
        <f t="shared" si="142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40"/>
        <v>-60470836284.515282</v>
      </c>
      <c r="J2886" s="455">
        <f t="array" ref="J2886">IFERROR(INDEX('Retirement Calculator'!K:K,MATCH('Lorri 401b'!N2886,'Retirement Calculator'!A:A,0),0),0)</f>
        <v>0</v>
      </c>
      <c r="K2886" s="455">
        <f t="shared" ca="1" si="138"/>
        <v>-251961817.85214698</v>
      </c>
      <c r="L2886" s="455">
        <f t="shared" ca="1" si="139"/>
        <v>-60722798102.367432</v>
      </c>
      <c r="M2886" s="471">
        <f t="shared" si="141"/>
        <v>0.05</v>
      </c>
      <c r="N2886" s="475">
        <f t="shared" si="142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40"/>
        <v>-60722798102.367432</v>
      </c>
      <c r="J2887" s="455">
        <f t="array" ref="J2887">IFERROR(INDEX('Retirement Calculator'!K:K,MATCH('Lorri 401b'!N2887,'Retirement Calculator'!A:A,0),0),0)</f>
        <v>0</v>
      </c>
      <c r="K2887" s="455">
        <f t="shared" ca="1" si="138"/>
        <v>-253011658.7598643</v>
      </c>
      <c r="L2887" s="455">
        <f t="shared" ca="1" si="139"/>
        <v>-60975809761.127296</v>
      </c>
      <c r="M2887" s="471">
        <f t="shared" si="141"/>
        <v>0.05</v>
      </c>
      <c r="N2887" s="475">
        <f t="shared" si="142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40"/>
        <v>-60975809761.127296</v>
      </c>
      <c r="J2888" s="455">
        <f t="array" ref="J2888">IFERROR(INDEX('Retirement Calculator'!K:K,MATCH('Lorri 401b'!N2888,'Retirement Calculator'!A:A,0),0),0)</f>
        <v>0</v>
      </c>
      <c r="K2888" s="455">
        <f t="shared" ca="1" si="138"/>
        <v>-254065874.00469705</v>
      </c>
      <c r="L2888" s="455">
        <f t="shared" ca="1" si="139"/>
        <v>-61229875635.131996</v>
      </c>
      <c r="M2888" s="471">
        <f t="shared" si="141"/>
        <v>0.05</v>
      </c>
      <c r="N2888" s="475">
        <f t="shared" si="142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40"/>
        <v>-61229875635.131996</v>
      </c>
      <c r="J2889" s="455">
        <f t="array" ref="J2889">IFERROR(INDEX('Retirement Calculator'!K:K,MATCH('Lorri 401b'!N2889,'Retirement Calculator'!A:A,0),0),0)</f>
        <v>0</v>
      </c>
      <c r="K2889" s="455">
        <f t="shared" ca="1" si="138"/>
        <v>-255124481.81304997</v>
      </c>
      <c r="L2889" s="455">
        <f t="shared" ca="1" si="139"/>
        <v>-61485000116.945045</v>
      </c>
      <c r="M2889" s="471">
        <f t="shared" si="141"/>
        <v>0.05</v>
      </c>
      <c r="N2889" s="475">
        <f t="shared" si="142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40"/>
        <v>-61485000116.945045</v>
      </c>
      <c r="J2890" s="455">
        <f t="array" ref="J2890">IFERROR(INDEX('Retirement Calculator'!K:K,MATCH('Lorri 401b'!N2890,'Retirement Calculator'!A:A,0),0),0)</f>
        <v>0</v>
      </c>
      <c r="K2890" s="455">
        <f t="shared" ca="1" si="138"/>
        <v>-256187500.48727101</v>
      </c>
      <c r="L2890" s="455">
        <f t="shared" ca="1" si="139"/>
        <v>-61741187617.43232</v>
      </c>
      <c r="M2890" s="471">
        <f t="shared" si="141"/>
        <v>0.05</v>
      </c>
      <c r="N2890" s="475">
        <f t="shared" si="142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40"/>
        <v>-61741187617.43232</v>
      </c>
      <c r="J2891" s="455">
        <f t="array" ref="J2891">IFERROR(INDEX('Retirement Calculator'!K:K,MATCH('Lorri 401b'!N2891,'Retirement Calculator'!A:A,0),0),0)</f>
        <v>0</v>
      </c>
      <c r="K2891" s="455">
        <f t="shared" ca="1" si="138"/>
        <v>-257254948.40596795</v>
      </c>
      <c r="L2891" s="455">
        <f t="shared" ca="1" si="139"/>
        <v>-61998442565.838287</v>
      </c>
      <c r="M2891" s="471">
        <f t="shared" si="141"/>
        <v>0.05</v>
      </c>
      <c r="N2891" s="475">
        <f t="shared" si="142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40"/>
        <v>-61998442565.838287</v>
      </c>
      <c r="J2892" s="455">
        <f t="array" ref="J2892">IFERROR(INDEX('Retirement Calculator'!K:K,MATCH('Lorri 401b'!N2892,'Retirement Calculator'!A:A,0),0),0)</f>
        <v>0</v>
      </c>
      <c r="K2892" s="455">
        <f t="shared" ca="1" si="138"/>
        <v>-258326844.02432624</v>
      </c>
      <c r="L2892" s="455">
        <f t="shared" ca="1" si="139"/>
        <v>-62256769409.86261</v>
      </c>
      <c r="M2892" s="471">
        <f t="shared" si="141"/>
        <v>0.05</v>
      </c>
      <c r="N2892" s="475">
        <f t="shared" si="142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40"/>
        <v>-62256769409.86261</v>
      </c>
      <c r="J2893" s="455">
        <f t="array" ref="J2893">IFERROR(INDEX('Retirement Calculator'!K:K,MATCH('Lorri 401b'!N2893,'Retirement Calculator'!A:A,0),0),0)</f>
        <v>0</v>
      </c>
      <c r="K2893" s="455">
        <f t="shared" ca="1" si="138"/>
        <v>-259403205.87442753</v>
      </c>
      <c r="L2893" s="455">
        <f t="shared" ca="1" si="139"/>
        <v>-62516172615.737038</v>
      </c>
      <c r="M2893" s="471">
        <f t="shared" si="141"/>
        <v>0.05</v>
      </c>
      <c r="N2893" s="475">
        <f t="shared" si="142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40"/>
        <v>-62516172615.737038</v>
      </c>
      <c r="J2894" s="455">
        <f t="array" ref="J2894">IFERROR(INDEX('Retirement Calculator'!K:K,MATCH('Lorri 401b'!N2894,'Retirement Calculator'!A:A,0),0),0)</f>
        <v>0</v>
      </c>
      <c r="K2894" s="455">
        <f t="shared" ca="1" si="138"/>
        <v>-260484052.56557098</v>
      </c>
      <c r="L2894" s="455">
        <f t="shared" ca="1" si="139"/>
        <v>-62776656668.302612</v>
      </c>
      <c r="M2894" s="471">
        <f t="shared" si="141"/>
        <v>0.05</v>
      </c>
      <c r="N2894" s="475">
        <f t="shared" si="142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40"/>
        <v>-62776656668.302612</v>
      </c>
      <c r="J2895" s="455">
        <f t="array" ref="J2895">IFERROR(INDEX('Retirement Calculator'!K:K,MATCH('Lorri 401b'!N2895,'Retirement Calculator'!A:A,0),0),0)</f>
        <v>0</v>
      </c>
      <c r="K2895" s="455">
        <f t="shared" ca="1" si="138"/>
        <v>-261569402.78459421</v>
      </c>
      <c r="L2895" s="455">
        <f t="shared" ca="1" si="139"/>
        <v>-63038226071.087204</v>
      </c>
      <c r="M2895" s="471">
        <f t="shared" si="141"/>
        <v>0.05</v>
      </c>
      <c r="N2895" s="475">
        <f t="shared" si="142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40"/>
        <v>-63038226071.087204</v>
      </c>
      <c r="J2896" s="455">
        <f t="array" ref="J2896">IFERROR(INDEX('Retirement Calculator'!K:K,MATCH('Lorri 401b'!N2896,'Retirement Calculator'!A:A,0),0),0)</f>
        <v>0</v>
      </c>
      <c r="K2896" s="455">
        <f t="shared" ca="1" si="138"/>
        <v>-262659275.29619667</v>
      </c>
      <c r="L2896" s="455">
        <f t="shared" ca="1" si="139"/>
        <v>-63300885346.3834</v>
      </c>
      <c r="M2896" s="471">
        <f t="shared" si="141"/>
        <v>0.05</v>
      </c>
      <c r="N2896" s="475">
        <f t="shared" si="142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40"/>
        <v>-63300885346.3834</v>
      </c>
      <c r="J2897" s="455">
        <f t="array" ref="J2897">IFERROR(INDEX('Retirement Calculator'!K:K,MATCH('Lorri 401b'!N2897,'Retirement Calculator'!A:A,0),0),0)</f>
        <v>0</v>
      </c>
      <c r="K2897" s="455">
        <f t="shared" ca="1" si="138"/>
        <v>-263753688.94326416</v>
      </c>
      <c r="L2897" s="455">
        <f t="shared" ca="1" si="139"/>
        <v>-63564639035.326668</v>
      </c>
      <c r="M2897" s="471">
        <f t="shared" si="141"/>
        <v>0.05</v>
      </c>
      <c r="N2897" s="475">
        <f t="shared" si="142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40"/>
        <v>-63564639035.326668</v>
      </c>
      <c r="J2898" s="455">
        <f t="array" ref="J2898">IFERROR(INDEX('Retirement Calculator'!K:K,MATCH('Lorri 401b'!N2898,'Retirement Calculator'!A:A,0),0),0)</f>
        <v>0</v>
      </c>
      <c r="K2898" s="455">
        <f t="shared" ca="1" si="138"/>
        <v>-264852662.64719445</v>
      </c>
      <c r="L2898" s="455">
        <f t="shared" ca="1" si="139"/>
        <v>-63829491697.973862</v>
      </c>
      <c r="M2898" s="471">
        <f t="shared" si="141"/>
        <v>0.05</v>
      </c>
      <c r="N2898" s="475">
        <f t="shared" si="142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40"/>
        <v>-63829491697.973862</v>
      </c>
      <c r="J2899" s="455">
        <f t="array" ref="J2899">IFERROR(INDEX('Retirement Calculator'!K:K,MATCH('Lorri 401b'!N2899,'Retirement Calculator'!A:A,0),0),0)</f>
        <v>0</v>
      </c>
      <c r="K2899" s="455">
        <f t="shared" ca="1" si="138"/>
        <v>-265956215.40822443</v>
      </c>
      <c r="L2899" s="455">
        <f t="shared" ca="1" si="139"/>
        <v>-64095447913.382088</v>
      </c>
      <c r="M2899" s="471">
        <f t="shared" si="141"/>
        <v>0.05</v>
      </c>
      <c r="N2899" s="475">
        <f t="shared" si="142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40"/>
        <v>-64095447913.382088</v>
      </c>
      <c r="J2900" s="455">
        <f t="array" ref="J2900">IFERROR(INDEX('Retirement Calculator'!K:K,MATCH('Lorri 401b'!N2900,'Retirement Calculator'!A:A,0),0),0)</f>
        <v>0</v>
      </c>
      <c r="K2900" s="455">
        <f t="shared" ca="1" si="138"/>
        <v>-267064366.30575868</v>
      </c>
      <c r="L2900" s="455">
        <f t="shared" ca="1" si="139"/>
        <v>-64362512279.687843</v>
      </c>
      <c r="M2900" s="471">
        <f t="shared" si="141"/>
        <v>0.05</v>
      </c>
      <c r="N2900" s="475">
        <f t="shared" si="142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40"/>
        <v>-64362512279.687843</v>
      </c>
      <c r="J2901" s="455">
        <f t="array" ref="J2901">IFERROR(INDEX('Retirement Calculator'!K:K,MATCH('Lorri 401b'!N2901,'Retirement Calculator'!A:A,0),0),0)</f>
        <v>0</v>
      </c>
      <c r="K2901" s="455">
        <f t="shared" ca="1" si="138"/>
        <v>-268177134.49869931</v>
      </c>
      <c r="L2901" s="455">
        <f t="shared" ca="1" si="139"/>
        <v>-64630689414.186546</v>
      </c>
      <c r="M2901" s="471">
        <f t="shared" si="141"/>
        <v>0.05</v>
      </c>
      <c r="N2901" s="475">
        <f t="shared" si="142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40"/>
        <v>-64630689414.186546</v>
      </c>
      <c r="J2902" s="455">
        <f t="array" ref="J2902">IFERROR(INDEX('Retirement Calculator'!K:K,MATCH('Lorri 401b'!N2902,'Retirement Calculator'!A:A,0),0),0)</f>
        <v>0</v>
      </c>
      <c r="K2902" s="455">
        <f t="shared" ca="1" si="138"/>
        <v>-269294539.22577727</v>
      </c>
      <c r="L2902" s="455">
        <f t="shared" ca="1" si="139"/>
        <v>-64899983953.412323</v>
      </c>
      <c r="M2902" s="471">
        <f t="shared" si="141"/>
        <v>0.05</v>
      </c>
      <c r="N2902" s="475">
        <f t="shared" si="142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40"/>
        <v>-64899983953.412323</v>
      </c>
      <c r="J2903" s="455">
        <f t="array" ref="J2903">IFERROR(INDEX('Retirement Calculator'!K:K,MATCH('Lorri 401b'!N2903,'Retirement Calculator'!A:A,0),0),0)</f>
        <v>0</v>
      </c>
      <c r="K2903" s="455">
        <f t="shared" ca="1" si="138"/>
        <v>-270416599.80588466</v>
      </c>
      <c r="L2903" s="455">
        <f t="shared" ca="1" si="139"/>
        <v>-65170400553.218208</v>
      </c>
      <c r="M2903" s="471">
        <f t="shared" si="141"/>
        <v>0.05</v>
      </c>
      <c r="N2903" s="475">
        <f t="shared" si="142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40"/>
        <v>-65170400553.218208</v>
      </c>
      <c r="J2904" s="455">
        <f t="array" ref="J2904">IFERROR(INDEX('Retirement Calculator'!K:K,MATCH('Lorri 401b'!N2904,'Retirement Calculator'!A:A,0),0),0)</f>
        <v>0</v>
      </c>
      <c r="K2904" s="455">
        <f t="shared" ca="1" si="138"/>
        <v>-271543335.63840926</v>
      </c>
      <c r="L2904" s="455">
        <f t="shared" ca="1" si="139"/>
        <v>-65441943888.856621</v>
      </c>
      <c r="M2904" s="471">
        <f t="shared" si="141"/>
        <v>0.05</v>
      </c>
      <c r="N2904" s="475">
        <f t="shared" si="142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40"/>
        <v>-65441943888.856621</v>
      </c>
      <c r="J2905" s="455">
        <f t="array" ref="J2905">IFERROR(INDEX('Retirement Calculator'!K:K,MATCH('Lorri 401b'!N2905,'Retirement Calculator'!A:A,0),0),0)</f>
        <v>0</v>
      </c>
      <c r="K2905" s="455">
        <f t="shared" ca="1" si="138"/>
        <v>-272674766.20356929</v>
      </c>
      <c r="L2905" s="455">
        <f t="shared" ca="1" si="139"/>
        <v>-65714618655.060188</v>
      </c>
      <c r="M2905" s="471">
        <f t="shared" si="141"/>
        <v>0.05</v>
      </c>
      <c r="N2905" s="475">
        <f t="shared" si="142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40"/>
        <v>-65714618655.060188</v>
      </c>
      <c r="J2906" s="455">
        <f t="array" ref="J2906">IFERROR(INDEX('Retirement Calculator'!K:K,MATCH('Lorri 401b'!N2906,'Retirement Calculator'!A:A,0),0),0)</f>
        <v>0</v>
      </c>
      <c r="K2906" s="455">
        <f t="shared" ca="1" si="138"/>
        <v>-273810911.06275076</v>
      </c>
      <c r="L2906" s="455">
        <f t="shared" ca="1" si="139"/>
        <v>-65988429566.12294</v>
      </c>
      <c r="M2906" s="471">
        <f t="shared" si="141"/>
        <v>0.05</v>
      </c>
      <c r="N2906" s="475">
        <f t="shared" si="142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40"/>
        <v>-65988429566.12294</v>
      </c>
      <c r="J2907" s="455">
        <f t="array" ref="J2907">IFERROR(INDEX('Retirement Calculator'!K:K,MATCH('Lorri 401b'!N2907,'Retirement Calculator'!A:A,0),0),0)</f>
        <v>0</v>
      </c>
      <c r="K2907" s="455">
        <f t="shared" ca="1" si="138"/>
        <v>-274951789.85884559</v>
      </c>
      <c r="L2907" s="455">
        <f t="shared" ca="1" si="139"/>
        <v>-66263381355.981789</v>
      </c>
      <c r="M2907" s="471">
        <f t="shared" si="141"/>
        <v>0.05</v>
      </c>
      <c r="N2907" s="475">
        <f t="shared" si="142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40"/>
        <v>-66263381355.981789</v>
      </c>
      <c r="J2908" s="455">
        <f t="array" ref="J2908">IFERROR(INDEX('Retirement Calculator'!K:K,MATCH('Lorri 401b'!N2908,'Retirement Calculator'!A:A,0),0),0)</f>
        <v>0</v>
      </c>
      <c r="K2908" s="455">
        <f t="shared" ca="1" si="138"/>
        <v>-276097422.31659073</v>
      </c>
      <c r="L2908" s="455">
        <f t="shared" ca="1" si="139"/>
        <v>-66539478778.298378</v>
      </c>
      <c r="M2908" s="471">
        <f t="shared" si="141"/>
        <v>0.05</v>
      </c>
      <c r="N2908" s="475">
        <f t="shared" si="142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40"/>
        <v>-66539478778.298378</v>
      </c>
      <c r="J2909" s="455">
        <f t="array" ref="J2909">IFERROR(INDEX('Retirement Calculator'!K:K,MATCH('Lorri 401b'!N2909,'Retirement Calculator'!A:A,0),0),0)</f>
        <v>0</v>
      </c>
      <c r="K2909" s="455">
        <f t="shared" ca="1" si="138"/>
        <v>-277247828.24290991</v>
      </c>
      <c r="L2909" s="455">
        <f t="shared" ca="1" si="139"/>
        <v>-66816726606.54129</v>
      </c>
      <c r="M2909" s="471">
        <f t="shared" si="141"/>
        <v>0.05</v>
      </c>
      <c r="N2909" s="475">
        <f t="shared" si="142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40"/>
        <v>-66816726606.54129</v>
      </c>
      <c r="J2910" s="455">
        <f t="array" ref="J2910">IFERROR(INDEX('Retirement Calculator'!K:K,MATCH('Lorri 401b'!N2910,'Retirement Calculator'!A:A,0),0),0)</f>
        <v>0</v>
      </c>
      <c r="K2910" s="455">
        <f t="shared" ca="1" si="138"/>
        <v>-278403027.52725536</v>
      </c>
      <c r="L2910" s="455">
        <f t="shared" ca="1" si="139"/>
        <v>-67095129634.068542</v>
      </c>
      <c r="M2910" s="471">
        <f t="shared" si="141"/>
        <v>0.05</v>
      </c>
      <c r="N2910" s="475">
        <f t="shared" si="142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40"/>
        <v>-67095129634.068542</v>
      </c>
      <c r="J2911" s="455">
        <f t="array" ref="J2911">IFERROR(INDEX('Retirement Calculator'!K:K,MATCH('Lorri 401b'!N2911,'Retirement Calculator'!A:A,0),0),0)</f>
        <v>0</v>
      </c>
      <c r="K2911" s="455">
        <f t="shared" ca="1" si="138"/>
        <v>-279563040.14195228</v>
      </c>
      <c r="L2911" s="455">
        <f t="shared" ca="1" si="139"/>
        <v>-67374692674.210495</v>
      </c>
      <c r="M2911" s="471">
        <f t="shared" si="141"/>
        <v>0.05</v>
      </c>
      <c r="N2911" s="475">
        <f t="shared" si="142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40"/>
        <v>-67374692674.210495</v>
      </c>
      <c r="J2912" s="455">
        <f t="array" ref="J2912">IFERROR(INDEX('Retirement Calculator'!K:K,MATCH('Lorri 401b'!N2912,'Retirement Calculator'!A:A,0),0),0)</f>
        <v>0</v>
      </c>
      <c r="K2912" s="455">
        <f t="shared" ca="1" si="138"/>
        <v>-280727886.14254367</v>
      </c>
      <c r="L2912" s="455">
        <f t="shared" ca="1" si="139"/>
        <v>-67655420560.353035</v>
      </c>
      <c r="M2912" s="471">
        <f t="shared" si="141"/>
        <v>0.05</v>
      </c>
      <c r="N2912" s="475">
        <f t="shared" si="142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40"/>
        <v>-67655420560.353035</v>
      </c>
      <c r="J2913" s="455">
        <f t="array" ref="J2913">IFERROR(INDEX('Retirement Calculator'!K:K,MATCH('Lorri 401b'!N2913,'Retirement Calculator'!A:A,0),0),0)</f>
        <v>0</v>
      </c>
      <c r="K2913" s="455">
        <f t="shared" ca="1" si="138"/>
        <v>-281897585.66813767</v>
      </c>
      <c r="L2913" s="455">
        <f t="shared" ca="1" si="139"/>
        <v>-67937318146.021172</v>
      </c>
      <c r="M2913" s="471">
        <f t="shared" si="141"/>
        <v>0.05</v>
      </c>
      <c r="N2913" s="475">
        <f t="shared" si="142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40"/>
        <v>-67937318146.021172</v>
      </c>
      <c r="J2914" s="455">
        <f t="array" ref="J2914">IFERROR(INDEX('Retirement Calculator'!K:K,MATCH('Lorri 401b'!N2914,'Retirement Calculator'!A:A,0),0),0)</f>
        <v>0</v>
      </c>
      <c r="K2914" s="455">
        <f t="shared" ca="1" si="138"/>
        <v>-283072158.94175488</v>
      </c>
      <c r="L2914" s="455">
        <f t="shared" ca="1" si="139"/>
        <v>-68220390304.962929</v>
      </c>
      <c r="M2914" s="471">
        <f t="shared" si="141"/>
        <v>0.05</v>
      </c>
      <c r="N2914" s="475">
        <f t="shared" si="142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40"/>
        <v>-68220390304.962929</v>
      </c>
      <c r="J2915" s="455">
        <f t="array" ref="J2915">IFERROR(INDEX('Retirement Calculator'!K:K,MATCH('Lorri 401b'!N2915,'Retirement Calculator'!A:A,0),0),0)</f>
        <v>0</v>
      </c>
      <c r="K2915" s="455">
        <f t="shared" ca="1" si="138"/>
        <v>-284251626.27067888</v>
      </c>
      <c r="L2915" s="455">
        <f t="shared" ca="1" si="139"/>
        <v>-68504641931.233604</v>
      </c>
      <c r="M2915" s="471">
        <f t="shared" si="141"/>
        <v>0.05</v>
      </c>
      <c r="N2915" s="475">
        <f t="shared" si="142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40"/>
        <v>-68504641931.233604</v>
      </c>
      <c r="J2916" s="455">
        <f t="array" ref="J2916">IFERROR(INDEX('Retirement Calculator'!K:K,MATCH('Lorri 401b'!N2916,'Retirement Calculator'!A:A,0),0),0)</f>
        <v>0</v>
      </c>
      <c r="K2916" s="455">
        <f t="shared" ca="1" si="138"/>
        <v>-285436008.04680663</v>
      </c>
      <c r="L2916" s="455">
        <f t="shared" ca="1" si="139"/>
        <v>-68790077939.280411</v>
      </c>
      <c r="M2916" s="471">
        <f t="shared" si="141"/>
        <v>0.05</v>
      </c>
      <c r="N2916" s="475">
        <f t="shared" si="142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40"/>
        <v>-68790077939.280411</v>
      </c>
      <c r="J2917" s="455">
        <f t="array" ref="J2917">IFERROR(INDEX('Retirement Calculator'!K:K,MATCH('Lorri 401b'!N2917,'Retirement Calculator'!A:A,0),0),0)</f>
        <v>0</v>
      </c>
      <c r="K2917" s="455">
        <f t="shared" ca="1" si="138"/>
        <v>-286625324.74700171</v>
      </c>
      <c r="L2917" s="455">
        <f t="shared" ca="1" si="139"/>
        <v>-69076703264.02742</v>
      </c>
      <c r="M2917" s="471">
        <f t="shared" si="141"/>
        <v>0.05</v>
      </c>
      <c r="N2917" s="475">
        <f t="shared" si="142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40"/>
        <v>-69076703264.02742</v>
      </c>
      <c r="J2918" s="455">
        <f t="array" ref="J2918">IFERROR(INDEX('Retirement Calculator'!K:K,MATCH('Lorri 401b'!N2918,'Retirement Calculator'!A:A,0),0),0)</f>
        <v>0</v>
      </c>
      <c r="K2918" s="455">
        <f t="shared" ca="1" si="138"/>
        <v>-287819596.9334476</v>
      </c>
      <c r="L2918" s="455">
        <f t="shared" ca="1" si="139"/>
        <v>-69364522860.960861</v>
      </c>
      <c r="M2918" s="471">
        <f t="shared" si="141"/>
        <v>0.05</v>
      </c>
      <c r="N2918" s="475">
        <f t="shared" si="142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40"/>
        <v>-69364522860.960861</v>
      </c>
      <c r="J2919" s="455">
        <f t="array" ref="J2919">IFERROR(INDEX('Retirement Calculator'!K:K,MATCH('Lorri 401b'!N2919,'Retirement Calculator'!A:A,0),0),0)</f>
        <v>0</v>
      </c>
      <c r="K2919" s="455">
        <f t="shared" ca="1" si="138"/>
        <v>-289018845.25400358</v>
      </c>
      <c r="L2919" s="455">
        <f t="shared" ca="1" si="139"/>
        <v>-69653541706.214859</v>
      </c>
      <c r="M2919" s="471">
        <f t="shared" si="141"/>
        <v>0.05</v>
      </c>
      <c r="N2919" s="475">
        <f t="shared" si="142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40"/>
        <v>-69653541706.214859</v>
      </c>
      <c r="J2920" s="455">
        <f t="array" ref="J2920">IFERROR(INDEX('Retirement Calculator'!K:K,MATCH('Lorri 401b'!N2920,'Retirement Calculator'!A:A,0),0),0)</f>
        <v>0</v>
      </c>
      <c r="K2920" s="455">
        <f t="shared" ca="1" si="138"/>
        <v>-290223090.44256192</v>
      </c>
      <c r="L2920" s="455">
        <f t="shared" ca="1" si="139"/>
        <v>-69943764796.657425</v>
      </c>
      <c r="M2920" s="471">
        <f t="shared" si="141"/>
        <v>0.05</v>
      </c>
      <c r="N2920" s="475">
        <f t="shared" si="142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40"/>
        <v>-69943764796.657425</v>
      </c>
      <c r="J2921" s="455">
        <f t="array" ref="J2921">IFERROR(INDEX('Retirement Calculator'!K:K,MATCH('Lorri 401b'!N2921,'Retirement Calculator'!A:A,0),0),0)</f>
        <v>0</v>
      </c>
      <c r="K2921" s="455">
        <f t="shared" ca="1" si="138"/>
        <v>-291432353.31940591</v>
      </c>
      <c r="L2921" s="455">
        <f t="shared" ca="1" si="139"/>
        <v>-70235197149.976837</v>
      </c>
      <c r="M2921" s="471">
        <f t="shared" si="141"/>
        <v>0.05</v>
      </c>
      <c r="N2921" s="475">
        <f t="shared" si="142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40"/>
        <v>-70235197149.976837</v>
      </c>
      <c r="J2922" s="455">
        <f t="array" ref="J2922">IFERROR(INDEX('Retirement Calculator'!K:K,MATCH('Lorri 401b'!N2922,'Retirement Calculator'!A:A,0),0),0)</f>
        <v>0</v>
      </c>
      <c r="K2922" s="455">
        <f t="shared" ca="1" si="138"/>
        <v>-292646654.79157013</v>
      </c>
      <c r="L2922" s="455">
        <f t="shared" ca="1" si="139"/>
        <v>-70527843804.768402</v>
      </c>
      <c r="M2922" s="471">
        <f t="shared" si="141"/>
        <v>0.05</v>
      </c>
      <c r="N2922" s="475">
        <f t="shared" si="142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40"/>
        <v>-70527843804.768402</v>
      </c>
      <c r="J2923" s="455">
        <f t="array" ref="J2923">IFERROR(INDEX('Retirement Calculator'!K:K,MATCH('Lorri 401b'!N2923,'Retirement Calculator'!A:A,0),0),0)</f>
        <v>0</v>
      </c>
      <c r="K2923" s="455">
        <f t="shared" ca="1" si="138"/>
        <v>-293866015.85320169</v>
      </c>
      <c r="L2923" s="455">
        <f t="shared" ca="1" si="139"/>
        <v>-70821709820.621597</v>
      </c>
      <c r="M2923" s="471">
        <f t="shared" si="141"/>
        <v>0.05</v>
      </c>
      <c r="N2923" s="475">
        <f t="shared" si="142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40"/>
        <v>-70821709820.621597</v>
      </c>
      <c r="J2924" s="455">
        <f t="array" ref="J2924">IFERROR(INDEX('Retirement Calculator'!K:K,MATCH('Lorri 401b'!N2924,'Retirement Calculator'!A:A,0),0),0)</f>
        <v>0</v>
      </c>
      <c r="K2924" s="455">
        <f t="shared" ca="1" si="138"/>
        <v>-295090457.58592331</v>
      </c>
      <c r="L2924" s="455">
        <f t="shared" ca="1" si="139"/>
        <v>-71116800278.20752</v>
      </c>
      <c r="M2924" s="471">
        <f t="shared" si="141"/>
        <v>0.05</v>
      </c>
      <c r="N2924" s="475">
        <f t="shared" si="142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40"/>
        <v>-71116800278.20752</v>
      </c>
      <c r="J2925" s="455">
        <f t="array" ref="J2925">IFERROR(INDEX('Retirement Calculator'!K:K,MATCH('Lorri 401b'!N2925,'Retirement Calculator'!A:A,0),0),0)</f>
        <v>0</v>
      </c>
      <c r="K2925" s="455">
        <f t="shared" ca="1" si="138"/>
        <v>-296320001.15919799</v>
      </c>
      <c r="L2925" s="455">
        <f t="shared" ca="1" si="139"/>
        <v>-71413120279.366714</v>
      </c>
      <c r="M2925" s="471">
        <f t="shared" si="141"/>
        <v>0.05</v>
      </c>
      <c r="N2925" s="475">
        <f t="shared" si="142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40"/>
        <v>-71413120279.366714</v>
      </c>
      <c r="J2926" s="455">
        <f t="array" ref="J2926">IFERROR(INDEX('Retirement Calculator'!K:K,MATCH('Lorri 401b'!N2926,'Retirement Calculator'!A:A,0),0),0)</f>
        <v>0</v>
      </c>
      <c r="K2926" s="455">
        <f t="shared" ca="1" si="138"/>
        <v>-297554667.83069462</v>
      </c>
      <c r="L2926" s="455">
        <f t="shared" ca="1" si="139"/>
        <v>-71710674947.197403</v>
      </c>
      <c r="M2926" s="471">
        <f t="shared" si="141"/>
        <v>0.05</v>
      </c>
      <c r="N2926" s="475">
        <f t="shared" si="142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40"/>
        <v>-71710674947.197403</v>
      </c>
      <c r="J2927" s="455">
        <f t="array" ref="J2927">IFERROR(INDEX('Retirement Calculator'!K:K,MATCH('Lorri 401b'!N2927,'Retirement Calculator'!A:A,0),0),0)</f>
        <v>0</v>
      </c>
      <c r="K2927" s="455">
        <f t="shared" ca="1" si="138"/>
        <v>-298794478.94665587</v>
      </c>
      <c r="L2927" s="455">
        <f t="shared" ca="1" si="139"/>
        <v>-72009469426.144058</v>
      </c>
      <c r="M2927" s="471">
        <f t="shared" si="141"/>
        <v>0.05</v>
      </c>
      <c r="N2927" s="475">
        <f t="shared" si="142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40"/>
        <v>-72009469426.144058</v>
      </c>
      <c r="J2928" s="455">
        <f t="array" ref="J2928">IFERROR(INDEX('Retirement Calculator'!K:K,MATCH('Lorri 401b'!N2928,'Retirement Calculator'!A:A,0),0),0)</f>
        <v>0</v>
      </c>
      <c r="K2928" s="455">
        <f t="shared" ca="1" si="138"/>
        <v>-300039455.94226688</v>
      </c>
      <c r="L2928" s="455">
        <f t="shared" ca="1" si="139"/>
        <v>-72309508882.086319</v>
      </c>
      <c r="M2928" s="471">
        <f t="shared" si="141"/>
        <v>0.05</v>
      </c>
      <c r="N2928" s="475">
        <f t="shared" si="142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40"/>
        <v>-72309508882.086319</v>
      </c>
      <c r="J2929" s="455">
        <f t="array" ref="J2929">IFERROR(INDEX('Retirement Calculator'!K:K,MATCH('Lorri 401b'!N2929,'Retirement Calculator'!A:A,0),0),0)</f>
        <v>0</v>
      </c>
      <c r="K2929" s="455">
        <f t="shared" ca="1" si="138"/>
        <v>-301289620.34202635</v>
      </c>
      <c r="L2929" s="455">
        <f t="shared" ca="1" si="139"/>
        <v>-72610798502.428345</v>
      </c>
      <c r="M2929" s="471">
        <f t="shared" si="141"/>
        <v>0.05</v>
      </c>
      <c r="N2929" s="475">
        <f t="shared" si="142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40"/>
        <v>-72610798502.428345</v>
      </c>
      <c r="J2930" s="455">
        <f t="array" ref="J2930">IFERROR(INDEX('Retirement Calculator'!K:K,MATCH('Lorri 401b'!N2930,'Retirement Calculator'!A:A,0),0),0)</f>
        <v>0</v>
      </c>
      <c r="K2930" s="455">
        <f t="shared" ca="1" si="138"/>
        <v>-302544993.76011813</v>
      </c>
      <c r="L2930" s="455">
        <f t="shared" ca="1" si="139"/>
        <v>-72913343496.188461</v>
      </c>
      <c r="M2930" s="471">
        <f t="shared" si="141"/>
        <v>0.05</v>
      </c>
      <c r="N2930" s="475">
        <f t="shared" si="142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40"/>
        <v>-72913343496.188461</v>
      </c>
      <c r="J2931" s="455">
        <f t="array" ref="J2931">IFERROR(INDEX('Retirement Calculator'!K:K,MATCH('Lorri 401b'!N2931,'Retirement Calculator'!A:A,0),0),0)</f>
        <v>0</v>
      </c>
      <c r="K2931" s="455">
        <f t="shared" ca="1" si="138"/>
        <v>-303805597.90078527</v>
      </c>
      <c r="L2931" s="455">
        <f t="shared" ca="1" si="139"/>
        <v>-73217149094.089249</v>
      </c>
      <c r="M2931" s="471">
        <f t="shared" si="141"/>
        <v>0.05</v>
      </c>
      <c r="N2931" s="475">
        <f t="shared" si="142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40"/>
        <v>-73217149094.089249</v>
      </c>
      <c r="J2932" s="455">
        <f t="array" ref="J2932">IFERROR(INDEX('Retirement Calculator'!K:K,MATCH('Lorri 401b'!N2932,'Retirement Calculator'!A:A,0),0),0)</f>
        <v>0</v>
      </c>
      <c r="K2932" s="455">
        <f t="shared" ca="1" si="138"/>
        <v>-305071454.55870521</v>
      </c>
      <c r="L2932" s="455">
        <f t="shared" ca="1" si="139"/>
        <v>-73522220548.647949</v>
      </c>
      <c r="M2932" s="471">
        <f t="shared" si="141"/>
        <v>0.05</v>
      </c>
      <c r="N2932" s="475">
        <f t="shared" si="142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40"/>
        <v>-73522220548.647949</v>
      </c>
      <c r="J2933" s="455">
        <f t="array" ref="J2933">IFERROR(INDEX('Retirement Calculator'!K:K,MATCH('Lorri 401b'!N2933,'Retirement Calculator'!A:A,0),0),0)</f>
        <v>0</v>
      </c>
      <c r="K2933" s="455">
        <f t="shared" ca="1" si="138"/>
        <v>-306342585.61936647</v>
      </c>
      <c r="L2933" s="455">
        <f t="shared" ca="1" si="139"/>
        <v>-73828563134.267319</v>
      </c>
      <c r="M2933" s="471">
        <f t="shared" si="141"/>
        <v>0.05</v>
      </c>
      <c r="N2933" s="475">
        <f t="shared" si="142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40"/>
        <v>-73828563134.267319</v>
      </c>
      <c r="J2934" s="455">
        <f t="array" ref="J2934">IFERROR(INDEX('Retirement Calculator'!K:K,MATCH('Lorri 401b'!N2934,'Retirement Calculator'!A:A,0),0),0)</f>
        <v>0</v>
      </c>
      <c r="K2934" s="455">
        <f t="shared" ca="1" si="138"/>
        <v>-307619013.05944717</v>
      </c>
      <c r="L2934" s="455">
        <f t="shared" ca="1" si="139"/>
        <v>-74136182147.326767</v>
      </c>
      <c r="M2934" s="471">
        <f t="shared" si="141"/>
        <v>0.05</v>
      </c>
      <c r="N2934" s="475">
        <f t="shared" si="142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40"/>
        <v>-74136182147.326767</v>
      </c>
      <c r="J2935" s="455">
        <f t="array" ref="J2935">IFERROR(INDEX('Retirement Calculator'!K:K,MATCH('Lorri 401b'!N2935,'Retirement Calculator'!A:A,0),0),0)</f>
        <v>0</v>
      </c>
      <c r="K2935" s="455">
        <f t="shared" ca="1" si="138"/>
        <v>-308900758.94719487</v>
      </c>
      <c r="L2935" s="455">
        <f t="shared" ca="1" si="139"/>
        <v>-74445082906.273956</v>
      </c>
      <c r="M2935" s="471">
        <f t="shared" si="141"/>
        <v>0.05</v>
      </c>
      <c r="N2935" s="475">
        <f t="shared" si="142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40"/>
        <v>-74445082906.273956</v>
      </c>
      <c r="J2936" s="455">
        <f t="array" ref="J2936">IFERROR(INDEX('Retirement Calculator'!K:K,MATCH('Lorri 401b'!N2936,'Retirement Calculator'!A:A,0),0),0)</f>
        <v>0</v>
      </c>
      <c r="K2936" s="455">
        <f t="shared" ca="1" si="138"/>
        <v>-310187845.44280815</v>
      </c>
      <c r="L2936" s="455">
        <f t="shared" ca="1" si="139"/>
        <v>-74755270751.716766</v>
      </c>
      <c r="M2936" s="471">
        <f t="shared" si="141"/>
        <v>0.05</v>
      </c>
      <c r="N2936" s="475">
        <f t="shared" si="142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40"/>
        <v>-74755270751.716766</v>
      </c>
      <c r="J2937" s="455">
        <f t="array" ref="J2937">IFERROR(INDEX('Retirement Calculator'!K:K,MATCH('Lorri 401b'!N2937,'Retirement Calculator'!A:A,0),0),0)</f>
        <v>0</v>
      </c>
      <c r="K2937" s="455">
        <f t="shared" ca="1" si="138"/>
        <v>-311480294.79881984</v>
      </c>
      <c r="L2937" s="455">
        <f t="shared" ca="1" si="139"/>
        <v>-75066751046.515579</v>
      </c>
      <c r="M2937" s="471">
        <f t="shared" si="141"/>
        <v>0.05</v>
      </c>
      <c r="N2937" s="475">
        <f t="shared" si="142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40"/>
        <v>-75066751046.515579</v>
      </c>
      <c r="J2938" s="455">
        <f t="array" ref="J2938">IFERROR(INDEX('Retirement Calculator'!K:K,MATCH('Lorri 401b'!N2938,'Retirement Calculator'!A:A,0),0),0)</f>
        <v>0</v>
      </c>
      <c r="K2938" s="455">
        <f t="shared" ca="1" si="138"/>
        <v>-312778129.36048156</v>
      </c>
      <c r="L2938" s="455">
        <f t="shared" ca="1" si="139"/>
        <v>-75379529175.876068</v>
      </c>
      <c r="M2938" s="471">
        <f t="shared" si="141"/>
        <v>0.05</v>
      </c>
      <c r="N2938" s="475">
        <f t="shared" si="142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40"/>
        <v>-75379529175.876068</v>
      </c>
      <c r="J2939" s="455">
        <f t="array" ref="J2939">IFERROR(INDEX('Retirement Calculator'!K:K,MATCH('Lorri 401b'!N2939,'Retirement Calculator'!A:A,0),0),0)</f>
        <v>0</v>
      </c>
      <c r="K2939" s="455">
        <f t="shared" ca="1" si="138"/>
        <v>-314081371.56615031</v>
      </c>
      <c r="L2939" s="455">
        <f t="shared" ca="1" si="139"/>
        <v>-75693610547.442215</v>
      </c>
      <c r="M2939" s="471">
        <f t="shared" si="141"/>
        <v>0.05</v>
      </c>
      <c r="N2939" s="475">
        <f t="shared" si="142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40"/>
        <v>-75693610547.442215</v>
      </c>
      <c r="J2940" s="455">
        <f t="array" ref="J2940">IFERROR(INDEX('Retirement Calculator'!K:K,MATCH('Lorri 401b'!N2940,'Retirement Calculator'!A:A,0),0),0)</f>
        <v>0</v>
      </c>
      <c r="K2940" s="455">
        <f t="shared" ca="1" si="138"/>
        <v>-315390043.94767588</v>
      </c>
      <c r="L2940" s="455">
        <f t="shared" ca="1" si="139"/>
        <v>-76009000591.389893</v>
      </c>
      <c r="M2940" s="471">
        <f t="shared" si="141"/>
        <v>0.05</v>
      </c>
      <c r="N2940" s="475">
        <f t="shared" si="142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40"/>
        <v>-76009000591.389893</v>
      </c>
      <c r="J2941" s="455">
        <f t="array" ref="J2941">IFERROR(INDEX('Retirement Calculator'!K:K,MATCH('Lorri 401b'!N2941,'Retirement Calculator'!A:A,0),0),0)</f>
        <v>0</v>
      </c>
      <c r="K2941" s="455">
        <f t="shared" ca="1" si="138"/>
        <v>-316704169.13079119</v>
      </c>
      <c r="L2941" s="455">
        <f t="shared" ca="1" si="139"/>
        <v>-76325704760.520691</v>
      </c>
      <c r="M2941" s="471">
        <f t="shared" si="141"/>
        <v>0.05</v>
      </c>
      <c r="N2941" s="475">
        <f t="shared" si="142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40"/>
        <v>-76325704760.520691</v>
      </c>
      <c r="J2942" s="455">
        <f t="array" ref="J2942">IFERROR(INDEX('Retirement Calculator'!K:K,MATCH('Lorri 401b'!N2942,'Retirement Calculator'!A:A,0),0),0)</f>
        <v>0</v>
      </c>
      <c r="K2942" s="455">
        <f t="shared" ca="1" si="138"/>
        <v>-318023769.83550286</v>
      </c>
      <c r="L2942" s="455">
        <f t="shared" ca="1" si="139"/>
        <v>-76643728530.356201</v>
      </c>
      <c r="M2942" s="471">
        <f t="shared" si="141"/>
        <v>0.05</v>
      </c>
      <c r="N2942" s="475">
        <f t="shared" si="142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40"/>
        <v>-76643728530.356201</v>
      </c>
      <c r="J2943" s="455">
        <f t="array" ref="J2943">IFERROR(INDEX('Retirement Calculator'!K:K,MATCH('Lorri 401b'!N2943,'Retirement Calculator'!A:A,0),0),0)</f>
        <v>0</v>
      </c>
      <c r="K2943" s="455">
        <f t="shared" ca="1" si="138"/>
        <v>-319348868.87648416</v>
      </c>
      <c r="L2943" s="455">
        <f t="shared" ca="1" si="139"/>
        <v>-76963077399.232681</v>
      </c>
      <c r="M2943" s="471">
        <f t="shared" si="141"/>
        <v>0.05</v>
      </c>
      <c r="N2943" s="475">
        <f t="shared" si="142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40"/>
        <v>-76963077399.232681</v>
      </c>
      <c r="J2944" s="455">
        <f t="array" ref="J2944">IFERROR(INDEX('Retirement Calculator'!K:K,MATCH('Lorri 401b'!N2944,'Retirement Calculator'!A:A,0),0),0)</f>
        <v>0</v>
      </c>
      <c r="K2944" s="455">
        <f t="shared" ca="1" si="138"/>
        <v>-320679489.16346949</v>
      </c>
      <c r="L2944" s="455">
        <f t="shared" ca="1" si="139"/>
        <v>-77283756888.396149</v>
      </c>
      <c r="M2944" s="471">
        <f t="shared" si="141"/>
        <v>0.05</v>
      </c>
      <c r="N2944" s="475">
        <f t="shared" si="142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40"/>
        <v>-77283756888.396149</v>
      </c>
      <c r="J2945" s="455">
        <f t="array" ref="J2945">IFERROR(INDEX('Retirement Calculator'!K:K,MATCH('Lorri 401b'!N2945,'Retirement Calculator'!A:A,0),0),0)</f>
        <v>0</v>
      </c>
      <c r="K2945" s="455">
        <f t="shared" ca="1" si="138"/>
        <v>-322015653.70165062</v>
      </c>
      <c r="L2945" s="455">
        <f t="shared" ca="1" si="139"/>
        <v>-77605772542.097794</v>
      </c>
      <c r="M2945" s="471">
        <f t="shared" si="141"/>
        <v>0.05</v>
      </c>
      <c r="N2945" s="475">
        <f t="shared" si="142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40"/>
        <v>-77605772542.097794</v>
      </c>
      <c r="J2946" s="455">
        <f t="array" ref="J2946">IFERROR(INDEX('Retirement Calculator'!K:K,MATCH('Lorri 401b'!N2946,'Retirement Calculator'!A:A,0),0),0)</f>
        <v>0</v>
      </c>
      <c r="K2946" s="455">
        <f t="shared" ca="1" si="138"/>
        <v>-323357385.59207416</v>
      </c>
      <c r="L2946" s="455">
        <f t="shared" ca="1" si="139"/>
        <v>-77929129927.689865</v>
      </c>
      <c r="M2946" s="471">
        <f t="shared" si="141"/>
        <v>0.05</v>
      </c>
      <c r="N2946" s="475">
        <f t="shared" si="142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40"/>
        <v>-77929129927.689865</v>
      </c>
      <c r="J2947" s="455">
        <f t="array" ref="J2947">IFERROR(INDEX('Retirement Calculator'!K:K,MATCH('Lorri 401b'!N2947,'Retirement Calculator'!A:A,0),0),0)</f>
        <v>0</v>
      </c>
      <c r="K2947" s="455">
        <f t="shared" ca="1" si="138"/>
        <v>-324704708.03204107</v>
      </c>
      <c r="L2947" s="455">
        <f t="shared" ca="1" si="139"/>
        <v>-78253834635.721909</v>
      </c>
      <c r="M2947" s="471">
        <f t="shared" si="141"/>
        <v>0.05</v>
      </c>
      <c r="N2947" s="475">
        <f t="shared" si="142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40"/>
        <v>-78253834635.721909</v>
      </c>
      <c r="J2948" s="455">
        <f t="array" ref="J2948">IFERROR(INDEX('Retirement Calculator'!K:K,MATCH('Lorri 401b'!N2948,'Retirement Calculator'!A:A,0),0),0)</f>
        <v>0</v>
      </c>
      <c r="K2948" s="455">
        <f t="shared" ca="1" si="138"/>
        <v>-326057644.31550795</v>
      </c>
      <c r="L2948" s="455">
        <f t="shared" ca="1" si="139"/>
        <v>-78579892280.037415</v>
      </c>
      <c r="M2948" s="471">
        <f t="shared" si="141"/>
        <v>0.05</v>
      </c>
      <c r="N2948" s="475">
        <f t="shared" si="142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40"/>
        <v>-78579892280.037415</v>
      </c>
      <c r="J2949" s="455">
        <f t="array" ref="J2949">IFERROR(INDEX('Retirement Calculator'!K:K,MATCH('Lorri 401b'!N2949,'Retirement Calculator'!A:A,0),0),0)</f>
        <v>0</v>
      </c>
      <c r="K2949" s="455">
        <f t="shared" ca="1" si="138"/>
        <v>-327416217.83348924</v>
      </c>
      <c r="L2949" s="455">
        <f t="shared" ca="1" si="139"/>
        <v>-78907308497.870911</v>
      </c>
      <c r="M2949" s="471">
        <f t="shared" si="141"/>
        <v>0.05</v>
      </c>
      <c r="N2949" s="475">
        <f t="shared" si="142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40"/>
        <v>-78907308497.870911</v>
      </c>
      <c r="J2950" s="455">
        <f t="array" ref="J2950">IFERROR(INDEX('Retirement Calculator'!K:K,MATCH('Lorri 401b'!N2950,'Retirement Calculator'!A:A,0),0),0)</f>
        <v>0</v>
      </c>
      <c r="K2950" s="455">
        <f t="shared" ca="1" si="138"/>
        <v>-328780452.07446212</v>
      </c>
      <c r="L2950" s="455">
        <f t="shared" ca="1" si="139"/>
        <v>-79236088949.945374</v>
      </c>
      <c r="M2950" s="471">
        <f t="shared" si="141"/>
        <v>0.05</v>
      </c>
      <c r="N2950" s="475">
        <f t="shared" si="142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40"/>
        <v>-79236088949.945374</v>
      </c>
      <c r="J2951" s="455">
        <f t="array" ref="J2951">IFERROR(INDEX('Retirement Calculator'!K:K,MATCH('Lorri 401b'!N2951,'Retirement Calculator'!A:A,0),0),0)</f>
        <v>0</v>
      </c>
      <c r="K2951" s="455">
        <f t="shared" ca="1" si="138"/>
        <v>-330150370.62477237</v>
      </c>
      <c r="L2951" s="455">
        <f t="shared" ca="1" si="139"/>
        <v>-79566239320.570145</v>
      </c>
      <c r="M2951" s="471">
        <f t="shared" si="141"/>
        <v>0.05</v>
      </c>
      <c r="N2951" s="475">
        <f t="shared" si="142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40"/>
        <v>-79566239320.570145</v>
      </c>
      <c r="J2952" s="455">
        <f t="array" ref="J2952">IFERROR(INDEX('Retirement Calculator'!K:K,MATCH('Lorri 401b'!N2952,'Retirement Calculator'!A:A,0),0),0)</f>
        <v>0</v>
      </c>
      <c r="K2952" s="455">
        <f t="shared" ca="1" si="138"/>
        <v>-331525997.16904229</v>
      </c>
      <c r="L2952" s="455">
        <f t="shared" ca="1" si="139"/>
        <v>-79897765317.739182</v>
      </c>
      <c r="M2952" s="471">
        <f t="shared" si="141"/>
        <v>0.05</v>
      </c>
      <c r="N2952" s="475">
        <f t="shared" si="142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40"/>
        <v>-79897765317.739182</v>
      </c>
      <c r="J2953" s="455">
        <f t="array" ref="J2953">IFERROR(INDEX('Retirement Calculator'!K:K,MATCH('Lorri 401b'!N2953,'Retirement Calculator'!A:A,0),0),0)</f>
        <v>0</v>
      </c>
      <c r="K2953" s="455">
        <f t="shared" ca="1" si="138"/>
        <v>-332907355.4905799</v>
      </c>
      <c r="L2953" s="455">
        <f t="shared" ca="1" si="139"/>
        <v>-80230672673.229767</v>
      </c>
      <c r="M2953" s="471">
        <f t="shared" si="141"/>
        <v>0.05</v>
      </c>
      <c r="N2953" s="475">
        <f t="shared" si="142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40"/>
        <v>-80230672673.229767</v>
      </c>
      <c r="J2954" s="455">
        <f t="array" ref="J2954">IFERROR(INDEX('Retirement Calculator'!K:K,MATCH('Lorri 401b'!N2954,'Retirement Calculator'!A:A,0),0),0)</f>
        <v>0</v>
      </c>
      <c r="K2954" s="455">
        <f t="shared" ca="1" si="138"/>
        <v>-334294469.47179067</v>
      </c>
      <c r="L2954" s="455">
        <f t="shared" ca="1" si="139"/>
        <v>-80564967142.701553</v>
      </c>
      <c r="M2954" s="471">
        <f t="shared" si="141"/>
        <v>0.05</v>
      </c>
      <c r="N2954" s="475">
        <f t="shared" si="142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40"/>
        <v>-80564967142.701553</v>
      </c>
      <c r="J2955" s="455">
        <f t="array" ref="J2955">IFERROR(INDEX('Retirement Calculator'!K:K,MATCH('Lorri 401b'!N2955,'Retirement Calculator'!A:A,0),0),0)</f>
        <v>0</v>
      </c>
      <c r="K2955" s="455">
        <f t="shared" ca="1" si="138"/>
        <v>-335687363.09458983</v>
      </c>
      <c r="L2955" s="455">
        <f t="shared" ca="1" si="139"/>
        <v>-80900654505.796143</v>
      </c>
      <c r="M2955" s="471">
        <f t="shared" si="141"/>
        <v>0.05</v>
      </c>
      <c r="N2955" s="475">
        <f t="shared" si="142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40"/>
        <v>-80900654505.796143</v>
      </c>
      <c r="J2956" s="455">
        <f t="array" ref="J2956">IFERROR(INDEX('Retirement Calculator'!K:K,MATCH('Lorri 401b'!N2956,'Retirement Calculator'!A:A,0),0),0)</f>
        <v>0</v>
      </c>
      <c r="K2956" s="455">
        <f t="shared" ca="1" si="138"/>
        <v>-337086060.44081724</v>
      </c>
      <c r="L2956" s="455">
        <f t="shared" ca="1" si="139"/>
        <v>-81237740566.236954</v>
      </c>
      <c r="M2956" s="471">
        <f t="shared" si="141"/>
        <v>0.05</v>
      </c>
      <c r="N2956" s="475">
        <f t="shared" si="142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40"/>
        <v>-81237740566.236954</v>
      </c>
      <c r="J2957" s="455">
        <f t="array" ref="J2957">IFERROR(INDEX('Retirement Calculator'!K:K,MATCH('Lorri 401b'!N2957,'Retirement Calculator'!A:A,0),0),0)</f>
        <v>0</v>
      </c>
      <c r="K2957" s="455">
        <f t="shared" ca="1" si="138"/>
        <v>-338490585.69265395</v>
      </c>
      <c r="L2957" s="455">
        <f t="shared" ca="1" si="139"/>
        <v>-81576231151.929611</v>
      </c>
      <c r="M2957" s="471">
        <f t="shared" si="141"/>
        <v>0.05</v>
      </c>
      <c r="N2957" s="475">
        <f t="shared" si="142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40"/>
        <v>-81576231151.929611</v>
      </c>
      <c r="J2958" s="455">
        <f t="array" ref="J2958">IFERROR(INDEX('Retirement Calculator'!K:K,MATCH('Lorri 401b'!N2958,'Retirement Calculator'!A:A,0),0),0)</f>
        <v>0</v>
      </c>
      <c r="K2958" s="455">
        <f t="shared" ca="1" si="138"/>
        <v>-339900963.13304007</v>
      </c>
      <c r="L2958" s="455">
        <f t="shared" ca="1" si="139"/>
        <v>-81916132115.062653</v>
      </c>
      <c r="M2958" s="471">
        <f t="shared" si="141"/>
        <v>0.05</v>
      </c>
      <c r="N2958" s="475">
        <f t="shared" si="142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40"/>
        <v>-81916132115.062653</v>
      </c>
      <c r="J2959" s="455">
        <f t="array" ref="J2959">IFERROR(INDEX('Retirement Calculator'!K:K,MATCH('Lorri 401b'!N2959,'Retirement Calculator'!A:A,0),0),0)</f>
        <v>0</v>
      </c>
      <c r="K2959" s="455">
        <f t="shared" ca="1" si="138"/>
        <v>-341317217.14609438</v>
      </c>
      <c r="L2959" s="455">
        <f t="shared" ca="1" si="139"/>
        <v>-82257449332.20874</v>
      </c>
      <c r="M2959" s="471">
        <f t="shared" si="141"/>
        <v>0.05</v>
      </c>
      <c r="N2959" s="475">
        <f t="shared" si="142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40"/>
        <v>-82257449332.20874</v>
      </c>
      <c r="J2960" s="455">
        <f t="array" ref="J2960">IFERROR(INDEX('Retirement Calculator'!K:K,MATCH('Lorri 401b'!N2960,'Retirement Calculator'!A:A,0),0),0)</f>
        <v>0</v>
      </c>
      <c r="K2960" s="455">
        <f t="shared" ca="1" si="138"/>
        <v>-342739372.21753639</v>
      </c>
      <c r="L2960" s="455">
        <f t="shared" ca="1" si="139"/>
        <v>-82600188704.42627</v>
      </c>
      <c r="M2960" s="471">
        <f t="shared" si="141"/>
        <v>0.05</v>
      </c>
      <c r="N2960" s="475">
        <f t="shared" si="142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40"/>
        <v>-82600188704.42627</v>
      </c>
      <c r="J2961" s="455">
        <f t="array" ref="J2961">IFERROR(INDEX('Retirement Calculator'!K:K,MATCH('Lorri 401b'!N2961,'Retirement Calculator'!A:A,0),0),0)</f>
        <v>0</v>
      </c>
      <c r="K2961" s="455">
        <f t="shared" ca="1" si="138"/>
        <v>-344167452.93510944</v>
      </c>
      <c r="L2961" s="455">
        <f t="shared" ca="1" si="139"/>
        <v>-82944356157.361374</v>
      </c>
      <c r="M2961" s="471">
        <f t="shared" si="141"/>
        <v>0.05</v>
      </c>
      <c r="N2961" s="475">
        <f t="shared" si="142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40"/>
        <v>-82944356157.361374</v>
      </c>
      <c r="J2962" s="455">
        <f t="array" ref="J2962">IFERROR(INDEX('Retirement Calculator'!K:K,MATCH('Lorri 401b'!N2962,'Retirement Calculator'!A:A,0),0),0)</f>
        <v>0</v>
      </c>
      <c r="K2962" s="455">
        <f t="shared" ca="1" si="138"/>
        <v>-345601483.98900574</v>
      </c>
      <c r="L2962" s="455">
        <f t="shared" ca="1" si="139"/>
        <v>-83289957641.350372</v>
      </c>
      <c r="M2962" s="471">
        <f t="shared" si="141"/>
        <v>0.05</v>
      </c>
      <c r="N2962" s="475">
        <f t="shared" si="142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40"/>
        <v>-83289957641.350372</v>
      </c>
      <c r="J2963" s="455">
        <f t="array" ref="J2963">IFERROR(INDEX('Retirement Calculator'!K:K,MATCH('Lorri 401b'!N2963,'Retirement Calculator'!A:A,0),0),0)</f>
        <v>0</v>
      </c>
      <c r="K2963" s="455">
        <f t="shared" ca="1" si="138"/>
        <v>-347041490.17229319</v>
      </c>
      <c r="L2963" s="455">
        <f t="shared" ca="1" si="139"/>
        <v>-83636999131.522659</v>
      </c>
      <c r="M2963" s="471">
        <f t="shared" si="141"/>
        <v>0.05</v>
      </c>
      <c r="N2963" s="475">
        <f t="shared" si="142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40"/>
        <v>-83636999131.522659</v>
      </c>
      <c r="J2964" s="455">
        <f t="array" ref="J2964">IFERROR(INDEX('Retirement Calculator'!K:K,MATCH('Lorri 401b'!N2964,'Retirement Calculator'!A:A,0),0),0)</f>
        <v>0</v>
      </c>
      <c r="K2964" s="455">
        <f t="shared" ca="1" si="138"/>
        <v>-348487496.38134444</v>
      </c>
      <c r="L2964" s="455">
        <f t="shared" ca="1" si="139"/>
        <v>-83985486627.904007</v>
      </c>
      <c r="M2964" s="471">
        <f t="shared" si="141"/>
        <v>0.05</v>
      </c>
      <c r="N2964" s="475">
        <f t="shared" si="142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40"/>
        <v>-83985486627.904007</v>
      </c>
      <c r="J2965" s="455">
        <f t="array" ref="J2965">IFERROR(INDEX('Retirement Calculator'!K:K,MATCH('Lorri 401b'!N2965,'Retirement Calculator'!A:A,0),0),0)</f>
        <v>0</v>
      </c>
      <c r="K2965" s="455">
        <f t="shared" ca="1" si="138"/>
        <v>-349939527.61626667</v>
      </c>
      <c r="L2965" s="455">
        <f t="shared" ca="1" si="139"/>
        <v>-84335426155.520279</v>
      </c>
      <c r="M2965" s="471">
        <f t="shared" si="141"/>
        <v>0.05</v>
      </c>
      <c r="N2965" s="475">
        <f t="shared" si="142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40"/>
        <v>-84335426155.520279</v>
      </c>
      <c r="J2966" s="455">
        <f t="array" ref="J2966">IFERROR(INDEX('Retirement Calculator'!K:K,MATCH('Lorri 401b'!N2966,'Retirement Calculator'!A:A,0),0),0)</f>
        <v>0</v>
      </c>
      <c r="K2966" s="455">
        <f t="shared" ca="1" si="138"/>
        <v>-351397608.98133451</v>
      </c>
      <c r="L2966" s="455">
        <f t="shared" ca="1" si="139"/>
        <v>-84686823764.501617</v>
      </c>
      <c r="M2966" s="471">
        <f t="shared" si="141"/>
        <v>0.05</v>
      </c>
      <c r="N2966" s="475">
        <f t="shared" si="142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40"/>
        <v>-84686823764.501617</v>
      </c>
      <c r="J2967" s="455">
        <f t="array" ref="J2967">IFERROR(INDEX('Retirement Calculator'!K:K,MATCH('Lorri 401b'!N2967,'Retirement Calculator'!A:A,0),0),0)</f>
        <v>0</v>
      </c>
      <c r="K2967" s="455">
        <f t="shared" ca="1" si="138"/>
        <v>-352861765.68542337</v>
      </c>
      <c r="L2967" s="455">
        <f t="shared" ca="1" si="139"/>
        <v>-85039685530.187042</v>
      </c>
      <c r="M2967" s="471">
        <f t="shared" si="141"/>
        <v>0.05</v>
      </c>
      <c r="N2967" s="475">
        <f t="shared" si="142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40"/>
        <v>-85039685530.187042</v>
      </c>
      <c r="J2968" s="455">
        <f t="array" ref="J2968">IFERROR(INDEX('Retirement Calculator'!K:K,MATCH('Lorri 401b'!N2968,'Retirement Calculator'!A:A,0),0),0)</f>
        <v>0</v>
      </c>
      <c r="K2968" s="455">
        <f t="shared" ca="1" si="138"/>
        <v>-354332023.04244602</v>
      </c>
      <c r="L2968" s="455">
        <f t="shared" ca="1" si="139"/>
        <v>-85394017553.229492</v>
      </c>
      <c r="M2968" s="471">
        <f t="shared" si="141"/>
        <v>0.05</v>
      </c>
      <c r="N2968" s="475">
        <f t="shared" si="142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40"/>
        <v>-85394017553.229492</v>
      </c>
      <c r="J2969" s="455">
        <f t="array" ref="J2969">IFERROR(INDEX('Retirement Calculator'!K:K,MATCH('Lorri 401b'!N2969,'Retirement Calculator'!A:A,0),0),0)</f>
        <v>0</v>
      </c>
      <c r="K2969" s="455">
        <f t="shared" ca="1" si="138"/>
        <v>-355808406.47178954</v>
      </c>
      <c r="L2969" s="455">
        <f t="shared" ca="1" si="139"/>
        <v>-85749825959.701279</v>
      </c>
      <c r="M2969" s="471">
        <f t="shared" si="141"/>
        <v>0.05</v>
      </c>
      <c r="N2969" s="475">
        <f t="shared" si="142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40"/>
        <v>-85749825959.701279</v>
      </c>
      <c r="J2970" s="455">
        <f t="array" ref="J2970">IFERROR(INDEX('Retirement Calculator'!K:K,MATCH('Lorri 401b'!N2970,'Retirement Calculator'!A:A,0),0),0)</f>
        <v>0</v>
      </c>
      <c r="K2970" s="455">
        <f t="shared" ca="1" si="138"/>
        <v>-357290941.49875534</v>
      </c>
      <c r="L2970" s="455">
        <f t="shared" ca="1" si="139"/>
        <v>-86107116901.200027</v>
      </c>
      <c r="M2970" s="471">
        <f t="shared" si="141"/>
        <v>0.05</v>
      </c>
      <c r="N2970" s="475">
        <f t="shared" si="142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40"/>
        <v>-86107116901.200027</v>
      </c>
      <c r="J2971" s="455">
        <f t="array" ref="J2971">IFERROR(INDEX('Retirement Calculator'!K:K,MATCH('Lorri 401b'!N2971,'Retirement Calculator'!A:A,0),0),0)</f>
        <v>0</v>
      </c>
      <c r="K2971" s="455">
        <f t="shared" ca="1" si="138"/>
        <v>-358779653.75500011</v>
      </c>
      <c r="L2971" s="455">
        <f t="shared" ca="1" si="139"/>
        <v>-86465896554.955032</v>
      </c>
      <c r="M2971" s="471">
        <f t="shared" si="141"/>
        <v>0.05</v>
      </c>
      <c r="N2971" s="475">
        <f t="shared" si="142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40"/>
        <v>-86465896554.955032</v>
      </c>
      <c r="J2972" s="455">
        <f t="array" ref="J2972">IFERROR(INDEX('Retirement Calculator'!K:K,MATCH('Lorri 401b'!N2972,'Retirement Calculator'!A:A,0),0),0)</f>
        <v>0</v>
      </c>
      <c r="K2972" s="455">
        <f t="shared" ca="1" si="138"/>
        <v>-360274568.97897929</v>
      </c>
      <c r="L2972" s="455">
        <f t="shared" ca="1" si="139"/>
        <v>-86826171123.934006</v>
      </c>
      <c r="M2972" s="471">
        <f t="shared" si="141"/>
        <v>0.05</v>
      </c>
      <c r="N2972" s="475">
        <f t="shared" si="142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40"/>
        <v>-86826171123.934006</v>
      </c>
      <c r="J2973" s="455">
        <f t="array" ref="J2973">IFERROR(INDEX('Retirement Calculator'!K:K,MATCH('Lorri 401b'!N2973,'Retirement Calculator'!A:A,0),0),0)</f>
        <v>0</v>
      </c>
      <c r="K2973" s="455">
        <f t="shared" ca="1" si="138"/>
        <v>-361775713.01639169</v>
      </c>
      <c r="L2973" s="455">
        <f t="shared" ca="1" si="139"/>
        <v>-87187946836.950394</v>
      </c>
      <c r="M2973" s="471">
        <f t="shared" si="141"/>
        <v>0.05</v>
      </c>
      <c r="N2973" s="475">
        <f t="shared" si="142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40"/>
        <v>-87187946836.950394</v>
      </c>
      <c r="J2974" s="455">
        <f t="array" ref="J2974">IFERROR(INDEX('Retirement Calculator'!K:K,MATCH('Lorri 401b'!N2974,'Retirement Calculator'!A:A,0),0),0)</f>
        <v>0</v>
      </c>
      <c r="K2974" s="455">
        <f t="shared" ca="1" si="138"/>
        <v>-363283111.82062662</v>
      </c>
      <c r="L2974" s="455">
        <f t="shared" ca="1" si="139"/>
        <v>-87551229948.771027</v>
      </c>
      <c r="M2974" s="471">
        <f t="shared" si="141"/>
        <v>0.05</v>
      </c>
      <c r="N2974" s="475">
        <f t="shared" si="142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40"/>
        <v>-87551229948.771027</v>
      </c>
      <c r="J2975" s="455">
        <f t="array" ref="J2975">IFERROR(INDEX('Retirement Calculator'!K:K,MATCH('Lorri 401b'!N2975,'Retirement Calculator'!A:A,0),0),0)</f>
        <v>0</v>
      </c>
      <c r="K2975" s="455">
        <f t="shared" ca="1" si="138"/>
        <v>-364796791.45321262</v>
      </c>
      <c r="L2975" s="455">
        <f t="shared" ca="1" si="139"/>
        <v>-87916026740.224243</v>
      </c>
      <c r="M2975" s="471">
        <f t="shared" si="141"/>
        <v>0.05</v>
      </c>
      <c r="N2975" s="475">
        <f t="shared" si="142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40"/>
        <v>-87916026740.224243</v>
      </c>
      <c r="J2976" s="455">
        <f t="array" ref="J2976">IFERROR(INDEX('Retirement Calculator'!K:K,MATCH('Lorri 401b'!N2976,'Retirement Calculator'!A:A,0),0),0)</f>
        <v>0</v>
      </c>
      <c r="K2976" s="455">
        <f t="shared" ca="1" si="138"/>
        <v>-366316778.08426768</v>
      </c>
      <c r="L2976" s="455">
        <f t="shared" ca="1" si="139"/>
        <v>-88282343518.308517</v>
      </c>
      <c r="M2976" s="471">
        <f t="shared" si="141"/>
        <v>0.05</v>
      </c>
      <c r="N2976" s="475">
        <f t="shared" si="142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40"/>
        <v>-88282343518.308517</v>
      </c>
      <c r="J2977" s="455">
        <f t="array" ref="J2977">IFERROR(INDEX('Retirement Calculator'!K:K,MATCH('Lorri 401b'!N2977,'Retirement Calculator'!A:A,0),0),0)</f>
        <v>0</v>
      </c>
      <c r="K2977" s="455">
        <f t="shared" ca="1" si="138"/>
        <v>-367843097.99295217</v>
      </c>
      <c r="L2977" s="455">
        <f t="shared" ca="1" si="139"/>
        <v>-88650186616.301468</v>
      </c>
      <c r="M2977" s="471">
        <f t="shared" si="141"/>
        <v>0.05</v>
      </c>
      <c r="N2977" s="475">
        <f t="shared" si="142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40"/>
        <v>-88650186616.301468</v>
      </c>
      <c r="J2978" s="455">
        <f t="array" ref="J2978">IFERROR(INDEX('Retirement Calculator'!K:K,MATCH('Lorri 401b'!N2978,'Retirement Calculator'!A:A,0),0),0)</f>
        <v>0</v>
      </c>
      <c r="K2978" s="455">
        <f t="shared" ca="1" si="138"/>
        <v>-369375777.56792277</v>
      </c>
      <c r="L2978" s="455">
        <f t="shared" ca="1" si="139"/>
        <v>-89019562393.869385</v>
      </c>
      <c r="M2978" s="471">
        <f t="shared" si="141"/>
        <v>0.05</v>
      </c>
      <c r="N2978" s="475">
        <f t="shared" si="142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40"/>
        <v>-89019562393.869385</v>
      </c>
      <c r="J2979" s="455">
        <f t="array" ref="J2979">IFERROR(INDEX('Retirement Calculator'!K:K,MATCH('Lorri 401b'!N2979,'Retirement Calculator'!A:A,0),0),0)</f>
        <v>0</v>
      </c>
      <c r="K2979" s="455">
        <f t="shared" ca="1" si="138"/>
        <v>-370914843.30778909</v>
      </c>
      <c r="L2979" s="455">
        <f t="shared" ca="1" si="139"/>
        <v>-89390477237.17717</v>
      </c>
      <c r="M2979" s="471">
        <f t="shared" si="141"/>
        <v>0.05</v>
      </c>
      <c r="N2979" s="475">
        <f t="shared" si="142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40"/>
        <v>-89390477237.17717</v>
      </c>
      <c r="J2980" s="455">
        <f t="array" ref="J2980">IFERROR(INDEX('Retirement Calculator'!K:K,MATCH('Lorri 401b'!N2980,'Retirement Calculator'!A:A,0),0),0)</f>
        <v>0</v>
      </c>
      <c r="K2980" s="455">
        <f t="shared" ca="1" si="138"/>
        <v>-372460321.82157153</v>
      </c>
      <c r="L2980" s="455">
        <f t="shared" ca="1" si="139"/>
        <v>-89762937558.998749</v>
      </c>
      <c r="M2980" s="471">
        <f t="shared" si="141"/>
        <v>0.05</v>
      </c>
      <c r="N2980" s="475">
        <f t="shared" si="142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40"/>
        <v>-89762937558.998749</v>
      </c>
      <c r="J2981" s="455">
        <f t="array" ref="J2981">IFERROR(INDEX('Retirement Calculator'!K:K,MATCH('Lorri 401b'!N2981,'Retirement Calculator'!A:A,0),0),0)</f>
        <v>0</v>
      </c>
      <c r="K2981" s="455">
        <f t="shared" ca="1" si="138"/>
        <v>-374012239.82916147</v>
      </c>
      <c r="L2981" s="455">
        <f t="shared" ca="1" si="139"/>
        <v>-90136949798.827911</v>
      </c>
      <c r="M2981" s="471">
        <f t="shared" si="141"/>
        <v>0.05</v>
      </c>
      <c r="N2981" s="475">
        <f t="shared" si="142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40"/>
        <v>-90136949798.827911</v>
      </c>
      <c r="J2982" s="455">
        <f t="array" ref="J2982">IFERROR(INDEX('Retirement Calculator'!K:K,MATCH('Lorri 401b'!N2982,'Retirement Calculator'!A:A,0),0),0)</f>
        <v>0</v>
      </c>
      <c r="K2982" s="455">
        <f t="shared" ca="1" si="138"/>
        <v>-375570624.16178298</v>
      </c>
      <c r="L2982" s="455">
        <f t="shared" ca="1" si="139"/>
        <v>-90512520422.9897</v>
      </c>
      <c r="M2982" s="471">
        <f t="shared" si="141"/>
        <v>0.05</v>
      </c>
      <c r="N2982" s="475">
        <f t="shared" si="142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40"/>
        <v>-90512520422.9897</v>
      </c>
      <c r="J2983" s="455">
        <f t="array" ref="J2983">IFERROR(INDEX('Retirement Calculator'!K:K,MATCH('Lorri 401b'!N2983,'Retirement Calculator'!A:A,0),0),0)</f>
        <v>0</v>
      </c>
      <c r="K2983" s="455">
        <f t="shared" ca="1" si="138"/>
        <v>-377135501.76245707</v>
      </c>
      <c r="L2983" s="455">
        <f t="shared" ca="1" si="139"/>
        <v>-90889655924.752151</v>
      </c>
      <c r="M2983" s="471">
        <f t="shared" si="141"/>
        <v>0.05</v>
      </c>
      <c r="N2983" s="475">
        <f t="shared" si="142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40"/>
        <v>-90889655924.752151</v>
      </c>
      <c r="J2984" s="455">
        <f t="array" ref="J2984">IFERROR(INDEX('Retirement Calculator'!K:K,MATCH('Lorri 401b'!N2984,'Retirement Calculator'!A:A,0),0),0)</f>
        <v>0</v>
      </c>
      <c r="K2984" s="455">
        <f t="shared" ca="1" si="138"/>
        <v>-378706899.68646729</v>
      </c>
      <c r="L2984" s="455">
        <f t="shared" ca="1" si="139"/>
        <v>-91268362824.438614</v>
      </c>
      <c r="M2984" s="471">
        <f t="shared" si="141"/>
        <v>0.05</v>
      </c>
      <c r="N2984" s="475">
        <f t="shared" si="142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40"/>
        <v>-91268362824.438614</v>
      </c>
      <c r="J2985" s="455">
        <f t="array" ref="J2985">IFERROR(INDEX('Retirement Calculator'!K:K,MATCH('Lorri 401b'!N2985,'Retirement Calculator'!A:A,0),0),0)</f>
        <v>0</v>
      </c>
      <c r="K2985" s="455">
        <f t="shared" ca="1" si="138"/>
        <v>-380284845.10182756</v>
      </c>
      <c r="L2985" s="455">
        <f t="shared" ca="1" si="139"/>
        <v>-91648647669.540436</v>
      </c>
      <c r="M2985" s="471">
        <f t="shared" si="141"/>
        <v>0.05</v>
      </c>
      <c r="N2985" s="475">
        <f t="shared" si="142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40"/>
        <v>-91648647669.540436</v>
      </c>
      <c r="J2986" s="455">
        <f t="array" ref="J2986">IFERROR(INDEX('Retirement Calculator'!K:K,MATCH('Lorri 401b'!N2986,'Retirement Calculator'!A:A,0),0),0)</f>
        <v>0</v>
      </c>
      <c r="K2986" s="455">
        <f t="shared" ca="1" si="138"/>
        <v>-381869365.28975183</v>
      </c>
      <c r="L2986" s="455">
        <f t="shared" ca="1" si="139"/>
        <v>-92030517034.830185</v>
      </c>
      <c r="M2986" s="471">
        <f t="shared" si="141"/>
        <v>0.05</v>
      </c>
      <c r="N2986" s="475">
        <f t="shared" si="142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40"/>
        <v>-92030517034.830185</v>
      </c>
      <c r="J2987" s="455">
        <f t="array" ref="J2987">IFERROR(INDEX('Retirement Calculator'!K:K,MATCH('Lorri 401b'!N2987,'Retirement Calculator'!A:A,0),0),0)</f>
        <v>0</v>
      </c>
      <c r="K2987" s="455">
        <f t="shared" ca="1" si="138"/>
        <v>-383460487.64512575</v>
      </c>
      <c r="L2987" s="455">
        <f t="shared" ca="1" si="139"/>
        <v>-92413977522.475311</v>
      </c>
      <c r="M2987" s="471">
        <f t="shared" si="141"/>
        <v>0.05</v>
      </c>
      <c r="N2987" s="475">
        <f t="shared" si="142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40"/>
        <v>-92413977522.475311</v>
      </c>
      <c r="J2988" s="455">
        <f t="array" ref="J2988">IFERROR(INDEX('Retirement Calculator'!K:K,MATCH('Lorri 401b'!N2988,'Retirement Calculator'!A:A,0),0),0)</f>
        <v>0</v>
      </c>
      <c r="K2988" s="455">
        <f t="shared" ca="1" si="138"/>
        <v>-385058239.67698044</v>
      </c>
      <c r="L2988" s="455">
        <f t="shared" ca="1" si="139"/>
        <v>-92799035762.152298</v>
      </c>
      <c r="M2988" s="471">
        <f t="shared" si="141"/>
        <v>0.05</v>
      </c>
      <c r="N2988" s="475">
        <f t="shared" si="142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40"/>
        <v>-92799035762.152298</v>
      </c>
      <c r="J2989" s="455">
        <f t="array" ref="J2989">IFERROR(INDEX('Retirement Calculator'!K:K,MATCH('Lorri 401b'!N2989,'Retirement Calculator'!A:A,0),0),0)</f>
        <v>0</v>
      </c>
      <c r="K2989" s="455">
        <f t="shared" ca="1" si="138"/>
        <v>-386662649.00896788</v>
      </c>
      <c r="L2989" s="455">
        <f t="shared" ca="1" si="139"/>
        <v>-93185698411.16127</v>
      </c>
      <c r="M2989" s="471">
        <f t="shared" si="141"/>
        <v>0.05</v>
      </c>
      <c r="N2989" s="475">
        <f t="shared" si="142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40"/>
        <v>-93185698411.16127</v>
      </c>
      <c r="J2990" s="455">
        <f t="array" ref="J2990">IFERROR(INDEX('Retirement Calculator'!K:K,MATCH('Lorri 401b'!N2990,'Retirement Calculator'!A:A,0),0),0)</f>
        <v>0</v>
      </c>
      <c r="K2990" s="455">
        <f t="shared" ca="1" si="138"/>
        <v>-388273743.37983865</v>
      </c>
      <c r="L2990" s="455">
        <f t="shared" ca="1" si="139"/>
        <v>-93573972154.541107</v>
      </c>
      <c r="M2990" s="471">
        <f t="shared" si="141"/>
        <v>0.05</v>
      </c>
      <c r="N2990" s="475">
        <f t="shared" si="142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40"/>
        <v>-93573972154.541107</v>
      </c>
      <c r="J2991" s="455">
        <f t="array" ref="J2991">IFERROR(INDEX('Retirement Calculator'!K:K,MATCH('Lorri 401b'!N2991,'Retirement Calculator'!A:A,0),0),0)</f>
        <v>0</v>
      </c>
      <c r="K2991" s="455">
        <f t="shared" ca="1" si="138"/>
        <v>-389891550.64392126</v>
      </c>
      <c r="L2991" s="455">
        <f t="shared" ca="1" si="139"/>
        <v>-93963863705.185028</v>
      </c>
      <c r="M2991" s="471">
        <f t="shared" si="141"/>
        <v>0.05</v>
      </c>
      <c r="N2991" s="475">
        <f t="shared" si="142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40"/>
        <v>-93963863705.185028</v>
      </c>
      <c r="J2992" s="455">
        <f t="array" ref="J2992">IFERROR(INDEX('Retirement Calculator'!K:K,MATCH('Lorri 401b'!N2992,'Retirement Calculator'!A:A,0),0),0)</f>
        <v>0</v>
      </c>
      <c r="K2992" s="455">
        <f t="shared" ca="1" si="138"/>
        <v>-391516098.7716043</v>
      </c>
      <c r="L2992" s="455">
        <f t="shared" ca="1" si="139"/>
        <v>-94355379803.956635</v>
      </c>
      <c r="M2992" s="471">
        <f t="shared" si="141"/>
        <v>0.05</v>
      </c>
      <c r="N2992" s="475">
        <f t="shared" si="142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40"/>
        <v>-94355379803.956635</v>
      </c>
      <c r="J2993" s="455">
        <f t="array" ref="J2993">IFERROR(INDEX('Retirement Calculator'!K:K,MATCH('Lorri 401b'!N2993,'Retirement Calculator'!A:A,0),0),0)</f>
        <v>0</v>
      </c>
      <c r="K2993" s="455">
        <f t="shared" ca="1" si="138"/>
        <v>-393147415.8498193</v>
      </c>
      <c r="L2993" s="455">
        <f t="shared" ca="1" si="139"/>
        <v>-94748527219.806458</v>
      </c>
      <c r="M2993" s="471">
        <f t="shared" si="141"/>
        <v>0.05</v>
      </c>
      <c r="N2993" s="475">
        <f t="shared" si="142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40"/>
        <v>-94748527219.806458</v>
      </c>
      <c r="J2994" s="455">
        <f t="array" ref="J2994">IFERROR(INDEX('Retirement Calculator'!K:K,MATCH('Lorri 401b'!N2994,'Retirement Calculator'!A:A,0),0),0)</f>
        <v>0</v>
      </c>
      <c r="K2994" s="455">
        <f t="shared" ca="1" si="138"/>
        <v>-394785530.08252692</v>
      </c>
      <c r="L2994" s="455">
        <f t="shared" ca="1" si="139"/>
        <v>-95143312749.888977</v>
      </c>
      <c r="M2994" s="471">
        <f t="shared" si="141"/>
        <v>0.05</v>
      </c>
      <c r="N2994" s="475">
        <f t="shared" si="142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40"/>
        <v>-95143312749.888977</v>
      </c>
      <c r="J2995" s="455">
        <f t="array" ref="J2995">IFERROR(INDEX('Retirement Calculator'!K:K,MATCH('Lorri 401b'!N2995,'Retirement Calculator'!A:A,0),0),0)</f>
        <v>0</v>
      </c>
      <c r="K2995" s="455">
        <f t="shared" ca="1" si="138"/>
        <v>-396430469.79120409</v>
      </c>
      <c r="L2995" s="455">
        <f t="shared" ca="1" si="139"/>
        <v>-95539743219.680176</v>
      </c>
      <c r="M2995" s="471">
        <f t="shared" si="141"/>
        <v>0.05</v>
      </c>
      <c r="N2995" s="475">
        <f t="shared" si="142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40"/>
        <v>-95539743219.680176</v>
      </c>
      <c r="J2996" s="455">
        <f t="array" ref="J2996">IFERROR(INDEX('Retirement Calculator'!K:K,MATCH('Lorri 401b'!N2996,'Retirement Calculator'!A:A,0),0),0)</f>
        <v>0</v>
      </c>
      <c r="K2996" s="455">
        <f t="shared" ca="1" si="138"/>
        <v>-398082263.41533405</v>
      </c>
      <c r="L2996" s="455">
        <f t="shared" ca="1" si="139"/>
        <v>-95937825483.095505</v>
      </c>
      <c r="M2996" s="471">
        <f t="shared" si="141"/>
        <v>0.05</v>
      </c>
      <c r="N2996" s="475">
        <f t="shared" si="142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40"/>
        <v>-95937825483.095505</v>
      </c>
      <c r="J2997" s="455">
        <f t="array" ref="J2997">IFERROR(INDEX('Retirement Calculator'!K:K,MATCH('Lorri 401b'!N2997,'Retirement Calculator'!A:A,0),0),0)</f>
        <v>0</v>
      </c>
      <c r="K2997" s="455">
        <f t="shared" ca="1" si="138"/>
        <v>-399740939.51289791</v>
      </c>
      <c r="L2997" s="455">
        <f t="shared" ca="1" si="139"/>
        <v>-96337566422.608398</v>
      </c>
      <c r="M2997" s="471">
        <f t="shared" si="141"/>
        <v>0.05</v>
      </c>
      <c r="N2997" s="475">
        <f t="shared" si="142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40"/>
        <v>-96337566422.608398</v>
      </c>
      <c r="J2998" s="455">
        <f t="array" ref="J2998">IFERROR(INDEX('Retirement Calculator'!K:K,MATCH('Lorri 401b'!N2998,'Retirement Calculator'!A:A,0),0),0)</f>
        <v>0</v>
      </c>
      <c r="K2998" s="455">
        <f t="shared" ca="1" si="138"/>
        <v>-401406526.76086831</v>
      </c>
      <c r="L2998" s="455">
        <f t="shared" ca="1" si="139"/>
        <v>-96738972949.369263</v>
      </c>
      <c r="M2998" s="471">
        <f t="shared" si="141"/>
        <v>0.05</v>
      </c>
      <c r="N2998" s="475">
        <f t="shared" si="142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40"/>
        <v>-96738972949.369263</v>
      </c>
      <c r="J2999" s="455">
        <f t="array" ref="J2999">IFERROR(INDEX('Retirement Calculator'!K:K,MATCH('Lorri 401b'!N2999,'Retirement Calculator'!A:A,0),0),0)</f>
        <v>0</v>
      </c>
      <c r="K2999" s="455">
        <f t="shared" ca="1" si="138"/>
        <v>-403079053.95570529</v>
      </c>
      <c r="L2999" s="455">
        <f t="shared" ca="1" si="139"/>
        <v>-97142052003.324966</v>
      </c>
      <c r="M2999" s="471">
        <f t="shared" si="141"/>
        <v>0.05</v>
      </c>
      <c r="N2999" s="475">
        <f t="shared" si="142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40"/>
        <v>-97142052003.324966</v>
      </c>
      <c r="J3000" s="455">
        <f t="array" ref="J3000">IFERROR(INDEX('Retirement Calculator'!K:K,MATCH('Lorri 401b'!N3000,'Retirement Calculator'!A:A,0),0),0)</f>
        <v>0</v>
      </c>
      <c r="K3000" s="455">
        <f t="shared" ca="1" si="138"/>
        <v>-404758550.01385403</v>
      </c>
      <c r="L3000" s="455">
        <f t="shared" ca="1" si="139"/>
        <v>-97546810553.338821</v>
      </c>
      <c r="M3000" s="471">
        <f t="shared" si="141"/>
        <v>0.05</v>
      </c>
      <c r="N3000" s="475">
        <f t="shared" si="142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40"/>
        <v>-97546810553.338821</v>
      </c>
      <c r="J3001" s="455">
        <f t="array" ref="J3001">IFERROR(INDEX('Retirement Calculator'!K:K,MATCH('Lorri 401b'!N3001,'Retirement Calculator'!A:A,0),0),0)</f>
        <v>0</v>
      </c>
      <c r="K3001" s="455">
        <f t="shared" ca="1" si="138"/>
        <v>-406445043.9722451</v>
      </c>
      <c r="L3001" s="455">
        <f t="shared" ca="1" si="139"/>
        <v>-97953255597.311066</v>
      </c>
      <c r="M3001" s="471">
        <f t="shared" si="141"/>
        <v>0.05</v>
      </c>
      <c r="N3001" s="475">
        <f t="shared" si="142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40"/>
        <v>-97953255597.311066</v>
      </c>
      <c r="J3002" s="455">
        <f t="array" ref="J3002">IFERROR(INDEX('Retirement Calculator'!K:K,MATCH('Lorri 401b'!N3002,'Retirement Calculator'!A:A,0),0),0)</f>
        <v>0</v>
      </c>
      <c r="K3002" s="455">
        <f t="shared" ca="1" si="138"/>
        <v>-408138564.98879611</v>
      </c>
      <c r="L3002" s="455">
        <f t="shared" ca="1" si="139"/>
        <v>-98361394162.299866</v>
      </c>
      <c r="M3002" s="471">
        <f t="shared" si="141"/>
        <v>0.05</v>
      </c>
      <c r="N3002" s="475">
        <f t="shared" si="142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40"/>
        <v>-98361394162.299866</v>
      </c>
      <c r="J3003" s="455">
        <f t="array" ref="J3003">IFERROR(INDEX('Retirement Calculator'!K:K,MATCH('Lorri 401b'!N3003,'Retirement Calculator'!A:A,0),0),0)</f>
        <v>0</v>
      </c>
      <c r="K3003" s="455">
        <f t="shared" ca="1" si="138"/>
        <v>-409839142.34291613</v>
      </c>
      <c r="L3003" s="455">
        <f t="shared" ca="1" si="139"/>
        <v>-98771233304.642776</v>
      </c>
      <c r="M3003" s="471">
        <f t="shared" si="141"/>
        <v>0.05</v>
      </c>
      <c r="N3003" s="475">
        <f t="shared" si="142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40"/>
        <v>-98771233304.642776</v>
      </c>
      <c r="J3004" s="455">
        <f t="array" ref="J3004">IFERROR(INDEX('Retirement Calculator'!K:K,MATCH('Lorri 401b'!N3004,'Retirement Calculator'!A:A,0),0),0)</f>
        <v>0</v>
      </c>
      <c r="K3004" s="455">
        <f t="shared" ca="1" si="138"/>
        <v>-411546805.43601155</v>
      </c>
      <c r="L3004" s="455">
        <f t="shared" ca="1" si="139"/>
        <v>-99182780110.078781</v>
      </c>
      <c r="M3004" s="471">
        <f t="shared" si="141"/>
        <v>0.05</v>
      </c>
      <c r="N3004" s="475">
        <f t="shared" si="142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40"/>
        <v>-99182780110.078781</v>
      </c>
      <c r="J3005" s="455">
        <f t="array" ref="J3005">IFERROR(INDEX('Retirement Calculator'!K:K,MATCH('Lorri 401b'!N3005,'Retirement Calculator'!A:A,0),0),0)</f>
        <v>0</v>
      </c>
      <c r="K3005" s="455">
        <f t="shared" ca="1" si="138"/>
        <v>-413261583.79199493</v>
      </c>
      <c r="L3005" s="455">
        <f t="shared" ca="1" si="139"/>
        <v>-99596041693.870773</v>
      </c>
      <c r="M3005" s="471">
        <f t="shared" si="141"/>
        <v>0.05</v>
      </c>
      <c r="N3005" s="475">
        <f t="shared" si="142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40"/>
        <v>-99596041693.870773</v>
      </c>
      <c r="J3006" s="455">
        <f t="array" ref="J3006">IFERROR(INDEX('Retirement Calculator'!K:K,MATCH('Lorri 401b'!N3006,'Retirement Calculator'!A:A,0),0),0)</f>
        <v>0</v>
      </c>
      <c r="K3006" s="455">
        <f t="shared" ca="1" si="138"/>
        <v>-414983507.05779487</v>
      </c>
      <c r="L3006" s="455">
        <f t="shared" ca="1" si="139"/>
        <v>-100011025200.92857</v>
      </c>
      <c r="M3006" s="471">
        <f t="shared" si="141"/>
        <v>0.05</v>
      </c>
      <c r="N3006" s="475">
        <f t="shared" si="142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40"/>
        <v>-100011025200.92857</v>
      </c>
      <c r="J3007" s="455">
        <f t="array" ref="J3007">IFERROR(INDEX('Retirement Calculator'!K:K,MATCH('Lorri 401b'!N3007,'Retirement Calculator'!A:A,0),0),0)</f>
        <v>0</v>
      </c>
      <c r="K3007" s="455">
        <f t="shared" ca="1" si="138"/>
        <v>-416712605.00386906</v>
      </c>
      <c r="L3007" s="455">
        <f t="shared" ca="1" si="139"/>
        <v>-100427737805.93245</v>
      </c>
      <c r="M3007" s="471">
        <f t="shared" si="141"/>
        <v>0.05</v>
      </c>
      <c r="N3007" s="475">
        <f t="shared" si="142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40"/>
        <v>-100427737805.93245</v>
      </c>
      <c r="J3008" s="455">
        <f t="array" ref="J3008">IFERROR(INDEX('Retirement Calculator'!K:K,MATCH('Lorri 401b'!N3008,'Retirement Calculator'!A:A,0),0),0)</f>
        <v>0</v>
      </c>
      <c r="K3008" s="455">
        <f t="shared" ca="1" si="138"/>
        <v>-418448907.52471852</v>
      </c>
      <c r="L3008" s="455">
        <f t="shared" ca="1" si="139"/>
        <v>-100846186713.45717</v>
      </c>
      <c r="M3008" s="471">
        <f t="shared" si="141"/>
        <v>0.05</v>
      </c>
      <c r="N3008" s="475">
        <f t="shared" si="142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40"/>
        <v>-100846186713.45717</v>
      </c>
      <c r="J3009" s="455">
        <f t="array" ref="J3009">IFERROR(INDEX('Retirement Calculator'!K:K,MATCH('Lorri 401b'!N3009,'Retirement Calculator'!A:A,0),0),0)</f>
        <v>0</v>
      </c>
      <c r="K3009" s="455">
        <f t="shared" ca="1" si="138"/>
        <v>-420192444.63940489</v>
      </c>
      <c r="L3009" s="455">
        <f t="shared" ca="1" si="139"/>
        <v>-101266379158.09657</v>
      </c>
      <c r="M3009" s="471">
        <f t="shared" si="141"/>
        <v>0.05</v>
      </c>
      <c r="N3009" s="475">
        <f t="shared" si="142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40"/>
        <v>-101266379158.09657</v>
      </c>
      <c r="J3010" s="455">
        <f t="array" ref="J3010">IFERROR(INDEX('Retirement Calculator'!K:K,MATCH('Lorri 401b'!N3010,'Retirement Calculator'!A:A,0),0),0)</f>
        <v>0</v>
      </c>
      <c r="K3010" s="455">
        <f t="shared" ca="1" si="138"/>
        <v>-421943246.49206907</v>
      </c>
      <c r="L3010" s="455">
        <f t="shared" ca="1" si="139"/>
        <v>-101688322404.58864</v>
      </c>
      <c r="M3010" s="471">
        <f t="shared" si="141"/>
        <v>0.05</v>
      </c>
      <c r="N3010" s="475">
        <f t="shared" si="142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40"/>
        <v>-101688322404.58864</v>
      </c>
      <c r="J3011" s="455">
        <f t="array" ref="J3011">IFERROR(INDEX('Retirement Calculator'!K:K,MATCH('Lorri 401b'!N3011,'Retirement Calculator'!A:A,0),0),0)</f>
        <v>0</v>
      </c>
      <c r="K3011" s="455">
        <f t="shared" ca="1" si="138"/>
        <v>-423701343.35245264</v>
      </c>
      <c r="L3011" s="455">
        <f t="shared" ca="1" si="139"/>
        <v>-102112023747.94109</v>
      </c>
      <c r="M3011" s="471">
        <f t="shared" si="141"/>
        <v>0.05</v>
      </c>
      <c r="N3011" s="475">
        <f t="shared" si="142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40"/>
        <v>-102112023747.94109</v>
      </c>
      <c r="J3012" s="455">
        <f t="array" ref="J3012">IFERROR(INDEX('Retirement Calculator'!K:K,MATCH('Lorri 401b'!N3012,'Retirement Calculator'!A:A,0),0),0)</f>
        <v>0</v>
      </c>
      <c r="K3012" s="455">
        <f t="shared" ca="1" si="138"/>
        <v>-425466765.61642116</v>
      </c>
      <c r="L3012" s="455">
        <f t="shared" ca="1" si="139"/>
        <v>-102537490513.55751</v>
      </c>
      <c r="M3012" s="471">
        <f t="shared" si="141"/>
        <v>0.05</v>
      </c>
      <c r="N3012" s="475">
        <f t="shared" si="142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40"/>
        <v>-102537490513.55751</v>
      </c>
      <c r="J3013" s="455">
        <f t="array" ref="J3013">IFERROR(INDEX('Retirement Calculator'!K:K,MATCH('Lorri 401b'!N3013,'Retirement Calculator'!A:A,0),0),0)</f>
        <v>0</v>
      </c>
      <c r="K3013" s="455">
        <f t="shared" ca="1" si="138"/>
        <v>-427239543.80648965</v>
      </c>
      <c r="L3013" s="455">
        <f t="shared" ca="1" si="139"/>
        <v>-102964730057.364</v>
      </c>
      <c r="M3013" s="471">
        <f t="shared" si="141"/>
        <v>0.05</v>
      </c>
      <c r="N3013" s="475">
        <f t="shared" si="142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40"/>
        <v>-102964730057.364</v>
      </c>
      <c r="J3014" s="455">
        <f t="array" ref="J3014">IFERROR(INDEX('Retirement Calculator'!K:K,MATCH('Lorri 401b'!N3014,'Retirement Calculator'!A:A,0),0),0)</f>
        <v>0</v>
      </c>
      <c r="K3014" s="455">
        <f t="shared" ca="1" si="138"/>
        <v>-429019708.57234997</v>
      </c>
      <c r="L3014" s="455">
        <f t="shared" ca="1" si="139"/>
        <v>-103393749765.93636</v>
      </c>
      <c r="M3014" s="471">
        <f t="shared" si="141"/>
        <v>0.05</v>
      </c>
      <c r="N3014" s="475">
        <f t="shared" si="142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40"/>
        <v>-103393749765.93636</v>
      </c>
      <c r="J3015" s="455">
        <f t="array" ref="J3015">IFERROR(INDEX('Retirement Calculator'!K:K,MATCH('Lorri 401b'!N3015,'Retirement Calculator'!A:A,0),0),0)</f>
        <v>0</v>
      </c>
      <c r="K3015" s="455">
        <f t="shared" ca="1" si="138"/>
        <v>-430807290.69140148</v>
      </c>
      <c r="L3015" s="455">
        <f t="shared" ca="1" si="139"/>
        <v>-103824557056.62776</v>
      </c>
      <c r="M3015" s="471">
        <f t="shared" si="141"/>
        <v>0.05</v>
      </c>
      <c r="N3015" s="475">
        <f t="shared" si="142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40"/>
        <v>-103824557056.62776</v>
      </c>
      <c r="J3016" s="455">
        <f t="array" ref="J3016">IFERROR(INDEX('Retirement Calculator'!K:K,MATCH('Lorri 401b'!N3016,'Retirement Calculator'!A:A,0),0),0)</f>
        <v>0</v>
      </c>
      <c r="K3016" s="455">
        <f t="shared" ca="1" si="138"/>
        <v>-432602321.06928235</v>
      </c>
      <c r="L3016" s="455">
        <f t="shared" ca="1" si="139"/>
        <v>-104257159377.69704</v>
      </c>
      <c r="M3016" s="471">
        <f t="shared" si="141"/>
        <v>0.05</v>
      </c>
      <c r="N3016" s="475">
        <f t="shared" si="142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40"/>
        <v>-104257159377.69704</v>
      </c>
      <c r="J3017" s="455">
        <f t="array" ref="J3017">IFERROR(INDEX('Retirement Calculator'!K:K,MATCH('Lorri 401b'!N3017,'Retirement Calculator'!A:A,0),0),0)</f>
        <v>0</v>
      </c>
      <c r="K3017" s="455">
        <f t="shared" ca="1" si="138"/>
        <v>-434404830.74040431</v>
      </c>
      <c r="L3017" s="455">
        <f t="shared" ca="1" si="139"/>
        <v>-104691564208.43744</v>
      </c>
      <c r="M3017" s="471">
        <f t="shared" si="141"/>
        <v>0.05</v>
      </c>
      <c r="N3017" s="475">
        <f t="shared" si="142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40"/>
        <v>-104691564208.43744</v>
      </c>
      <c r="J3018" s="455">
        <f t="array" ref="J3018">IFERROR(INDEX('Retirement Calculator'!K:K,MATCH('Lorri 401b'!N3018,'Retirement Calculator'!A:A,0),0),0)</f>
        <v>0</v>
      </c>
      <c r="K3018" s="455">
        <f t="shared" ca="1" si="138"/>
        <v>-436214850.86848933</v>
      </c>
      <c r="L3018" s="455">
        <f t="shared" ca="1" si="139"/>
        <v>-105127779059.30592</v>
      </c>
      <c r="M3018" s="471">
        <f t="shared" si="141"/>
        <v>0.05</v>
      </c>
      <c r="N3018" s="475">
        <f t="shared" si="142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40"/>
        <v>-105127779059.30592</v>
      </c>
      <c r="J3019" s="455">
        <f t="array" ref="J3019">IFERROR(INDEX('Retirement Calculator'!K:K,MATCH('Lorri 401b'!N3019,'Retirement Calculator'!A:A,0),0),0)</f>
        <v>0</v>
      </c>
      <c r="K3019" s="455">
        <f t="shared" ca="1" si="138"/>
        <v>-438032412.74710798</v>
      </c>
      <c r="L3019" s="455">
        <f t="shared" ca="1" si="139"/>
        <v>-105565811472.05302</v>
      </c>
      <c r="M3019" s="471">
        <f t="shared" si="141"/>
        <v>0.05</v>
      </c>
      <c r="N3019" s="475">
        <f t="shared" si="142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40"/>
        <v>-105565811472.05302</v>
      </c>
      <c r="J3020" s="455">
        <f t="array" ref="J3020">IFERROR(INDEX('Retirement Calculator'!K:K,MATCH('Lorri 401b'!N3020,'Retirement Calculator'!A:A,0),0),0)</f>
        <v>0</v>
      </c>
      <c r="K3020" s="455">
        <f t="shared" ca="1" si="138"/>
        <v>-439857547.80022091</v>
      </c>
      <c r="L3020" s="455">
        <f t="shared" ca="1" si="139"/>
        <v>-106005669019.85324</v>
      </c>
      <c r="M3020" s="471">
        <f t="shared" si="141"/>
        <v>0.05</v>
      </c>
      <c r="N3020" s="475">
        <f t="shared" si="142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40"/>
        <v>-106005669019.85324</v>
      </c>
      <c r="J3021" s="455">
        <f t="array" ref="J3021">IFERROR(INDEX('Retirement Calculator'!K:K,MATCH('Lorri 401b'!N3021,'Retirement Calculator'!A:A,0),0),0)</f>
        <v>0</v>
      </c>
      <c r="K3021" s="455">
        <f t="shared" ca="1" si="138"/>
        <v>-441690287.58272183</v>
      </c>
      <c r="L3021" s="455">
        <f t="shared" ca="1" si="139"/>
        <v>-106447359307.43596</v>
      </c>
      <c r="M3021" s="471">
        <f t="shared" si="141"/>
        <v>0.05</v>
      </c>
      <c r="N3021" s="475">
        <f t="shared" si="142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40"/>
        <v>-106447359307.43596</v>
      </c>
      <c r="J3022" s="455">
        <f t="array" ref="J3022">IFERROR(INDEX('Retirement Calculator'!K:K,MATCH('Lorri 401b'!N3022,'Retirement Calculator'!A:A,0),0),0)</f>
        <v>0</v>
      </c>
      <c r="K3022" s="455">
        <f t="shared" ca="1" si="138"/>
        <v>-443530663.78098315</v>
      </c>
      <c r="L3022" s="455">
        <f t="shared" ca="1" si="139"/>
        <v>-106890889971.21695</v>
      </c>
      <c r="M3022" s="471">
        <f t="shared" si="141"/>
        <v>0.05</v>
      </c>
      <c r="N3022" s="475">
        <f t="shared" si="142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40"/>
        <v>-106890889971.21695</v>
      </c>
      <c r="J3023" s="455">
        <f t="array" ref="J3023">IFERROR(INDEX('Retirement Calculator'!K:K,MATCH('Lorri 401b'!N3023,'Retirement Calculator'!A:A,0),0),0)</f>
        <v>0</v>
      </c>
      <c r="K3023" s="455">
        <f t="shared" ca="1" si="138"/>
        <v>-445378708.21340394</v>
      </c>
      <c r="L3023" s="455">
        <f t="shared" ca="1" si="139"/>
        <v>-107336268679.43036</v>
      </c>
      <c r="M3023" s="471">
        <f t="shared" si="141"/>
        <v>0.05</v>
      </c>
      <c r="N3023" s="475">
        <f t="shared" si="142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40"/>
        <v>-107336268679.43036</v>
      </c>
      <c r="J3024" s="455">
        <f t="array" ref="J3024">IFERROR(INDEX('Retirement Calculator'!K:K,MATCH('Lorri 401b'!N3024,'Retirement Calculator'!A:A,0),0),0)</f>
        <v>0</v>
      </c>
      <c r="K3024" s="455">
        <f t="shared" ca="1" si="138"/>
        <v>-447234452.8309598</v>
      </c>
      <c r="L3024" s="455">
        <f t="shared" ca="1" si="139"/>
        <v>-107783503132.26132</v>
      </c>
      <c r="M3024" s="471">
        <f t="shared" si="141"/>
        <v>0.05</v>
      </c>
      <c r="N3024" s="475">
        <f t="shared" si="142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40"/>
        <v>-107783503132.26132</v>
      </c>
      <c r="J3025" s="455">
        <f t="array" ref="J3025">IFERROR(INDEX('Retirement Calculator'!K:K,MATCH('Lorri 401b'!N3025,'Retirement Calculator'!A:A,0),0),0)</f>
        <v>0</v>
      </c>
      <c r="K3025" s="455">
        <f t="shared" ca="1" si="138"/>
        <v>-449097929.7177555</v>
      </c>
      <c r="L3025" s="455">
        <f t="shared" ca="1" si="139"/>
        <v>-108232601061.97908</v>
      </c>
      <c r="M3025" s="471">
        <f t="shared" si="141"/>
        <v>0.05</v>
      </c>
      <c r="N3025" s="475">
        <f t="shared" si="142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40"/>
        <v>-108232601061.97908</v>
      </c>
      <c r="J3026" s="455">
        <f t="array" ref="J3026">IFERROR(INDEX('Retirement Calculator'!K:K,MATCH('Lorri 401b'!N3026,'Retirement Calculator'!A:A,0),0),0)</f>
        <v>0</v>
      </c>
      <c r="K3026" s="455">
        <f t="shared" ca="1" si="138"/>
        <v>-450969171.09157944</v>
      </c>
      <c r="L3026" s="455">
        <f t="shared" ca="1" si="139"/>
        <v>-108683570233.07066</v>
      </c>
      <c r="M3026" s="471">
        <f t="shared" si="141"/>
        <v>0.05</v>
      </c>
      <c r="N3026" s="475">
        <f t="shared" si="142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40"/>
        <v>-108683570233.07066</v>
      </c>
      <c r="J3027" s="455">
        <f t="array" ref="J3027">IFERROR(INDEX('Retirement Calculator'!K:K,MATCH('Lorri 401b'!N3027,'Retirement Calculator'!A:A,0),0),0)</f>
        <v>0</v>
      </c>
      <c r="K3027" s="455">
        <f t="shared" ca="1" si="138"/>
        <v>-452848209.30446106</v>
      </c>
      <c r="L3027" s="455">
        <f t="shared" ca="1" si="139"/>
        <v>-109136418442.37512</v>
      </c>
      <c r="M3027" s="471">
        <f t="shared" si="141"/>
        <v>0.05</v>
      </c>
      <c r="N3027" s="475">
        <f t="shared" si="142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40"/>
        <v>-109136418442.37512</v>
      </c>
      <c r="J3028" s="455">
        <f t="array" ref="J3028">IFERROR(INDEX('Retirement Calculator'!K:K,MATCH('Lorri 401b'!N3028,'Retirement Calculator'!A:A,0),0),0)</f>
        <v>0</v>
      </c>
      <c r="K3028" s="455">
        <f t="shared" ca="1" si="138"/>
        <v>-454735076.84322965</v>
      </c>
      <c r="L3028" s="455">
        <f t="shared" ca="1" si="139"/>
        <v>-109591153519.21835</v>
      </c>
      <c r="M3028" s="471">
        <f t="shared" si="141"/>
        <v>0.05</v>
      </c>
      <c r="N3028" s="475">
        <f t="shared" si="142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40"/>
        <v>-109591153519.21835</v>
      </c>
      <c r="J3029" s="455">
        <f t="array" ref="J3029">IFERROR(INDEX('Retirement Calculator'!K:K,MATCH('Lorri 401b'!N3029,'Retirement Calculator'!A:A,0),0),0)</f>
        <v>0</v>
      </c>
      <c r="K3029" s="455">
        <f t="shared" ca="1" si="138"/>
        <v>-456629806.33007646</v>
      </c>
      <c r="L3029" s="455">
        <f t="shared" ca="1" si="139"/>
        <v>-110047783325.54843</v>
      </c>
      <c r="M3029" s="471">
        <f t="shared" si="141"/>
        <v>0.05</v>
      </c>
      <c r="N3029" s="475">
        <f t="shared" si="142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40"/>
        <v>-110047783325.54843</v>
      </c>
      <c r="J3030" s="455">
        <f t="array" ref="J3030">IFERROR(INDEX('Retirement Calculator'!K:K,MATCH('Lorri 401b'!N3030,'Retirement Calculator'!A:A,0),0),0)</f>
        <v>0</v>
      </c>
      <c r="K3030" s="455">
        <f t="shared" ca="1" si="138"/>
        <v>-458532430.52311844</v>
      </c>
      <c r="L3030" s="455">
        <f t="shared" ca="1" si="139"/>
        <v>-110506315756.07155</v>
      </c>
      <c r="M3030" s="471">
        <f t="shared" si="141"/>
        <v>0.05</v>
      </c>
      <c r="N3030" s="475">
        <f t="shared" si="142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40"/>
        <v>-110506315756.07155</v>
      </c>
      <c r="J3031" s="455">
        <f t="array" ref="J3031">IFERROR(INDEX('Retirement Calculator'!K:K,MATCH('Lorri 401b'!N3031,'Retirement Calculator'!A:A,0),0),0)</f>
        <v>0</v>
      </c>
      <c r="K3031" s="455">
        <f t="shared" ca="1" si="138"/>
        <v>-460442982.31696469</v>
      </c>
      <c r="L3031" s="455">
        <f t="shared" ca="1" si="139"/>
        <v>-110966758738.38852</v>
      </c>
      <c r="M3031" s="471">
        <f t="shared" si="141"/>
        <v>0.05</v>
      </c>
      <c r="N3031" s="475">
        <f t="shared" si="142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40"/>
        <v>-110966758738.38852</v>
      </c>
      <c r="J3032" s="455">
        <f t="array" ref="J3032">IFERROR(INDEX('Retirement Calculator'!K:K,MATCH('Lorri 401b'!N3032,'Retirement Calculator'!A:A,0),0),0)</f>
        <v>0</v>
      </c>
      <c r="K3032" s="455">
        <f t="shared" ca="1" si="138"/>
        <v>-462361494.74328542</v>
      </c>
      <c r="L3032" s="455">
        <f t="shared" ca="1" si="139"/>
        <v>-111429120233.13181</v>
      </c>
      <c r="M3032" s="471">
        <f t="shared" si="141"/>
        <v>0.05</v>
      </c>
      <c r="N3032" s="475">
        <f t="shared" si="142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40"/>
        <v>-111429120233.13181</v>
      </c>
      <c r="J3033" s="455">
        <f t="array" ref="J3033">IFERROR(INDEX('Retirement Calculator'!K:K,MATCH('Lorri 401b'!N3033,'Retirement Calculator'!A:A,0),0),0)</f>
        <v>0</v>
      </c>
      <c r="K3033" s="455">
        <f t="shared" ca="1" si="138"/>
        <v>-464288000.97138256</v>
      </c>
      <c r="L3033" s="455">
        <f t="shared" ca="1" si="139"/>
        <v>-111893408234.1032</v>
      </c>
      <c r="M3033" s="471">
        <f t="shared" si="141"/>
        <v>0.05</v>
      </c>
      <c r="N3033" s="475">
        <f t="shared" si="142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40"/>
        <v>-111893408234.1032</v>
      </c>
      <c r="J3034" s="455">
        <f t="array" ref="J3034">IFERROR(INDEX('Retirement Calculator'!K:K,MATCH('Lorri 401b'!N3034,'Retirement Calculator'!A:A,0),0),0)</f>
        <v>0</v>
      </c>
      <c r="K3034" s="455">
        <f t="shared" ca="1" si="138"/>
        <v>-466222534.30876333</v>
      </c>
      <c r="L3034" s="455">
        <f t="shared" ca="1" si="139"/>
        <v>-112359630768.41196</v>
      </c>
      <c r="M3034" s="471">
        <f t="shared" si="141"/>
        <v>0.05</v>
      </c>
      <c r="N3034" s="475">
        <f t="shared" si="142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40"/>
        <v>-112359630768.41196</v>
      </c>
      <c r="J3035" s="455">
        <f t="array" ref="J3035">IFERROR(INDEX('Retirement Calculator'!K:K,MATCH('Lorri 401b'!N3035,'Retirement Calculator'!A:A,0),0),0)</f>
        <v>0</v>
      </c>
      <c r="K3035" s="455">
        <f t="shared" ca="1" si="138"/>
        <v>-468165128.20171642</v>
      </c>
      <c r="L3035" s="455">
        <f t="shared" ca="1" si="139"/>
        <v>-112827795896.61368</v>
      </c>
      <c r="M3035" s="471">
        <f t="shared" si="141"/>
        <v>0.05</v>
      </c>
      <c r="N3035" s="475">
        <f t="shared" si="142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40"/>
        <v>-112827795896.61368</v>
      </c>
      <c r="J3036" s="455">
        <f t="array" ref="J3036">IFERROR(INDEX('Retirement Calculator'!K:K,MATCH('Lorri 401b'!N3036,'Retirement Calculator'!A:A,0),0),0)</f>
        <v>0</v>
      </c>
      <c r="K3036" s="455">
        <f t="shared" ca="1" si="138"/>
        <v>-470115816.23589033</v>
      </c>
      <c r="L3036" s="455">
        <f t="shared" ca="1" si="139"/>
        <v>-113297911712.84956</v>
      </c>
      <c r="M3036" s="471">
        <f t="shared" si="141"/>
        <v>0.05</v>
      </c>
      <c r="N3036" s="475">
        <f t="shared" si="142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40"/>
        <v>-113297911712.84956</v>
      </c>
      <c r="J3037" s="455">
        <f t="array" ref="J3037">IFERROR(INDEX('Retirement Calculator'!K:K,MATCH('Lorri 401b'!N3037,'Retirement Calculator'!A:A,0),0),0)</f>
        <v>0</v>
      </c>
      <c r="K3037" s="455">
        <f t="shared" ca="1" si="138"/>
        <v>-472074632.13687319</v>
      </c>
      <c r="L3037" s="455">
        <f t="shared" ca="1" si="139"/>
        <v>-113769986344.98643</v>
      </c>
      <c r="M3037" s="471">
        <f t="shared" si="141"/>
        <v>0.05</v>
      </c>
      <c r="N3037" s="475">
        <f t="shared" si="142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40"/>
        <v>-113769986344.98643</v>
      </c>
      <c r="J3038" s="455">
        <f t="array" ref="J3038">IFERROR(INDEX('Retirement Calculator'!K:K,MATCH('Lorri 401b'!N3038,'Retirement Calculator'!A:A,0),0),0)</f>
        <v>0</v>
      </c>
      <c r="K3038" s="455">
        <f t="shared" ca="1" si="138"/>
        <v>-474041609.77077681</v>
      </c>
      <c r="L3038" s="455">
        <f t="shared" ca="1" si="139"/>
        <v>-114244027954.75722</v>
      </c>
      <c r="M3038" s="471">
        <f t="shared" si="141"/>
        <v>0.05</v>
      </c>
      <c r="N3038" s="475">
        <f t="shared" si="142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40"/>
        <v>-114244027954.75722</v>
      </c>
      <c r="J3039" s="455">
        <f t="array" ref="J3039">IFERROR(INDEX('Retirement Calculator'!K:K,MATCH('Lorri 401b'!N3039,'Retirement Calculator'!A:A,0),0),0)</f>
        <v>0</v>
      </c>
      <c r="K3039" s="455">
        <f t="shared" ca="1" si="138"/>
        <v>-476016783.14482182</v>
      </c>
      <c r="L3039" s="455">
        <f t="shared" ca="1" si="139"/>
        <v>-114720044737.90204</v>
      </c>
      <c r="M3039" s="471">
        <f t="shared" si="141"/>
        <v>0.05</v>
      </c>
      <c r="N3039" s="475">
        <f t="shared" si="142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40"/>
        <v>-114720044737.90204</v>
      </c>
      <c r="J3040" s="455">
        <f t="array" ref="J3040">IFERROR(INDEX('Retirement Calculator'!K:K,MATCH('Lorri 401b'!N3040,'Retirement Calculator'!A:A,0),0),0)</f>
        <v>0</v>
      </c>
      <c r="K3040" s="455">
        <f t="shared" ca="1" si="138"/>
        <v>-478000186.40792513</v>
      </c>
      <c r="L3040" s="455">
        <f t="shared" ca="1" si="139"/>
        <v>-115198044924.30997</v>
      </c>
      <c r="M3040" s="471">
        <f t="shared" si="141"/>
        <v>0.05</v>
      </c>
      <c r="N3040" s="475">
        <f t="shared" si="142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40"/>
        <v>-115198044924.30997</v>
      </c>
      <c r="J3041" s="455">
        <f t="array" ref="J3041">IFERROR(INDEX('Retirement Calculator'!K:K,MATCH('Lorri 401b'!N3041,'Retirement Calculator'!A:A,0),0),0)</f>
        <v>0</v>
      </c>
      <c r="K3041" s="455">
        <f t="shared" ca="1" si="138"/>
        <v>-479991853.85129154</v>
      </c>
      <c r="L3041" s="455">
        <f t="shared" ca="1" si="139"/>
        <v>-115678036778.16125</v>
      </c>
      <c r="M3041" s="471">
        <f t="shared" si="141"/>
        <v>0.05</v>
      </c>
      <c r="N3041" s="475">
        <f t="shared" si="142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40"/>
        <v>-115678036778.16125</v>
      </c>
      <c r="J3042" s="455">
        <f t="array" ref="J3042">IFERROR(INDEX('Retirement Calculator'!K:K,MATCH('Lorri 401b'!N3042,'Retirement Calculator'!A:A,0),0),0)</f>
        <v>0</v>
      </c>
      <c r="K3042" s="455">
        <f t="shared" ca="1" si="138"/>
        <v>-481991819.90900522</v>
      </c>
      <c r="L3042" s="455">
        <f t="shared" ca="1" si="139"/>
        <v>-116160028598.07027</v>
      </c>
      <c r="M3042" s="471">
        <f t="shared" si="141"/>
        <v>0.05</v>
      </c>
      <c r="N3042" s="475">
        <f t="shared" si="142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40"/>
        <v>-116160028598.07027</v>
      </c>
      <c r="J3043" s="455">
        <f t="array" ref="J3043">IFERROR(INDEX('Retirement Calculator'!K:K,MATCH('Lorri 401b'!N3043,'Retirement Calculator'!A:A,0),0),0)</f>
        <v>0</v>
      </c>
      <c r="K3043" s="455">
        <f t="shared" ca="1" si="138"/>
        <v>-484000119.15862608</v>
      </c>
      <c r="L3043" s="455">
        <f t="shared" ca="1" si="139"/>
        <v>-116644028717.2289</v>
      </c>
      <c r="M3043" s="471">
        <f t="shared" si="141"/>
        <v>0.05</v>
      </c>
      <c r="N3043" s="475">
        <f t="shared" si="142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40"/>
        <v>-116644028717.2289</v>
      </c>
      <c r="J3044" s="455">
        <f t="array" ref="J3044">IFERROR(INDEX('Retirement Calculator'!K:K,MATCH('Lorri 401b'!N3044,'Retirement Calculator'!A:A,0),0),0)</f>
        <v>0</v>
      </c>
      <c r="K3044" s="455">
        <f t="shared" ca="1" si="138"/>
        <v>-486016786.32178706</v>
      </c>
      <c r="L3044" s="455">
        <f t="shared" ca="1" si="139"/>
        <v>-117130045503.55069</v>
      </c>
      <c r="M3044" s="471">
        <f t="shared" si="141"/>
        <v>0.05</v>
      </c>
      <c r="N3044" s="475">
        <f t="shared" si="142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40"/>
        <v>-117130045503.55069</v>
      </c>
      <c r="J3045" s="455">
        <f t="array" ref="J3045">IFERROR(INDEX('Retirement Calculator'!K:K,MATCH('Lorri 401b'!N3045,'Retirement Calculator'!A:A,0),0),0)</f>
        <v>0</v>
      </c>
      <c r="K3045" s="455">
        <f t="shared" ca="1" si="138"/>
        <v>-488041856.26479447</v>
      </c>
      <c r="L3045" s="455">
        <f t="shared" ca="1" si="139"/>
        <v>-117618087359.81549</v>
      </c>
      <c r="M3045" s="471">
        <f t="shared" si="141"/>
        <v>0.05</v>
      </c>
      <c r="N3045" s="475">
        <f t="shared" si="142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40"/>
        <v>-117618087359.81549</v>
      </c>
      <c r="J3046" s="455">
        <f t="array" ref="J3046">IFERROR(INDEX('Retirement Calculator'!K:K,MATCH('Lorri 401b'!N3046,'Retirement Calculator'!A:A,0),0),0)</f>
        <v>0</v>
      </c>
      <c r="K3046" s="455">
        <f t="shared" ca="1" si="138"/>
        <v>-490075363.99923116</v>
      </c>
      <c r="L3046" s="455">
        <f t="shared" ca="1" si="139"/>
        <v>-118108162723.81473</v>
      </c>
      <c r="M3046" s="471">
        <f t="shared" si="141"/>
        <v>0.05</v>
      </c>
      <c r="N3046" s="475">
        <f t="shared" si="142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40"/>
        <v>-118108162723.81473</v>
      </c>
      <c r="J3047" s="455">
        <f t="array" ref="J3047">IFERROR(INDEX('Retirement Calculator'!K:K,MATCH('Lorri 401b'!N3047,'Retirement Calculator'!A:A,0),0),0)</f>
        <v>0</v>
      </c>
      <c r="K3047" s="455">
        <f t="shared" ca="1" si="138"/>
        <v>-492117344.68256128</v>
      </c>
      <c r="L3047" s="455">
        <f t="shared" ca="1" si="139"/>
        <v>-118600280068.49728</v>
      </c>
      <c r="M3047" s="471">
        <f t="shared" si="141"/>
        <v>0.05</v>
      </c>
      <c r="N3047" s="475">
        <f t="shared" si="142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40"/>
        <v>-118600280068.49728</v>
      </c>
      <c r="J3048" s="455">
        <f t="array" ref="J3048">IFERROR(INDEX('Retirement Calculator'!K:K,MATCH('Lorri 401b'!N3048,'Retirement Calculator'!A:A,0),0),0)</f>
        <v>0</v>
      </c>
      <c r="K3048" s="455">
        <f t="shared" ca="1" si="138"/>
        <v>-494167833.61873865</v>
      </c>
      <c r="L3048" s="455">
        <f t="shared" ca="1" si="139"/>
        <v>-119094447902.11603</v>
      </c>
      <c r="M3048" s="471">
        <f t="shared" si="141"/>
        <v>0.05</v>
      </c>
      <c r="N3048" s="475">
        <f t="shared" si="142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40"/>
        <v>-119094447902.11603</v>
      </c>
      <c r="J3049" s="455">
        <f t="array" ref="J3049">IFERROR(INDEX('Retirement Calculator'!K:K,MATCH('Lorri 401b'!N3049,'Retirement Calculator'!A:A,0),0),0)</f>
        <v>0</v>
      </c>
      <c r="K3049" s="455">
        <f t="shared" ca="1" si="138"/>
        <v>-496226866.25881678</v>
      </c>
      <c r="L3049" s="455">
        <f t="shared" ca="1" si="139"/>
        <v>-119590674768.37485</v>
      </c>
      <c r="M3049" s="471">
        <f t="shared" si="141"/>
        <v>0.05</v>
      </c>
      <c r="N3049" s="475">
        <f t="shared" si="142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40"/>
        <v>-119590674768.37485</v>
      </c>
      <c r="J3050" s="455">
        <f t="array" ref="J3050">IFERROR(INDEX('Retirement Calculator'!K:K,MATCH('Lorri 401b'!N3050,'Retirement Calculator'!A:A,0),0),0)</f>
        <v>0</v>
      </c>
      <c r="K3050" s="455">
        <f t="shared" ca="1" si="138"/>
        <v>-498294478.20156181</v>
      </c>
      <c r="L3050" s="455">
        <f t="shared" ca="1" si="139"/>
        <v>-120088969246.57642</v>
      </c>
      <c r="M3050" s="471">
        <f t="shared" si="141"/>
        <v>0.05</v>
      </c>
      <c r="N3050" s="475">
        <f t="shared" si="142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40"/>
        <v>-120088969246.57642</v>
      </c>
      <c r="J3051" s="455">
        <f t="array" ref="J3051">IFERROR(INDEX('Retirement Calculator'!K:K,MATCH('Lorri 401b'!N3051,'Retirement Calculator'!A:A,0),0),0)</f>
        <v>0</v>
      </c>
      <c r="K3051" s="455">
        <f t="shared" ca="1" si="138"/>
        <v>-500370705.19406843</v>
      </c>
      <c r="L3051" s="455">
        <f t="shared" ca="1" si="139"/>
        <v>-120589339951.77048</v>
      </c>
      <c r="M3051" s="471">
        <f t="shared" si="141"/>
        <v>0.05</v>
      </c>
      <c r="N3051" s="475">
        <f t="shared" si="142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40"/>
        <v>-120589339951.77048</v>
      </c>
      <c r="J3052" s="455">
        <f t="array" ref="J3052">IFERROR(INDEX('Retirement Calculator'!K:K,MATCH('Lorri 401b'!N3052,'Retirement Calculator'!A:A,0),0),0)</f>
        <v>0</v>
      </c>
      <c r="K3052" s="455">
        <f t="shared" ca="1" si="138"/>
        <v>-502455583.13237703</v>
      </c>
      <c r="L3052" s="455">
        <f t="shared" ca="1" si="139"/>
        <v>-121091795534.90285</v>
      </c>
      <c r="M3052" s="471">
        <f t="shared" si="141"/>
        <v>0.05</v>
      </c>
      <c r="N3052" s="475">
        <f t="shared" si="142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40"/>
        <v>-121091795534.90285</v>
      </c>
      <c r="J3053" s="455">
        <f t="array" ref="J3053">IFERROR(INDEX('Retirement Calculator'!K:K,MATCH('Lorri 401b'!N3053,'Retirement Calculator'!A:A,0),0),0)</f>
        <v>0</v>
      </c>
      <c r="K3053" s="455">
        <f t="shared" ca="1" si="138"/>
        <v>-504549148.06209517</v>
      </c>
      <c r="L3053" s="455">
        <f t="shared" ca="1" si="139"/>
        <v>-121596344682.96494</v>
      </c>
      <c r="M3053" s="471">
        <f t="shared" si="141"/>
        <v>0.05</v>
      </c>
      <c r="N3053" s="475">
        <f t="shared" si="142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40"/>
        <v>-121596344682.96494</v>
      </c>
      <c r="J3054" s="455">
        <f t="array" ref="J3054">IFERROR(INDEX('Retirement Calculator'!K:K,MATCH('Lorri 401b'!N3054,'Retirement Calculator'!A:A,0),0),0)</f>
        <v>0</v>
      </c>
      <c r="K3054" s="455">
        <f t="shared" ca="1" si="138"/>
        <v>-506651436.17902058</v>
      </c>
      <c r="L3054" s="455">
        <f t="shared" ca="1" si="139"/>
        <v>-122102996119.14395</v>
      </c>
      <c r="M3054" s="471">
        <f t="shared" si="141"/>
        <v>0.05</v>
      </c>
      <c r="N3054" s="475">
        <f t="shared" si="142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40"/>
        <v>-122102996119.14395</v>
      </c>
      <c r="J3055" s="455">
        <f t="array" ref="J3055">IFERROR(INDEX('Retirement Calculator'!K:K,MATCH('Lorri 401b'!N3055,'Retirement Calculator'!A:A,0),0),0)</f>
        <v>0</v>
      </c>
      <c r="K3055" s="455">
        <f t="shared" ca="1" si="138"/>
        <v>-508762483.82976639</v>
      </c>
      <c r="L3055" s="455">
        <f t="shared" ca="1" si="139"/>
        <v>-122611758602.97372</v>
      </c>
      <c r="M3055" s="471">
        <f t="shared" si="141"/>
        <v>0.05</v>
      </c>
      <c r="N3055" s="475">
        <f t="shared" si="142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40"/>
        <v>-122611758602.97372</v>
      </c>
      <c r="J3056" s="455">
        <f t="array" ref="J3056">IFERROR(INDEX('Retirement Calculator'!K:K,MATCH('Lorri 401b'!N3056,'Retirement Calculator'!A:A,0),0),0)</f>
        <v>0</v>
      </c>
      <c r="K3056" s="455">
        <f t="shared" ca="1" si="138"/>
        <v>-510882327.51239055</v>
      </c>
      <c r="L3056" s="455">
        <f t="shared" ca="1" si="139"/>
        <v>-123122640930.48611</v>
      </c>
      <c r="M3056" s="471">
        <f t="shared" si="141"/>
        <v>0.05</v>
      </c>
      <c r="N3056" s="475">
        <f t="shared" si="142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40"/>
        <v>-123122640930.48611</v>
      </c>
      <c r="J3057" s="455">
        <f t="array" ref="J3057">IFERROR(INDEX('Retirement Calculator'!K:K,MATCH('Lorri 401b'!N3057,'Retirement Calculator'!A:A,0),0),0)</f>
        <v>0</v>
      </c>
      <c r="K3057" s="455">
        <f t="shared" ca="1" si="138"/>
        <v>-513011003.87702549</v>
      </c>
      <c r="L3057" s="455">
        <f t="shared" ca="1" si="139"/>
        <v>-123635651934.36314</v>
      </c>
      <c r="M3057" s="471">
        <f t="shared" si="141"/>
        <v>0.05</v>
      </c>
      <c r="N3057" s="475">
        <f t="shared" si="142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40"/>
        <v>-123635651934.36314</v>
      </c>
      <c r="J3058" s="455">
        <f t="array" ref="J3058">IFERROR(INDEX('Retirement Calculator'!K:K,MATCH('Lorri 401b'!N3058,'Retirement Calculator'!A:A,0),0),0)</f>
        <v>0</v>
      </c>
      <c r="K3058" s="455">
        <f t="shared" ca="1" si="138"/>
        <v>-515148549.72651309</v>
      </c>
      <c r="L3058" s="455">
        <f t="shared" ca="1" si="139"/>
        <v>-124150800484.08966</v>
      </c>
      <c r="M3058" s="471">
        <f t="shared" si="141"/>
        <v>0.05</v>
      </c>
      <c r="N3058" s="475">
        <f t="shared" si="142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40"/>
        <v>-124150800484.08966</v>
      </c>
      <c r="J3059" s="455">
        <f t="array" ref="J3059">IFERROR(INDEX('Retirement Calculator'!K:K,MATCH('Lorri 401b'!N3059,'Retirement Calculator'!A:A,0),0),0)</f>
        <v>0</v>
      </c>
      <c r="K3059" s="455">
        <f t="shared" ca="1" si="138"/>
        <v>-517295002.01704025</v>
      </c>
      <c r="L3059" s="455">
        <f t="shared" ca="1" si="139"/>
        <v>-124668095486.1067</v>
      </c>
      <c r="M3059" s="471">
        <f t="shared" si="141"/>
        <v>0.05</v>
      </c>
      <c r="N3059" s="475">
        <f t="shared" si="142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40"/>
        <v>-124668095486.1067</v>
      </c>
      <c r="J3060" s="455">
        <f t="array" ref="J3060">IFERROR(INDEX('Retirement Calculator'!K:K,MATCH('Lorri 401b'!N3060,'Retirement Calculator'!A:A,0),0),0)</f>
        <v>0</v>
      </c>
      <c r="K3060" s="455">
        <f t="shared" ca="1" si="138"/>
        <v>-519450397.85877794</v>
      </c>
      <c r="L3060" s="455">
        <f t="shared" ca="1" si="139"/>
        <v>-125187545883.96548</v>
      </c>
      <c r="M3060" s="471">
        <f t="shared" si="141"/>
        <v>0.05</v>
      </c>
      <c r="N3060" s="475">
        <f t="shared" si="142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40"/>
        <v>-125187545883.96548</v>
      </c>
      <c r="J3061" s="455">
        <f t="array" ref="J3061">IFERROR(INDEX('Retirement Calculator'!K:K,MATCH('Lorri 401b'!N3061,'Retirement Calculator'!A:A,0),0),0)</f>
        <v>0</v>
      </c>
      <c r="K3061" s="455">
        <f t="shared" ca="1" si="138"/>
        <v>-521614774.51652282</v>
      </c>
      <c r="L3061" s="455">
        <f t="shared" ca="1" si="139"/>
        <v>-125709160658.48201</v>
      </c>
      <c r="M3061" s="471">
        <f t="shared" si="141"/>
        <v>0.05</v>
      </c>
      <c r="N3061" s="475">
        <f t="shared" si="142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40"/>
        <v>-125709160658.48201</v>
      </c>
      <c r="J3062" s="455">
        <f t="array" ref="J3062">IFERROR(INDEX('Retirement Calculator'!K:K,MATCH('Lorri 401b'!N3062,'Retirement Calculator'!A:A,0),0),0)</f>
        <v>0</v>
      </c>
      <c r="K3062" s="455">
        <f t="shared" ca="1" si="138"/>
        <v>-523788169.41034168</v>
      </c>
      <c r="L3062" s="455">
        <f t="shared" ca="1" si="139"/>
        <v>-126232948827.89235</v>
      </c>
      <c r="M3062" s="471">
        <f t="shared" si="141"/>
        <v>0.05</v>
      </c>
      <c r="N3062" s="475">
        <f t="shared" si="142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40"/>
        <v>-126232948827.89235</v>
      </c>
      <c r="J3063" s="455">
        <f t="array" ref="J3063">IFERROR(INDEX('Retirement Calculator'!K:K,MATCH('Lorri 401b'!N3063,'Retirement Calculator'!A:A,0),0),0)</f>
        <v>0</v>
      </c>
      <c r="K3063" s="455">
        <f t="shared" ca="1" si="138"/>
        <v>-525970620.11621809</v>
      </c>
      <c r="L3063" s="455">
        <f t="shared" ca="1" si="139"/>
        <v>-126758919448.00856</v>
      </c>
      <c r="M3063" s="471">
        <f t="shared" si="141"/>
        <v>0.05</v>
      </c>
      <c r="N3063" s="475">
        <f t="shared" si="142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40"/>
        <v>-126758919448.00856</v>
      </c>
      <c r="J3064" s="455">
        <f t="array" ref="J3064">IFERROR(INDEX('Retirement Calculator'!K:K,MATCH('Lorri 401b'!N3064,'Retirement Calculator'!A:A,0),0),0)</f>
        <v>0</v>
      </c>
      <c r="K3064" s="455">
        <f t="shared" ca="1" si="138"/>
        <v>-528162164.36670232</v>
      </c>
      <c r="L3064" s="455">
        <f t="shared" ca="1" si="139"/>
        <v>-127287081612.37526</v>
      </c>
      <c r="M3064" s="471">
        <f t="shared" si="141"/>
        <v>0.05</v>
      </c>
      <c r="N3064" s="475">
        <f t="shared" si="142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40"/>
        <v>-127287081612.37526</v>
      </c>
      <c r="J3065" s="455">
        <f t="array" ref="J3065">IFERROR(INDEX('Retirement Calculator'!K:K,MATCH('Lorri 401b'!N3065,'Retirement Calculator'!A:A,0),0),0)</f>
        <v>0</v>
      </c>
      <c r="K3065" s="455">
        <f t="shared" ca="1" si="138"/>
        <v>-530362840.05156356</v>
      </c>
      <c r="L3065" s="455">
        <f t="shared" ca="1" si="139"/>
        <v>-127817444452.42682</v>
      </c>
      <c r="M3065" s="471">
        <f t="shared" si="141"/>
        <v>0.05</v>
      </c>
      <c r="N3065" s="475">
        <f t="shared" si="142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40"/>
        <v>-127817444452.42682</v>
      </c>
      <c r="J3066" s="455">
        <f t="array" ref="J3066">IFERROR(INDEX('Retirement Calculator'!K:K,MATCH('Lorri 401b'!N3066,'Retirement Calculator'!A:A,0),0),0)</f>
        <v>0</v>
      </c>
      <c r="K3066" s="455">
        <f t="shared" ca="1" si="138"/>
        <v>-532572685.21844506</v>
      </c>
      <c r="L3066" s="455">
        <f t="shared" ca="1" si="139"/>
        <v>-128350017137.64526</v>
      </c>
      <c r="M3066" s="471">
        <f t="shared" si="141"/>
        <v>0.05</v>
      </c>
      <c r="N3066" s="475">
        <f t="shared" si="142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40"/>
        <v>-128350017137.64526</v>
      </c>
      <c r="J3067" s="455">
        <f t="array" ref="J3067">IFERROR(INDEX('Retirement Calculator'!K:K,MATCH('Lorri 401b'!N3067,'Retirement Calculator'!A:A,0),0),0)</f>
        <v>0</v>
      </c>
      <c r="K3067" s="455">
        <f t="shared" ca="1" si="138"/>
        <v>-534791738.07352191</v>
      </c>
      <c r="L3067" s="455">
        <f t="shared" ca="1" si="139"/>
        <v>-128884808875.71878</v>
      </c>
      <c r="M3067" s="471">
        <f t="shared" si="141"/>
        <v>0.05</v>
      </c>
      <c r="N3067" s="475">
        <f t="shared" si="142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40"/>
        <v>-128884808875.71878</v>
      </c>
      <c r="J3068" s="455">
        <f t="array" ref="J3068">IFERROR(INDEX('Retirement Calculator'!K:K,MATCH('Lorri 401b'!N3068,'Retirement Calculator'!A:A,0),0),0)</f>
        <v>0</v>
      </c>
      <c r="K3068" s="455">
        <f t="shared" ref="K3068:K3322" ca="1" si="143">IPMT(M3068/12,1,12,-I3068+J3068,,0)</f>
        <v>-537020036.98216152</v>
      </c>
      <c r="L3068" s="455">
        <f t="shared" ref="L3068:L3322" ca="1" si="144">I3068-J3068+K3068</f>
        <v>-129421828912.70094</v>
      </c>
      <c r="M3068" s="471">
        <f t="shared" si="141"/>
        <v>0.05</v>
      </c>
      <c r="N3068" s="475">
        <f t="shared" si="142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45">L3068</f>
        <v>-129421828912.70094</v>
      </c>
      <c r="J3069" s="455">
        <f t="array" ref="J3069">IFERROR(INDEX('Retirement Calculator'!K:K,MATCH('Lorri 401b'!N3069,'Retirement Calculator'!A:A,0),0),0)</f>
        <v>0</v>
      </c>
      <c r="K3069" s="455">
        <f t="shared" ca="1" si="143"/>
        <v>-539257620.46958721</v>
      </c>
      <c r="L3069" s="455">
        <f t="shared" ca="1" si="144"/>
        <v>-129961086533.17053</v>
      </c>
      <c r="M3069" s="471">
        <f t="shared" ref="M3069:M3323" si="146">M3068</f>
        <v>0.05</v>
      </c>
      <c r="N3069" s="475">
        <f t="shared" ref="N3069:N3323" si="147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45"/>
        <v>-129961086533.17053</v>
      </c>
      <c r="J3070" s="455">
        <f t="array" ref="J3070">IFERROR(INDEX('Retirement Calculator'!K:K,MATCH('Lorri 401b'!N3070,'Retirement Calculator'!A:A,0),0),0)</f>
        <v>0</v>
      </c>
      <c r="K3070" s="455">
        <f t="shared" ca="1" si="143"/>
        <v>-541504527.22154391</v>
      </c>
      <c r="L3070" s="455">
        <f t="shared" ca="1" si="144"/>
        <v>-130502591060.39207</v>
      </c>
      <c r="M3070" s="471">
        <f t="shared" si="146"/>
        <v>0.05</v>
      </c>
      <c r="N3070" s="475">
        <f t="shared" si="147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45"/>
        <v>-130502591060.39207</v>
      </c>
      <c r="J3071" s="455">
        <f t="array" ref="J3071">IFERROR(INDEX('Retirement Calculator'!K:K,MATCH('Lorri 401b'!N3071,'Retirement Calculator'!A:A,0),0),0)</f>
        <v>0</v>
      </c>
      <c r="K3071" s="455">
        <f t="shared" ca="1" si="143"/>
        <v>-543760796.0849669</v>
      </c>
      <c r="L3071" s="455">
        <f t="shared" ca="1" si="144"/>
        <v>-131046351856.47704</v>
      </c>
      <c r="M3071" s="471">
        <f t="shared" si="146"/>
        <v>0.05</v>
      </c>
      <c r="N3071" s="475">
        <f t="shared" si="147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45"/>
        <v>-131046351856.47704</v>
      </c>
      <c r="J3072" s="455">
        <f t="array" ref="J3072">IFERROR(INDEX('Retirement Calculator'!K:K,MATCH('Lorri 401b'!N3072,'Retirement Calculator'!A:A,0),0),0)</f>
        <v>0</v>
      </c>
      <c r="K3072" s="455">
        <f t="shared" ca="1" si="143"/>
        <v>-546026466.0686543</v>
      </c>
      <c r="L3072" s="455">
        <f t="shared" ca="1" si="144"/>
        <v>-131592378322.54568</v>
      </c>
      <c r="M3072" s="471">
        <f t="shared" si="146"/>
        <v>0.05</v>
      </c>
      <c r="N3072" s="475">
        <f t="shared" si="147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45"/>
        <v>-131592378322.54568</v>
      </c>
      <c r="J3073" s="455">
        <f t="array" ref="J3073">IFERROR(INDEX('Retirement Calculator'!K:K,MATCH('Lorri 401b'!N3073,'Retirement Calculator'!A:A,0),0),0)</f>
        <v>0</v>
      </c>
      <c r="K3073" s="455">
        <f t="shared" ca="1" si="143"/>
        <v>-548301576.34394038</v>
      </c>
      <c r="L3073" s="455">
        <f t="shared" ca="1" si="144"/>
        <v>-132140679898.88962</v>
      </c>
      <c r="M3073" s="471">
        <f t="shared" si="146"/>
        <v>0.05</v>
      </c>
      <c r="N3073" s="475">
        <f t="shared" si="147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45"/>
        <v>-132140679898.88962</v>
      </c>
      <c r="J3074" s="455">
        <f t="array" ref="J3074">IFERROR(INDEX('Retirement Calculator'!K:K,MATCH('Lorri 401b'!N3074,'Retirement Calculator'!A:A,0),0),0)</f>
        <v>0</v>
      </c>
      <c r="K3074" s="455">
        <f t="shared" ca="1" si="143"/>
        <v>-550586166.24537337</v>
      </c>
      <c r="L3074" s="455">
        <f t="shared" ca="1" si="144"/>
        <v>-132691266065.13499</v>
      </c>
      <c r="M3074" s="471">
        <f t="shared" si="146"/>
        <v>0.05</v>
      </c>
      <c r="N3074" s="475">
        <f t="shared" si="147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45"/>
        <v>-132691266065.13499</v>
      </c>
      <c r="J3075" s="455">
        <f t="array" ref="J3075">IFERROR(INDEX('Retirement Calculator'!K:K,MATCH('Lorri 401b'!N3075,'Retirement Calculator'!A:A,0),0),0)</f>
        <v>0</v>
      </c>
      <c r="K3075" s="455">
        <f t="shared" ca="1" si="143"/>
        <v>-552880275.2713958</v>
      </c>
      <c r="L3075" s="455">
        <f t="shared" ca="1" si="144"/>
        <v>-133244146340.40639</v>
      </c>
      <c r="M3075" s="471">
        <f t="shared" si="146"/>
        <v>0.05</v>
      </c>
      <c r="N3075" s="475">
        <f t="shared" si="147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45"/>
        <v>-133244146340.40639</v>
      </c>
      <c r="J3076" s="455">
        <f t="array" ref="J3076">IFERROR(INDEX('Retirement Calculator'!K:K,MATCH('Lorri 401b'!N3076,'Retirement Calculator'!A:A,0),0),0)</f>
        <v>0</v>
      </c>
      <c r="K3076" s="455">
        <f t="shared" ca="1" si="143"/>
        <v>-555183943.08502662</v>
      </c>
      <c r="L3076" s="455">
        <f t="shared" ca="1" si="144"/>
        <v>-133799330283.49141</v>
      </c>
      <c r="M3076" s="471">
        <f t="shared" si="146"/>
        <v>0.05</v>
      </c>
      <c r="N3076" s="475">
        <f t="shared" si="147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45"/>
        <v>-133799330283.49141</v>
      </c>
      <c r="J3077" s="455">
        <f t="array" ref="J3077">IFERROR(INDEX('Retirement Calculator'!K:K,MATCH('Lorri 401b'!N3077,'Retirement Calculator'!A:A,0),0),0)</f>
        <v>0</v>
      </c>
      <c r="K3077" s="455">
        <f t="shared" ca="1" si="143"/>
        <v>-557497209.51454747</v>
      </c>
      <c r="L3077" s="455">
        <f t="shared" ca="1" si="144"/>
        <v>-134356827493.00595</v>
      </c>
      <c r="M3077" s="471">
        <f t="shared" si="146"/>
        <v>0.05</v>
      </c>
      <c r="N3077" s="475">
        <f t="shared" si="147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45"/>
        <v>-134356827493.00595</v>
      </c>
      <c r="J3078" s="455">
        <f t="array" ref="J3078">IFERROR(INDEX('Retirement Calculator'!K:K,MATCH('Lorri 401b'!N3078,'Retirement Calculator'!A:A,0),0),0)</f>
        <v>0</v>
      </c>
      <c r="K3078" s="455">
        <f t="shared" ca="1" si="143"/>
        <v>-559820114.55419147</v>
      </c>
      <c r="L3078" s="455">
        <f t="shared" ca="1" si="144"/>
        <v>-134916647607.56013</v>
      </c>
      <c r="M3078" s="471">
        <f t="shared" si="146"/>
        <v>0.05</v>
      </c>
      <c r="N3078" s="475">
        <f t="shared" si="147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45"/>
        <v>-134916647607.56013</v>
      </c>
      <c r="J3079" s="455">
        <f t="array" ref="J3079">IFERROR(INDEX('Retirement Calculator'!K:K,MATCH('Lorri 401b'!N3079,'Retirement Calculator'!A:A,0),0),0)</f>
        <v>0</v>
      </c>
      <c r="K3079" s="455">
        <f t="shared" ca="1" si="143"/>
        <v>-562152698.36483383</v>
      </c>
      <c r="L3079" s="455">
        <f t="shared" ca="1" si="144"/>
        <v>-135478800305.92497</v>
      </c>
      <c r="M3079" s="471">
        <f t="shared" si="146"/>
        <v>0.05</v>
      </c>
      <c r="N3079" s="475">
        <f t="shared" si="147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45"/>
        <v>-135478800305.92497</v>
      </c>
      <c r="J3080" s="455">
        <f t="array" ref="J3080">IFERROR(INDEX('Retirement Calculator'!K:K,MATCH('Lorri 401b'!N3080,'Retirement Calculator'!A:A,0),0),0)</f>
        <v>0</v>
      </c>
      <c r="K3080" s="455">
        <f t="shared" ca="1" si="143"/>
        <v>-564495001.27468741</v>
      </c>
      <c r="L3080" s="455">
        <f t="shared" ca="1" si="144"/>
        <v>-136043295307.19966</v>
      </c>
      <c r="M3080" s="471">
        <f t="shared" si="146"/>
        <v>0.05</v>
      </c>
      <c r="N3080" s="475">
        <f t="shared" si="147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45"/>
        <v>-136043295307.19966</v>
      </c>
      <c r="J3081" s="455">
        <f t="array" ref="J3081">IFERROR(INDEX('Retirement Calculator'!K:K,MATCH('Lorri 401b'!N3081,'Retirement Calculator'!A:A,0),0),0)</f>
        <v>0</v>
      </c>
      <c r="K3081" s="455">
        <f t="shared" ca="1" si="143"/>
        <v>-566847063.77999854</v>
      </c>
      <c r="L3081" s="455">
        <f t="shared" ca="1" si="144"/>
        <v>-136610142370.97966</v>
      </c>
      <c r="M3081" s="471">
        <f t="shared" si="146"/>
        <v>0.05</v>
      </c>
      <c r="N3081" s="475">
        <f t="shared" si="147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45"/>
        <v>-136610142370.97966</v>
      </c>
      <c r="J3082" s="455">
        <f t="array" ref="J3082">IFERROR(INDEX('Retirement Calculator'!K:K,MATCH('Lorri 401b'!N3082,'Retirement Calculator'!A:A,0),0),0)</f>
        <v>0</v>
      </c>
      <c r="K3082" s="455">
        <f t="shared" ca="1" si="143"/>
        <v>-569208926.54574859</v>
      </c>
      <c r="L3082" s="455">
        <f t="shared" ca="1" si="144"/>
        <v>-137179351297.52541</v>
      </c>
      <c r="M3082" s="471">
        <f t="shared" si="146"/>
        <v>0.05</v>
      </c>
      <c r="N3082" s="475">
        <f t="shared" si="147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45"/>
        <v>-137179351297.52541</v>
      </c>
      <c r="J3083" s="455">
        <f t="array" ref="J3083">IFERROR(INDEX('Retirement Calculator'!K:K,MATCH('Lorri 401b'!N3083,'Retirement Calculator'!A:A,0),0),0)</f>
        <v>0</v>
      </c>
      <c r="K3083" s="455">
        <f t="shared" ca="1" si="143"/>
        <v>-571580630.40635586</v>
      </c>
      <c r="L3083" s="455">
        <f t="shared" ca="1" si="144"/>
        <v>-137750931927.93176</v>
      </c>
      <c r="M3083" s="471">
        <f t="shared" si="146"/>
        <v>0.05</v>
      </c>
      <c r="N3083" s="475">
        <f t="shared" si="147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45"/>
        <v>-137750931927.93176</v>
      </c>
      <c r="J3084" s="455">
        <f t="array" ref="J3084">IFERROR(INDEX('Retirement Calculator'!K:K,MATCH('Lorri 401b'!N3084,'Retirement Calculator'!A:A,0),0),0)</f>
        <v>0</v>
      </c>
      <c r="K3084" s="455">
        <f t="shared" ca="1" si="143"/>
        <v>-573962216.36638236</v>
      </c>
      <c r="L3084" s="455">
        <f t="shared" ca="1" si="144"/>
        <v>-138324894144.29816</v>
      </c>
      <c r="M3084" s="471">
        <f t="shared" si="146"/>
        <v>0.05</v>
      </c>
      <c r="N3084" s="475">
        <f t="shared" si="147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45"/>
        <v>-138324894144.29816</v>
      </c>
      <c r="J3085" s="455">
        <f t="array" ref="J3085">IFERROR(INDEX('Retirement Calculator'!K:K,MATCH('Lorri 401b'!N3085,'Retirement Calculator'!A:A,0),0),0)</f>
        <v>0</v>
      </c>
      <c r="K3085" s="455">
        <f t="shared" ca="1" si="143"/>
        <v>-576353725.6012423</v>
      </c>
      <c r="L3085" s="455">
        <f t="shared" ca="1" si="144"/>
        <v>-138901247869.89941</v>
      </c>
      <c r="M3085" s="471">
        <f t="shared" si="146"/>
        <v>0.05</v>
      </c>
      <c r="N3085" s="475">
        <f t="shared" si="147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45"/>
        <v>-138901247869.89941</v>
      </c>
      <c r="J3086" s="455">
        <f t="array" ref="J3086">IFERROR(INDEX('Retirement Calculator'!K:K,MATCH('Lorri 401b'!N3086,'Retirement Calculator'!A:A,0),0),0)</f>
        <v>0</v>
      </c>
      <c r="K3086" s="455">
        <f t="shared" ca="1" si="143"/>
        <v>-578755199.45791423</v>
      </c>
      <c r="L3086" s="455">
        <f t="shared" ca="1" si="144"/>
        <v>-139480003069.35733</v>
      </c>
      <c r="M3086" s="471">
        <f t="shared" si="146"/>
        <v>0.05</v>
      </c>
      <c r="N3086" s="475">
        <f t="shared" si="147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45"/>
        <v>-139480003069.35733</v>
      </c>
      <c r="J3087" s="455">
        <f t="array" ref="J3087">IFERROR(INDEX('Retirement Calculator'!K:K,MATCH('Lorri 401b'!N3087,'Retirement Calculator'!A:A,0),0),0)</f>
        <v>0</v>
      </c>
      <c r="K3087" s="455">
        <f t="shared" ca="1" si="143"/>
        <v>-581166679.45565557</v>
      </c>
      <c r="L3087" s="455">
        <f t="shared" ca="1" si="144"/>
        <v>-140061169748.81299</v>
      </c>
      <c r="M3087" s="471">
        <f t="shared" si="146"/>
        <v>0.05</v>
      </c>
      <c r="N3087" s="475">
        <f t="shared" si="147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45"/>
        <v>-140061169748.81299</v>
      </c>
      <c r="J3088" s="455">
        <f t="array" ref="J3088">IFERROR(INDEX('Retirement Calculator'!K:K,MATCH('Lorri 401b'!N3088,'Retirement Calculator'!A:A,0),0),0)</f>
        <v>0</v>
      </c>
      <c r="K3088" s="455">
        <f t="shared" ca="1" si="143"/>
        <v>-583588207.28672075</v>
      </c>
      <c r="L3088" s="455">
        <f t="shared" ca="1" si="144"/>
        <v>-140644757956.0997</v>
      </c>
      <c r="M3088" s="471">
        <f t="shared" si="146"/>
        <v>0.05</v>
      </c>
      <c r="N3088" s="475">
        <f t="shared" si="147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45"/>
        <v>-140644757956.0997</v>
      </c>
      <c r="J3089" s="455">
        <f t="array" ref="J3089">IFERROR(INDEX('Retirement Calculator'!K:K,MATCH('Lorri 401b'!N3089,'Retirement Calculator'!A:A,0),0),0)</f>
        <v>0</v>
      </c>
      <c r="K3089" s="455">
        <f t="shared" ca="1" si="143"/>
        <v>-586019824.81708205</v>
      </c>
      <c r="L3089" s="455">
        <f t="shared" ca="1" si="144"/>
        <v>-141230777780.91678</v>
      </c>
      <c r="M3089" s="471">
        <f t="shared" si="146"/>
        <v>0.05</v>
      </c>
      <c r="N3089" s="475">
        <f t="shared" si="147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45"/>
        <v>-141230777780.91678</v>
      </c>
      <c r="J3090" s="455">
        <f t="array" ref="J3090">IFERROR(INDEX('Retirement Calculator'!K:K,MATCH('Lorri 401b'!N3090,'Retirement Calculator'!A:A,0),0),0)</f>
        <v>0</v>
      </c>
      <c r="K3090" s="455">
        <f t="shared" ca="1" si="143"/>
        <v>-588461574.0871532</v>
      </c>
      <c r="L3090" s="455">
        <f t="shared" ca="1" si="144"/>
        <v>-141819239355.00394</v>
      </c>
      <c r="M3090" s="471">
        <f t="shared" si="146"/>
        <v>0.05</v>
      </c>
      <c r="N3090" s="475">
        <f t="shared" si="147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45"/>
        <v>-141819239355.00394</v>
      </c>
      <c r="J3091" s="455">
        <f t="array" ref="J3091">IFERROR(INDEX('Retirement Calculator'!K:K,MATCH('Lorri 401b'!N3091,'Retirement Calculator'!A:A,0),0),0)</f>
        <v>0</v>
      </c>
      <c r="K3091" s="455">
        <f t="shared" ca="1" si="143"/>
        <v>-590913497.31251645</v>
      </c>
      <c r="L3091" s="455">
        <f t="shared" ca="1" si="144"/>
        <v>-142410152852.31647</v>
      </c>
      <c r="M3091" s="471">
        <f t="shared" si="146"/>
        <v>0.05</v>
      </c>
      <c r="N3091" s="475">
        <f t="shared" si="147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45"/>
        <v>-142410152852.31647</v>
      </c>
      <c r="J3092" s="455">
        <f t="array" ref="J3092">IFERROR(INDEX('Retirement Calculator'!K:K,MATCH('Lorri 401b'!N3092,'Retirement Calculator'!A:A,0),0),0)</f>
        <v>0</v>
      </c>
      <c r="K3092" s="455">
        <f t="shared" ca="1" si="143"/>
        <v>-593375636.8846519</v>
      </c>
      <c r="L3092" s="455">
        <f t="shared" ca="1" si="144"/>
        <v>-143003528489.20111</v>
      </c>
      <c r="M3092" s="471">
        <f t="shared" si="146"/>
        <v>0.05</v>
      </c>
      <c r="N3092" s="475">
        <f t="shared" si="147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45"/>
        <v>-143003528489.20111</v>
      </c>
      <c r="J3093" s="455">
        <f t="array" ref="J3093">IFERROR(INDEX('Retirement Calculator'!K:K,MATCH('Lorri 401b'!N3093,'Retirement Calculator'!A:A,0),0),0)</f>
        <v>0</v>
      </c>
      <c r="K3093" s="455">
        <f t="shared" ca="1" si="143"/>
        <v>-595848035.37167132</v>
      </c>
      <c r="L3093" s="455">
        <f t="shared" ca="1" si="144"/>
        <v>-143599376524.57278</v>
      </c>
      <c r="M3093" s="471">
        <f t="shared" si="146"/>
        <v>0.05</v>
      </c>
      <c r="N3093" s="475">
        <f t="shared" si="147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45"/>
        <v>-143599376524.57278</v>
      </c>
      <c r="J3094" s="455">
        <f t="array" ref="J3094">IFERROR(INDEX('Retirement Calculator'!K:K,MATCH('Lorri 401b'!N3094,'Retirement Calculator'!A:A,0),0),0)</f>
        <v>0</v>
      </c>
      <c r="K3094" s="455">
        <f t="shared" ca="1" si="143"/>
        <v>-598330735.51905322</v>
      </c>
      <c r="L3094" s="455">
        <f t="shared" ca="1" si="144"/>
        <v>-144197707260.09183</v>
      </c>
      <c r="M3094" s="471">
        <f t="shared" si="146"/>
        <v>0.05</v>
      </c>
      <c r="N3094" s="475">
        <f t="shared" si="147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45"/>
        <v>-144197707260.09183</v>
      </c>
      <c r="J3095" s="455">
        <f t="array" ref="J3095">IFERROR(INDEX('Retirement Calculator'!K:K,MATCH('Lorri 401b'!N3095,'Retirement Calculator'!A:A,0),0),0)</f>
        <v>0</v>
      </c>
      <c r="K3095" s="455">
        <f t="shared" ca="1" si="143"/>
        <v>-600823780.25038266</v>
      </c>
      <c r="L3095" s="455">
        <f t="shared" ca="1" si="144"/>
        <v>-144798531040.34222</v>
      </c>
      <c r="M3095" s="471">
        <f t="shared" si="146"/>
        <v>0.05</v>
      </c>
      <c r="N3095" s="475">
        <f t="shared" si="147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45"/>
        <v>-144798531040.34222</v>
      </c>
      <c r="J3096" s="455">
        <f t="array" ref="J3096">IFERROR(INDEX('Retirement Calculator'!K:K,MATCH('Lorri 401b'!N3096,'Retirement Calculator'!A:A,0),0),0)</f>
        <v>0</v>
      </c>
      <c r="K3096" s="455">
        <f t="shared" ca="1" si="143"/>
        <v>-603327212.66809261</v>
      </c>
      <c r="L3096" s="455">
        <f t="shared" ca="1" si="144"/>
        <v>-145401858253.01031</v>
      </c>
      <c r="M3096" s="471">
        <f t="shared" si="146"/>
        <v>0.05</v>
      </c>
      <c r="N3096" s="475">
        <f t="shared" si="147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45"/>
        <v>-145401858253.01031</v>
      </c>
      <c r="J3097" s="455">
        <f t="array" ref="J3097">IFERROR(INDEX('Retirement Calculator'!K:K,MATCH('Lorri 401b'!N3097,'Retirement Calculator'!A:A,0),0),0)</f>
        <v>0</v>
      </c>
      <c r="K3097" s="455">
        <f t="shared" ca="1" si="143"/>
        <v>-605841076.05420959</v>
      </c>
      <c r="L3097" s="455">
        <f t="shared" ca="1" si="144"/>
        <v>-146007699329.06451</v>
      </c>
      <c r="M3097" s="471">
        <f t="shared" si="146"/>
        <v>0.05</v>
      </c>
      <c r="N3097" s="475">
        <f t="shared" si="147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45"/>
        <v>-146007699329.06451</v>
      </c>
      <c r="J3098" s="455">
        <f t="array" ref="J3098">IFERROR(INDEX('Retirement Calculator'!K:K,MATCH('Lorri 401b'!N3098,'Retirement Calculator'!A:A,0),0),0)</f>
        <v>0</v>
      </c>
      <c r="K3098" s="455">
        <f t="shared" ca="1" si="143"/>
        <v>-608365413.87110209</v>
      </c>
      <c r="L3098" s="455">
        <f t="shared" ca="1" si="144"/>
        <v>-146616064742.93561</v>
      </c>
      <c r="M3098" s="471">
        <f t="shared" si="146"/>
        <v>0.05</v>
      </c>
      <c r="N3098" s="475">
        <f t="shared" si="147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45"/>
        <v>-146616064742.93561</v>
      </c>
      <c r="J3099" s="455">
        <f t="array" ref="J3099">IFERROR(INDEX('Retirement Calculator'!K:K,MATCH('Lorri 401b'!N3099,'Retirement Calculator'!A:A,0),0),0)</f>
        <v>0</v>
      </c>
      <c r="K3099" s="455">
        <f t="shared" ca="1" si="143"/>
        <v>-610900269.76223171</v>
      </c>
      <c r="L3099" s="455">
        <f t="shared" ca="1" si="144"/>
        <v>-147226965012.69785</v>
      </c>
      <c r="M3099" s="471">
        <f t="shared" si="146"/>
        <v>0.05</v>
      </c>
      <c r="N3099" s="475">
        <f t="shared" si="147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45"/>
        <v>-147226965012.69785</v>
      </c>
      <c r="J3100" s="455">
        <f t="array" ref="J3100">IFERROR(INDEX('Retirement Calculator'!K:K,MATCH('Lorri 401b'!N3100,'Retirement Calculator'!A:A,0),0),0)</f>
        <v>0</v>
      </c>
      <c r="K3100" s="455">
        <f t="shared" ca="1" si="143"/>
        <v>-613445687.55290771</v>
      </c>
      <c r="L3100" s="455">
        <f t="shared" ca="1" si="144"/>
        <v>-147840410700.25076</v>
      </c>
      <c r="M3100" s="471">
        <f t="shared" si="146"/>
        <v>0.05</v>
      </c>
      <c r="N3100" s="475">
        <f t="shared" si="147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45"/>
        <v>-147840410700.25076</v>
      </c>
      <c r="J3101" s="455">
        <f t="array" ref="J3101">IFERROR(INDEX('Retirement Calculator'!K:K,MATCH('Lorri 401b'!N3101,'Retirement Calculator'!A:A,0),0),0)</f>
        <v>0</v>
      </c>
      <c r="K3101" s="455">
        <f t="shared" ca="1" si="143"/>
        <v>-616001711.25104487</v>
      </c>
      <c r="L3101" s="455">
        <f t="shared" ca="1" si="144"/>
        <v>-148456412411.5018</v>
      </c>
      <c r="M3101" s="471">
        <f t="shared" si="146"/>
        <v>0.05</v>
      </c>
      <c r="N3101" s="475">
        <f t="shared" si="147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45"/>
        <v>-148456412411.5018</v>
      </c>
      <c r="J3102" s="455">
        <f t="array" ref="J3102">IFERROR(INDEX('Retirement Calculator'!K:K,MATCH('Lorri 401b'!N3102,'Retirement Calculator'!A:A,0),0),0)</f>
        <v>0</v>
      </c>
      <c r="K3102" s="455">
        <f t="shared" ca="1" si="143"/>
        <v>-618568385.04792416</v>
      </c>
      <c r="L3102" s="455">
        <f t="shared" ca="1" si="144"/>
        <v>-149074980796.54971</v>
      </c>
      <c r="M3102" s="471">
        <f t="shared" si="146"/>
        <v>0.05</v>
      </c>
      <c r="N3102" s="475">
        <f t="shared" si="147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45"/>
        <v>-149074980796.54971</v>
      </c>
      <c r="J3103" s="455">
        <f t="array" ref="J3103">IFERROR(INDEX('Retirement Calculator'!K:K,MATCH('Lorri 401b'!N3103,'Retirement Calculator'!A:A,0),0),0)</f>
        <v>0</v>
      </c>
      <c r="K3103" s="455">
        <f t="shared" ca="1" si="143"/>
        <v>-621145753.31895709</v>
      </c>
      <c r="L3103" s="455">
        <f t="shared" ca="1" si="144"/>
        <v>-149696126549.86868</v>
      </c>
      <c r="M3103" s="471">
        <f t="shared" si="146"/>
        <v>0.05</v>
      </c>
      <c r="N3103" s="475">
        <f t="shared" si="147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45"/>
        <v>-149696126549.86868</v>
      </c>
      <c r="J3104" s="455">
        <f t="array" ref="J3104">IFERROR(INDEX('Retirement Calculator'!K:K,MATCH('Lorri 401b'!N3104,'Retirement Calculator'!A:A,0),0),0)</f>
        <v>0</v>
      </c>
      <c r="K3104" s="455">
        <f t="shared" ca="1" si="143"/>
        <v>-623733860.62445283</v>
      </c>
      <c r="L3104" s="455">
        <f t="shared" ca="1" si="144"/>
        <v>-150319860410.49313</v>
      </c>
      <c r="M3104" s="471">
        <f t="shared" si="146"/>
        <v>0.05</v>
      </c>
      <c r="N3104" s="475">
        <f t="shared" si="147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45"/>
        <v>-150319860410.49313</v>
      </c>
      <c r="J3105" s="455">
        <f t="array" ref="J3105">IFERROR(INDEX('Retirement Calculator'!K:K,MATCH('Lorri 401b'!N3105,'Retirement Calculator'!A:A,0),0),0)</f>
        <v>0</v>
      </c>
      <c r="K3105" s="455">
        <f t="shared" ca="1" si="143"/>
        <v>-626332751.71038806</v>
      </c>
      <c r="L3105" s="455">
        <f t="shared" ca="1" si="144"/>
        <v>-150946193162.20352</v>
      </c>
      <c r="M3105" s="471">
        <f t="shared" si="146"/>
        <v>0.05</v>
      </c>
      <c r="N3105" s="475">
        <f t="shared" si="147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45"/>
        <v>-150946193162.20352</v>
      </c>
      <c r="J3106" s="455">
        <f t="array" ref="J3106">IFERROR(INDEX('Retirement Calculator'!K:K,MATCH('Lorri 401b'!N3106,'Retirement Calculator'!A:A,0),0),0)</f>
        <v>0</v>
      </c>
      <c r="K3106" s="455">
        <f t="shared" ca="1" si="143"/>
        <v>-628942471.50918138</v>
      </c>
      <c r="L3106" s="455">
        <f t="shared" ca="1" si="144"/>
        <v>-151575135633.71271</v>
      </c>
      <c r="M3106" s="471">
        <f t="shared" si="146"/>
        <v>0.05</v>
      </c>
      <c r="N3106" s="475">
        <f t="shared" si="147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45"/>
        <v>-151575135633.71271</v>
      </c>
      <c r="J3107" s="455">
        <f t="array" ref="J3107">IFERROR(INDEX('Retirement Calculator'!K:K,MATCH('Lorri 401b'!N3107,'Retirement Calculator'!A:A,0),0),0)</f>
        <v>0</v>
      </c>
      <c r="K3107" s="455">
        <f t="shared" ca="1" si="143"/>
        <v>-631563065.14046955</v>
      </c>
      <c r="L3107" s="455">
        <f t="shared" ca="1" si="144"/>
        <v>-152206698698.85318</v>
      </c>
      <c r="M3107" s="471">
        <f t="shared" si="146"/>
        <v>0.05</v>
      </c>
      <c r="N3107" s="475">
        <f t="shared" si="147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45"/>
        <v>-152206698698.85318</v>
      </c>
      <c r="J3108" s="455">
        <f t="array" ref="J3108">IFERROR(INDEX('Retirement Calculator'!K:K,MATCH('Lorri 401b'!N3108,'Retirement Calculator'!A:A,0),0),0)</f>
        <v>0</v>
      </c>
      <c r="K3108" s="455">
        <f t="shared" ca="1" si="143"/>
        <v>-634194577.91188824</v>
      </c>
      <c r="L3108" s="455">
        <f t="shared" ca="1" si="144"/>
        <v>-152840893276.76508</v>
      </c>
      <c r="M3108" s="471">
        <f t="shared" si="146"/>
        <v>0.05</v>
      </c>
      <c r="N3108" s="475">
        <f t="shared" si="147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45"/>
        <v>-152840893276.76508</v>
      </c>
      <c r="J3109" s="455">
        <f t="array" ref="J3109">IFERROR(INDEX('Retirement Calculator'!K:K,MATCH('Lorri 401b'!N3109,'Retirement Calculator'!A:A,0),0),0)</f>
        <v>0</v>
      </c>
      <c r="K3109" s="455">
        <f t="shared" ca="1" si="143"/>
        <v>-636837055.3198545</v>
      </c>
      <c r="L3109" s="455">
        <f t="shared" ca="1" si="144"/>
        <v>-153477730332.08493</v>
      </c>
      <c r="M3109" s="471">
        <f t="shared" si="146"/>
        <v>0.05</v>
      </c>
      <c r="N3109" s="475">
        <f t="shared" si="147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45"/>
        <v>-153477730332.08493</v>
      </c>
      <c r="J3110" s="455">
        <f t="array" ref="J3110">IFERROR(INDEX('Retirement Calculator'!K:K,MATCH('Lorri 401b'!N3110,'Retirement Calculator'!A:A,0),0),0)</f>
        <v>0</v>
      </c>
      <c r="K3110" s="455">
        <f t="shared" ca="1" si="143"/>
        <v>-639490543.05035388</v>
      </c>
      <c r="L3110" s="455">
        <f t="shared" ca="1" si="144"/>
        <v>-154117220875.13528</v>
      </c>
      <c r="M3110" s="471">
        <f t="shared" si="146"/>
        <v>0.05</v>
      </c>
      <c r="N3110" s="475">
        <f t="shared" si="147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45"/>
        <v>-154117220875.13528</v>
      </c>
      <c r="J3111" s="455">
        <f t="array" ref="J3111">IFERROR(INDEX('Retirement Calculator'!K:K,MATCH('Lorri 401b'!N3111,'Retirement Calculator'!A:A,0),0),0)</f>
        <v>0</v>
      </c>
      <c r="K3111" s="455">
        <f t="shared" ca="1" si="143"/>
        <v>-642155086.97973037</v>
      </c>
      <c r="L3111" s="455">
        <f t="shared" ca="1" si="144"/>
        <v>-154759375962.11502</v>
      </c>
      <c r="M3111" s="471">
        <f t="shared" si="146"/>
        <v>0.05</v>
      </c>
      <c r="N3111" s="475">
        <f t="shared" si="147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45"/>
        <v>-154759375962.11502</v>
      </c>
      <c r="J3112" s="455">
        <f t="array" ref="J3112">IFERROR(INDEX('Retirement Calculator'!K:K,MATCH('Lorri 401b'!N3112,'Retirement Calculator'!A:A,0),0),0)</f>
        <v>0</v>
      </c>
      <c r="K3112" s="455">
        <f t="shared" ca="1" si="143"/>
        <v>-644830733.17547929</v>
      </c>
      <c r="L3112" s="455">
        <f t="shared" ca="1" si="144"/>
        <v>-155404206695.2905</v>
      </c>
      <c r="M3112" s="471">
        <f t="shared" si="146"/>
        <v>0.05</v>
      </c>
      <c r="N3112" s="475">
        <f t="shared" si="147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45"/>
        <v>-155404206695.2905</v>
      </c>
      <c r="J3113" s="455">
        <f t="array" ref="J3113">IFERROR(INDEX('Retirement Calculator'!K:K,MATCH('Lorri 401b'!N3113,'Retirement Calculator'!A:A,0),0),0)</f>
        <v>0</v>
      </c>
      <c r="K3113" s="455">
        <f t="shared" ca="1" si="143"/>
        <v>-647517527.8970437</v>
      </c>
      <c r="L3113" s="455">
        <f t="shared" ca="1" si="144"/>
        <v>-156051724223.18753</v>
      </c>
      <c r="M3113" s="471">
        <f t="shared" si="146"/>
        <v>0.05</v>
      </c>
      <c r="N3113" s="475">
        <f t="shared" si="147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45"/>
        <v>-156051724223.18753</v>
      </c>
      <c r="J3114" s="455">
        <f t="array" ref="J3114">IFERROR(INDEX('Retirement Calculator'!K:K,MATCH('Lorri 401b'!N3114,'Retirement Calculator'!A:A,0),0),0)</f>
        <v>0</v>
      </c>
      <c r="K3114" s="455">
        <f t="shared" ca="1" si="143"/>
        <v>-650215517.59661472</v>
      </c>
      <c r="L3114" s="455">
        <f t="shared" ca="1" si="144"/>
        <v>-156701939740.78415</v>
      </c>
      <c r="M3114" s="471">
        <f t="shared" si="146"/>
        <v>0.05</v>
      </c>
      <c r="N3114" s="475">
        <f t="shared" si="147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45"/>
        <v>-156701939740.78415</v>
      </c>
      <c r="J3115" s="455">
        <f t="array" ref="J3115">IFERROR(INDEX('Retirement Calculator'!K:K,MATCH('Lorri 401b'!N3115,'Retirement Calculator'!A:A,0),0),0)</f>
        <v>0</v>
      </c>
      <c r="K3115" s="455">
        <f t="shared" ca="1" si="143"/>
        <v>-652924748.91993392</v>
      </c>
      <c r="L3115" s="455">
        <f t="shared" ca="1" si="144"/>
        <v>-157354864489.70407</v>
      </c>
      <c r="M3115" s="471">
        <f t="shared" si="146"/>
        <v>0.05</v>
      </c>
      <c r="N3115" s="475">
        <f t="shared" si="147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45"/>
        <v>-157354864489.70407</v>
      </c>
      <c r="J3116" s="455">
        <f t="array" ref="J3116">IFERROR(INDEX('Retirement Calculator'!K:K,MATCH('Lorri 401b'!N3116,'Retirement Calculator'!A:A,0),0),0)</f>
        <v>0</v>
      </c>
      <c r="K3116" s="455">
        <f t="shared" ca="1" si="143"/>
        <v>-655645268.70710027</v>
      </c>
      <c r="L3116" s="455">
        <f t="shared" ca="1" si="144"/>
        <v>-158010509758.41116</v>
      </c>
      <c r="M3116" s="471">
        <f t="shared" si="146"/>
        <v>0.05</v>
      </c>
      <c r="N3116" s="475">
        <f t="shared" si="147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45"/>
        <v>-158010509758.41116</v>
      </c>
      <c r="J3117" s="455">
        <f t="array" ref="J3117">IFERROR(INDEX('Retirement Calculator'!K:K,MATCH('Lorri 401b'!N3117,'Retirement Calculator'!A:A,0),0),0)</f>
        <v>0</v>
      </c>
      <c r="K3117" s="455">
        <f t="shared" ca="1" si="143"/>
        <v>-658377123.99337983</v>
      </c>
      <c r="L3117" s="455">
        <f t="shared" ca="1" si="144"/>
        <v>-158668886882.40454</v>
      </c>
      <c r="M3117" s="471">
        <f t="shared" si="146"/>
        <v>0.05</v>
      </c>
      <c r="N3117" s="475">
        <f t="shared" si="147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45"/>
        <v>-158668886882.40454</v>
      </c>
      <c r="J3118" s="455">
        <f t="array" ref="J3118">IFERROR(INDEX('Retirement Calculator'!K:K,MATCH('Lorri 401b'!N3118,'Retirement Calculator'!A:A,0),0),0)</f>
        <v>0</v>
      </c>
      <c r="K3118" s="455">
        <f t="shared" ca="1" si="143"/>
        <v>-661120362.01001894</v>
      </c>
      <c r="L3118" s="455">
        <f t="shared" ca="1" si="144"/>
        <v>-159330007244.41455</v>
      </c>
      <c r="M3118" s="471">
        <f t="shared" si="146"/>
        <v>0.05</v>
      </c>
      <c r="N3118" s="475">
        <f t="shared" si="147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45"/>
        <v>-159330007244.41455</v>
      </c>
      <c r="J3119" s="455">
        <f t="array" ref="J3119">IFERROR(INDEX('Retirement Calculator'!K:K,MATCH('Lorri 401b'!N3119,'Retirement Calculator'!A:A,0),0),0)</f>
        <v>0</v>
      </c>
      <c r="K3119" s="455">
        <f t="shared" ca="1" si="143"/>
        <v>-663875030.18506062</v>
      </c>
      <c r="L3119" s="455">
        <f t="shared" ca="1" si="144"/>
        <v>-159993882274.59961</v>
      </c>
      <c r="M3119" s="471">
        <f t="shared" si="146"/>
        <v>0.05</v>
      </c>
      <c r="N3119" s="475">
        <f t="shared" si="147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45"/>
        <v>-159993882274.59961</v>
      </c>
      <c r="J3120" s="455">
        <f t="array" ref="J3120">IFERROR(INDEX('Retirement Calculator'!K:K,MATCH('Lorri 401b'!N3120,'Retirement Calculator'!A:A,0),0),0)</f>
        <v>0</v>
      </c>
      <c r="K3120" s="455">
        <f t="shared" ca="1" si="143"/>
        <v>-666641176.14416504</v>
      </c>
      <c r="L3120" s="455">
        <f t="shared" ca="1" si="144"/>
        <v>-160660523450.74377</v>
      </c>
      <c r="M3120" s="471">
        <f t="shared" si="146"/>
        <v>0.05</v>
      </c>
      <c r="N3120" s="475">
        <f t="shared" si="147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45"/>
        <v>-160660523450.74377</v>
      </c>
      <c r="J3121" s="455">
        <f t="array" ref="J3121">IFERROR(INDEX('Retirement Calculator'!K:K,MATCH('Lorri 401b'!N3121,'Retirement Calculator'!A:A,0),0),0)</f>
        <v>0</v>
      </c>
      <c r="K3121" s="455">
        <f t="shared" ca="1" si="143"/>
        <v>-669418847.71143234</v>
      </c>
      <c r="L3121" s="455">
        <f t="shared" ca="1" si="144"/>
        <v>-161329942298.4552</v>
      </c>
      <c r="M3121" s="471">
        <f t="shared" si="146"/>
        <v>0.05</v>
      </c>
      <c r="N3121" s="475">
        <f t="shared" si="147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45"/>
        <v>-161329942298.4552</v>
      </c>
      <c r="J3122" s="455">
        <f t="array" ref="J3122">IFERROR(INDEX('Retirement Calculator'!K:K,MATCH('Lorri 401b'!N3122,'Retirement Calculator'!A:A,0),0),0)</f>
        <v>0</v>
      </c>
      <c r="K3122" s="455">
        <f t="shared" ca="1" si="143"/>
        <v>-672208092.91023004</v>
      </c>
      <c r="L3122" s="455">
        <f t="shared" ca="1" si="144"/>
        <v>-162002150391.36542</v>
      </c>
      <c r="M3122" s="471">
        <f t="shared" si="146"/>
        <v>0.05</v>
      </c>
      <c r="N3122" s="475">
        <f t="shared" si="147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45"/>
        <v>-162002150391.36542</v>
      </c>
      <c r="J3123" s="455">
        <f t="array" ref="J3123">IFERROR(INDEX('Retirement Calculator'!K:K,MATCH('Lorri 401b'!N3123,'Retirement Calculator'!A:A,0),0),0)</f>
        <v>0</v>
      </c>
      <c r="K3123" s="455">
        <f t="shared" ca="1" si="143"/>
        <v>-675008959.96402252</v>
      </c>
      <c r="L3123" s="455">
        <f t="shared" ca="1" si="144"/>
        <v>-162677159351.32944</v>
      </c>
      <c r="M3123" s="471">
        <f t="shared" si="146"/>
        <v>0.05</v>
      </c>
      <c r="N3123" s="475">
        <f t="shared" si="147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45"/>
        <v>-162677159351.32944</v>
      </c>
      <c r="J3124" s="455">
        <f t="array" ref="J3124">IFERROR(INDEX('Retirement Calculator'!K:K,MATCH('Lorri 401b'!N3124,'Retirement Calculator'!A:A,0),0),0)</f>
        <v>0</v>
      </c>
      <c r="K3124" s="455">
        <f t="shared" ca="1" si="143"/>
        <v>-677821497.29720592</v>
      </c>
      <c r="L3124" s="455">
        <f t="shared" ca="1" si="144"/>
        <v>-163354980848.62665</v>
      </c>
      <c r="M3124" s="471">
        <f t="shared" si="146"/>
        <v>0.05</v>
      </c>
      <c r="N3124" s="475">
        <f t="shared" si="147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45"/>
        <v>-163354980848.62665</v>
      </c>
      <c r="J3125" s="455">
        <f t="array" ref="J3125">IFERROR(INDEX('Retirement Calculator'!K:K,MATCH('Lorri 401b'!N3125,'Retirement Calculator'!A:A,0),0),0)</f>
        <v>0</v>
      </c>
      <c r="K3125" s="455">
        <f t="shared" ca="1" si="143"/>
        <v>-680645753.53594434</v>
      </c>
      <c r="L3125" s="455">
        <f t="shared" ca="1" si="144"/>
        <v>-164035626602.1626</v>
      </c>
      <c r="M3125" s="471">
        <f t="shared" si="146"/>
        <v>0.05</v>
      </c>
      <c r="N3125" s="475">
        <f t="shared" si="147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45"/>
        <v>-164035626602.1626</v>
      </c>
      <c r="J3126" s="455">
        <f t="array" ref="J3126">IFERROR(INDEX('Retirement Calculator'!K:K,MATCH('Lorri 401b'!N3126,'Retirement Calculator'!A:A,0),0),0)</f>
        <v>0</v>
      </c>
      <c r="K3126" s="455">
        <f t="shared" ca="1" si="143"/>
        <v>-683481777.50901079</v>
      </c>
      <c r="L3126" s="455">
        <f t="shared" ca="1" si="144"/>
        <v>-164719108379.6716</v>
      </c>
      <c r="M3126" s="471">
        <f t="shared" si="146"/>
        <v>0.05</v>
      </c>
      <c r="N3126" s="475">
        <f t="shared" si="147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45"/>
        <v>-164719108379.6716</v>
      </c>
      <c r="J3127" s="455">
        <f t="array" ref="J3127">IFERROR(INDEX('Retirement Calculator'!K:K,MATCH('Lorri 401b'!N3127,'Retirement Calculator'!A:A,0),0),0)</f>
        <v>0</v>
      </c>
      <c r="K3127" s="455">
        <f t="shared" ca="1" si="143"/>
        <v>-686329618.24863172</v>
      </c>
      <c r="L3127" s="455">
        <f t="shared" ca="1" si="144"/>
        <v>-165405437997.92023</v>
      </c>
      <c r="M3127" s="471">
        <f t="shared" si="146"/>
        <v>0.05</v>
      </c>
      <c r="N3127" s="475">
        <f t="shared" si="147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45"/>
        <v>-165405437997.92023</v>
      </c>
      <c r="J3128" s="455">
        <f t="array" ref="J3128">IFERROR(INDEX('Retirement Calculator'!K:K,MATCH('Lorri 401b'!N3128,'Retirement Calculator'!A:A,0),0),0)</f>
        <v>0</v>
      </c>
      <c r="K3128" s="455">
        <f t="shared" ca="1" si="143"/>
        <v>-689189324.99133432</v>
      </c>
      <c r="L3128" s="455">
        <f t="shared" ca="1" si="144"/>
        <v>-166094627322.91156</v>
      </c>
      <c r="M3128" s="471">
        <f t="shared" si="146"/>
        <v>0.05</v>
      </c>
      <c r="N3128" s="475">
        <f t="shared" si="147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45"/>
        <v>-166094627322.91156</v>
      </c>
      <c r="J3129" s="455">
        <f t="array" ref="J3129">IFERROR(INDEX('Retirement Calculator'!K:K,MATCH('Lorri 401b'!N3129,'Retirement Calculator'!A:A,0),0),0)</f>
        <v>0</v>
      </c>
      <c r="K3129" s="455">
        <f t="shared" ca="1" si="143"/>
        <v>-692060947.1787982</v>
      </c>
      <c r="L3129" s="455">
        <f t="shared" ca="1" si="144"/>
        <v>-166786688270.09036</v>
      </c>
      <c r="M3129" s="471">
        <f t="shared" si="146"/>
        <v>0.05</v>
      </c>
      <c r="N3129" s="475">
        <f t="shared" si="147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45"/>
        <v>-166786688270.09036</v>
      </c>
      <c r="J3130" s="455">
        <f t="array" ref="J3130">IFERROR(INDEX('Retirement Calculator'!K:K,MATCH('Lorri 401b'!N3130,'Retirement Calculator'!A:A,0),0),0)</f>
        <v>0</v>
      </c>
      <c r="K3130" s="455">
        <f t="shared" ca="1" si="143"/>
        <v>-694944534.45870984</v>
      </c>
      <c r="L3130" s="455">
        <f t="shared" ca="1" si="144"/>
        <v>-167481632804.54907</v>
      </c>
      <c r="M3130" s="471">
        <f t="shared" si="146"/>
        <v>0.05</v>
      </c>
      <c r="N3130" s="475">
        <f t="shared" si="147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45"/>
        <v>-167481632804.54907</v>
      </c>
      <c r="J3131" s="455">
        <f t="array" ref="J3131">IFERROR(INDEX('Retirement Calculator'!K:K,MATCH('Lorri 401b'!N3131,'Retirement Calculator'!A:A,0),0),0)</f>
        <v>0</v>
      </c>
      <c r="K3131" s="455">
        <f t="shared" ca="1" si="143"/>
        <v>-697840136.68562114</v>
      </c>
      <c r="L3131" s="455">
        <f t="shared" ca="1" si="144"/>
        <v>-168179472941.23468</v>
      </c>
      <c r="M3131" s="471">
        <f t="shared" si="146"/>
        <v>0.05</v>
      </c>
      <c r="N3131" s="475">
        <f t="shared" si="147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45"/>
        <v>-168179472941.23468</v>
      </c>
      <c r="J3132" s="455">
        <f t="array" ref="J3132">IFERROR(INDEX('Retirement Calculator'!K:K,MATCH('Lorri 401b'!N3132,'Retirement Calculator'!A:A,0),0),0)</f>
        <v>0</v>
      </c>
      <c r="K3132" s="455">
        <f t="shared" ca="1" si="143"/>
        <v>-700747803.9218111</v>
      </c>
      <c r="L3132" s="455">
        <f t="shared" ca="1" si="144"/>
        <v>-168880220745.15649</v>
      </c>
      <c r="M3132" s="471">
        <f t="shared" si="146"/>
        <v>0.05</v>
      </c>
      <c r="N3132" s="475">
        <f t="shared" si="147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45"/>
        <v>-168880220745.15649</v>
      </c>
      <c r="J3133" s="455">
        <f t="array" ref="J3133">IFERROR(INDEX('Retirement Calculator'!K:K,MATCH('Lorri 401b'!N3133,'Retirement Calculator'!A:A,0),0),0)</f>
        <v>0</v>
      </c>
      <c r="K3133" s="455">
        <f t="shared" ca="1" si="143"/>
        <v>-703667586.43815207</v>
      </c>
      <c r="L3133" s="455">
        <f t="shared" ca="1" si="144"/>
        <v>-169583888331.59464</v>
      </c>
      <c r="M3133" s="471">
        <f t="shared" si="146"/>
        <v>0.05</v>
      </c>
      <c r="N3133" s="475">
        <f t="shared" si="147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45"/>
        <v>-169583888331.59464</v>
      </c>
      <c r="J3134" s="455">
        <f t="array" ref="J3134">IFERROR(INDEX('Retirement Calculator'!K:K,MATCH('Lorri 401b'!N3134,'Retirement Calculator'!A:A,0),0),0)</f>
        <v>0</v>
      </c>
      <c r="K3134" s="455">
        <f t="shared" ca="1" si="143"/>
        <v>-706599534.71497762</v>
      </c>
      <c r="L3134" s="455">
        <f t="shared" ca="1" si="144"/>
        <v>-170290487866.3096</v>
      </c>
      <c r="M3134" s="471">
        <f t="shared" si="146"/>
        <v>0.05</v>
      </c>
      <c r="N3134" s="475">
        <f t="shared" si="147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45"/>
        <v>-170290487866.3096</v>
      </c>
      <c r="J3135" s="455">
        <f t="array" ref="J3135">IFERROR(INDEX('Retirement Calculator'!K:K,MATCH('Lorri 401b'!N3135,'Retirement Calculator'!A:A,0),0),0)</f>
        <v>0</v>
      </c>
      <c r="K3135" s="455">
        <f t="shared" ca="1" si="143"/>
        <v>-709543699.44295669</v>
      </c>
      <c r="L3135" s="455">
        <f t="shared" ca="1" si="144"/>
        <v>-171000031565.75256</v>
      </c>
      <c r="M3135" s="471">
        <f t="shared" si="146"/>
        <v>0.05</v>
      </c>
      <c r="N3135" s="475">
        <f t="shared" si="147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45"/>
        <v>-171000031565.75256</v>
      </c>
      <c r="J3136" s="455">
        <f t="array" ref="J3136">IFERROR(INDEX('Retirement Calculator'!K:K,MATCH('Lorri 401b'!N3136,'Retirement Calculator'!A:A,0),0),0)</f>
        <v>0</v>
      </c>
      <c r="K3136" s="455">
        <f t="shared" ca="1" si="143"/>
        <v>-712500131.52396905</v>
      </c>
      <c r="L3136" s="455">
        <f t="shared" ca="1" si="144"/>
        <v>-171712531697.27652</v>
      </c>
      <c r="M3136" s="471">
        <f t="shared" si="146"/>
        <v>0.05</v>
      </c>
      <c r="N3136" s="475">
        <f t="shared" si="147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45"/>
        <v>-171712531697.27652</v>
      </c>
      <c r="J3137" s="455">
        <f t="array" ref="J3137">IFERROR(INDEX('Retirement Calculator'!K:K,MATCH('Lorri 401b'!N3137,'Retirement Calculator'!A:A,0),0),0)</f>
        <v>0</v>
      </c>
      <c r="K3137" s="455">
        <f t="shared" ca="1" si="143"/>
        <v>-715468882.07198548</v>
      </c>
      <c r="L3137" s="455">
        <f t="shared" ca="1" si="144"/>
        <v>-172428000579.34851</v>
      </c>
      <c r="M3137" s="471">
        <f t="shared" si="146"/>
        <v>0.05</v>
      </c>
      <c r="N3137" s="475">
        <f t="shared" si="147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45"/>
        <v>-172428000579.34851</v>
      </c>
      <c r="J3138" s="455">
        <f t="array" ref="J3138">IFERROR(INDEX('Retirement Calculator'!K:K,MATCH('Lorri 401b'!N3138,'Retirement Calculator'!A:A,0),0),0)</f>
        <v>0</v>
      </c>
      <c r="K3138" s="455">
        <f t="shared" ca="1" si="143"/>
        <v>-718450002.41395211</v>
      </c>
      <c r="L3138" s="455">
        <f t="shared" ca="1" si="144"/>
        <v>-173146450581.76245</v>
      </c>
      <c r="M3138" s="471">
        <f t="shared" si="146"/>
        <v>0.05</v>
      </c>
      <c r="N3138" s="475">
        <f t="shared" si="147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45"/>
        <v>-173146450581.76245</v>
      </c>
      <c r="J3139" s="455">
        <f t="array" ref="J3139">IFERROR(INDEX('Retirement Calculator'!K:K,MATCH('Lorri 401b'!N3139,'Retirement Calculator'!A:A,0),0),0)</f>
        <v>0</v>
      </c>
      <c r="K3139" s="455">
        <f t="shared" ca="1" si="143"/>
        <v>-721443544.0906769</v>
      </c>
      <c r="L3139" s="455">
        <f t="shared" ca="1" si="144"/>
        <v>-173867894125.85312</v>
      </c>
      <c r="M3139" s="471">
        <f t="shared" si="146"/>
        <v>0.05</v>
      </c>
      <c r="N3139" s="475">
        <f t="shared" si="147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45"/>
        <v>-173867894125.85312</v>
      </c>
      <c r="J3140" s="455">
        <f t="array" ref="J3140">IFERROR(INDEX('Retirement Calculator'!K:K,MATCH('Lorri 401b'!N3140,'Retirement Calculator'!A:A,0),0),0)</f>
        <v>0</v>
      </c>
      <c r="K3140" s="455">
        <f t="shared" ca="1" si="143"/>
        <v>-724449558.85772133</v>
      </c>
      <c r="L3140" s="455">
        <f t="shared" ca="1" si="144"/>
        <v>-174592343684.71085</v>
      </c>
      <c r="M3140" s="471">
        <f t="shared" si="146"/>
        <v>0.05</v>
      </c>
      <c r="N3140" s="475">
        <f t="shared" si="147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45"/>
        <v>-174592343684.71085</v>
      </c>
      <c r="J3141" s="455">
        <f t="array" ref="J3141">IFERROR(INDEX('Retirement Calculator'!K:K,MATCH('Lorri 401b'!N3141,'Retirement Calculator'!A:A,0),0),0)</f>
        <v>0</v>
      </c>
      <c r="K3141" s="455">
        <f t="shared" ca="1" si="143"/>
        <v>-727468098.68629515</v>
      </c>
      <c r="L3141" s="455">
        <f t="shared" ca="1" si="144"/>
        <v>-175319811783.39716</v>
      </c>
      <c r="M3141" s="471">
        <f t="shared" si="146"/>
        <v>0.05</v>
      </c>
      <c r="N3141" s="475">
        <f t="shared" si="147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45"/>
        <v>-175319811783.39716</v>
      </c>
      <c r="J3142" s="455">
        <f t="array" ref="J3142">IFERROR(INDEX('Retirement Calculator'!K:K,MATCH('Lorri 401b'!N3142,'Retirement Calculator'!A:A,0),0),0)</f>
        <v>0</v>
      </c>
      <c r="K3142" s="455">
        <f t="shared" ca="1" si="143"/>
        <v>-730499215.76415479</v>
      </c>
      <c r="L3142" s="455">
        <f t="shared" ca="1" si="144"/>
        <v>-176050310999.16132</v>
      </c>
      <c r="M3142" s="471">
        <f t="shared" si="146"/>
        <v>0.05</v>
      </c>
      <c r="N3142" s="475">
        <f t="shared" si="147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45"/>
        <v>-176050310999.16132</v>
      </c>
      <c r="J3143" s="455">
        <f t="array" ref="J3143">IFERROR(INDEX('Retirement Calculator'!K:K,MATCH('Lorri 401b'!N3143,'Retirement Calculator'!A:A,0),0),0)</f>
        <v>0</v>
      </c>
      <c r="K3143" s="455">
        <f t="shared" ca="1" si="143"/>
        <v>-733542962.4965055</v>
      </c>
      <c r="L3143" s="455">
        <f t="shared" ca="1" si="144"/>
        <v>-176783853961.65781</v>
      </c>
      <c r="M3143" s="471">
        <f t="shared" si="146"/>
        <v>0.05</v>
      </c>
      <c r="N3143" s="475">
        <f t="shared" si="147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45"/>
        <v>-176783853961.65781</v>
      </c>
      <c r="J3144" s="455">
        <f t="array" ref="J3144">IFERROR(INDEX('Retirement Calculator'!K:K,MATCH('Lorri 401b'!N3144,'Retirement Calculator'!A:A,0),0),0)</f>
        <v>0</v>
      </c>
      <c r="K3144" s="455">
        <f t="shared" ca="1" si="143"/>
        <v>-736599391.50690746</v>
      </c>
      <c r="L3144" s="455">
        <f t="shared" ca="1" si="144"/>
        <v>-177520453353.1647</v>
      </c>
      <c r="M3144" s="471">
        <f t="shared" si="146"/>
        <v>0.05</v>
      </c>
      <c r="N3144" s="475">
        <f t="shared" si="147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45"/>
        <v>-177520453353.1647</v>
      </c>
      <c r="J3145" s="455">
        <f t="array" ref="J3145">IFERROR(INDEX('Retirement Calculator'!K:K,MATCH('Lorri 401b'!N3145,'Retirement Calculator'!A:A,0),0),0)</f>
        <v>0</v>
      </c>
      <c r="K3145" s="455">
        <f t="shared" ca="1" si="143"/>
        <v>-739668555.63818622</v>
      </c>
      <c r="L3145" s="455">
        <f t="shared" ca="1" si="144"/>
        <v>-178260121908.80289</v>
      </c>
      <c r="M3145" s="471">
        <f t="shared" si="146"/>
        <v>0.05</v>
      </c>
      <c r="N3145" s="475">
        <f t="shared" si="147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45"/>
        <v>-178260121908.80289</v>
      </c>
      <c r="J3146" s="455">
        <f t="array" ref="J3146">IFERROR(INDEX('Retirement Calculator'!K:K,MATCH('Lorri 401b'!N3146,'Retirement Calculator'!A:A,0),0),0)</f>
        <v>0</v>
      </c>
      <c r="K3146" s="455">
        <f t="shared" ca="1" si="143"/>
        <v>-742750507.9533453</v>
      </c>
      <c r="L3146" s="455">
        <f t="shared" ca="1" si="144"/>
        <v>-179002872416.75623</v>
      </c>
      <c r="M3146" s="471">
        <f t="shared" si="146"/>
        <v>0.05</v>
      </c>
      <c r="N3146" s="475">
        <f t="shared" si="147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45"/>
        <v>-179002872416.75623</v>
      </c>
      <c r="J3147" s="455">
        <f t="array" ref="J3147">IFERROR(INDEX('Retirement Calculator'!K:K,MATCH('Lorri 401b'!N3147,'Retirement Calculator'!A:A,0),0),0)</f>
        <v>0</v>
      </c>
      <c r="K3147" s="455">
        <f t="shared" ca="1" si="143"/>
        <v>-745845301.73648429</v>
      </c>
      <c r="L3147" s="455">
        <f t="shared" ca="1" si="144"/>
        <v>-179748717718.49271</v>
      </c>
      <c r="M3147" s="471">
        <f t="shared" si="146"/>
        <v>0.05</v>
      </c>
      <c r="N3147" s="475">
        <f t="shared" si="147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45"/>
        <v>-179748717718.49271</v>
      </c>
      <c r="J3148" s="455">
        <f t="array" ref="J3148">IFERROR(INDEX('Retirement Calculator'!K:K,MATCH('Lorri 401b'!N3148,'Retirement Calculator'!A:A,0),0),0)</f>
        <v>0</v>
      </c>
      <c r="K3148" s="455">
        <f t="shared" ca="1" si="143"/>
        <v>-748952990.49371958</v>
      </c>
      <c r="L3148" s="455">
        <f t="shared" ca="1" si="144"/>
        <v>-180497670708.98642</v>
      </c>
      <c r="M3148" s="471">
        <f t="shared" si="146"/>
        <v>0.05</v>
      </c>
      <c r="N3148" s="475">
        <f t="shared" si="147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45"/>
        <v>-180497670708.98642</v>
      </c>
      <c r="J3149" s="455">
        <f t="array" ref="J3149">IFERROR(INDEX('Retirement Calculator'!K:K,MATCH('Lorri 401b'!N3149,'Retirement Calculator'!A:A,0),0),0)</f>
        <v>0</v>
      </c>
      <c r="K3149" s="455">
        <f t="shared" ca="1" si="143"/>
        <v>-752073627.95411003</v>
      </c>
      <c r="L3149" s="455">
        <f t="shared" ca="1" si="144"/>
        <v>-181249744336.94052</v>
      </c>
      <c r="M3149" s="471">
        <f t="shared" si="146"/>
        <v>0.05</v>
      </c>
      <c r="N3149" s="475">
        <f t="shared" si="147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45"/>
        <v>-181249744336.94052</v>
      </c>
      <c r="J3150" s="455">
        <f t="array" ref="J3150">IFERROR(INDEX('Retirement Calculator'!K:K,MATCH('Lorri 401b'!N3150,'Retirement Calculator'!A:A,0),0),0)</f>
        <v>0</v>
      </c>
      <c r="K3150" s="455">
        <f t="shared" ca="1" si="143"/>
        <v>-755207268.07058549</v>
      </c>
      <c r="L3150" s="455">
        <f t="shared" ca="1" si="144"/>
        <v>-182004951605.01111</v>
      </c>
      <c r="M3150" s="471">
        <f t="shared" si="146"/>
        <v>0.05</v>
      </c>
      <c r="N3150" s="475">
        <f t="shared" si="147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45"/>
        <v>-182004951605.01111</v>
      </c>
      <c r="J3151" s="455">
        <f t="array" ref="J3151">IFERROR(INDEX('Retirement Calculator'!K:K,MATCH('Lorri 401b'!N3151,'Retirement Calculator'!A:A,0),0),0)</f>
        <v>0</v>
      </c>
      <c r="K3151" s="455">
        <f t="shared" ca="1" si="143"/>
        <v>-758353965.02087963</v>
      </c>
      <c r="L3151" s="455">
        <f t="shared" ca="1" si="144"/>
        <v>-182763305570.03198</v>
      </c>
      <c r="M3151" s="471">
        <f t="shared" si="146"/>
        <v>0.05</v>
      </c>
      <c r="N3151" s="475">
        <f t="shared" si="147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45"/>
        <v>-182763305570.03198</v>
      </c>
      <c r="J3152" s="455">
        <f t="array" ref="J3152">IFERROR(INDEX('Retirement Calculator'!K:K,MATCH('Lorri 401b'!N3152,'Retirement Calculator'!A:A,0),0),0)</f>
        <v>0</v>
      </c>
      <c r="K3152" s="455">
        <f t="shared" ca="1" si="143"/>
        <v>-761513773.20846653</v>
      </c>
      <c r="L3152" s="455">
        <f t="shared" ca="1" si="144"/>
        <v>-183524819343.24045</v>
      </c>
      <c r="M3152" s="471">
        <f t="shared" si="146"/>
        <v>0.05</v>
      </c>
      <c r="N3152" s="475">
        <f t="shared" si="147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45"/>
        <v>-183524819343.24045</v>
      </c>
      <c r="J3153" s="455">
        <f t="array" ref="J3153">IFERROR(INDEX('Retirement Calculator'!K:K,MATCH('Lorri 401b'!N3153,'Retirement Calculator'!A:A,0),0),0)</f>
        <v>0</v>
      </c>
      <c r="K3153" s="455">
        <f t="shared" ca="1" si="143"/>
        <v>-764686747.26350188</v>
      </c>
      <c r="L3153" s="455">
        <f t="shared" ca="1" si="144"/>
        <v>-184289506090.50394</v>
      </c>
      <c r="M3153" s="471">
        <f t="shared" si="146"/>
        <v>0.05</v>
      </c>
      <c r="N3153" s="475">
        <f t="shared" si="147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45"/>
        <v>-184289506090.50394</v>
      </c>
      <c r="J3154" s="455">
        <f t="array" ref="J3154">IFERROR(INDEX('Retirement Calculator'!K:K,MATCH('Lorri 401b'!N3154,'Retirement Calculator'!A:A,0),0),0)</f>
        <v>0</v>
      </c>
      <c r="K3154" s="455">
        <f t="shared" ca="1" si="143"/>
        <v>-767872942.04376638</v>
      </c>
      <c r="L3154" s="455">
        <f t="shared" ca="1" si="144"/>
        <v>-185057379032.5477</v>
      </c>
      <c r="M3154" s="471">
        <f t="shared" si="146"/>
        <v>0.05</v>
      </c>
      <c r="N3154" s="475">
        <f t="shared" si="147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45"/>
        <v>-185057379032.5477</v>
      </c>
      <c r="J3155" s="455">
        <f t="array" ref="J3155">IFERROR(INDEX('Retirement Calculator'!K:K,MATCH('Lorri 401b'!N3155,'Retirement Calculator'!A:A,0),0),0)</f>
        <v>0</v>
      </c>
      <c r="K3155" s="455">
        <f t="shared" ca="1" si="143"/>
        <v>-771072412.63561535</v>
      </c>
      <c r="L3155" s="455">
        <f t="shared" ca="1" si="144"/>
        <v>-185828451445.18332</v>
      </c>
      <c r="M3155" s="471">
        <f t="shared" si="146"/>
        <v>0.05</v>
      </c>
      <c r="N3155" s="475">
        <f t="shared" si="147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45"/>
        <v>-185828451445.18332</v>
      </c>
      <c r="J3156" s="455">
        <f t="array" ref="J3156">IFERROR(INDEX('Retirement Calculator'!K:K,MATCH('Lorri 401b'!N3156,'Retirement Calculator'!A:A,0),0),0)</f>
        <v>0</v>
      </c>
      <c r="K3156" s="455">
        <f t="shared" ca="1" si="143"/>
        <v>-774285214.35493052</v>
      </c>
      <c r="L3156" s="455">
        <f t="shared" ca="1" si="144"/>
        <v>-186602736659.53824</v>
      </c>
      <c r="M3156" s="471">
        <f t="shared" si="146"/>
        <v>0.05</v>
      </c>
      <c r="N3156" s="475">
        <f t="shared" si="147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45"/>
        <v>-186602736659.53824</v>
      </c>
      <c r="J3157" s="455">
        <f t="array" ref="J3157">IFERROR(INDEX('Retirement Calculator'!K:K,MATCH('Lorri 401b'!N3157,'Retirement Calculator'!A:A,0),0),0)</f>
        <v>0</v>
      </c>
      <c r="K3157" s="455">
        <f t="shared" ca="1" si="143"/>
        <v>-777511402.74807596</v>
      </c>
      <c r="L3157" s="455">
        <f t="shared" ca="1" si="144"/>
        <v>-187380248062.28632</v>
      </c>
      <c r="M3157" s="471">
        <f t="shared" si="146"/>
        <v>0.05</v>
      </c>
      <c r="N3157" s="475">
        <f t="shared" si="147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45"/>
        <v>-187380248062.28632</v>
      </c>
      <c r="J3158" s="455">
        <f t="array" ref="J3158">IFERROR(INDEX('Retirement Calculator'!K:K,MATCH('Lorri 401b'!N3158,'Retirement Calculator'!A:A,0),0),0)</f>
        <v>0</v>
      </c>
      <c r="K3158" s="455">
        <f t="shared" ca="1" si="143"/>
        <v>-780751033.59285963</v>
      </c>
      <c r="L3158" s="455">
        <f t="shared" ca="1" si="144"/>
        <v>-188160999095.87918</v>
      </c>
      <c r="M3158" s="471">
        <f t="shared" si="146"/>
        <v>0.05</v>
      </c>
      <c r="N3158" s="475">
        <f t="shared" si="147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45"/>
        <v>-188160999095.87918</v>
      </c>
      <c r="J3159" s="455">
        <f t="array" ref="J3159">IFERROR(INDEX('Retirement Calculator'!K:K,MATCH('Lorri 401b'!N3159,'Retirement Calculator'!A:A,0),0),0)</f>
        <v>0</v>
      </c>
      <c r="K3159" s="455">
        <f t="shared" ca="1" si="143"/>
        <v>-784004162.89949656</v>
      </c>
      <c r="L3159" s="455">
        <f t="shared" ca="1" si="144"/>
        <v>-188945003258.77869</v>
      </c>
      <c r="M3159" s="471">
        <f t="shared" si="146"/>
        <v>0.05</v>
      </c>
      <c r="N3159" s="475">
        <f t="shared" si="147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45"/>
        <v>-188945003258.77869</v>
      </c>
      <c r="J3160" s="455">
        <f t="array" ref="J3160">IFERROR(INDEX('Retirement Calculator'!K:K,MATCH('Lorri 401b'!N3160,'Retirement Calculator'!A:A,0),0),0)</f>
        <v>0</v>
      </c>
      <c r="K3160" s="455">
        <f t="shared" ca="1" si="143"/>
        <v>-787270846.91157782</v>
      </c>
      <c r="L3160" s="455">
        <f t="shared" ca="1" si="144"/>
        <v>-189732274105.69028</v>
      </c>
      <c r="M3160" s="471">
        <f t="shared" si="146"/>
        <v>0.05</v>
      </c>
      <c r="N3160" s="475">
        <f t="shared" si="147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45"/>
        <v>-189732274105.69028</v>
      </c>
      <c r="J3161" s="455">
        <f t="array" ref="J3161">IFERROR(INDEX('Retirement Calculator'!K:K,MATCH('Lorri 401b'!N3161,'Retirement Calculator'!A:A,0),0),0)</f>
        <v>0</v>
      </c>
      <c r="K3161" s="455">
        <f t="shared" ca="1" si="143"/>
        <v>-790551142.10704279</v>
      </c>
      <c r="L3161" s="455">
        <f t="shared" ca="1" si="144"/>
        <v>-190522825247.79733</v>
      </c>
      <c r="M3161" s="471">
        <f t="shared" si="146"/>
        <v>0.05</v>
      </c>
      <c r="N3161" s="475">
        <f t="shared" si="147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45"/>
        <v>-190522825247.79733</v>
      </c>
      <c r="J3162" s="455">
        <f t="array" ref="J3162">IFERROR(INDEX('Retirement Calculator'!K:K,MATCH('Lorri 401b'!N3162,'Retirement Calculator'!A:A,0),0),0)</f>
        <v>0</v>
      </c>
      <c r="K3162" s="455">
        <f t="shared" ca="1" si="143"/>
        <v>-793845105.19915557</v>
      </c>
      <c r="L3162" s="455">
        <f t="shared" ca="1" si="144"/>
        <v>-191316670352.99649</v>
      </c>
      <c r="M3162" s="471">
        <f t="shared" si="146"/>
        <v>0.05</v>
      </c>
      <c r="N3162" s="475">
        <f t="shared" si="147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45"/>
        <v>-191316670352.99649</v>
      </c>
      <c r="J3163" s="455">
        <f t="array" ref="J3163">IFERROR(INDEX('Retirement Calculator'!K:K,MATCH('Lorri 401b'!N3163,'Retirement Calculator'!A:A,0),0),0)</f>
        <v>0</v>
      </c>
      <c r="K3163" s="455">
        <f t="shared" ca="1" si="143"/>
        <v>-797152793.13748538</v>
      </c>
      <c r="L3163" s="455">
        <f t="shared" ca="1" si="144"/>
        <v>-192113823146.13397</v>
      </c>
      <c r="M3163" s="471">
        <f t="shared" si="146"/>
        <v>0.05</v>
      </c>
      <c r="N3163" s="475">
        <f t="shared" si="147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45"/>
        <v>-192113823146.13397</v>
      </c>
      <c r="J3164" s="455">
        <f t="array" ref="J3164">IFERROR(INDEX('Retirement Calculator'!K:K,MATCH('Lorri 401b'!N3164,'Retirement Calculator'!A:A,0),0),0)</f>
        <v>0</v>
      </c>
      <c r="K3164" s="455">
        <f t="shared" ca="1" si="143"/>
        <v>-800474263.10889149</v>
      </c>
      <c r="L3164" s="455">
        <f t="shared" ca="1" si="144"/>
        <v>-192914297409.24286</v>
      </c>
      <c r="M3164" s="471">
        <f t="shared" si="146"/>
        <v>0.05</v>
      </c>
      <c r="N3164" s="475">
        <f t="shared" si="147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45"/>
        <v>-192914297409.24286</v>
      </c>
      <c r="J3165" s="455">
        <f t="array" ref="J3165">IFERROR(INDEX('Retirement Calculator'!K:K,MATCH('Lorri 401b'!N3165,'Retirement Calculator'!A:A,0),0),0)</f>
        <v>0</v>
      </c>
      <c r="K3165" s="455">
        <f t="shared" ca="1" si="143"/>
        <v>-803809572.53851187</v>
      </c>
      <c r="L3165" s="455">
        <f t="shared" ca="1" si="144"/>
        <v>-193718106981.78137</v>
      </c>
      <c r="M3165" s="471">
        <f t="shared" si="146"/>
        <v>0.05</v>
      </c>
      <c r="N3165" s="475">
        <f t="shared" si="147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45"/>
        <v>-193718106981.78137</v>
      </c>
      <c r="J3166" s="455">
        <f t="array" ref="J3166">IFERROR(INDEX('Retirement Calculator'!K:K,MATCH('Lorri 401b'!N3166,'Retirement Calculator'!A:A,0),0),0)</f>
        <v>0</v>
      </c>
      <c r="K3166" s="455">
        <f t="shared" ca="1" si="143"/>
        <v>-807158779.0907557</v>
      </c>
      <c r="L3166" s="455">
        <f t="shared" ca="1" si="144"/>
        <v>-194525265760.87213</v>
      </c>
      <c r="M3166" s="471">
        <f t="shared" si="146"/>
        <v>0.05</v>
      </c>
      <c r="N3166" s="475">
        <f t="shared" si="147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45"/>
        <v>-194525265760.87213</v>
      </c>
      <c r="J3167" s="455">
        <f t="array" ref="J3167">IFERROR(INDEX('Retirement Calculator'!K:K,MATCH('Lorri 401b'!N3167,'Retirement Calculator'!A:A,0),0),0)</f>
        <v>0</v>
      </c>
      <c r="K3167" s="455">
        <f t="shared" ca="1" si="143"/>
        <v>-810521940.67030048</v>
      </c>
      <c r="L3167" s="455">
        <f t="shared" ca="1" si="144"/>
        <v>-195335787701.54242</v>
      </c>
      <c r="M3167" s="471">
        <f t="shared" si="146"/>
        <v>0.05</v>
      </c>
      <c r="N3167" s="475">
        <f t="shared" si="147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45"/>
        <v>-195335787701.54242</v>
      </c>
      <c r="J3168" s="455">
        <f t="array" ref="J3168">IFERROR(INDEX('Retirement Calculator'!K:K,MATCH('Lorri 401b'!N3168,'Retirement Calculator'!A:A,0),0),0)</f>
        <v>0</v>
      </c>
      <c r="K3168" s="455">
        <f t="shared" ca="1" si="143"/>
        <v>-813899115.42309344</v>
      </c>
      <c r="L3168" s="455">
        <f t="shared" ca="1" si="144"/>
        <v>-196149686816.96552</v>
      </c>
      <c r="M3168" s="471">
        <f t="shared" si="146"/>
        <v>0.05</v>
      </c>
      <c r="N3168" s="475">
        <f t="shared" si="147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45"/>
        <v>-196149686816.96552</v>
      </c>
      <c r="J3169" s="455">
        <f t="array" ref="J3169">IFERROR(INDEX('Retirement Calculator'!K:K,MATCH('Lorri 401b'!N3169,'Retirement Calculator'!A:A,0),0),0)</f>
        <v>0</v>
      </c>
      <c r="K3169" s="455">
        <f t="shared" ca="1" si="143"/>
        <v>-817290361.73735631</v>
      </c>
      <c r="L3169" s="455">
        <f t="shared" ca="1" si="144"/>
        <v>-196966977178.70288</v>
      </c>
      <c r="M3169" s="471">
        <f t="shared" si="146"/>
        <v>0.05</v>
      </c>
      <c r="N3169" s="475">
        <f t="shared" si="147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45"/>
        <v>-196966977178.70288</v>
      </c>
      <c r="J3170" s="455">
        <f t="array" ref="J3170">IFERROR(INDEX('Retirement Calculator'!K:K,MATCH('Lorri 401b'!N3170,'Retirement Calculator'!A:A,0),0),0)</f>
        <v>0</v>
      </c>
      <c r="K3170" s="455">
        <f t="shared" ca="1" si="143"/>
        <v>-820695738.24459529</v>
      </c>
      <c r="L3170" s="455">
        <f t="shared" ca="1" si="144"/>
        <v>-197787672916.94748</v>
      </c>
      <c r="M3170" s="471">
        <f t="shared" si="146"/>
        <v>0.05</v>
      </c>
      <c r="N3170" s="475">
        <f t="shared" si="147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45"/>
        <v>-197787672916.94748</v>
      </c>
      <c r="J3171" s="455">
        <f t="array" ref="J3171">IFERROR(INDEX('Retirement Calculator'!K:K,MATCH('Lorri 401b'!N3171,'Retirement Calculator'!A:A,0),0),0)</f>
        <v>0</v>
      </c>
      <c r="K3171" s="455">
        <f t="shared" ca="1" si="143"/>
        <v>-824115303.82061446</v>
      </c>
      <c r="L3171" s="455">
        <f t="shared" ca="1" si="144"/>
        <v>-198611788220.7681</v>
      </c>
      <c r="M3171" s="471">
        <f t="shared" si="146"/>
        <v>0.05</v>
      </c>
      <c r="N3171" s="475">
        <f t="shared" si="147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45"/>
        <v>-198611788220.7681</v>
      </c>
      <c r="J3172" s="455">
        <f t="array" ref="J3172">IFERROR(INDEX('Retirement Calculator'!K:K,MATCH('Lorri 401b'!N3172,'Retirement Calculator'!A:A,0),0),0)</f>
        <v>0</v>
      </c>
      <c r="K3172" s="455">
        <f t="shared" ca="1" si="143"/>
        <v>-827549117.58653378</v>
      </c>
      <c r="L3172" s="455">
        <f t="shared" ca="1" si="144"/>
        <v>-199439337338.35464</v>
      </c>
      <c r="M3172" s="471">
        <f t="shared" si="146"/>
        <v>0.05</v>
      </c>
      <c r="N3172" s="475">
        <f t="shared" si="147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45"/>
        <v>-199439337338.35464</v>
      </c>
      <c r="J3173" s="455">
        <f t="array" ref="J3173">IFERROR(INDEX('Retirement Calculator'!K:K,MATCH('Lorri 401b'!N3173,'Retirement Calculator'!A:A,0),0),0)</f>
        <v>0</v>
      </c>
      <c r="K3173" s="455">
        <f t="shared" ca="1" si="143"/>
        <v>-830997238.90981102</v>
      </c>
      <c r="L3173" s="455">
        <f t="shared" ca="1" si="144"/>
        <v>-200270334577.26447</v>
      </c>
      <c r="M3173" s="471">
        <f t="shared" si="146"/>
        <v>0.05</v>
      </c>
      <c r="N3173" s="475">
        <f t="shared" si="147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45"/>
        <v>-200270334577.26447</v>
      </c>
      <c r="J3174" s="455">
        <f t="array" ref="J3174">IFERROR(INDEX('Retirement Calculator'!K:K,MATCH('Lorri 401b'!N3174,'Retirement Calculator'!A:A,0),0),0)</f>
        <v>0</v>
      </c>
      <c r="K3174" s="455">
        <f t="shared" ca="1" si="143"/>
        <v>-834459727.40526855</v>
      </c>
      <c r="L3174" s="455">
        <f t="shared" ca="1" si="144"/>
        <v>-201104794304.66974</v>
      </c>
      <c r="M3174" s="471">
        <f t="shared" si="146"/>
        <v>0.05</v>
      </c>
      <c r="N3174" s="475">
        <f t="shared" si="147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45"/>
        <v>-201104794304.66974</v>
      </c>
      <c r="J3175" s="455">
        <f t="array" ref="J3175">IFERROR(INDEX('Retirement Calculator'!K:K,MATCH('Lorri 401b'!N3175,'Retirement Calculator'!A:A,0),0),0)</f>
        <v>0</v>
      </c>
      <c r="K3175" s="455">
        <f t="shared" ca="1" si="143"/>
        <v>-837936642.93612385</v>
      </c>
      <c r="L3175" s="455">
        <f t="shared" ca="1" si="144"/>
        <v>-201942730947.60587</v>
      </c>
      <c r="M3175" s="471">
        <f t="shared" si="146"/>
        <v>0.05</v>
      </c>
      <c r="N3175" s="475">
        <f t="shared" si="147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45"/>
        <v>-201942730947.60587</v>
      </c>
      <c r="J3176" s="455">
        <f t="array" ref="J3176">IFERROR(INDEX('Retirement Calculator'!K:K,MATCH('Lorri 401b'!N3176,'Retirement Calculator'!A:A,0),0),0)</f>
        <v>0</v>
      </c>
      <c r="K3176" s="455">
        <f t="shared" ca="1" si="143"/>
        <v>-841428045.61502445</v>
      </c>
      <c r="L3176" s="455">
        <f t="shared" ca="1" si="144"/>
        <v>-202784158993.22089</v>
      </c>
      <c r="M3176" s="471">
        <f t="shared" si="146"/>
        <v>0.05</v>
      </c>
      <c r="N3176" s="475">
        <f t="shared" si="147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45"/>
        <v>-202784158993.22089</v>
      </c>
      <c r="J3177" s="455">
        <f t="array" ref="J3177">IFERROR(INDEX('Retirement Calculator'!K:K,MATCH('Lorri 401b'!N3177,'Retirement Calculator'!A:A,0),0),0)</f>
        <v>0</v>
      </c>
      <c r="K3177" s="455">
        <f t="shared" ca="1" si="143"/>
        <v>-844933995.80508697</v>
      </c>
      <c r="L3177" s="455">
        <f t="shared" ca="1" si="144"/>
        <v>-203629092989.02597</v>
      </c>
      <c r="M3177" s="471">
        <f t="shared" si="146"/>
        <v>0.05</v>
      </c>
      <c r="N3177" s="475">
        <f t="shared" si="147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45"/>
        <v>-203629092989.02597</v>
      </c>
      <c r="J3178" s="455">
        <f t="array" ref="J3178">IFERROR(INDEX('Retirement Calculator'!K:K,MATCH('Lorri 401b'!N3178,'Retirement Calculator'!A:A,0),0),0)</f>
        <v>0</v>
      </c>
      <c r="K3178" s="455">
        <f t="shared" ca="1" si="143"/>
        <v>-848454554.12094152</v>
      </c>
      <c r="L3178" s="455">
        <f t="shared" ca="1" si="144"/>
        <v>-204477547543.14691</v>
      </c>
      <c r="M3178" s="471">
        <f t="shared" si="146"/>
        <v>0.05</v>
      </c>
      <c r="N3178" s="475">
        <f t="shared" si="147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45"/>
        <v>-204477547543.14691</v>
      </c>
      <c r="J3179" s="455">
        <f t="array" ref="J3179">IFERROR(INDEX('Retirement Calculator'!K:K,MATCH('Lorri 401b'!N3179,'Retirement Calculator'!A:A,0),0),0)</f>
        <v>0</v>
      </c>
      <c r="K3179" s="455">
        <f t="shared" ca="1" si="143"/>
        <v>-851989781.42977881</v>
      </c>
      <c r="L3179" s="455">
        <f t="shared" ca="1" si="144"/>
        <v>-205329537324.57669</v>
      </c>
      <c r="M3179" s="471">
        <f t="shared" si="146"/>
        <v>0.05</v>
      </c>
      <c r="N3179" s="475">
        <f t="shared" si="147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45"/>
        <v>-205329537324.57669</v>
      </c>
      <c r="J3180" s="455">
        <f t="array" ref="J3180">IFERROR(INDEX('Retirement Calculator'!K:K,MATCH('Lorri 401b'!N3180,'Retirement Calculator'!A:A,0),0),0)</f>
        <v>0</v>
      </c>
      <c r="K3180" s="455">
        <f t="shared" ca="1" si="143"/>
        <v>-855539738.85240293</v>
      </c>
      <c r="L3180" s="455">
        <f t="shared" ca="1" si="144"/>
        <v>-206185077063.42911</v>
      </c>
      <c r="M3180" s="471">
        <f t="shared" si="146"/>
        <v>0.05</v>
      </c>
      <c r="N3180" s="475">
        <f t="shared" si="147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45"/>
        <v>-206185077063.42911</v>
      </c>
      <c r="J3181" s="455">
        <f t="array" ref="J3181">IFERROR(INDEX('Retirement Calculator'!K:K,MATCH('Lorri 401b'!N3181,'Retirement Calculator'!A:A,0),0),0)</f>
        <v>0</v>
      </c>
      <c r="K3181" s="455">
        <f t="shared" ca="1" si="143"/>
        <v>-859104487.76428795</v>
      </c>
      <c r="L3181" s="455">
        <f t="shared" ca="1" si="144"/>
        <v>-207044181551.19339</v>
      </c>
      <c r="M3181" s="471">
        <f t="shared" si="146"/>
        <v>0.05</v>
      </c>
      <c r="N3181" s="475">
        <f t="shared" si="147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45"/>
        <v>-207044181551.19339</v>
      </c>
      <c r="J3182" s="455">
        <f t="array" ref="J3182">IFERROR(INDEX('Retirement Calculator'!K:K,MATCH('Lorri 401b'!N3182,'Retirement Calculator'!A:A,0),0),0)</f>
        <v>0</v>
      </c>
      <c r="K3182" s="455">
        <f t="shared" ca="1" si="143"/>
        <v>-862684089.79663908</v>
      </c>
      <c r="L3182" s="455">
        <f t="shared" ca="1" si="144"/>
        <v>-207906865640.99002</v>
      </c>
      <c r="M3182" s="471">
        <f t="shared" si="146"/>
        <v>0.05</v>
      </c>
      <c r="N3182" s="475">
        <f t="shared" si="147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45"/>
        <v>-207906865640.99002</v>
      </c>
      <c r="J3183" s="455">
        <f t="array" ref="J3183">IFERROR(INDEX('Retirement Calculator'!K:K,MATCH('Lorri 401b'!N3183,'Retirement Calculator'!A:A,0),0),0)</f>
        <v>0</v>
      </c>
      <c r="K3183" s="455">
        <f t="shared" ca="1" si="143"/>
        <v>-866278606.83745837</v>
      </c>
      <c r="L3183" s="455">
        <f t="shared" ca="1" si="144"/>
        <v>-208773144247.82748</v>
      </c>
      <c r="M3183" s="471">
        <f t="shared" si="146"/>
        <v>0.05</v>
      </c>
      <c r="N3183" s="475">
        <f t="shared" si="147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45"/>
        <v>-208773144247.82748</v>
      </c>
      <c r="J3184" s="455">
        <f t="array" ref="J3184">IFERROR(INDEX('Retirement Calculator'!K:K,MATCH('Lorri 401b'!N3184,'Retirement Calculator'!A:A,0),0),0)</f>
        <v>0</v>
      </c>
      <c r="K3184" s="455">
        <f t="shared" ca="1" si="143"/>
        <v>-869888101.03261447</v>
      </c>
      <c r="L3184" s="455">
        <f t="shared" ca="1" si="144"/>
        <v>-209643032348.86011</v>
      </c>
      <c r="M3184" s="471">
        <f t="shared" si="146"/>
        <v>0.05</v>
      </c>
      <c r="N3184" s="475">
        <f t="shared" si="147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45"/>
        <v>-209643032348.86011</v>
      </c>
      <c r="J3185" s="455">
        <f t="array" ref="J3185">IFERROR(INDEX('Retirement Calculator'!K:K,MATCH('Lorri 401b'!N3185,'Retirement Calculator'!A:A,0),0),0)</f>
        <v>0</v>
      </c>
      <c r="K3185" s="455">
        <f t="shared" ca="1" si="143"/>
        <v>-873512634.78691709</v>
      </c>
      <c r="L3185" s="455">
        <f t="shared" ca="1" si="144"/>
        <v>-210516544983.64703</v>
      </c>
      <c r="M3185" s="471">
        <f t="shared" si="146"/>
        <v>0.05</v>
      </c>
      <c r="N3185" s="475">
        <f t="shared" si="147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45"/>
        <v>-210516544983.64703</v>
      </c>
      <c r="J3186" s="455">
        <f t="array" ref="J3186">IFERROR(INDEX('Retirement Calculator'!K:K,MATCH('Lorri 401b'!N3186,'Retirement Calculator'!A:A,0),0),0)</f>
        <v>0</v>
      </c>
      <c r="K3186" s="455">
        <f t="shared" ca="1" si="143"/>
        <v>-877152270.76519597</v>
      </c>
      <c r="L3186" s="455">
        <f t="shared" ca="1" si="144"/>
        <v>-211393697254.41223</v>
      </c>
      <c r="M3186" s="471">
        <f t="shared" si="146"/>
        <v>0.05</v>
      </c>
      <c r="N3186" s="475">
        <f t="shared" si="147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45"/>
        <v>-211393697254.41223</v>
      </c>
      <c r="J3187" s="455">
        <f t="array" ref="J3187">IFERROR(INDEX('Retirement Calculator'!K:K,MATCH('Lorri 401b'!N3187,'Retirement Calculator'!A:A,0),0),0)</f>
        <v>0</v>
      </c>
      <c r="K3187" s="455">
        <f t="shared" ca="1" si="143"/>
        <v>-880807071.89338434</v>
      </c>
      <c r="L3187" s="455">
        <f t="shared" ca="1" si="144"/>
        <v>-212274504326.3056</v>
      </c>
      <c r="M3187" s="471">
        <f t="shared" si="146"/>
        <v>0.05</v>
      </c>
      <c r="N3187" s="475">
        <f t="shared" si="147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45"/>
        <v>-212274504326.3056</v>
      </c>
      <c r="J3188" s="455">
        <f t="array" ref="J3188">IFERROR(INDEX('Retirement Calculator'!K:K,MATCH('Lorri 401b'!N3188,'Retirement Calculator'!A:A,0),0),0)</f>
        <v>0</v>
      </c>
      <c r="K3188" s="455">
        <f t="shared" ca="1" si="143"/>
        <v>-884477101.35960662</v>
      </c>
      <c r="L3188" s="455">
        <f t="shared" ca="1" si="144"/>
        <v>-213158981427.66522</v>
      </c>
      <c r="M3188" s="471">
        <f t="shared" si="146"/>
        <v>0.05</v>
      </c>
      <c r="N3188" s="475">
        <f t="shared" si="147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45"/>
        <v>-213158981427.66522</v>
      </c>
      <c r="J3189" s="455">
        <f t="array" ref="J3189">IFERROR(INDEX('Retirement Calculator'!K:K,MATCH('Lorri 401b'!N3189,'Retirement Calculator'!A:A,0),0),0)</f>
        <v>0</v>
      </c>
      <c r="K3189" s="455">
        <f t="shared" ca="1" si="143"/>
        <v>-888162422.61527169</v>
      </c>
      <c r="L3189" s="455">
        <f t="shared" ca="1" si="144"/>
        <v>-214047143850.28049</v>
      </c>
      <c r="M3189" s="471">
        <f t="shared" si="146"/>
        <v>0.05</v>
      </c>
      <c r="N3189" s="475">
        <f t="shared" si="147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45"/>
        <v>-214047143850.28049</v>
      </c>
      <c r="J3190" s="455">
        <f t="array" ref="J3190">IFERROR(INDEX('Retirement Calculator'!K:K,MATCH('Lorri 401b'!N3190,'Retirement Calculator'!A:A,0),0),0)</f>
        <v>0</v>
      </c>
      <c r="K3190" s="455">
        <f t="shared" ca="1" si="143"/>
        <v>-891863099.37616873</v>
      </c>
      <c r="L3190" s="455">
        <f t="shared" ca="1" si="144"/>
        <v>-214939006949.65665</v>
      </c>
      <c r="M3190" s="471">
        <f t="shared" si="146"/>
        <v>0.05</v>
      </c>
      <c r="N3190" s="475">
        <f t="shared" si="147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45"/>
        <v>-214939006949.65665</v>
      </c>
      <c r="J3191" s="455">
        <f t="array" ref="J3191">IFERROR(INDEX('Retirement Calculator'!K:K,MATCH('Lorri 401b'!N3191,'Retirement Calculator'!A:A,0),0),0)</f>
        <v>0</v>
      </c>
      <c r="K3191" s="455">
        <f t="shared" ca="1" si="143"/>
        <v>-895579195.62356937</v>
      </c>
      <c r="L3191" s="455">
        <f t="shared" ca="1" si="144"/>
        <v>-215834586145.28021</v>
      </c>
      <c r="M3191" s="471">
        <f t="shared" si="146"/>
        <v>0.05</v>
      </c>
      <c r="N3191" s="475">
        <f t="shared" si="147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45"/>
        <v>-215834586145.28021</v>
      </c>
      <c r="J3192" s="455">
        <f t="array" ref="J3192">IFERROR(INDEX('Retirement Calculator'!K:K,MATCH('Lorri 401b'!N3192,'Retirement Calculator'!A:A,0),0),0)</f>
        <v>0</v>
      </c>
      <c r="K3192" s="455">
        <f t="shared" ca="1" si="143"/>
        <v>-899310775.60533404</v>
      </c>
      <c r="L3192" s="455">
        <f t="shared" ca="1" si="144"/>
        <v>-216733896920.88556</v>
      </c>
      <c r="M3192" s="471">
        <f t="shared" si="146"/>
        <v>0.05</v>
      </c>
      <c r="N3192" s="475">
        <f t="shared" si="147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45"/>
        <v>-216733896920.88556</v>
      </c>
      <c r="J3193" s="455">
        <f t="array" ref="J3193">IFERROR(INDEX('Retirement Calculator'!K:K,MATCH('Lorri 401b'!N3193,'Retirement Calculator'!A:A,0),0),0)</f>
        <v>0</v>
      </c>
      <c r="K3193" s="455">
        <f t="shared" ca="1" si="143"/>
        <v>-903057903.83702314</v>
      </c>
      <c r="L3193" s="455">
        <f t="shared" ca="1" si="144"/>
        <v>-217636954824.7226</v>
      </c>
      <c r="M3193" s="471">
        <f t="shared" si="146"/>
        <v>0.05</v>
      </c>
      <c r="N3193" s="475">
        <f t="shared" si="147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45"/>
        <v>-217636954824.7226</v>
      </c>
      <c r="J3194" s="455">
        <f t="array" ref="J3194">IFERROR(INDEX('Retirement Calculator'!K:K,MATCH('Lorri 401b'!N3194,'Retirement Calculator'!A:A,0),0),0)</f>
        <v>0</v>
      </c>
      <c r="K3194" s="455">
        <f t="shared" ca="1" si="143"/>
        <v>-906820645.10301077</v>
      </c>
      <c r="L3194" s="455">
        <f t="shared" ca="1" si="144"/>
        <v>-218543775469.82559</v>
      </c>
      <c r="M3194" s="471">
        <f t="shared" si="146"/>
        <v>0.05</v>
      </c>
      <c r="N3194" s="475">
        <f t="shared" si="147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45"/>
        <v>-218543775469.82559</v>
      </c>
      <c r="J3195" s="455">
        <f t="array" ref="J3195">IFERROR(INDEX('Retirement Calculator'!K:K,MATCH('Lorri 401b'!N3195,'Retirement Calculator'!A:A,0),0),0)</f>
        <v>0</v>
      </c>
      <c r="K3195" s="455">
        <f t="shared" ca="1" si="143"/>
        <v>-910599064.45760643</v>
      </c>
      <c r="L3195" s="455">
        <f t="shared" ca="1" si="144"/>
        <v>-219454374534.2832</v>
      </c>
      <c r="M3195" s="471">
        <f t="shared" si="146"/>
        <v>0.05</v>
      </c>
      <c r="N3195" s="475">
        <f t="shared" si="147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45"/>
        <v>-219454374534.2832</v>
      </c>
      <c r="J3196" s="455">
        <f t="array" ref="J3196">IFERROR(INDEX('Retirement Calculator'!K:K,MATCH('Lorri 401b'!N3196,'Retirement Calculator'!A:A,0),0),0)</f>
        <v>0</v>
      </c>
      <c r="K3196" s="455">
        <f t="shared" ca="1" si="143"/>
        <v>-914393227.22617996</v>
      </c>
      <c r="L3196" s="455">
        <f t="shared" ca="1" si="144"/>
        <v>-220368767761.50937</v>
      </c>
      <c r="M3196" s="471">
        <f t="shared" si="146"/>
        <v>0.05</v>
      </c>
      <c r="N3196" s="475">
        <f t="shared" si="147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45"/>
        <v>-220368767761.50937</v>
      </c>
      <c r="J3197" s="455">
        <f t="array" ref="J3197">IFERROR(INDEX('Retirement Calculator'!K:K,MATCH('Lorri 401b'!N3197,'Retirement Calculator'!A:A,0),0),0)</f>
        <v>0</v>
      </c>
      <c r="K3197" s="455">
        <f t="shared" ca="1" si="143"/>
        <v>-918203199.00628901</v>
      </c>
      <c r="L3197" s="455">
        <f t="shared" ca="1" si="144"/>
        <v>-221286970960.51566</v>
      </c>
      <c r="M3197" s="471">
        <f t="shared" si="146"/>
        <v>0.05</v>
      </c>
      <c r="N3197" s="475">
        <f t="shared" si="147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45"/>
        <v>-221286970960.51566</v>
      </c>
      <c r="J3198" s="455">
        <f t="array" ref="J3198">IFERROR(INDEX('Retirement Calculator'!K:K,MATCH('Lorri 401b'!N3198,'Retirement Calculator'!A:A,0),0),0)</f>
        <v>0</v>
      </c>
      <c r="K3198" s="455">
        <f t="shared" ca="1" si="143"/>
        <v>-922029045.66881514</v>
      </c>
      <c r="L3198" s="455">
        <f t="shared" ca="1" si="144"/>
        <v>-222209000006.18448</v>
      </c>
      <c r="M3198" s="471">
        <f t="shared" si="146"/>
        <v>0.05</v>
      </c>
      <c r="N3198" s="475">
        <f t="shared" si="147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45"/>
        <v>-222209000006.18448</v>
      </c>
      <c r="J3199" s="455">
        <f t="array" ref="J3199">IFERROR(INDEX('Retirement Calculator'!K:K,MATCH('Lorri 401b'!N3199,'Retirement Calculator'!A:A,0),0),0)</f>
        <v>0</v>
      </c>
      <c r="K3199" s="455">
        <f t="shared" ca="1" si="143"/>
        <v>-925870833.35910201</v>
      </c>
      <c r="L3199" s="455">
        <f t="shared" ca="1" si="144"/>
        <v>-223134870839.54358</v>
      </c>
      <c r="M3199" s="471">
        <f t="shared" si="146"/>
        <v>0.05</v>
      </c>
      <c r="N3199" s="475">
        <f t="shared" si="147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45"/>
        <v>-223134870839.54358</v>
      </c>
      <c r="J3200" s="455">
        <f t="array" ref="J3200">IFERROR(INDEX('Retirement Calculator'!K:K,MATCH('Lorri 401b'!N3200,'Retirement Calculator'!A:A,0),0),0)</f>
        <v>0</v>
      </c>
      <c r="K3200" s="455">
        <f t="shared" ca="1" si="143"/>
        <v>-929728628.49809825</v>
      </c>
      <c r="L3200" s="455">
        <f t="shared" ca="1" si="144"/>
        <v>-224064599468.04169</v>
      </c>
      <c r="M3200" s="471">
        <f t="shared" si="146"/>
        <v>0.05</v>
      </c>
      <c r="N3200" s="475">
        <f t="shared" si="147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45"/>
        <v>-224064599468.04169</v>
      </c>
      <c r="J3201" s="455">
        <f t="array" ref="J3201">IFERROR(INDEX('Retirement Calculator'!K:K,MATCH('Lorri 401b'!N3201,'Retirement Calculator'!A:A,0),0),0)</f>
        <v>0</v>
      </c>
      <c r="K3201" s="455">
        <f t="shared" ca="1" si="143"/>
        <v>-933602497.78350699</v>
      </c>
      <c r="L3201" s="455">
        <f t="shared" ca="1" si="144"/>
        <v>-224998201965.8252</v>
      </c>
      <c r="M3201" s="471">
        <f t="shared" si="146"/>
        <v>0.05</v>
      </c>
      <c r="N3201" s="475">
        <f t="shared" si="147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45"/>
        <v>-224998201965.8252</v>
      </c>
      <c r="J3202" s="455">
        <f t="array" ref="J3202">IFERROR(INDEX('Retirement Calculator'!K:K,MATCH('Lorri 401b'!N3202,'Retirement Calculator'!A:A,0),0),0)</f>
        <v>0</v>
      </c>
      <c r="K3202" s="455">
        <f t="shared" ca="1" si="143"/>
        <v>-937492508.19093835</v>
      </c>
      <c r="L3202" s="455">
        <f t="shared" ca="1" si="144"/>
        <v>-225935694474.01614</v>
      </c>
      <c r="M3202" s="471">
        <f t="shared" si="146"/>
        <v>0.05</v>
      </c>
      <c r="N3202" s="475">
        <f t="shared" si="147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45"/>
        <v>-225935694474.01614</v>
      </c>
      <c r="J3203" s="455">
        <f t="array" ref="J3203">IFERROR(INDEX('Retirement Calculator'!K:K,MATCH('Lorri 401b'!N3203,'Retirement Calculator'!A:A,0),0),0)</f>
        <v>0</v>
      </c>
      <c r="K3203" s="455">
        <f t="shared" ca="1" si="143"/>
        <v>-941398726.97506726</v>
      </c>
      <c r="L3203" s="455">
        <f t="shared" ca="1" si="144"/>
        <v>-226877093200.99121</v>
      </c>
      <c r="M3203" s="471">
        <f t="shared" si="146"/>
        <v>0.05</v>
      </c>
      <c r="N3203" s="475">
        <f t="shared" si="147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45"/>
        <v>-226877093200.99121</v>
      </c>
      <c r="J3204" s="455">
        <f t="array" ref="J3204">IFERROR(INDEX('Retirement Calculator'!K:K,MATCH('Lorri 401b'!N3204,'Retirement Calculator'!A:A,0),0),0)</f>
        <v>0</v>
      </c>
      <c r="K3204" s="455">
        <f t="shared" ca="1" si="143"/>
        <v>-945321221.67079675</v>
      </c>
      <c r="L3204" s="455">
        <f t="shared" ca="1" si="144"/>
        <v>-227822414422.66202</v>
      </c>
      <c r="M3204" s="471">
        <f t="shared" si="146"/>
        <v>0.05</v>
      </c>
      <c r="N3204" s="475">
        <f t="shared" si="147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45"/>
        <v>-227822414422.66202</v>
      </c>
      <c r="J3205" s="455">
        <f t="array" ref="J3205">IFERROR(INDEX('Retirement Calculator'!K:K,MATCH('Lorri 401b'!N3205,'Retirement Calculator'!A:A,0),0),0)</f>
        <v>0</v>
      </c>
      <c r="K3205" s="455">
        <f t="shared" ca="1" si="143"/>
        <v>-949260060.0944252</v>
      </c>
      <c r="L3205" s="455">
        <f t="shared" ca="1" si="144"/>
        <v>-228771674482.75644</v>
      </c>
      <c r="M3205" s="471">
        <f t="shared" si="146"/>
        <v>0.05</v>
      </c>
      <c r="N3205" s="475">
        <f t="shared" si="147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45"/>
        <v>-228771674482.75644</v>
      </c>
      <c r="J3206" s="455">
        <f t="array" ref="J3206">IFERROR(INDEX('Retirement Calculator'!K:K,MATCH('Lorri 401b'!N3206,'Retirement Calculator'!A:A,0),0),0)</f>
        <v>0</v>
      </c>
      <c r="K3206" s="455">
        <f t="shared" ca="1" si="143"/>
        <v>-953215310.34481847</v>
      </c>
      <c r="L3206" s="455">
        <f t="shared" ca="1" si="144"/>
        <v>-229724889793.10126</v>
      </c>
      <c r="M3206" s="471">
        <f t="shared" si="146"/>
        <v>0.05</v>
      </c>
      <c r="N3206" s="475">
        <f t="shared" si="147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45"/>
        <v>-229724889793.10126</v>
      </c>
      <c r="J3207" s="455">
        <f t="array" ref="J3207">IFERROR(INDEX('Retirement Calculator'!K:K,MATCH('Lorri 401b'!N3207,'Retirement Calculator'!A:A,0),0),0)</f>
        <v>0</v>
      </c>
      <c r="K3207" s="455">
        <f t="shared" ca="1" si="143"/>
        <v>-957187040.80458844</v>
      </c>
      <c r="L3207" s="455">
        <f t="shared" ca="1" si="144"/>
        <v>-230682076833.90585</v>
      </c>
      <c r="M3207" s="471">
        <f t="shared" si="146"/>
        <v>0.05</v>
      </c>
      <c r="N3207" s="475">
        <f t="shared" si="147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45"/>
        <v>-230682076833.90585</v>
      </c>
      <c r="J3208" s="455">
        <f t="array" ref="J3208">IFERROR(INDEX('Retirement Calculator'!K:K,MATCH('Lorri 401b'!N3208,'Retirement Calculator'!A:A,0),0),0)</f>
        <v>0</v>
      </c>
      <c r="K3208" s="455">
        <f t="shared" ca="1" si="143"/>
        <v>-961175320.14127433</v>
      </c>
      <c r="L3208" s="455">
        <f t="shared" ca="1" si="144"/>
        <v>-231643252154.04712</v>
      </c>
      <c r="M3208" s="471">
        <f t="shared" si="146"/>
        <v>0.05</v>
      </c>
      <c r="N3208" s="475">
        <f t="shared" si="147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45"/>
        <v>-231643252154.04712</v>
      </c>
      <c r="J3209" s="455">
        <f t="array" ref="J3209">IFERROR(INDEX('Retirement Calculator'!K:K,MATCH('Lorri 401b'!N3209,'Retirement Calculator'!A:A,0),0),0)</f>
        <v>0</v>
      </c>
      <c r="K3209" s="455">
        <f t="shared" ca="1" si="143"/>
        <v>-965180217.30852962</v>
      </c>
      <c r="L3209" s="455">
        <f t="shared" ca="1" si="144"/>
        <v>-232608432371.35565</v>
      </c>
      <c r="M3209" s="471">
        <f t="shared" si="146"/>
        <v>0.05</v>
      </c>
      <c r="N3209" s="475">
        <f t="shared" si="147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45"/>
        <v>-232608432371.35565</v>
      </c>
      <c r="J3210" s="455">
        <f t="array" ref="J3210">IFERROR(INDEX('Retirement Calculator'!K:K,MATCH('Lorri 401b'!N3210,'Retirement Calculator'!A:A,0),0),0)</f>
        <v>0</v>
      </c>
      <c r="K3210" s="455">
        <f t="shared" ca="1" si="143"/>
        <v>-969201801.54731512</v>
      </c>
      <c r="L3210" s="455">
        <f t="shared" ca="1" si="144"/>
        <v>-233577634172.90295</v>
      </c>
      <c r="M3210" s="471">
        <f t="shared" si="146"/>
        <v>0.05</v>
      </c>
      <c r="N3210" s="475">
        <f t="shared" si="147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45"/>
        <v>-233577634172.90295</v>
      </c>
      <c r="J3211" s="455">
        <f t="array" ref="J3211">IFERROR(INDEX('Retirement Calculator'!K:K,MATCH('Lorri 401b'!N3211,'Retirement Calculator'!A:A,0),0),0)</f>
        <v>0</v>
      </c>
      <c r="K3211" s="455">
        <f t="shared" ca="1" si="143"/>
        <v>-973240142.38709581</v>
      </c>
      <c r="L3211" s="455">
        <f t="shared" ca="1" si="144"/>
        <v>-234550874315.29004</v>
      </c>
      <c r="M3211" s="471">
        <f t="shared" si="146"/>
        <v>0.05</v>
      </c>
      <c r="N3211" s="475">
        <f t="shared" si="147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45"/>
        <v>-234550874315.29004</v>
      </c>
      <c r="J3212" s="455">
        <f t="array" ref="J3212">IFERROR(INDEX('Retirement Calculator'!K:K,MATCH('Lorri 401b'!N3212,'Retirement Calculator'!A:A,0),0),0)</f>
        <v>0</v>
      </c>
      <c r="K3212" s="455">
        <f t="shared" ca="1" si="143"/>
        <v>-977295309.6470418</v>
      </c>
      <c r="L3212" s="455">
        <f t="shared" ca="1" si="144"/>
        <v>-235528169624.93707</v>
      </c>
      <c r="M3212" s="471">
        <f t="shared" si="146"/>
        <v>0.05</v>
      </c>
      <c r="N3212" s="475">
        <f t="shared" si="147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45"/>
        <v>-235528169624.93707</v>
      </c>
      <c r="J3213" s="455">
        <f t="array" ref="J3213">IFERROR(INDEX('Retirement Calculator'!K:K,MATCH('Lorri 401b'!N3213,'Retirement Calculator'!A:A,0),0),0)</f>
        <v>0</v>
      </c>
      <c r="K3213" s="455">
        <f t="shared" ca="1" si="143"/>
        <v>-981367373.43723774</v>
      </c>
      <c r="L3213" s="455">
        <f t="shared" ca="1" si="144"/>
        <v>-236509536998.3743</v>
      </c>
      <c r="M3213" s="471">
        <f t="shared" si="146"/>
        <v>0.05</v>
      </c>
      <c r="N3213" s="475">
        <f t="shared" si="147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45"/>
        <v>-236509536998.3743</v>
      </c>
      <c r="J3214" s="455">
        <f t="array" ref="J3214">IFERROR(INDEX('Retirement Calculator'!K:K,MATCH('Lorri 401b'!N3214,'Retirement Calculator'!A:A,0),0),0)</f>
        <v>0</v>
      </c>
      <c r="K3214" s="455">
        <f t="shared" ca="1" si="143"/>
        <v>-985456404.15989292</v>
      </c>
      <c r="L3214" s="455">
        <f t="shared" ca="1" si="144"/>
        <v>-237494993402.53418</v>
      </c>
      <c r="M3214" s="471">
        <f t="shared" si="146"/>
        <v>0.05</v>
      </c>
      <c r="N3214" s="475">
        <f t="shared" si="147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45"/>
        <v>-237494993402.53418</v>
      </c>
      <c r="J3215" s="455">
        <f t="array" ref="J3215">IFERROR(INDEX('Retirement Calculator'!K:K,MATCH('Lorri 401b'!N3215,'Retirement Calculator'!A:A,0),0),0)</f>
        <v>0</v>
      </c>
      <c r="K3215" s="455">
        <f t="shared" ca="1" si="143"/>
        <v>-989562472.51055908</v>
      </c>
      <c r="L3215" s="455">
        <f t="shared" ca="1" si="144"/>
        <v>-238484555875.04474</v>
      </c>
      <c r="M3215" s="471">
        <f t="shared" si="146"/>
        <v>0.05</v>
      </c>
      <c r="N3215" s="475">
        <f t="shared" si="147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45"/>
        <v>-238484555875.04474</v>
      </c>
      <c r="J3216" s="455">
        <f t="array" ref="J3216">IFERROR(INDEX('Retirement Calculator'!K:K,MATCH('Lorri 401b'!N3216,'Retirement Calculator'!A:A,0),0),0)</f>
        <v>0</v>
      </c>
      <c r="K3216" s="455">
        <f t="shared" ca="1" si="143"/>
        <v>-993685649.47935307</v>
      </c>
      <c r="L3216" s="455">
        <f t="shared" ca="1" si="144"/>
        <v>-239478241524.52408</v>
      </c>
      <c r="M3216" s="471">
        <f t="shared" si="146"/>
        <v>0.05</v>
      </c>
      <c r="N3216" s="475">
        <f t="shared" si="147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45"/>
        <v>-239478241524.52408</v>
      </c>
      <c r="J3217" s="455">
        <f t="array" ref="J3217">IFERROR(INDEX('Retirement Calculator'!K:K,MATCH('Lorri 401b'!N3217,'Retirement Calculator'!A:A,0),0),0)</f>
        <v>0</v>
      </c>
      <c r="K3217" s="455">
        <f t="shared" ca="1" si="143"/>
        <v>-997826006.3521837</v>
      </c>
      <c r="L3217" s="455">
        <f t="shared" ca="1" si="144"/>
        <v>-240476067530.87625</v>
      </c>
      <c r="M3217" s="471">
        <f t="shared" si="146"/>
        <v>0.05</v>
      </c>
      <c r="N3217" s="475">
        <f t="shared" si="147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45"/>
        <v>-240476067530.87625</v>
      </c>
      <c r="J3218" s="455">
        <f t="array" ref="J3218">IFERROR(INDEX('Retirement Calculator'!K:K,MATCH('Lorri 401b'!N3218,'Retirement Calculator'!A:A,0),0),0)</f>
        <v>0</v>
      </c>
      <c r="K3218" s="455">
        <f t="shared" ca="1" si="143"/>
        <v>-1001983614.7119845</v>
      </c>
      <c r="L3218" s="455">
        <f t="shared" ca="1" si="144"/>
        <v>-241478051145.58823</v>
      </c>
      <c r="M3218" s="471">
        <f t="shared" si="146"/>
        <v>0.05</v>
      </c>
      <c r="N3218" s="475">
        <f t="shared" si="147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45"/>
        <v>-241478051145.58823</v>
      </c>
      <c r="J3219" s="455">
        <f t="array" ref="J3219">IFERROR(INDEX('Retirement Calculator'!K:K,MATCH('Lorri 401b'!N3219,'Retirement Calculator'!A:A,0),0),0)</f>
        <v>0</v>
      </c>
      <c r="K3219" s="455">
        <f t="shared" ca="1" si="143"/>
        <v>-1006158546.4399509</v>
      </c>
      <c r="L3219" s="455">
        <f t="shared" ca="1" si="144"/>
        <v>-242484209692.02817</v>
      </c>
      <c r="M3219" s="471">
        <f t="shared" si="146"/>
        <v>0.05</v>
      </c>
      <c r="N3219" s="475">
        <f t="shared" si="147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45"/>
        <v>-242484209692.02817</v>
      </c>
      <c r="J3220" s="455">
        <f t="array" ref="J3220">IFERROR(INDEX('Retirement Calculator'!K:K,MATCH('Lorri 401b'!N3220,'Retirement Calculator'!A:A,0),0),0)</f>
        <v>0</v>
      </c>
      <c r="K3220" s="455">
        <f t="shared" ca="1" si="143"/>
        <v>-1010350873.7167841</v>
      </c>
      <c r="L3220" s="455">
        <f t="shared" ca="1" si="144"/>
        <v>-243494560565.74496</v>
      </c>
      <c r="M3220" s="471">
        <f t="shared" si="146"/>
        <v>0.05</v>
      </c>
      <c r="N3220" s="475">
        <f t="shared" si="147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45"/>
        <v>-243494560565.74496</v>
      </c>
      <c r="J3221" s="455">
        <f t="array" ref="J3221">IFERROR(INDEX('Retirement Calculator'!K:K,MATCH('Lorri 401b'!N3221,'Retirement Calculator'!A:A,0),0),0)</f>
        <v>0</v>
      </c>
      <c r="K3221" s="455">
        <f t="shared" ca="1" si="143"/>
        <v>-1014560669.0239373</v>
      </c>
      <c r="L3221" s="455">
        <f t="shared" ca="1" si="144"/>
        <v>-244509121234.76889</v>
      </c>
      <c r="M3221" s="471">
        <f t="shared" si="146"/>
        <v>0.05</v>
      </c>
      <c r="N3221" s="475">
        <f t="shared" si="147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45"/>
        <v>-244509121234.76889</v>
      </c>
      <c r="J3222" s="455">
        <f t="array" ref="J3222">IFERROR(INDEX('Retirement Calculator'!K:K,MATCH('Lorri 401b'!N3222,'Retirement Calculator'!A:A,0),0),0)</f>
        <v>0</v>
      </c>
      <c r="K3222" s="455">
        <f t="shared" ca="1" si="143"/>
        <v>-1018788005.1448704</v>
      </c>
      <c r="L3222" s="455">
        <f t="shared" ca="1" si="144"/>
        <v>-245527909239.91376</v>
      </c>
      <c r="M3222" s="471">
        <f t="shared" si="146"/>
        <v>0.05</v>
      </c>
      <c r="N3222" s="475">
        <f t="shared" si="147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45"/>
        <v>-245527909239.91376</v>
      </c>
      <c r="J3223" s="455">
        <f t="array" ref="J3223">IFERROR(INDEX('Retirement Calculator'!K:K,MATCH('Lorri 401b'!N3223,'Retirement Calculator'!A:A,0),0),0)</f>
        <v>0</v>
      </c>
      <c r="K3223" s="455">
        <f t="shared" ca="1" si="143"/>
        <v>-1023032955.1663074</v>
      </c>
      <c r="L3223" s="455">
        <f t="shared" ca="1" si="144"/>
        <v>-246550942195.08008</v>
      </c>
      <c r="M3223" s="471">
        <f t="shared" si="146"/>
        <v>0.05</v>
      </c>
      <c r="N3223" s="475">
        <f t="shared" si="147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45"/>
        <v>-246550942195.08008</v>
      </c>
      <c r="J3224" s="455">
        <f t="array" ref="J3224">IFERROR(INDEX('Retirement Calculator'!K:K,MATCH('Lorri 401b'!N3224,'Retirement Calculator'!A:A,0),0),0)</f>
        <v>0</v>
      </c>
      <c r="K3224" s="455">
        <f t="shared" ca="1" si="143"/>
        <v>-1027295592.4795003</v>
      </c>
      <c r="L3224" s="455">
        <f t="shared" ca="1" si="144"/>
        <v>-247578237787.55957</v>
      </c>
      <c r="M3224" s="471">
        <f t="shared" si="146"/>
        <v>0.05</v>
      </c>
      <c r="N3224" s="475">
        <f t="shared" si="147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45"/>
        <v>-247578237787.55957</v>
      </c>
      <c r="J3225" s="455">
        <f t="array" ref="J3225">IFERROR(INDEX('Retirement Calculator'!K:K,MATCH('Lorri 401b'!N3225,'Retirement Calculator'!A:A,0),0),0)</f>
        <v>0</v>
      </c>
      <c r="K3225" s="455">
        <f t="shared" ca="1" si="143"/>
        <v>-1031575990.7814982</v>
      </c>
      <c r="L3225" s="455">
        <f t="shared" ca="1" si="144"/>
        <v>-248609813778.34106</v>
      </c>
      <c r="M3225" s="471">
        <f t="shared" si="146"/>
        <v>0.05</v>
      </c>
      <c r="N3225" s="475">
        <f t="shared" si="147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45"/>
        <v>-248609813778.34106</v>
      </c>
      <c r="J3226" s="455">
        <f t="array" ref="J3226">IFERROR(INDEX('Retirement Calculator'!K:K,MATCH('Lorri 401b'!N3226,'Retirement Calculator'!A:A,0),0),0)</f>
        <v>0</v>
      </c>
      <c r="K3226" s="455">
        <f t="shared" ca="1" si="143"/>
        <v>-1035874224.0764211</v>
      </c>
      <c r="L3226" s="455">
        <f t="shared" ca="1" si="144"/>
        <v>-249645688002.41748</v>
      </c>
      <c r="M3226" s="471">
        <f t="shared" si="146"/>
        <v>0.05</v>
      </c>
      <c r="N3226" s="475">
        <f t="shared" si="147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45"/>
        <v>-249645688002.41748</v>
      </c>
      <c r="J3227" s="455">
        <f t="array" ref="J3227">IFERROR(INDEX('Retirement Calculator'!K:K,MATCH('Lorri 401b'!N3227,'Retirement Calculator'!A:A,0),0),0)</f>
        <v>0</v>
      </c>
      <c r="K3227" s="455">
        <f t="shared" ca="1" si="143"/>
        <v>-1040190366.6767393</v>
      </c>
      <c r="L3227" s="455">
        <f t="shared" ca="1" si="144"/>
        <v>-250685878369.09421</v>
      </c>
      <c r="M3227" s="471">
        <f t="shared" si="146"/>
        <v>0.05</v>
      </c>
      <c r="N3227" s="475">
        <f t="shared" si="147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45"/>
        <v>-250685878369.09421</v>
      </c>
      <c r="J3228" s="455">
        <f t="array" ref="J3228">IFERROR(INDEX('Retirement Calculator'!K:K,MATCH('Lorri 401b'!N3228,'Retirement Calculator'!A:A,0),0),0)</f>
        <v>0</v>
      </c>
      <c r="K3228" s="455">
        <f t="shared" ca="1" si="143"/>
        <v>-1044524493.2045592</v>
      </c>
      <c r="L3228" s="455">
        <f t="shared" ca="1" si="144"/>
        <v>-251730402862.29877</v>
      </c>
      <c r="M3228" s="471">
        <f t="shared" si="146"/>
        <v>0.05</v>
      </c>
      <c r="N3228" s="475">
        <f t="shared" si="147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45"/>
        <v>-251730402862.29877</v>
      </c>
      <c r="J3229" s="455">
        <f t="array" ref="J3229">IFERROR(INDEX('Retirement Calculator'!K:K,MATCH('Lorri 401b'!N3229,'Retirement Calculator'!A:A,0),0),0)</f>
        <v>0</v>
      </c>
      <c r="K3229" s="455">
        <f t="shared" ca="1" si="143"/>
        <v>-1048876678.5929115</v>
      </c>
      <c r="L3229" s="455">
        <f t="shared" ca="1" si="144"/>
        <v>-252779279540.89169</v>
      </c>
      <c r="M3229" s="471">
        <f t="shared" si="146"/>
        <v>0.05</v>
      </c>
      <c r="N3229" s="475">
        <f t="shared" si="147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45"/>
        <v>-252779279540.89169</v>
      </c>
      <c r="J3230" s="455">
        <f t="array" ref="J3230">IFERROR(INDEX('Retirement Calculator'!K:K,MATCH('Lorri 401b'!N3230,'Retirement Calculator'!A:A,0),0),0)</f>
        <v>0</v>
      </c>
      <c r="K3230" s="455">
        <f t="shared" ca="1" si="143"/>
        <v>-1053246998.0870486</v>
      </c>
      <c r="L3230" s="455">
        <f t="shared" ca="1" si="144"/>
        <v>-253832526538.97873</v>
      </c>
      <c r="M3230" s="471">
        <f t="shared" si="146"/>
        <v>0.05</v>
      </c>
      <c r="N3230" s="475">
        <f t="shared" si="147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45"/>
        <v>-253832526538.97873</v>
      </c>
      <c r="J3231" s="455">
        <f t="array" ref="J3231">IFERROR(INDEX('Retirement Calculator'!K:K,MATCH('Lorri 401b'!N3231,'Retirement Calculator'!A:A,0),0),0)</f>
        <v>0</v>
      </c>
      <c r="K3231" s="455">
        <f t="shared" ca="1" si="143"/>
        <v>-1057635527.2457447</v>
      </c>
      <c r="L3231" s="455">
        <f t="shared" ca="1" si="144"/>
        <v>-254890162066.22449</v>
      </c>
      <c r="M3231" s="471">
        <f t="shared" si="146"/>
        <v>0.05</v>
      </c>
      <c r="N3231" s="475">
        <f t="shared" si="147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45"/>
        <v>-254890162066.22449</v>
      </c>
      <c r="J3232" s="455">
        <f t="array" ref="J3232">IFERROR(INDEX('Retirement Calculator'!K:K,MATCH('Lorri 401b'!N3232,'Retirement Calculator'!A:A,0),0),0)</f>
        <v>0</v>
      </c>
      <c r="K3232" s="455">
        <f t="shared" ca="1" si="143"/>
        <v>-1062042341.9426019</v>
      </c>
      <c r="L3232" s="455">
        <f t="shared" ca="1" si="144"/>
        <v>-255952204408.16708</v>
      </c>
      <c r="M3232" s="471">
        <f t="shared" si="146"/>
        <v>0.05</v>
      </c>
      <c r="N3232" s="475">
        <f t="shared" si="147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45"/>
        <v>-255952204408.16708</v>
      </c>
      <c r="J3233" s="455">
        <f t="array" ref="J3233">IFERROR(INDEX('Retirement Calculator'!K:K,MATCH('Lorri 401b'!N3233,'Retirement Calculator'!A:A,0),0),0)</f>
        <v>0</v>
      </c>
      <c r="K3233" s="455">
        <f t="shared" ca="1" si="143"/>
        <v>-1066467518.367363</v>
      </c>
      <c r="L3233" s="455">
        <f t="shared" ca="1" si="144"/>
        <v>-257018671926.53445</v>
      </c>
      <c r="M3233" s="471">
        <f t="shared" si="146"/>
        <v>0.05</v>
      </c>
      <c r="N3233" s="475">
        <f t="shared" si="147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45"/>
        <v>-257018671926.53445</v>
      </c>
      <c r="J3234" s="455">
        <f t="array" ref="J3234">IFERROR(INDEX('Retirement Calculator'!K:K,MATCH('Lorri 401b'!N3234,'Retirement Calculator'!A:A,0),0),0)</f>
        <v>0</v>
      </c>
      <c r="K3234" s="455">
        <f t="shared" ca="1" si="143"/>
        <v>-1070911133.0272269</v>
      </c>
      <c r="L3234" s="455">
        <f t="shared" ca="1" si="144"/>
        <v>-258089583059.56168</v>
      </c>
      <c r="M3234" s="471">
        <f t="shared" si="146"/>
        <v>0.05</v>
      </c>
      <c r="N3234" s="475">
        <f t="shared" si="147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45"/>
        <v>-258089583059.56168</v>
      </c>
      <c r="J3235" s="455">
        <f t="array" ref="J3235">IFERROR(INDEX('Retirement Calculator'!K:K,MATCH('Lorri 401b'!N3235,'Retirement Calculator'!A:A,0),0),0)</f>
        <v>0</v>
      </c>
      <c r="K3235" s="455">
        <f t="shared" ca="1" si="143"/>
        <v>-1075373262.7481737</v>
      </c>
      <c r="L3235" s="455">
        <f t="shared" ca="1" si="144"/>
        <v>-259164956322.30984</v>
      </c>
      <c r="M3235" s="471">
        <f t="shared" si="146"/>
        <v>0.05</v>
      </c>
      <c r="N3235" s="475">
        <f t="shared" si="147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45"/>
        <v>-259164956322.30984</v>
      </c>
      <c r="J3236" s="455">
        <f t="array" ref="J3236">IFERROR(INDEX('Retirement Calculator'!K:K,MATCH('Lorri 401b'!N3236,'Retirement Calculator'!A:A,0),0),0)</f>
        <v>0</v>
      </c>
      <c r="K3236" s="455">
        <f t="shared" ca="1" si="143"/>
        <v>-1079853984.6762912</v>
      </c>
      <c r="L3236" s="455">
        <f t="shared" ca="1" si="144"/>
        <v>-260244810306.98615</v>
      </c>
      <c r="M3236" s="471">
        <f t="shared" si="146"/>
        <v>0.05</v>
      </c>
      <c r="N3236" s="475">
        <f t="shared" si="147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45"/>
        <v>-260244810306.98615</v>
      </c>
      <c r="J3237" s="455">
        <f t="array" ref="J3237">IFERROR(INDEX('Retirement Calculator'!K:K,MATCH('Lorri 401b'!N3237,'Retirement Calculator'!A:A,0),0),0)</f>
        <v>0</v>
      </c>
      <c r="K3237" s="455">
        <f t="shared" ca="1" si="143"/>
        <v>-1084353376.279109</v>
      </c>
      <c r="L3237" s="455">
        <f t="shared" ca="1" si="144"/>
        <v>-261329163683.26526</v>
      </c>
      <c r="M3237" s="471">
        <f t="shared" si="146"/>
        <v>0.05</v>
      </c>
      <c r="N3237" s="475">
        <f t="shared" si="147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45"/>
        <v>-261329163683.26526</v>
      </c>
      <c r="J3238" s="455">
        <f t="array" ref="J3238">IFERROR(INDEX('Retirement Calculator'!K:K,MATCH('Lorri 401b'!N3238,'Retirement Calculator'!A:A,0),0),0)</f>
        <v>0</v>
      </c>
      <c r="K3238" s="455">
        <f t="shared" ca="1" si="143"/>
        <v>-1088871515.3469386</v>
      </c>
      <c r="L3238" s="455">
        <f t="shared" ca="1" si="144"/>
        <v>-262418035198.61218</v>
      </c>
      <c r="M3238" s="471">
        <f t="shared" si="146"/>
        <v>0.05</v>
      </c>
      <c r="N3238" s="475">
        <f t="shared" si="147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45"/>
        <v>-262418035198.61218</v>
      </c>
      <c r="J3239" s="455">
        <f t="array" ref="J3239">IFERROR(INDEX('Retirement Calculator'!K:K,MATCH('Lorri 401b'!N3239,'Retirement Calculator'!A:A,0),0),0)</f>
        <v>0</v>
      </c>
      <c r="K3239" s="455">
        <f t="shared" ca="1" si="143"/>
        <v>-1093408479.9942174</v>
      </c>
      <c r="L3239" s="455">
        <f t="shared" ca="1" si="144"/>
        <v>-263511443678.60641</v>
      </c>
      <c r="M3239" s="471">
        <f t="shared" si="146"/>
        <v>0.05</v>
      </c>
      <c r="N3239" s="475">
        <f t="shared" si="147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45"/>
        <v>-263511443678.60641</v>
      </c>
      <c r="J3240" s="455">
        <f t="array" ref="J3240">IFERROR(INDEX('Retirement Calculator'!K:K,MATCH('Lorri 401b'!N3240,'Retirement Calculator'!A:A,0),0),0)</f>
        <v>0</v>
      </c>
      <c r="K3240" s="455">
        <f t="shared" ca="1" si="143"/>
        <v>-1097964348.6608601</v>
      </c>
      <c r="L3240" s="455">
        <f t="shared" ca="1" si="144"/>
        <v>-264609408027.26727</v>
      </c>
      <c r="M3240" s="471">
        <f t="shared" si="146"/>
        <v>0.05</v>
      </c>
      <c r="N3240" s="475">
        <f t="shared" si="147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45"/>
        <v>-264609408027.26727</v>
      </c>
      <c r="J3241" s="455">
        <f t="array" ref="J3241">IFERROR(INDEX('Retirement Calculator'!K:K,MATCH('Lorri 401b'!N3241,'Retirement Calculator'!A:A,0),0),0)</f>
        <v>0</v>
      </c>
      <c r="K3241" s="455">
        <f t="shared" ca="1" si="143"/>
        <v>-1102539200.1136136</v>
      </c>
      <c r="L3241" s="455">
        <f t="shared" ca="1" si="144"/>
        <v>-265711947227.38089</v>
      </c>
      <c r="M3241" s="471">
        <f t="shared" si="146"/>
        <v>0.05</v>
      </c>
      <c r="N3241" s="475">
        <f t="shared" si="147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45"/>
        <v>-265711947227.38089</v>
      </c>
      <c r="J3242" s="455">
        <f t="array" ref="J3242">IFERROR(INDEX('Retirement Calculator'!K:K,MATCH('Lorri 401b'!N3242,'Retirement Calculator'!A:A,0),0),0)</f>
        <v>0</v>
      </c>
      <c r="K3242" s="455">
        <f t="shared" ca="1" si="143"/>
        <v>-1107133113.4474201</v>
      </c>
      <c r="L3242" s="455">
        <f t="shared" ca="1" si="144"/>
        <v>-266819080340.82831</v>
      </c>
      <c r="M3242" s="471">
        <f t="shared" si="146"/>
        <v>0.05</v>
      </c>
      <c r="N3242" s="475">
        <f t="shared" si="147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45"/>
        <v>-266819080340.82831</v>
      </c>
      <c r="J3243" s="455">
        <f t="array" ref="J3243">IFERROR(INDEX('Retirement Calculator'!K:K,MATCH('Lorri 401b'!N3243,'Retirement Calculator'!A:A,0),0),0)</f>
        <v>0</v>
      </c>
      <c r="K3243" s="455">
        <f t="shared" ca="1" si="143"/>
        <v>-1111746168.0867844</v>
      </c>
      <c r="L3243" s="455">
        <f t="shared" ca="1" si="144"/>
        <v>-267930826508.9151</v>
      </c>
      <c r="M3243" s="471">
        <f t="shared" si="146"/>
        <v>0.05</v>
      </c>
      <c r="N3243" s="475">
        <f t="shared" si="147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45"/>
        <v>-267930826508.9151</v>
      </c>
      <c r="J3244" s="455">
        <f t="array" ref="J3244">IFERROR(INDEX('Retirement Calculator'!K:K,MATCH('Lorri 401b'!N3244,'Retirement Calculator'!A:A,0),0),0)</f>
        <v>0</v>
      </c>
      <c r="K3244" s="455">
        <f t="shared" ca="1" si="143"/>
        <v>-1116378443.7871463</v>
      </c>
      <c r="L3244" s="455">
        <f t="shared" ca="1" si="144"/>
        <v>-269047204952.70224</v>
      </c>
      <c r="M3244" s="471">
        <f t="shared" si="146"/>
        <v>0.05</v>
      </c>
      <c r="N3244" s="475">
        <f t="shared" si="147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45"/>
        <v>-269047204952.70224</v>
      </c>
      <c r="J3245" s="455">
        <f t="array" ref="J3245">IFERROR(INDEX('Retirement Calculator'!K:K,MATCH('Lorri 401b'!N3245,'Retirement Calculator'!A:A,0),0),0)</f>
        <v>0</v>
      </c>
      <c r="K3245" s="455">
        <f t="shared" ca="1" si="143"/>
        <v>-1121030020.6362593</v>
      </c>
      <c r="L3245" s="455">
        <f t="shared" ca="1" si="144"/>
        <v>-270168234973.3385</v>
      </c>
      <c r="M3245" s="471">
        <f t="shared" si="146"/>
        <v>0.05</v>
      </c>
      <c r="N3245" s="475">
        <f t="shared" si="147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45"/>
        <v>-270168234973.3385</v>
      </c>
      <c r="J3246" s="455">
        <f t="array" ref="J3246">IFERROR(INDEX('Retirement Calculator'!K:K,MATCH('Lorri 401b'!N3246,'Retirement Calculator'!A:A,0),0),0)</f>
        <v>0</v>
      </c>
      <c r="K3246" s="455">
        <f t="shared" ca="1" si="143"/>
        <v>-1125700979.055577</v>
      </c>
      <c r="L3246" s="455">
        <f t="shared" ca="1" si="144"/>
        <v>-271293935952.39407</v>
      </c>
      <c r="M3246" s="471">
        <f t="shared" si="146"/>
        <v>0.05</v>
      </c>
      <c r="N3246" s="475">
        <f t="shared" si="147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45"/>
        <v>-271293935952.39407</v>
      </c>
      <c r="J3247" s="455">
        <f t="array" ref="J3247">IFERROR(INDEX('Retirement Calculator'!K:K,MATCH('Lorri 401b'!N3247,'Retirement Calculator'!A:A,0),0),0)</f>
        <v>0</v>
      </c>
      <c r="K3247" s="455">
        <f t="shared" ca="1" si="143"/>
        <v>-1130391399.8016419</v>
      </c>
      <c r="L3247" s="455">
        <f t="shared" ca="1" si="144"/>
        <v>-272424327352.19571</v>
      </c>
      <c r="M3247" s="471">
        <f t="shared" si="146"/>
        <v>0.05</v>
      </c>
      <c r="N3247" s="475">
        <f t="shared" si="147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45"/>
        <v>-272424327352.19571</v>
      </c>
      <c r="J3248" s="455">
        <f t="array" ref="J3248">IFERROR(INDEX('Retirement Calculator'!K:K,MATCH('Lorri 401b'!N3248,'Retirement Calculator'!A:A,0),0),0)</f>
        <v>0</v>
      </c>
      <c r="K3248" s="455">
        <f t="shared" ca="1" si="143"/>
        <v>-1135101363.9674821</v>
      </c>
      <c r="L3248" s="455">
        <f t="shared" ca="1" si="144"/>
        <v>-273559428716.16318</v>
      </c>
      <c r="M3248" s="471">
        <f t="shared" si="146"/>
        <v>0.05</v>
      </c>
      <c r="N3248" s="475">
        <f t="shared" si="147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45"/>
        <v>-273559428716.16318</v>
      </c>
      <c r="J3249" s="455">
        <f t="array" ref="J3249">IFERROR(INDEX('Retirement Calculator'!K:K,MATCH('Lorri 401b'!N3249,'Retirement Calculator'!A:A,0),0),0)</f>
        <v>0</v>
      </c>
      <c r="K3249" s="455">
        <f t="shared" ca="1" si="143"/>
        <v>-1139830952.9840131</v>
      </c>
      <c r="L3249" s="455">
        <f t="shared" ca="1" si="144"/>
        <v>-274699259669.14719</v>
      </c>
      <c r="M3249" s="471">
        <f t="shared" si="146"/>
        <v>0.05</v>
      </c>
      <c r="N3249" s="475">
        <f t="shared" si="147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45"/>
        <v>-274699259669.14719</v>
      </c>
      <c r="J3250" s="455">
        <f t="array" ref="J3250">IFERROR(INDEX('Retirement Calculator'!K:K,MATCH('Lorri 401b'!N3250,'Retirement Calculator'!A:A,0),0),0)</f>
        <v>0</v>
      </c>
      <c r="K3250" s="455">
        <f t="shared" ca="1" si="143"/>
        <v>-1144580248.6214466</v>
      </c>
      <c r="L3250" s="455">
        <f t="shared" ca="1" si="144"/>
        <v>-275843839917.76862</v>
      </c>
      <c r="M3250" s="471">
        <f t="shared" si="146"/>
        <v>0.05</v>
      </c>
      <c r="N3250" s="475">
        <f t="shared" si="147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45"/>
        <v>-275843839917.76862</v>
      </c>
      <c r="J3251" s="455">
        <f t="array" ref="J3251">IFERROR(INDEX('Retirement Calculator'!K:K,MATCH('Lorri 401b'!N3251,'Retirement Calculator'!A:A,0),0),0)</f>
        <v>0</v>
      </c>
      <c r="K3251" s="455">
        <f t="shared" ca="1" si="143"/>
        <v>-1149349332.9907026</v>
      </c>
      <c r="L3251" s="455">
        <f t="shared" ca="1" si="144"/>
        <v>-276993189250.75934</v>
      </c>
      <c r="M3251" s="471">
        <f t="shared" si="146"/>
        <v>0.05</v>
      </c>
      <c r="N3251" s="475">
        <f t="shared" si="147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45"/>
        <v>-276993189250.75934</v>
      </c>
      <c r="J3252" s="455">
        <f t="array" ref="J3252">IFERROR(INDEX('Retirement Calculator'!K:K,MATCH('Lorri 401b'!N3252,'Retirement Calculator'!A:A,0),0),0)</f>
        <v>0</v>
      </c>
      <c r="K3252" s="455">
        <f t="shared" ca="1" si="143"/>
        <v>-1154138288.5448306</v>
      </c>
      <c r="L3252" s="455">
        <f t="shared" ca="1" si="144"/>
        <v>-278147327539.3042</v>
      </c>
      <c r="M3252" s="471">
        <f t="shared" si="146"/>
        <v>0.05</v>
      </c>
      <c r="N3252" s="475">
        <f t="shared" si="147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45"/>
        <v>-278147327539.3042</v>
      </c>
      <c r="J3253" s="455">
        <f t="array" ref="J3253">IFERROR(INDEX('Retirement Calculator'!K:K,MATCH('Lorri 401b'!N3253,'Retirement Calculator'!A:A,0),0),0)</f>
        <v>0</v>
      </c>
      <c r="K3253" s="455">
        <f t="shared" ca="1" si="143"/>
        <v>-1158947198.0804341</v>
      </c>
      <c r="L3253" s="455">
        <f t="shared" ca="1" si="144"/>
        <v>-279306274737.38464</v>
      </c>
      <c r="M3253" s="471">
        <f t="shared" si="146"/>
        <v>0.05</v>
      </c>
      <c r="N3253" s="475">
        <f t="shared" si="147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45"/>
        <v>-279306274737.38464</v>
      </c>
      <c r="J3254" s="455">
        <f t="array" ref="J3254">IFERROR(INDEX('Retirement Calculator'!K:K,MATCH('Lorri 401b'!N3254,'Retirement Calculator'!A:A,0),0),0)</f>
        <v>0</v>
      </c>
      <c r="K3254" s="455">
        <f t="shared" ca="1" si="143"/>
        <v>-1163776144.7391026</v>
      </c>
      <c r="L3254" s="455">
        <f t="shared" ca="1" si="144"/>
        <v>-280470050882.12372</v>
      </c>
      <c r="M3254" s="471">
        <f t="shared" si="146"/>
        <v>0.05</v>
      </c>
      <c r="N3254" s="475">
        <f t="shared" si="147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45"/>
        <v>-280470050882.12372</v>
      </c>
      <c r="J3255" s="455">
        <f t="array" ref="J3255">IFERROR(INDEX('Retirement Calculator'!K:K,MATCH('Lorri 401b'!N3255,'Retirement Calculator'!A:A,0),0),0)</f>
        <v>0</v>
      </c>
      <c r="K3255" s="455">
        <f t="shared" ca="1" si="143"/>
        <v>-1168625212.0088489</v>
      </c>
      <c r="L3255" s="455">
        <f t="shared" ca="1" si="144"/>
        <v>-281638676094.13257</v>
      </c>
      <c r="M3255" s="471">
        <f t="shared" si="146"/>
        <v>0.05</v>
      </c>
      <c r="N3255" s="475">
        <f t="shared" si="147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45"/>
        <v>-281638676094.13257</v>
      </c>
      <c r="J3256" s="455">
        <f t="array" ref="J3256">IFERROR(INDEX('Retirement Calculator'!K:K,MATCH('Lorri 401b'!N3256,'Retirement Calculator'!A:A,0),0),0)</f>
        <v>0</v>
      </c>
      <c r="K3256" s="455">
        <f t="shared" ca="1" si="143"/>
        <v>-1173494483.7255523</v>
      </c>
      <c r="L3256" s="455">
        <f t="shared" ca="1" si="144"/>
        <v>-282812170577.85809</v>
      </c>
      <c r="M3256" s="471">
        <f t="shared" si="146"/>
        <v>0.05</v>
      </c>
      <c r="N3256" s="475">
        <f t="shared" si="147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45"/>
        <v>-282812170577.85809</v>
      </c>
      <c r="J3257" s="455">
        <f t="array" ref="J3257">IFERROR(INDEX('Retirement Calculator'!K:K,MATCH('Lorri 401b'!N3257,'Retirement Calculator'!A:A,0),0),0)</f>
        <v>0</v>
      </c>
      <c r="K3257" s="455">
        <f t="shared" ca="1" si="143"/>
        <v>-1178384044.0744088</v>
      </c>
      <c r="L3257" s="455">
        <f t="shared" ca="1" si="144"/>
        <v>-283990554621.9325</v>
      </c>
      <c r="M3257" s="471">
        <f t="shared" si="146"/>
        <v>0.05</v>
      </c>
      <c r="N3257" s="475">
        <f t="shared" si="147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45"/>
        <v>-283990554621.9325</v>
      </c>
      <c r="J3258" s="455">
        <f t="array" ref="J3258">IFERROR(INDEX('Retirement Calculator'!K:K,MATCH('Lorri 401b'!N3258,'Retirement Calculator'!A:A,0),0),0)</f>
        <v>0</v>
      </c>
      <c r="K3258" s="455">
        <f t="shared" ca="1" si="143"/>
        <v>-1183293977.5913854</v>
      </c>
      <c r="L3258" s="455">
        <f t="shared" ca="1" si="144"/>
        <v>-285173848599.52386</v>
      </c>
      <c r="M3258" s="471">
        <f t="shared" si="146"/>
        <v>0.05</v>
      </c>
      <c r="N3258" s="475">
        <f t="shared" si="147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45"/>
        <v>-285173848599.52386</v>
      </c>
      <c r="J3259" s="455">
        <f t="array" ref="J3259">IFERROR(INDEX('Retirement Calculator'!K:K,MATCH('Lorri 401b'!N3259,'Retirement Calculator'!A:A,0),0),0)</f>
        <v>0</v>
      </c>
      <c r="K3259" s="455">
        <f t="shared" ca="1" si="143"/>
        <v>-1188224369.1646829</v>
      </c>
      <c r="L3259" s="455">
        <f t="shared" ca="1" si="144"/>
        <v>-286362072968.68854</v>
      </c>
      <c r="M3259" s="471">
        <f t="shared" si="146"/>
        <v>0.05</v>
      </c>
      <c r="N3259" s="475">
        <f t="shared" si="147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45"/>
        <v>-286362072968.68854</v>
      </c>
      <c r="J3260" s="455">
        <f t="array" ref="J3260">IFERROR(INDEX('Retirement Calculator'!K:K,MATCH('Lorri 401b'!N3260,'Retirement Calculator'!A:A,0),0),0)</f>
        <v>0</v>
      </c>
      <c r="K3260" s="455">
        <f t="shared" ca="1" si="143"/>
        <v>-1193175304.0362022</v>
      </c>
      <c r="L3260" s="455">
        <f t="shared" ca="1" si="144"/>
        <v>-287555248272.72473</v>
      </c>
      <c r="M3260" s="471">
        <f t="shared" si="146"/>
        <v>0.05</v>
      </c>
      <c r="N3260" s="475">
        <f t="shared" si="147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45"/>
        <v>-287555248272.72473</v>
      </c>
      <c r="J3261" s="455">
        <f t="array" ref="J3261">IFERROR(INDEX('Retirement Calculator'!K:K,MATCH('Lorri 401b'!N3261,'Retirement Calculator'!A:A,0),0),0)</f>
        <v>0</v>
      </c>
      <c r="K3261" s="455">
        <f t="shared" ca="1" si="143"/>
        <v>-1198146867.8030198</v>
      </c>
      <c r="L3261" s="455">
        <f t="shared" ca="1" si="144"/>
        <v>-288753395140.52777</v>
      </c>
      <c r="M3261" s="471">
        <f t="shared" si="146"/>
        <v>0.05</v>
      </c>
      <c r="N3261" s="475">
        <f t="shared" si="147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45"/>
        <v>-288753395140.52777</v>
      </c>
      <c r="J3262" s="455">
        <f t="array" ref="J3262">IFERROR(INDEX('Retirement Calculator'!K:K,MATCH('Lorri 401b'!N3262,'Retirement Calculator'!A:A,0),0),0)</f>
        <v>0</v>
      </c>
      <c r="K3262" s="455">
        <f t="shared" ca="1" si="143"/>
        <v>-1203139146.4188657</v>
      </c>
      <c r="L3262" s="455">
        <f t="shared" ca="1" si="144"/>
        <v>-289956534286.94666</v>
      </c>
      <c r="M3262" s="471">
        <f t="shared" si="146"/>
        <v>0.05</v>
      </c>
      <c r="N3262" s="475">
        <f t="shared" si="147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45"/>
        <v>-289956534286.94666</v>
      </c>
      <c r="J3263" s="455">
        <f t="array" ref="J3263">IFERROR(INDEX('Retirement Calculator'!K:K,MATCH('Lorri 401b'!N3263,'Retirement Calculator'!A:A,0),0),0)</f>
        <v>0</v>
      </c>
      <c r="K3263" s="455">
        <f t="shared" ca="1" si="143"/>
        <v>-1208152226.195611</v>
      </c>
      <c r="L3263" s="455">
        <f t="shared" ca="1" si="144"/>
        <v>-291164686513.14227</v>
      </c>
      <c r="M3263" s="471">
        <f t="shared" si="146"/>
        <v>0.05</v>
      </c>
      <c r="N3263" s="475">
        <f t="shared" si="147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45"/>
        <v>-291164686513.14227</v>
      </c>
      <c r="J3264" s="455">
        <f t="array" ref="J3264">IFERROR(INDEX('Retirement Calculator'!K:K,MATCH('Lorri 401b'!N3264,'Retirement Calculator'!A:A,0),0),0)</f>
        <v>0</v>
      </c>
      <c r="K3264" s="455">
        <f t="shared" ca="1" si="143"/>
        <v>-1213186193.8047595</v>
      </c>
      <c r="L3264" s="455">
        <f t="shared" ca="1" si="144"/>
        <v>-292377872706.94702</v>
      </c>
      <c r="M3264" s="471">
        <f t="shared" si="146"/>
        <v>0.05</v>
      </c>
      <c r="N3264" s="475">
        <f t="shared" si="147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45"/>
        <v>-292377872706.94702</v>
      </c>
      <c r="J3265" s="455">
        <f t="array" ref="J3265">IFERROR(INDEX('Retirement Calculator'!K:K,MATCH('Lorri 401b'!N3265,'Retirement Calculator'!A:A,0),0),0)</f>
        <v>0</v>
      </c>
      <c r="K3265" s="455">
        <f t="shared" ca="1" si="143"/>
        <v>-1218241136.2789459</v>
      </c>
      <c r="L3265" s="455">
        <f t="shared" ca="1" si="144"/>
        <v>-293596113843.22595</v>
      </c>
      <c r="M3265" s="471">
        <f t="shared" si="146"/>
        <v>0.05</v>
      </c>
      <c r="N3265" s="475">
        <f t="shared" si="147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45"/>
        <v>-293596113843.22595</v>
      </c>
      <c r="J3266" s="455">
        <f t="array" ref="J3266">IFERROR(INDEX('Retirement Calculator'!K:K,MATCH('Lorri 401b'!N3266,'Retirement Calculator'!A:A,0),0),0)</f>
        <v>0</v>
      </c>
      <c r="K3266" s="455">
        <f t="shared" ca="1" si="143"/>
        <v>-1223317141.0134416</v>
      </c>
      <c r="L3266" s="455">
        <f t="shared" ca="1" si="144"/>
        <v>-294819430984.23938</v>
      </c>
      <c r="M3266" s="471">
        <f t="shared" si="146"/>
        <v>0.05</v>
      </c>
      <c r="N3266" s="475">
        <f t="shared" si="147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45"/>
        <v>-294819430984.23938</v>
      </c>
      <c r="J3267" s="455">
        <f t="array" ref="J3267">IFERROR(INDEX('Retirement Calculator'!K:K,MATCH('Lorri 401b'!N3267,'Retirement Calculator'!A:A,0),0),0)</f>
        <v>0</v>
      </c>
      <c r="K3267" s="455">
        <f t="shared" ca="1" si="143"/>
        <v>-1228414295.767664</v>
      </c>
      <c r="L3267" s="455">
        <f t="shared" ca="1" si="144"/>
        <v>-296047845280.00702</v>
      </c>
      <c r="M3267" s="471">
        <f t="shared" si="146"/>
        <v>0.05</v>
      </c>
      <c r="N3267" s="475">
        <f t="shared" si="147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45"/>
        <v>-296047845280.00702</v>
      </c>
      <c r="J3268" s="455">
        <f t="array" ref="J3268">IFERROR(INDEX('Retirement Calculator'!K:K,MATCH('Lorri 401b'!N3268,'Retirement Calculator'!A:A,0),0),0)</f>
        <v>0</v>
      </c>
      <c r="K3268" s="455">
        <f t="shared" ca="1" si="143"/>
        <v>-1233532688.6666958</v>
      </c>
      <c r="L3268" s="455">
        <f t="shared" ca="1" si="144"/>
        <v>-297281377968.67371</v>
      </c>
      <c r="M3268" s="471">
        <f t="shared" si="146"/>
        <v>0.05</v>
      </c>
      <c r="N3268" s="475">
        <f t="shared" si="147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45"/>
        <v>-297281377968.67371</v>
      </c>
      <c r="J3269" s="455">
        <f t="array" ref="J3269">IFERROR(INDEX('Retirement Calculator'!K:K,MATCH('Lorri 401b'!N3269,'Retirement Calculator'!A:A,0),0),0)</f>
        <v>0</v>
      </c>
      <c r="K3269" s="455">
        <f t="shared" ca="1" si="143"/>
        <v>-1238672408.2028072</v>
      </c>
      <c r="L3269" s="455">
        <f t="shared" ca="1" si="144"/>
        <v>-298520050376.87653</v>
      </c>
      <c r="M3269" s="471">
        <f t="shared" si="146"/>
        <v>0.05</v>
      </c>
      <c r="N3269" s="475">
        <f t="shared" si="147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45"/>
        <v>-298520050376.87653</v>
      </c>
      <c r="J3270" s="455">
        <f t="array" ref="J3270">IFERROR(INDEX('Retirement Calculator'!K:K,MATCH('Lorri 401b'!N3270,'Retirement Calculator'!A:A,0),0),0)</f>
        <v>0</v>
      </c>
      <c r="K3270" s="455">
        <f t="shared" ca="1" si="143"/>
        <v>-1243833543.2369854</v>
      </c>
      <c r="L3270" s="455">
        <f t="shared" ca="1" si="144"/>
        <v>-299763883920.11353</v>
      </c>
      <c r="M3270" s="471">
        <f t="shared" si="146"/>
        <v>0.05</v>
      </c>
      <c r="N3270" s="475">
        <f t="shared" si="147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45"/>
        <v>-299763883920.11353</v>
      </c>
      <c r="J3271" s="455">
        <f t="array" ref="J3271">IFERROR(INDEX('Retirement Calculator'!K:K,MATCH('Lorri 401b'!N3271,'Retirement Calculator'!A:A,0),0),0)</f>
        <v>0</v>
      </c>
      <c r="K3271" s="455">
        <f t="shared" ca="1" si="143"/>
        <v>-1249016183.000473</v>
      </c>
      <c r="L3271" s="455">
        <f t="shared" ca="1" si="144"/>
        <v>-301012900103.11401</v>
      </c>
      <c r="M3271" s="471">
        <f t="shared" si="146"/>
        <v>0.05</v>
      </c>
      <c r="N3271" s="475">
        <f t="shared" si="147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45"/>
        <v>-301012900103.11401</v>
      </c>
      <c r="J3272" s="455">
        <f t="array" ref="J3272">IFERROR(INDEX('Retirement Calculator'!K:K,MATCH('Lorri 401b'!N3272,'Retirement Calculator'!A:A,0),0),0)</f>
        <v>0</v>
      </c>
      <c r="K3272" s="455">
        <f t="shared" ca="1" si="143"/>
        <v>-1254220417.0963085</v>
      </c>
      <c r="L3272" s="455">
        <f t="shared" ca="1" si="144"/>
        <v>-302267120520.21033</v>
      </c>
      <c r="M3272" s="471">
        <f t="shared" si="146"/>
        <v>0.05</v>
      </c>
      <c r="N3272" s="475">
        <f t="shared" si="147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45"/>
        <v>-302267120520.21033</v>
      </c>
      <c r="J3273" s="455">
        <f t="array" ref="J3273">IFERROR(INDEX('Retirement Calculator'!K:K,MATCH('Lorri 401b'!N3273,'Retirement Calculator'!A:A,0),0),0)</f>
        <v>0</v>
      </c>
      <c r="K3273" s="455">
        <f t="shared" ca="1" si="143"/>
        <v>-1259446335.5008764</v>
      </c>
      <c r="L3273" s="455">
        <f t="shared" ca="1" si="144"/>
        <v>-303526566855.71118</v>
      </c>
      <c r="M3273" s="471">
        <f t="shared" si="146"/>
        <v>0.05</v>
      </c>
      <c r="N3273" s="475">
        <f t="shared" si="147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45"/>
        <v>-303526566855.71118</v>
      </c>
      <c r="J3274" s="455">
        <f t="array" ref="J3274">IFERROR(INDEX('Retirement Calculator'!K:K,MATCH('Lorri 401b'!N3274,'Retirement Calculator'!A:A,0),0),0)</f>
        <v>0</v>
      </c>
      <c r="K3274" s="455">
        <f t="shared" ca="1" si="143"/>
        <v>-1264694028.5654633</v>
      </c>
      <c r="L3274" s="455">
        <f t="shared" ca="1" si="144"/>
        <v>-304791260884.27667</v>
      </c>
      <c r="M3274" s="471">
        <f t="shared" si="146"/>
        <v>0.05</v>
      </c>
      <c r="N3274" s="475">
        <f t="shared" si="147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45"/>
        <v>-304791260884.27667</v>
      </c>
      <c r="J3275" s="455">
        <f t="array" ref="J3275">IFERROR(INDEX('Retirement Calculator'!K:K,MATCH('Lorri 401b'!N3275,'Retirement Calculator'!A:A,0),0),0)</f>
        <v>0</v>
      </c>
      <c r="K3275" s="455">
        <f t="shared" ca="1" si="143"/>
        <v>-1269963587.0178194</v>
      </c>
      <c r="L3275" s="455">
        <f t="shared" ca="1" si="144"/>
        <v>-306061224471.29449</v>
      </c>
      <c r="M3275" s="471">
        <f t="shared" si="146"/>
        <v>0.05</v>
      </c>
      <c r="N3275" s="475">
        <f t="shared" si="147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45"/>
        <v>-306061224471.29449</v>
      </c>
      <c r="J3276" s="455">
        <f t="array" ref="J3276">IFERROR(INDEX('Retirement Calculator'!K:K,MATCH('Lorri 401b'!N3276,'Retirement Calculator'!A:A,0),0),0)</f>
        <v>0</v>
      </c>
      <c r="K3276" s="455">
        <f t="shared" ca="1" si="143"/>
        <v>-1275255101.963727</v>
      </c>
      <c r="L3276" s="455">
        <f t="shared" ca="1" si="144"/>
        <v>-307336479573.25824</v>
      </c>
      <c r="M3276" s="471">
        <f t="shared" si="146"/>
        <v>0.05</v>
      </c>
      <c r="N3276" s="475">
        <f t="shared" si="147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45"/>
        <v>-307336479573.25824</v>
      </c>
      <c r="J3277" s="455">
        <f t="array" ref="J3277">IFERROR(INDEX('Retirement Calculator'!K:K,MATCH('Lorri 401b'!N3277,'Retirement Calculator'!A:A,0),0),0)</f>
        <v>0</v>
      </c>
      <c r="K3277" s="455">
        <f t="shared" ca="1" si="143"/>
        <v>-1280568664.888576</v>
      </c>
      <c r="L3277" s="455">
        <f t="shared" ca="1" si="144"/>
        <v>-308617048238.14679</v>
      </c>
      <c r="M3277" s="471">
        <f t="shared" si="146"/>
        <v>0.05</v>
      </c>
      <c r="N3277" s="475">
        <f t="shared" si="147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45"/>
        <v>-308617048238.14679</v>
      </c>
      <c r="J3278" s="455">
        <f t="array" ref="J3278">IFERROR(INDEX('Retirement Calculator'!K:K,MATCH('Lorri 401b'!N3278,'Retirement Calculator'!A:A,0),0),0)</f>
        <v>0</v>
      </c>
      <c r="K3278" s="455">
        <f t="shared" ca="1" si="143"/>
        <v>-1285904367.6589448</v>
      </c>
      <c r="L3278" s="455">
        <f t="shared" ca="1" si="144"/>
        <v>-309902952605.80573</v>
      </c>
      <c r="M3278" s="471">
        <f t="shared" si="146"/>
        <v>0.05</v>
      </c>
      <c r="N3278" s="475">
        <f t="shared" si="147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45"/>
        <v>-309902952605.80573</v>
      </c>
      <c r="J3279" s="455">
        <f t="array" ref="J3279">IFERROR(INDEX('Retirement Calculator'!K:K,MATCH('Lorri 401b'!N3279,'Retirement Calculator'!A:A,0),0),0)</f>
        <v>0</v>
      </c>
      <c r="K3279" s="455">
        <f t="shared" ca="1" si="143"/>
        <v>-1291262302.5241904</v>
      </c>
      <c r="L3279" s="455">
        <f t="shared" ca="1" si="144"/>
        <v>-311194214908.3299</v>
      </c>
      <c r="M3279" s="471">
        <f t="shared" si="146"/>
        <v>0.05</v>
      </c>
      <c r="N3279" s="475">
        <f t="shared" si="147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45"/>
        <v>-311194214908.3299</v>
      </c>
      <c r="J3280" s="455">
        <f t="array" ref="J3280">IFERROR(INDEX('Retirement Calculator'!K:K,MATCH('Lorri 401b'!N3280,'Retirement Calculator'!A:A,0),0),0)</f>
        <v>0</v>
      </c>
      <c r="K3280" s="455">
        <f t="shared" ca="1" si="143"/>
        <v>-1296642562.1180413</v>
      </c>
      <c r="L3280" s="455">
        <f t="shared" ca="1" si="144"/>
        <v>-312490857470.44794</v>
      </c>
      <c r="M3280" s="471">
        <f t="shared" si="146"/>
        <v>0.05</v>
      </c>
      <c r="N3280" s="475">
        <f t="shared" si="147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45"/>
        <v>-312490857470.44794</v>
      </c>
      <c r="J3281" s="455">
        <f t="array" ref="J3281">IFERROR(INDEX('Retirement Calculator'!K:K,MATCH('Lorri 401b'!N3281,'Retirement Calculator'!A:A,0),0),0)</f>
        <v>0</v>
      </c>
      <c r="K3281" s="455">
        <f t="shared" ca="1" si="143"/>
        <v>-1302045239.4601998</v>
      </c>
      <c r="L3281" s="455">
        <f t="shared" ca="1" si="144"/>
        <v>-313792902709.90814</v>
      </c>
      <c r="M3281" s="471">
        <f t="shared" si="146"/>
        <v>0.05</v>
      </c>
      <c r="N3281" s="475">
        <f t="shared" si="147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45"/>
        <v>-313792902709.90814</v>
      </c>
      <c r="J3282" s="455">
        <f t="array" ref="J3282">IFERROR(INDEX('Retirement Calculator'!K:K,MATCH('Lorri 401b'!N3282,'Retirement Calculator'!A:A,0),0),0)</f>
        <v>0</v>
      </c>
      <c r="K3282" s="455">
        <f t="shared" ca="1" si="143"/>
        <v>-1307470427.9579506</v>
      </c>
      <c r="L3282" s="455">
        <f t="shared" ca="1" si="144"/>
        <v>-315100373137.86609</v>
      </c>
      <c r="M3282" s="471">
        <f t="shared" si="146"/>
        <v>0.05</v>
      </c>
      <c r="N3282" s="475">
        <f t="shared" si="147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45"/>
        <v>-315100373137.86609</v>
      </c>
      <c r="J3283" s="455">
        <f t="array" ref="J3283">IFERROR(INDEX('Retirement Calculator'!K:K,MATCH('Lorri 401b'!N3283,'Retirement Calculator'!A:A,0),0),0)</f>
        <v>0</v>
      </c>
      <c r="K3283" s="455">
        <f t="shared" ca="1" si="143"/>
        <v>-1312918221.4077754</v>
      </c>
      <c r="L3283" s="455">
        <f t="shared" ca="1" si="144"/>
        <v>-316413291359.27386</v>
      </c>
      <c r="M3283" s="471">
        <f t="shared" si="146"/>
        <v>0.05</v>
      </c>
      <c r="N3283" s="475">
        <f t="shared" si="147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45"/>
        <v>-316413291359.27386</v>
      </c>
      <c r="J3284" s="455">
        <f t="array" ref="J3284">IFERROR(INDEX('Retirement Calculator'!K:K,MATCH('Lorri 401b'!N3284,'Retirement Calculator'!A:A,0),0),0)</f>
        <v>0</v>
      </c>
      <c r="K3284" s="455">
        <f t="shared" ca="1" si="143"/>
        <v>-1318388713.9969745</v>
      </c>
      <c r="L3284" s="455">
        <f t="shared" ca="1" si="144"/>
        <v>-317731680073.27081</v>
      </c>
      <c r="M3284" s="471">
        <f t="shared" si="146"/>
        <v>0.05</v>
      </c>
      <c r="N3284" s="475">
        <f t="shared" si="147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45"/>
        <v>-317731680073.27081</v>
      </c>
      <c r="J3285" s="455">
        <f t="array" ref="J3285">IFERROR(INDEX('Retirement Calculator'!K:K,MATCH('Lorri 401b'!N3285,'Retirement Calculator'!A:A,0),0),0)</f>
        <v>0</v>
      </c>
      <c r="K3285" s="455">
        <f t="shared" ca="1" si="143"/>
        <v>-1323882000.305295</v>
      </c>
      <c r="L3285" s="455">
        <f t="shared" ca="1" si="144"/>
        <v>-319055562073.57611</v>
      </c>
      <c r="M3285" s="471">
        <f t="shared" si="146"/>
        <v>0.05</v>
      </c>
      <c r="N3285" s="475">
        <f t="shared" si="147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45"/>
        <v>-319055562073.57611</v>
      </c>
      <c r="J3286" s="455">
        <f t="array" ref="J3286">IFERROR(INDEX('Retirement Calculator'!K:K,MATCH('Lorri 401b'!N3286,'Retirement Calculator'!A:A,0),0),0)</f>
        <v>0</v>
      </c>
      <c r="K3286" s="455">
        <f t="shared" ca="1" si="143"/>
        <v>-1329398175.3065672</v>
      </c>
      <c r="L3286" s="455">
        <f t="shared" ca="1" si="144"/>
        <v>-320384960248.88269</v>
      </c>
      <c r="M3286" s="471">
        <f t="shared" si="146"/>
        <v>0.05</v>
      </c>
      <c r="N3286" s="475">
        <f t="shared" si="147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45"/>
        <v>-320384960248.88269</v>
      </c>
      <c r="J3287" s="455">
        <f t="array" ref="J3287">IFERROR(INDEX('Retirement Calculator'!K:K,MATCH('Lorri 401b'!N3287,'Retirement Calculator'!A:A,0),0),0)</f>
        <v>0</v>
      </c>
      <c r="K3287" s="455">
        <f t="shared" ca="1" si="143"/>
        <v>-1334937334.3703446</v>
      </c>
      <c r="L3287" s="455">
        <f t="shared" ca="1" si="144"/>
        <v>-321719897583.25305</v>
      </c>
      <c r="M3287" s="471">
        <f t="shared" si="146"/>
        <v>0.05</v>
      </c>
      <c r="N3287" s="475">
        <f t="shared" si="147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45"/>
        <v>-321719897583.25305</v>
      </c>
      <c r="J3288" s="455">
        <f t="array" ref="J3288">IFERROR(INDEX('Retirement Calculator'!K:K,MATCH('Lorri 401b'!N3288,'Retirement Calculator'!A:A,0),0),0)</f>
        <v>0</v>
      </c>
      <c r="K3288" s="455">
        <f t="shared" ca="1" si="143"/>
        <v>-1340499573.2635543</v>
      </c>
      <c r="L3288" s="455">
        <f t="shared" ca="1" si="144"/>
        <v>-323060397156.5166</v>
      </c>
      <c r="M3288" s="471">
        <f t="shared" si="146"/>
        <v>0.05</v>
      </c>
      <c r="N3288" s="475">
        <f t="shared" si="147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45"/>
        <v>-323060397156.5166</v>
      </c>
      <c r="J3289" s="455">
        <f t="array" ref="J3289">IFERROR(INDEX('Retirement Calculator'!K:K,MATCH('Lorri 401b'!N3289,'Retirement Calculator'!A:A,0),0),0)</f>
        <v>0</v>
      </c>
      <c r="K3289" s="455">
        <f t="shared" ca="1" si="143"/>
        <v>-1346084988.1521525</v>
      </c>
      <c r="L3289" s="455">
        <f t="shared" ca="1" si="144"/>
        <v>-324406482144.66876</v>
      </c>
      <c r="M3289" s="471">
        <f t="shared" si="146"/>
        <v>0.05</v>
      </c>
      <c r="N3289" s="475">
        <f t="shared" si="147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45"/>
        <v>-324406482144.66876</v>
      </c>
      <c r="J3290" s="455">
        <f t="array" ref="J3290">IFERROR(INDEX('Retirement Calculator'!K:K,MATCH('Lorri 401b'!N3290,'Retirement Calculator'!A:A,0),0),0)</f>
        <v>0</v>
      </c>
      <c r="K3290" s="455">
        <f t="shared" ca="1" si="143"/>
        <v>-1351693675.6027865</v>
      </c>
      <c r="L3290" s="455">
        <f t="shared" ca="1" si="144"/>
        <v>-325758175820.27155</v>
      </c>
      <c r="M3290" s="471">
        <f t="shared" si="146"/>
        <v>0.05</v>
      </c>
      <c r="N3290" s="475">
        <f t="shared" si="147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45"/>
        <v>-325758175820.27155</v>
      </c>
      <c r="J3291" s="455">
        <f t="array" ref="J3291">IFERROR(INDEX('Retirement Calculator'!K:K,MATCH('Lorri 401b'!N3291,'Retirement Calculator'!A:A,0),0),0)</f>
        <v>0</v>
      </c>
      <c r="K3291" s="455">
        <f t="shared" ca="1" si="143"/>
        <v>-1357325732.5844648</v>
      </c>
      <c r="L3291" s="455">
        <f t="shared" ca="1" si="144"/>
        <v>-327115501552.85602</v>
      </c>
      <c r="M3291" s="471">
        <f t="shared" si="146"/>
        <v>0.05</v>
      </c>
      <c r="N3291" s="475">
        <f t="shared" si="147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45"/>
        <v>-327115501552.85602</v>
      </c>
      <c r="J3292" s="455">
        <f t="array" ref="J3292">IFERROR(INDEX('Retirement Calculator'!K:K,MATCH('Lorri 401b'!N3292,'Retirement Calculator'!A:A,0),0),0)</f>
        <v>0</v>
      </c>
      <c r="K3292" s="455">
        <f t="shared" ca="1" si="143"/>
        <v>-1362981256.4702334</v>
      </c>
      <c r="L3292" s="455">
        <f t="shared" ca="1" si="144"/>
        <v>-328478482809.32623</v>
      </c>
      <c r="M3292" s="471">
        <f t="shared" si="146"/>
        <v>0.05</v>
      </c>
      <c r="N3292" s="475">
        <f t="shared" si="147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45"/>
        <v>-328478482809.32623</v>
      </c>
      <c r="J3293" s="455">
        <f t="array" ref="J3293">IFERROR(INDEX('Retirement Calculator'!K:K,MATCH('Lorri 401b'!N3293,'Retirement Calculator'!A:A,0),0),0)</f>
        <v>0</v>
      </c>
      <c r="K3293" s="455">
        <f t="shared" ca="1" si="143"/>
        <v>-1368660345.0388594</v>
      </c>
      <c r="L3293" s="455">
        <f t="shared" ca="1" si="144"/>
        <v>-329847143154.36511</v>
      </c>
      <c r="M3293" s="471">
        <f t="shared" si="146"/>
        <v>0.05</v>
      </c>
      <c r="N3293" s="475">
        <f t="shared" si="147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45"/>
        <v>-329847143154.36511</v>
      </c>
      <c r="J3294" s="455">
        <f t="array" ref="J3294">IFERROR(INDEX('Retirement Calculator'!K:K,MATCH('Lorri 401b'!N3294,'Retirement Calculator'!A:A,0),0),0)</f>
        <v>0</v>
      </c>
      <c r="K3294" s="455">
        <f t="shared" ca="1" si="143"/>
        <v>-1374363096.4765213</v>
      </c>
      <c r="L3294" s="455">
        <f t="shared" ca="1" si="144"/>
        <v>-331221506250.84161</v>
      </c>
      <c r="M3294" s="471">
        <f t="shared" si="146"/>
        <v>0.05</v>
      </c>
      <c r="N3294" s="475">
        <f t="shared" si="147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45"/>
        <v>-331221506250.84161</v>
      </c>
      <c r="J3295" s="455">
        <f t="array" ref="J3295">IFERROR(INDEX('Retirement Calculator'!K:K,MATCH('Lorri 401b'!N3295,'Retirement Calculator'!A:A,0),0),0)</f>
        <v>0</v>
      </c>
      <c r="K3295" s="455">
        <f t="shared" ca="1" si="143"/>
        <v>-1380089609.3785067</v>
      </c>
      <c r="L3295" s="455">
        <f t="shared" ca="1" si="144"/>
        <v>-332601595860.22009</v>
      </c>
      <c r="M3295" s="471">
        <f t="shared" si="146"/>
        <v>0.05</v>
      </c>
      <c r="N3295" s="475">
        <f t="shared" si="147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45"/>
        <v>-332601595860.22009</v>
      </c>
      <c r="J3296" s="455">
        <f t="array" ref="J3296">IFERROR(INDEX('Retirement Calculator'!K:K,MATCH('Lorri 401b'!N3296,'Retirement Calculator'!A:A,0),0),0)</f>
        <v>0</v>
      </c>
      <c r="K3296" s="455">
        <f t="shared" ca="1" si="143"/>
        <v>-1385839982.750917</v>
      </c>
      <c r="L3296" s="455">
        <f t="shared" ca="1" si="144"/>
        <v>-333987435842.97101</v>
      </c>
      <c r="M3296" s="471">
        <f t="shared" si="146"/>
        <v>0.05</v>
      </c>
      <c r="N3296" s="475">
        <f t="shared" si="147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45"/>
        <v>-333987435842.97101</v>
      </c>
      <c r="J3297" s="455">
        <f t="array" ref="J3297">IFERROR(INDEX('Retirement Calculator'!K:K,MATCH('Lorri 401b'!N3297,'Retirement Calculator'!A:A,0),0),0)</f>
        <v>0</v>
      </c>
      <c r="K3297" s="455">
        <f t="shared" ca="1" si="143"/>
        <v>-1391614316.0123792</v>
      </c>
      <c r="L3297" s="455">
        <f t="shared" ca="1" si="144"/>
        <v>-335379050158.9834</v>
      </c>
      <c r="M3297" s="471">
        <f t="shared" si="146"/>
        <v>0.05</v>
      </c>
      <c r="N3297" s="475">
        <f t="shared" si="147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45"/>
        <v>-335379050158.9834</v>
      </c>
      <c r="J3298" s="455">
        <f t="array" ref="J3298">IFERROR(INDEX('Retirement Calculator'!K:K,MATCH('Lorri 401b'!N3298,'Retirement Calculator'!A:A,0),0),0)</f>
        <v>0</v>
      </c>
      <c r="K3298" s="455">
        <f t="shared" ca="1" si="143"/>
        <v>-1397412708.9957643</v>
      </c>
      <c r="L3298" s="455">
        <f t="shared" ca="1" si="144"/>
        <v>-336776462867.97919</v>
      </c>
      <c r="M3298" s="471">
        <f t="shared" si="146"/>
        <v>0.05</v>
      </c>
      <c r="N3298" s="475">
        <f t="shared" si="147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45"/>
        <v>-336776462867.97919</v>
      </c>
      <c r="J3299" s="455">
        <f t="array" ref="J3299">IFERROR(INDEX('Retirement Calculator'!K:K,MATCH('Lorri 401b'!N3299,'Retirement Calculator'!A:A,0),0),0)</f>
        <v>0</v>
      </c>
      <c r="K3299" s="455">
        <f t="shared" ca="1" si="143"/>
        <v>-1403235261.9499133</v>
      </c>
      <c r="L3299" s="455">
        <f t="shared" ca="1" si="144"/>
        <v>-338179698129.92908</v>
      </c>
      <c r="M3299" s="471">
        <f t="shared" si="146"/>
        <v>0.05</v>
      </c>
      <c r="N3299" s="475">
        <f t="shared" si="147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45"/>
        <v>-338179698129.92908</v>
      </c>
      <c r="J3300" s="455">
        <f t="array" ref="J3300">IFERROR(INDEX('Retirement Calculator'!K:K,MATCH('Lorri 401b'!N3300,'Retirement Calculator'!A:A,0),0),0)</f>
        <v>0</v>
      </c>
      <c r="K3300" s="455">
        <f t="shared" ca="1" si="143"/>
        <v>-1409082075.5413711</v>
      </c>
      <c r="L3300" s="455">
        <f t="shared" ca="1" si="144"/>
        <v>-339588780205.47046</v>
      </c>
      <c r="M3300" s="471">
        <f t="shared" si="146"/>
        <v>0.05</v>
      </c>
      <c r="N3300" s="475">
        <f t="shared" si="147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45"/>
        <v>-339588780205.47046</v>
      </c>
      <c r="J3301" s="455">
        <f t="array" ref="J3301">IFERROR(INDEX('Retirement Calculator'!K:K,MATCH('Lorri 401b'!N3301,'Retirement Calculator'!A:A,0),0),0)</f>
        <v>0</v>
      </c>
      <c r="K3301" s="455">
        <f t="shared" ca="1" si="143"/>
        <v>-1414953250.8561268</v>
      </c>
      <c r="L3301" s="455">
        <f t="shared" ca="1" si="144"/>
        <v>-341003733456.3266</v>
      </c>
      <c r="M3301" s="471">
        <f t="shared" si="146"/>
        <v>0.05</v>
      </c>
      <c r="N3301" s="475">
        <f t="shared" si="147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45"/>
        <v>-341003733456.3266</v>
      </c>
      <c r="J3302" s="455">
        <f t="array" ref="J3302">IFERROR(INDEX('Retirement Calculator'!K:K,MATCH('Lorri 401b'!N3302,'Retirement Calculator'!A:A,0),0),0)</f>
        <v>0</v>
      </c>
      <c r="K3302" s="455">
        <f t="shared" ca="1" si="143"/>
        <v>-1420848889.4013608</v>
      </c>
      <c r="L3302" s="455">
        <f t="shared" ca="1" si="144"/>
        <v>-342424582345.72797</v>
      </c>
      <c r="M3302" s="471">
        <f t="shared" si="146"/>
        <v>0.05</v>
      </c>
      <c r="N3302" s="475">
        <f t="shared" si="147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45"/>
        <v>-342424582345.72797</v>
      </c>
      <c r="J3303" s="455">
        <f t="array" ref="J3303">IFERROR(INDEX('Retirement Calculator'!K:K,MATCH('Lorri 401b'!N3303,'Retirement Calculator'!A:A,0),0),0)</f>
        <v>0</v>
      </c>
      <c r="K3303" s="455">
        <f t="shared" ca="1" si="143"/>
        <v>-1426769093.1071999</v>
      </c>
      <c r="L3303" s="455">
        <f t="shared" ca="1" si="144"/>
        <v>-343851351438.83514</v>
      </c>
      <c r="M3303" s="471">
        <f t="shared" si="146"/>
        <v>0.05</v>
      </c>
      <c r="N3303" s="475">
        <f t="shared" si="147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45"/>
        <v>-343851351438.83514</v>
      </c>
      <c r="J3304" s="455">
        <f t="array" ref="J3304">IFERROR(INDEX('Retirement Calculator'!K:K,MATCH('Lorri 401b'!N3304,'Retirement Calculator'!A:A,0),0),0)</f>
        <v>0</v>
      </c>
      <c r="K3304" s="455">
        <f t="shared" ca="1" si="143"/>
        <v>-1432713964.3284798</v>
      </c>
      <c r="L3304" s="455">
        <f t="shared" ca="1" si="144"/>
        <v>-345284065403.16364</v>
      </c>
      <c r="M3304" s="471">
        <f t="shared" si="146"/>
        <v>0.05</v>
      </c>
      <c r="N3304" s="475">
        <f t="shared" si="147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45"/>
        <v>-345284065403.16364</v>
      </c>
      <c r="J3305" s="455">
        <f t="array" ref="J3305">IFERROR(INDEX('Retirement Calculator'!K:K,MATCH('Lorri 401b'!N3305,'Retirement Calculator'!A:A,0),0),0)</f>
        <v>0</v>
      </c>
      <c r="K3305" s="455">
        <f t="shared" ca="1" si="143"/>
        <v>-1438683605.8465152</v>
      </c>
      <c r="L3305" s="455">
        <f t="shared" ca="1" si="144"/>
        <v>-346722749009.01013</v>
      </c>
      <c r="M3305" s="471">
        <f t="shared" si="146"/>
        <v>0.05</v>
      </c>
      <c r="N3305" s="475">
        <f t="shared" si="147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45"/>
        <v>-346722749009.01013</v>
      </c>
      <c r="J3306" s="455">
        <f t="array" ref="J3306">IFERROR(INDEX('Retirement Calculator'!K:K,MATCH('Lorri 401b'!N3306,'Retirement Calculator'!A:A,0),0),0)</f>
        <v>0</v>
      </c>
      <c r="K3306" s="455">
        <f t="shared" ca="1" si="143"/>
        <v>-1444678120.8708756</v>
      </c>
      <c r="L3306" s="455">
        <f t="shared" ca="1" si="144"/>
        <v>-348167427129.88098</v>
      </c>
      <c r="M3306" s="471">
        <f t="shared" si="146"/>
        <v>0.05</v>
      </c>
      <c r="N3306" s="475">
        <f t="shared" si="147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45"/>
        <v>-348167427129.88098</v>
      </c>
      <c r="J3307" s="455">
        <f t="array" ref="J3307">IFERROR(INDEX('Retirement Calculator'!K:K,MATCH('Lorri 401b'!N3307,'Retirement Calculator'!A:A,0),0),0)</f>
        <v>0</v>
      </c>
      <c r="K3307" s="455">
        <f t="shared" ca="1" si="143"/>
        <v>-1450697613.0411708</v>
      </c>
      <c r="L3307" s="455">
        <f t="shared" ca="1" si="144"/>
        <v>-349618124742.92218</v>
      </c>
      <c r="M3307" s="471">
        <f t="shared" si="146"/>
        <v>0.05</v>
      </c>
      <c r="N3307" s="475">
        <f t="shared" si="147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45"/>
        <v>-349618124742.92218</v>
      </c>
      <c r="J3308" s="455">
        <f t="array" ref="J3308">IFERROR(INDEX('Retirement Calculator'!K:K,MATCH('Lorri 401b'!N3308,'Retirement Calculator'!A:A,0),0),0)</f>
        <v>0</v>
      </c>
      <c r="K3308" s="455">
        <f t="shared" ca="1" si="143"/>
        <v>-1456742186.4288423</v>
      </c>
      <c r="L3308" s="455">
        <f t="shared" ca="1" si="144"/>
        <v>-351074866929.35101</v>
      </c>
      <c r="M3308" s="471">
        <f t="shared" si="146"/>
        <v>0.05</v>
      </c>
      <c r="N3308" s="475">
        <f t="shared" si="147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45"/>
        <v>-351074866929.35101</v>
      </c>
      <c r="J3309" s="455">
        <f t="array" ref="J3309">IFERROR(INDEX('Retirement Calculator'!K:K,MATCH('Lorri 401b'!N3309,'Retirement Calculator'!A:A,0),0),0)</f>
        <v>0</v>
      </c>
      <c r="K3309" s="455">
        <f t="shared" ca="1" si="143"/>
        <v>-1462811945.5389626</v>
      </c>
      <c r="L3309" s="455">
        <f t="shared" ca="1" si="144"/>
        <v>-352537678874.88995</v>
      </c>
      <c r="M3309" s="471">
        <f t="shared" si="146"/>
        <v>0.05</v>
      </c>
      <c r="N3309" s="475">
        <f t="shared" si="147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45"/>
        <v>-352537678874.88995</v>
      </c>
      <c r="J3310" s="455">
        <f t="array" ref="J3310">IFERROR(INDEX('Retirement Calculator'!K:K,MATCH('Lorri 401b'!N3310,'Retirement Calculator'!A:A,0),0),0)</f>
        <v>0</v>
      </c>
      <c r="K3310" s="455">
        <f t="shared" ca="1" si="143"/>
        <v>-1468906995.3120415</v>
      </c>
      <c r="L3310" s="455">
        <f t="shared" ca="1" si="144"/>
        <v>-354006585870.20197</v>
      </c>
      <c r="M3310" s="471">
        <f t="shared" si="146"/>
        <v>0.05</v>
      </c>
      <c r="N3310" s="475">
        <f t="shared" si="147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45"/>
        <v>-354006585870.20197</v>
      </c>
      <c r="J3311" s="455">
        <f t="array" ref="J3311">IFERROR(INDEX('Retirement Calculator'!K:K,MATCH('Lorri 401b'!N3311,'Retirement Calculator'!A:A,0),0),0)</f>
        <v>0</v>
      </c>
      <c r="K3311" s="455">
        <f t="shared" ca="1" si="143"/>
        <v>-1475027441.1258416</v>
      </c>
      <c r="L3311" s="455">
        <f t="shared" ca="1" si="144"/>
        <v>-355481613311.32782</v>
      </c>
      <c r="M3311" s="471">
        <f t="shared" si="146"/>
        <v>0.05</v>
      </c>
      <c r="N3311" s="475">
        <f t="shared" si="147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45"/>
        <v>-355481613311.32782</v>
      </c>
      <c r="J3312" s="455">
        <f t="array" ref="J3312">IFERROR(INDEX('Retirement Calculator'!K:K,MATCH('Lorri 401b'!N3312,'Retirement Calculator'!A:A,0),0),0)</f>
        <v>0</v>
      </c>
      <c r="K3312" s="455">
        <f t="shared" ca="1" si="143"/>
        <v>-1481173388.7971992</v>
      </c>
      <c r="L3312" s="455">
        <f t="shared" ca="1" si="144"/>
        <v>-356962786700.125</v>
      </c>
      <c r="M3312" s="471">
        <f t="shared" si="146"/>
        <v>0.05</v>
      </c>
      <c r="N3312" s="475">
        <f t="shared" si="147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45"/>
        <v>-356962786700.125</v>
      </c>
      <c r="J3313" s="455">
        <f t="array" ref="J3313">IFERROR(INDEX('Retirement Calculator'!K:K,MATCH('Lorri 401b'!N3313,'Retirement Calculator'!A:A,0),0),0)</f>
        <v>0</v>
      </c>
      <c r="K3313" s="455">
        <f t="shared" ca="1" si="143"/>
        <v>-1487344944.5838542</v>
      </c>
      <c r="L3313" s="455">
        <f t="shared" ca="1" si="144"/>
        <v>-358450131644.70886</v>
      </c>
      <c r="M3313" s="471">
        <f t="shared" si="146"/>
        <v>0.05</v>
      </c>
      <c r="N3313" s="475">
        <f t="shared" si="147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45"/>
        <v>-358450131644.70886</v>
      </c>
      <c r="J3314" s="455">
        <f t="array" ref="J3314">IFERROR(INDEX('Retirement Calculator'!K:K,MATCH('Lorri 401b'!N3314,'Retirement Calculator'!A:A,0),0),0)</f>
        <v>0</v>
      </c>
      <c r="K3314" s="455">
        <f t="shared" ca="1" si="143"/>
        <v>-1493542215.1862869</v>
      </c>
      <c r="L3314" s="455">
        <f t="shared" ca="1" si="144"/>
        <v>-359943673859.89514</v>
      </c>
      <c r="M3314" s="471">
        <f t="shared" si="146"/>
        <v>0.05</v>
      </c>
      <c r="N3314" s="475">
        <f t="shared" si="147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45"/>
        <v>-359943673859.89514</v>
      </c>
      <c r="J3315" s="455">
        <f t="array" ref="J3315">IFERROR(INDEX('Retirement Calculator'!K:K,MATCH('Lorri 401b'!N3315,'Retirement Calculator'!A:A,0),0),0)</f>
        <v>0</v>
      </c>
      <c r="K3315" s="455">
        <f t="shared" ca="1" si="143"/>
        <v>-1499765307.749563</v>
      </c>
      <c r="L3315" s="455">
        <f t="shared" ca="1" si="144"/>
        <v>-361443439167.64471</v>
      </c>
      <c r="M3315" s="471">
        <f t="shared" si="146"/>
        <v>0.05</v>
      </c>
      <c r="N3315" s="475">
        <f t="shared" si="147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45"/>
        <v>-361443439167.64471</v>
      </c>
      <c r="J3316" s="455">
        <f t="array" ref="J3316">IFERROR(INDEX('Retirement Calculator'!K:K,MATCH('Lorri 401b'!N3316,'Retirement Calculator'!A:A,0),0),0)</f>
        <v>0</v>
      </c>
      <c r="K3316" s="455">
        <f t="shared" ca="1" si="143"/>
        <v>-1506014329.8651862</v>
      </c>
      <c r="L3316" s="455">
        <f t="shared" ca="1" si="144"/>
        <v>-362949453497.50989</v>
      </c>
      <c r="M3316" s="471">
        <f t="shared" si="146"/>
        <v>0.05</v>
      </c>
      <c r="N3316" s="475">
        <f t="shared" si="147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45"/>
        <v>-362949453497.50989</v>
      </c>
      <c r="J3317" s="455">
        <f t="array" ref="J3317">IFERROR(INDEX('Retirement Calculator'!K:K,MATCH('Lorri 401b'!N3317,'Retirement Calculator'!A:A,0),0),0)</f>
        <v>0</v>
      </c>
      <c r="K3317" s="455">
        <f t="shared" ca="1" si="143"/>
        <v>-1512289389.5729578</v>
      </c>
      <c r="L3317" s="455">
        <f t="shared" ca="1" si="144"/>
        <v>-364461742887.08282</v>
      </c>
      <c r="M3317" s="471">
        <f t="shared" si="146"/>
        <v>0.05</v>
      </c>
      <c r="N3317" s="475">
        <f t="shared" si="147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45"/>
        <v>-364461742887.08282</v>
      </c>
      <c r="J3318" s="455">
        <f t="array" ref="J3318">IFERROR(INDEX('Retirement Calculator'!K:K,MATCH('Lorri 401b'!N3318,'Retirement Calculator'!A:A,0),0),0)</f>
        <v>0</v>
      </c>
      <c r="K3318" s="455">
        <f t="shared" ca="1" si="143"/>
        <v>-1518590595.3628452</v>
      </c>
      <c r="L3318" s="455">
        <f t="shared" ca="1" si="144"/>
        <v>-365980333482.44568</v>
      </c>
      <c r="M3318" s="471">
        <f t="shared" si="146"/>
        <v>0.05</v>
      </c>
      <c r="N3318" s="475">
        <f t="shared" si="147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45"/>
        <v>-365980333482.44568</v>
      </c>
      <c r="J3319" s="455">
        <f t="array" ref="J3319">IFERROR(INDEX('Retirement Calculator'!K:K,MATCH('Lorri 401b'!N3319,'Retirement Calculator'!A:A,0),0),0)</f>
        <v>0</v>
      </c>
      <c r="K3319" s="455">
        <f t="shared" ca="1" si="143"/>
        <v>-1524918056.176857</v>
      </c>
      <c r="L3319" s="455">
        <f t="shared" ca="1" si="144"/>
        <v>-367505251538.62256</v>
      </c>
      <c r="M3319" s="471">
        <f t="shared" si="146"/>
        <v>0.05</v>
      </c>
      <c r="N3319" s="475">
        <f t="shared" si="147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45"/>
        <v>-367505251538.62256</v>
      </c>
      <c r="J3320" s="455">
        <f t="array" ref="J3320">IFERROR(INDEX('Retirement Calculator'!K:K,MATCH('Lorri 401b'!N3320,'Retirement Calculator'!A:A,0),0),0)</f>
        <v>0</v>
      </c>
      <c r="K3320" s="455">
        <f t="shared" ca="1" si="143"/>
        <v>-1531271881.4109273</v>
      </c>
      <c r="L3320" s="455">
        <f t="shared" ca="1" si="144"/>
        <v>-369036523420.03351</v>
      </c>
      <c r="M3320" s="471">
        <f t="shared" si="146"/>
        <v>0.05</v>
      </c>
      <c r="N3320" s="475">
        <f t="shared" si="147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45"/>
        <v>-369036523420.03351</v>
      </c>
      <c r="J3321" s="455">
        <f t="array" ref="J3321">IFERROR(INDEX('Retirement Calculator'!K:K,MATCH('Lorri 401b'!N3321,'Retirement Calculator'!A:A,0),0),0)</f>
        <v>0</v>
      </c>
      <c r="K3321" s="455">
        <f t="shared" ca="1" si="143"/>
        <v>-1537652180.9168062</v>
      </c>
      <c r="L3321" s="455">
        <f t="shared" ca="1" si="144"/>
        <v>-370574175600.95032</v>
      </c>
      <c r="M3321" s="471">
        <f t="shared" si="146"/>
        <v>0.05</v>
      </c>
      <c r="N3321" s="475">
        <f t="shared" si="147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45"/>
        <v>-370574175600.95032</v>
      </c>
      <c r="J3322" s="455">
        <f t="array" ref="J3322">IFERROR(INDEX('Retirement Calculator'!K:K,MATCH('Lorri 401b'!N3322,'Retirement Calculator'!A:A,0),0),0)</f>
        <v>0</v>
      </c>
      <c r="K3322" s="455">
        <f t="shared" ca="1" si="143"/>
        <v>-1544059065.0039597</v>
      </c>
      <c r="L3322" s="455">
        <f t="shared" ca="1" si="144"/>
        <v>-372118234665.95428</v>
      </c>
      <c r="M3322" s="471">
        <f t="shared" si="146"/>
        <v>0.05</v>
      </c>
      <c r="N3322" s="475">
        <f t="shared" si="147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45"/>
        <v>-372118234665.95428</v>
      </c>
      <c r="J3323" s="455">
        <f t="array" ref="J3323">IFERROR(INDEX('Retirement Calculator'!K:K,MATCH('Lorri 401b'!N3323,'Retirement Calculator'!A:A,0),0),0)</f>
        <v>0</v>
      </c>
      <c r="K3323" s="455">
        <f t="shared" ref="K3323:K3577" ca="1" si="148">IPMT(M3323/12,1,12,-I3323+J3323,,0)</f>
        <v>-1550492644.4414761</v>
      </c>
      <c r="L3323" s="455">
        <f t="shared" ref="L3323:L3577" ca="1" si="149">I3323-J3323+K3323</f>
        <v>-373668727310.39575</v>
      </c>
      <c r="M3323" s="471">
        <f t="shared" si="146"/>
        <v>0.05</v>
      </c>
      <c r="N3323" s="475">
        <f t="shared" si="147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50">L3323</f>
        <v>-373668727310.39575</v>
      </c>
      <c r="J3324" s="455">
        <f t="array" ref="J3324">IFERROR(INDEX('Retirement Calculator'!K:K,MATCH('Lorri 401b'!N3324,'Retirement Calculator'!A:A,0),0),0)</f>
        <v>0</v>
      </c>
      <c r="K3324" s="455">
        <f t="shared" ca="1" si="148"/>
        <v>-1556953030.4599824</v>
      </c>
      <c r="L3324" s="455">
        <f t="shared" ca="1" si="149"/>
        <v>-375225680340.85571</v>
      </c>
      <c r="M3324" s="471">
        <f t="shared" ref="M3324:M3578" si="151">M3323</f>
        <v>0.05</v>
      </c>
      <c r="N3324" s="475">
        <f t="shared" ref="N3324:N3578" si="152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50"/>
        <v>-375225680340.85571</v>
      </c>
      <c r="J3325" s="455">
        <f t="array" ref="J3325">IFERROR(INDEX('Retirement Calculator'!K:K,MATCH('Lorri 401b'!N3325,'Retirement Calculator'!A:A,0),0),0)</f>
        <v>0</v>
      </c>
      <c r="K3325" s="455">
        <f t="shared" ca="1" si="148"/>
        <v>-1563440334.7535655</v>
      </c>
      <c r="L3325" s="455">
        <f t="shared" ca="1" si="149"/>
        <v>-376789120675.60925</v>
      </c>
      <c r="M3325" s="471">
        <f t="shared" si="151"/>
        <v>0.05</v>
      </c>
      <c r="N3325" s="475">
        <f t="shared" si="152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50"/>
        <v>-376789120675.60925</v>
      </c>
      <c r="J3326" s="455">
        <f t="array" ref="J3326">IFERROR(INDEX('Retirement Calculator'!K:K,MATCH('Lorri 401b'!N3326,'Retirement Calculator'!A:A,0),0),0)</f>
        <v>0</v>
      </c>
      <c r="K3326" s="455">
        <f t="shared" ca="1" si="148"/>
        <v>-1569954669.4817052</v>
      </c>
      <c r="L3326" s="455">
        <f t="shared" ca="1" si="149"/>
        <v>-378359075345.09094</v>
      </c>
      <c r="M3326" s="471">
        <f t="shared" si="151"/>
        <v>0.05</v>
      </c>
      <c r="N3326" s="475">
        <f t="shared" si="152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50"/>
        <v>-378359075345.09094</v>
      </c>
      <c r="J3327" s="455">
        <f t="array" ref="J3327">IFERROR(INDEX('Retirement Calculator'!K:K,MATCH('Lorri 401b'!N3327,'Retirement Calculator'!A:A,0),0),0)</f>
        <v>0</v>
      </c>
      <c r="K3327" s="455">
        <f t="shared" ca="1" si="148"/>
        <v>-1576496147.2712123</v>
      </c>
      <c r="L3327" s="455">
        <f t="shared" ca="1" si="149"/>
        <v>-379935571492.36218</v>
      </c>
      <c r="M3327" s="471">
        <f t="shared" si="151"/>
        <v>0.05</v>
      </c>
      <c r="N3327" s="475">
        <f t="shared" si="152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50"/>
        <v>-379935571492.36218</v>
      </c>
      <c r="J3328" s="455">
        <f t="array" ref="J3328">IFERROR(INDEX('Retirement Calculator'!K:K,MATCH('Lorri 401b'!N3328,'Retirement Calculator'!A:A,0),0),0)</f>
        <v>0</v>
      </c>
      <c r="K3328" s="455">
        <f t="shared" ca="1" si="148"/>
        <v>-1583064881.2181756</v>
      </c>
      <c r="L3328" s="455">
        <f t="shared" ca="1" si="149"/>
        <v>-381518636373.58038</v>
      </c>
      <c r="M3328" s="471">
        <f t="shared" si="151"/>
        <v>0.05</v>
      </c>
      <c r="N3328" s="475">
        <f t="shared" si="152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50"/>
        <v>-381518636373.58038</v>
      </c>
      <c r="J3329" s="455">
        <f t="array" ref="J3329">IFERROR(INDEX('Retirement Calculator'!K:K,MATCH('Lorri 401b'!N3329,'Retirement Calculator'!A:A,0),0),0)</f>
        <v>0</v>
      </c>
      <c r="K3329" s="455">
        <f t="shared" ca="1" si="148"/>
        <v>-1589660984.8899183</v>
      </c>
      <c r="L3329" s="455">
        <f t="shared" ca="1" si="149"/>
        <v>-383108297358.47028</v>
      </c>
      <c r="M3329" s="471">
        <f t="shared" si="151"/>
        <v>0.05</v>
      </c>
      <c r="N3329" s="475">
        <f t="shared" si="152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50"/>
        <v>-383108297358.47028</v>
      </c>
      <c r="J3330" s="455">
        <f t="array" ref="J3330">IFERROR(INDEX('Retirement Calculator'!K:K,MATCH('Lorri 401b'!N3330,'Retirement Calculator'!A:A,0),0),0)</f>
        <v>0</v>
      </c>
      <c r="K3330" s="455">
        <f t="shared" ca="1" si="148"/>
        <v>-1596284572.3269594</v>
      </c>
      <c r="L3330" s="455">
        <f t="shared" ca="1" si="149"/>
        <v>-384704581930.79724</v>
      </c>
      <c r="M3330" s="471">
        <f t="shared" si="151"/>
        <v>0.05</v>
      </c>
      <c r="N3330" s="475">
        <f t="shared" si="152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50"/>
        <v>-384704581930.79724</v>
      </c>
      <c r="J3331" s="455">
        <f t="array" ref="J3331">IFERROR(INDEX('Retirement Calculator'!K:K,MATCH('Lorri 401b'!N3331,'Retirement Calculator'!A:A,0),0),0)</f>
        <v>0</v>
      </c>
      <c r="K3331" s="455">
        <f t="shared" ca="1" si="148"/>
        <v>-1602935758.0449884</v>
      </c>
      <c r="L3331" s="455">
        <f t="shared" ca="1" si="149"/>
        <v>-386307517688.84222</v>
      </c>
      <c r="M3331" s="471">
        <f t="shared" si="151"/>
        <v>0.05</v>
      </c>
      <c r="N3331" s="475">
        <f t="shared" si="152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50"/>
        <v>-386307517688.84222</v>
      </c>
      <c r="J3332" s="455">
        <f t="array" ref="J3332">IFERROR(INDEX('Retirement Calculator'!K:K,MATCH('Lorri 401b'!N3332,'Retirement Calculator'!A:A,0),0),0)</f>
        <v>0</v>
      </c>
      <c r="K3332" s="455">
        <f t="shared" ca="1" si="148"/>
        <v>-1609614657.0368426</v>
      </c>
      <c r="L3332" s="455">
        <f t="shared" ca="1" si="149"/>
        <v>-387917132345.87909</v>
      </c>
      <c r="M3332" s="471">
        <f t="shared" si="151"/>
        <v>0.05</v>
      </c>
      <c r="N3332" s="475">
        <f t="shared" si="152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50"/>
        <v>-387917132345.87909</v>
      </c>
      <c r="J3333" s="455">
        <f t="array" ref="J3333">IFERROR(INDEX('Retirement Calculator'!K:K,MATCH('Lorri 401b'!N3333,'Retirement Calculator'!A:A,0),0),0)</f>
        <v>0</v>
      </c>
      <c r="K3333" s="455">
        <f t="shared" ca="1" si="148"/>
        <v>-1616321384.7744961</v>
      </c>
      <c r="L3333" s="455">
        <f t="shared" ca="1" si="149"/>
        <v>-389533453730.65356</v>
      </c>
      <c r="M3333" s="471">
        <f t="shared" si="151"/>
        <v>0.05</v>
      </c>
      <c r="N3333" s="475">
        <f t="shared" si="152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50"/>
        <v>-389533453730.65356</v>
      </c>
      <c r="J3334" s="455">
        <f t="array" ref="J3334">IFERROR(INDEX('Retirement Calculator'!K:K,MATCH('Lorri 401b'!N3334,'Retirement Calculator'!A:A,0),0),0)</f>
        <v>0</v>
      </c>
      <c r="K3334" s="455">
        <f t="shared" ca="1" si="148"/>
        <v>-1623056057.2110565</v>
      </c>
      <c r="L3334" s="455">
        <f t="shared" ca="1" si="149"/>
        <v>-391156509787.86462</v>
      </c>
      <c r="M3334" s="471">
        <f t="shared" si="151"/>
        <v>0.05</v>
      </c>
      <c r="N3334" s="475">
        <f t="shared" si="152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50"/>
        <v>-391156509787.86462</v>
      </c>
      <c r="J3335" s="455">
        <f t="array" ref="J3335">IFERROR(INDEX('Retirement Calculator'!K:K,MATCH('Lorri 401b'!N3335,'Retirement Calculator'!A:A,0),0),0)</f>
        <v>0</v>
      </c>
      <c r="K3335" s="455">
        <f t="shared" ca="1" si="148"/>
        <v>-1629818790.7827692</v>
      </c>
      <c r="L3335" s="455">
        <f t="shared" ca="1" si="149"/>
        <v>-392786328578.6474</v>
      </c>
      <c r="M3335" s="471">
        <f t="shared" si="151"/>
        <v>0.05</v>
      </c>
      <c r="N3335" s="475">
        <f t="shared" si="152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50"/>
        <v>-392786328578.6474</v>
      </c>
      <c r="J3336" s="455">
        <f t="array" ref="J3336">IFERROR(INDEX('Retirement Calculator'!K:K,MATCH('Lorri 401b'!N3336,'Retirement Calculator'!A:A,0),0),0)</f>
        <v>0</v>
      </c>
      <c r="K3336" s="455">
        <f t="shared" ca="1" si="148"/>
        <v>-1636609702.4110308</v>
      </c>
      <c r="L3336" s="455">
        <f t="shared" ca="1" si="149"/>
        <v>-394422938281.05841</v>
      </c>
      <c r="M3336" s="471">
        <f t="shared" si="151"/>
        <v>0.05</v>
      </c>
      <c r="N3336" s="475">
        <f t="shared" si="152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50"/>
        <v>-394422938281.05841</v>
      </c>
      <c r="J3337" s="455">
        <f t="array" ref="J3337">IFERROR(INDEX('Retirement Calculator'!K:K,MATCH('Lorri 401b'!N3337,'Retirement Calculator'!A:A,0),0),0)</f>
        <v>0</v>
      </c>
      <c r="K3337" s="455">
        <f t="shared" ca="1" si="148"/>
        <v>-1643428909.50441</v>
      </c>
      <c r="L3337" s="455">
        <f t="shared" ca="1" si="149"/>
        <v>-396066367190.56281</v>
      </c>
      <c r="M3337" s="471">
        <f t="shared" si="151"/>
        <v>0.05</v>
      </c>
      <c r="N3337" s="475">
        <f t="shared" si="152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50"/>
        <v>-396066367190.56281</v>
      </c>
      <c r="J3338" s="455">
        <f t="array" ref="J3338">IFERROR(INDEX('Retirement Calculator'!K:K,MATCH('Lorri 401b'!N3338,'Retirement Calculator'!A:A,0),0),0)</f>
        <v>0</v>
      </c>
      <c r="K3338" s="455">
        <f t="shared" ca="1" si="148"/>
        <v>-1650276529.9606783</v>
      </c>
      <c r="L3338" s="455">
        <f t="shared" ca="1" si="149"/>
        <v>-397716643720.5235</v>
      </c>
      <c r="M3338" s="471">
        <f t="shared" si="151"/>
        <v>0.05</v>
      </c>
      <c r="N3338" s="475">
        <f t="shared" si="152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50"/>
        <v>-397716643720.5235</v>
      </c>
      <c r="J3339" s="455">
        <f t="array" ref="J3339">IFERROR(INDEX('Retirement Calculator'!K:K,MATCH('Lorri 401b'!N3339,'Retirement Calculator'!A:A,0),0),0)</f>
        <v>0</v>
      </c>
      <c r="K3339" s="455">
        <f t="shared" ca="1" si="148"/>
        <v>-1657152682.1688478</v>
      </c>
      <c r="L3339" s="455">
        <f t="shared" ca="1" si="149"/>
        <v>-399373796402.69232</v>
      </c>
      <c r="M3339" s="471">
        <f t="shared" si="151"/>
        <v>0.05</v>
      </c>
      <c r="N3339" s="475">
        <f t="shared" si="152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50"/>
        <v>-399373796402.69232</v>
      </c>
      <c r="J3340" s="455">
        <f t="array" ref="J3340">IFERROR(INDEX('Retirement Calculator'!K:K,MATCH('Lorri 401b'!N3340,'Retirement Calculator'!A:A,0),0),0)</f>
        <v>0</v>
      </c>
      <c r="K3340" s="455">
        <f t="shared" ca="1" si="148"/>
        <v>-1664057485.0112181</v>
      </c>
      <c r="L3340" s="455">
        <f t="shared" ca="1" si="149"/>
        <v>-401037853887.70355</v>
      </c>
      <c r="M3340" s="471">
        <f t="shared" si="151"/>
        <v>0.05</v>
      </c>
      <c r="N3340" s="475">
        <f t="shared" si="152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50"/>
        <v>-401037853887.70355</v>
      </c>
      <c r="J3341" s="455">
        <f t="array" ref="J3341">IFERROR(INDEX('Retirement Calculator'!K:K,MATCH('Lorri 401b'!N3341,'Retirement Calculator'!A:A,0),0),0)</f>
        <v>0</v>
      </c>
      <c r="K3341" s="455">
        <f t="shared" ca="1" si="148"/>
        <v>-1670991057.8654315</v>
      </c>
      <c r="L3341" s="455">
        <f t="shared" ca="1" si="149"/>
        <v>-402708844945.56897</v>
      </c>
      <c r="M3341" s="471">
        <f t="shared" si="151"/>
        <v>0.05</v>
      </c>
      <c r="N3341" s="475">
        <f t="shared" si="152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50"/>
        <v>-402708844945.56897</v>
      </c>
      <c r="J3342" s="455">
        <f t="array" ref="J3342">IFERROR(INDEX('Retirement Calculator'!K:K,MATCH('Lorri 401b'!N3342,'Retirement Calculator'!A:A,0),0),0)</f>
        <v>0</v>
      </c>
      <c r="K3342" s="455">
        <f t="shared" ca="1" si="148"/>
        <v>-1677953520.6065373</v>
      </c>
      <c r="L3342" s="455">
        <f t="shared" ca="1" si="149"/>
        <v>-404386798466.17554</v>
      </c>
      <c r="M3342" s="471">
        <f t="shared" si="151"/>
        <v>0.05</v>
      </c>
      <c r="N3342" s="475">
        <f t="shared" si="152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50"/>
        <v>-404386798466.17554</v>
      </c>
      <c r="J3343" s="455">
        <f t="array" ref="J3343">IFERROR(INDEX('Retirement Calculator'!K:K,MATCH('Lorri 401b'!N3343,'Retirement Calculator'!A:A,0),0),0)</f>
        <v>0</v>
      </c>
      <c r="K3343" s="455">
        <f t="shared" ca="1" si="148"/>
        <v>-1684944993.6090648</v>
      </c>
      <c r="L3343" s="455">
        <f t="shared" ca="1" si="149"/>
        <v>-406071743459.78461</v>
      </c>
      <c r="M3343" s="471">
        <f t="shared" si="151"/>
        <v>0.05</v>
      </c>
      <c r="N3343" s="475">
        <f t="shared" si="152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50"/>
        <v>-406071743459.78461</v>
      </c>
      <c r="J3344" s="455">
        <f t="array" ref="J3344">IFERROR(INDEX('Retirement Calculator'!K:K,MATCH('Lorri 401b'!N3344,'Retirement Calculator'!A:A,0),0),0)</f>
        <v>0</v>
      </c>
      <c r="K3344" s="455">
        <f t="shared" ca="1" si="148"/>
        <v>-1691965597.7491026</v>
      </c>
      <c r="L3344" s="455">
        <f t="shared" ca="1" si="149"/>
        <v>-407763709057.53369</v>
      </c>
      <c r="M3344" s="471">
        <f t="shared" si="151"/>
        <v>0.05</v>
      </c>
      <c r="N3344" s="475">
        <f t="shared" si="152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50"/>
        <v>-407763709057.53369</v>
      </c>
      <c r="J3345" s="455">
        <f t="array" ref="J3345">IFERROR(INDEX('Retirement Calculator'!K:K,MATCH('Lorri 401b'!N3345,'Retirement Calculator'!A:A,0),0),0)</f>
        <v>0</v>
      </c>
      <c r="K3345" s="455">
        <f t="shared" ca="1" si="148"/>
        <v>-1699015454.4063904</v>
      </c>
      <c r="L3345" s="455">
        <f t="shared" ca="1" si="149"/>
        <v>-409462724511.94006</v>
      </c>
      <c r="M3345" s="471">
        <f t="shared" si="151"/>
        <v>0.05</v>
      </c>
      <c r="N3345" s="475">
        <f t="shared" si="152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50"/>
        <v>-409462724511.94006</v>
      </c>
      <c r="J3346" s="455">
        <f t="array" ref="J3346">IFERROR(INDEX('Retirement Calculator'!K:K,MATCH('Lorri 401b'!N3346,'Retirement Calculator'!A:A,0),0),0)</f>
        <v>0</v>
      </c>
      <c r="K3346" s="455">
        <f t="shared" ca="1" si="148"/>
        <v>-1706094685.4664168</v>
      </c>
      <c r="L3346" s="455">
        <f t="shared" ca="1" si="149"/>
        <v>-411168819197.40649</v>
      </c>
      <c r="M3346" s="471">
        <f t="shared" si="151"/>
        <v>0.05</v>
      </c>
      <c r="N3346" s="475">
        <f t="shared" si="152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50"/>
        <v>-411168819197.40649</v>
      </c>
      <c r="J3347" s="455">
        <f t="array" ref="J3347">IFERROR(INDEX('Retirement Calculator'!K:K,MATCH('Lorri 401b'!N3347,'Retirement Calculator'!A:A,0),0),0)</f>
        <v>0</v>
      </c>
      <c r="K3347" s="455">
        <f t="shared" ca="1" si="148"/>
        <v>-1713203413.3225269</v>
      </c>
      <c r="L3347" s="455">
        <f t="shared" ca="1" si="149"/>
        <v>-412882022610.729</v>
      </c>
      <c r="M3347" s="471">
        <f t="shared" si="151"/>
        <v>0.05</v>
      </c>
      <c r="N3347" s="475">
        <f t="shared" si="152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50"/>
        <v>-412882022610.729</v>
      </c>
      <c r="J3348" s="455">
        <f t="array" ref="J3348">IFERROR(INDEX('Retirement Calculator'!K:K,MATCH('Lorri 401b'!N3348,'Retirement Calculator'!A:A,0),0),0)</f>
        <v>0</v>
      </c>
      <c r="K3348" s="455">
        <f t="shared" ca="1" si="148"/>
        <v>-1720341760.8780375</v>
      </c>
      <c r="L3348" s="455">
        <f t="shared" ca="1" si="149"/>
        <v>-414602364371.60706</v>
      </c>
      <c r="M3348" s="471">
        <f t="shared" si="151"/>
        <v>0.05</v>
      </c>
      <c r="N3348" s="475">
        <f t="shared" si="152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50"/>
        <v>-414602364371.60706</v>
      </c>
      <c r="J3349" s="455">
        <f t="array" ref="J3349">IFERROR(INDEX('Retirement Calculator'!K:K,MATCH('Lorri 401b'!N3349,'Retirement Calculator'!A:A,0),0),0)</f>
        <v>0</v>
      </c>
      <c r="K3349" s="455">
        <f t="shared" ca="1" si="148"/>
        <v>-1727509851.5483627</v>
      </c>
      <c r="L3349" s="455">
        <f t="shared" ca="1" si="149"/>
        <v>-416329874223.1554</v>
      </c>
      <c r="M3349" s="471">
        <f t="shared" si="151"/>
        <v>0.05</v>
      </c>
      <c r="N3349" s="475">
        <f t="shared" si="152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50"/>
        <v>-416329874223.1554</v>
      </c>
      <c r="J3350" s="455">
        <f t="array" ref="J3350">IFERROR(INDEX('Retirement Calculator'!K:K,MATCH('Lorri 401b'!N3350,'Retirement Calculator'!A:A,0),0),0)</f>
        <v>0</v>
      </c>
      <c r="K3350" s="455">
        <f t="shared" ca="1" si="148"/>
        <v>-1734707809.2631474</v>
      </c>
      <c r="L3350" s="455">
        <f t="shared" ca="1" si="149"/>
        <v>-418064582032.41852</v>
      </c>
      <c r="M3350" s="471">
        <f t="shared" si="151"/>
        <v>0.05</v>
      </c>
      <c r="N3350" s="475">
        <f t="shared" si="152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50"/>
        <v>-418064582032.41852</v>
      </c>
      <c r="J3351" s="455">
        <f t="array" ref="J3351">IFERROR(INDEX('Retirement Calculator'!K:K,MATCH('Lorri 401b'!N3351,'Retirement Calculator'!A:A,0),0),0)</f>
        <v>0</v>
      </c>
      <c r="K3351" s="455">
        <f t="shared" ca="1" si="148"/>
        <v>-1741935758.4684105</v>
      </c>
      <c r="L3351" s="455">
        <f t="shared" ca="1" si="149"/>
        <v>-419806517790.8869</v>
      </c>
      <c r="M3351" s="471">
        <f t="shared" si="151"/>
        <v>0.05</v>
      </c>
      <c r="N3351" s="475">
        <f t="shared" si="152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50"/>
        <v>-419806517790.8869</v>
      </c>
      <c r="J3352" s="455">
        <f t="array" ref="J3352">IFERROR(INDEX('Retirement Calculator'!K:K,MATCH('Lorri 401b'!N3352,'Retirement Calculator'!A:A,0),0),0)</f>
        <v>0</v>
      </c>
      <c r="K3352" s="455">
        <f t="shared" ca="1" si="148"/>
        <v>-1749193824.1286955</v>
      </c>
      <c r="L3352" s="455">
        <f t="shared" ca="1" si="149"/>
        <v>-421555711615.01563</v>
      </c>
      <c r="M3352" s="471">
        <f t="shared" si="151"/>
        <v>0.05</v>
      </c>
      <c r="N3352" s="475">
        <f t="shared" si="152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50"/>
        <v>-421555711615.01563</v>
      </c>
      <c r="J3353" s="455">
        <f t="array" ref="J3353">IFERROR(INDEX('Retirement Calculator'!K:K,MATCH('Lorri 401b'!N3353,'Retirement Calculator'!A:A,0),0),0)</f>
        <v>0</v>
      </c>
      <c r="K3353" s="455">
        <f t="shared" ca="1" si="148"/>
        <v>-1756482131.7292318</v>
      </c>
      <c r="L3353" s="455">
        <f t="shared" ca="1" si="149"/>
        <v>-423312193746.74487</v>
      </c>
      <c r="M3353" s="471">
        <f t="shared" si="151"/>
        <v>0.05</v>
      </c>
      <c r="N3353" s="475">
        <f t="shared" si="152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50"/>
        <v>-423312193746.74487</v>
      </c>
      <c r="J3354" s="455">
        <f t="array" ref="J3354">IFERROR(INDEX('Retirement Calculator'!K:K,MATCH('Lorri 401b'!N3354,'Retirement Calculator'!A:A,0),0),0)</f>
        <v>0</v>
      </c>
      <c r="K3354" s="455">
        <f t="shared" ca="1" si="148"/>
        <v>-1763800807.2781036</v>
      </c>
      <c r="L3354" s="455">
        <f t="shared" ca="1" si="149"/>
        <v>-425075994554.02295</v>
      </c>
      <c r="M3354" s="471">
        <f t="shared" si="151"/>
        <v>0.05</v>
      </c>
      <c r="N3354" s="475">
        <f t="shared" si="152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50"/>
        <v>-425075994554.02295</v>
      </c>
      <c r="J3355" s="455">
        <f t="array" ref="J3355">IFERROR(INDEX('Retirement Calculator'!K:K,MATCH('Lorri 401b'!N3355,'Retirement Calculator'!A:A,0),0),0)</f>
        <v>0</v>
      </c>
      <c r="K3355" s="455">
        <f t="shared" ca="1" si="148"/>
        <v>-1771149977.308429</v>
      </c>
      <c r="L3355" s="455">
        <f t="shared" ca="1" si="149"/>
        <v>-426847144531.33136</v>
      </c>
      <c r="M3355" s="471">
        <f t="shared" si="151"/>
        <v>0.05</v>
      </c>
      <c r="N3355" s="475">
        <f t="shared" si="152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50"/>
        <v>-426847144531.33136</v>
      </c>
      <c r="J3356" s="455">
        <f t="array" ref="J3356">IFERROR(INDEX('Retirement Calculator'!K:K,MATCH('Lorri 401b'!N3356,'Retirement Calculator'!A:A,0),0),0)</f>
        <v>0</v>
      </c>
      <c r="K3356" s="455">
        <f t="shared" ca="1" si="148"/>
        <v>-1778529768.8805473</v>
      </c>
      <c r="L3356" s="455">
        <f t="shared" ca="1" si="149"/>
        <v>-428625674300.21191</v>
      </c>
      <c r="M3356" s="471">
        <f t="shared" si="151"/>
        <v>0.05</v>
      </c>
      <c r="N3356" s="475">
        <f t="shared" si="152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50"/>
        <v>-428625674300.21191</v>
      </c>
      <c r="J3357" s="455">
        <f t="array" ref="J3357">IFERROR(INDEX('Retirement Calculator'!K:K,MATCH('Lorri 401b'!N3357,'Retirement Calculator'!A:A,0),0),0)</f>
        <v>0</v>
      </c>
      <c r="K3357" s="455">
        <f t="shared" ca="1" si="148"/>
        <v>-1785940309.5842164</v>
      </c>
      <c r="L3357" s="455">
        <f t="shared" ca="1" si="149"/>
        <v>-430411614609.79614</v>
      </c>
      <c r="M3357" s="471">
        <f t="shared" si="151"/>
        <v>0.05</v>
      </c>
      <c r="N3357" s="475">
        <f t="shared" si="152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50"/>
        <v>-430411614609.79614</v>
      </c>
      <c r="J3358" s="455">
        <f t="array" ref="J3358">IFERROR(INDEX('Retirement Calculator'!K:K,MATCH('Lorri 401b'!N3358,'Retirement Calculator'!A:A,0),0),0)</f>
        <v>0</v>
      </c>
      <c r="K3358" s="455">
        <f t="shared" ca="1" si="148"/>
        <v>-1793381727.5408173</v>
      </c>
      <c r="L3358" s="455">
        <f t="shared" ca="1" si="149"/>
        <v>-432204996337.33698</v>
      </c>
      <c r="M3358" s="471">
        <f t="shared" si="151"/>
        <v>0.05</v>
      </c>
      <c r="N3358" s="475">
        <f t="shared" si="152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50"/>
        <v>-432204996337.33698</v>
      </c>
      <c r="J3359" s="455">
        <f t="array" ref="J3359">IFERROR(INDEX('Retirement Calculator'!K:K,MATCH('Lorri 401b'!N3359,'Retirement Calculator'!A:A,0),0),0)</f>
        <v>0</v>
      </c>
      <c r="K3359" s="455">
        <f t="shared" ca="1" si="148"/>
        <v>-1800854151.405571</v>
      </c>
      <c r="L3359" s="455">
        <f t="shared" ca="1" si="149"/>
        <v>-434005850488.74255</v>
      </c>
      <c r="M3359" s="471">
        <f t="shared" si="151"/>
        <v>0.05</v>
      </c>
      <c r="N3359" s="475">
        <f t="shared" si="152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50"/>
        <v>-434005850488.74255</v>
      </c>
      <c r="J3360" s="455">
        <f t="array" ref="J3360">IFERROR(INDEX('Retirement Calculator'!K:K,MATCH('Lorri 401b'!N3360,'Retirement Calculator'!A:A,0),0),0)</f>
        <v>0</v>
      </c>
      <c r="K3360" s="455">
        <f t="shared" ca="1" si="148"/>
        <v>-1808357710.3697605</v>
      </c>
      <c r="L3360" s="455">
        <f t="shared" ca="1" si="149"/>
        <v>-435814208199.1123</v>
      </c>
      <c r="M3360" s="471">
        <f t="shared" si="151"/>
        <v>0.05</v>
      </c>
      <c r="N3360" s="475">
        <f t="shared" si="152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50"/>
        <v>-435814208199.1123</v>
      </c>
      <c r="J3361" s="455">
        <f t="array" ref="J3361">IFERROR(INDEX('Retirement Calculator'!K:K,MATCH('Lorri 401b'!N3361,'Retirement Calculator'!A:A,0),0),0)</f>
        <v>0</v>
      </c>
      <c r="K3361" s="455">
        <f t="shared" ca="1" si="148"/>
        <v>-1815892534.1629677</v>
      </c>
      <c r="L3361" s="455">
        <f t="shared" ca="1" si="149"/>
        <v>-437630100733.27527</v>
      </c>
      <c r="M3361" s="471">
        <f t="shared" si="151"/>
        <v>0.05</v>
      </c>
      <c r="N3361" s="475">
        <f t="shared" si="152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50"/>
        <v>-437630100733.27527</v>
      </c>
      <c r="J3362" s="455">
        <f t="array" ref="J3362">IFERROR(INDEX('Retirement Calculator'!K:K,MATCH('Lorri 401b'!N3362,'Retirement Calculator'!A:A,0),0),0)</f>
        <v>0</v>
      </c>
      <c r="K3362" s="455">
        <f t="shared" ca="1" si="148"/>
        <v>-1823458753.0553133</v>
      </c>
      <c r="L3362" s="455">
        <f t="shared" ca="1" si="149"/>
        <v>-439453559486.33057</v>
      </c>
      <c r="M3362" s="471">
        <f t="shared" si="151"/>
        <v>0.05</v>
      </c>
      <c r="N3362" s="475">
        <f t="shared" si="152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50"/>
        <v>-439453559486.33057</v>
      </c>
      <c r="J3363" s="455">
        <f t="array" ref="J3363">IFERROR(INDEX('Retirement Calculator'!K:K,MATCH('Lorri 401b'!N3363,'Retirement Calculator'!A:A,0),0),0)</f>
        <v>0</v>
      </c>
      <c r="K3363" s="455">
        <f t="shared" ca="1" si="148"/>
        <v>-1831056497.8597107</v>
      </c>
      <c r="L3363" s="455">
        <f t="shared" ca="1" si="149"/>
        <v>-441284615984.19031</v>
      </c>
      <c r="M3363" s="471">
        <f t="shared" si="151"/>
        <v>0.05</v>
      </c>
      <c r="N3363" s="475">
        <f t="shared" si="152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50"/>
        <v>-441284615984.19031</v>
      </c>
      <c r="J3364" s="455">
        <f t="array" ref="J3364">IFERROR(INDEX('Retirement Calculator'!K:K,MATCH('Lorri 401b'!N3364,'Retirement Calculator'!A:A,0),0),0)</f>
        <v>0</v>
      </c>
      <c r="K3364" s="455">
        <f t="shared" ca="1" si="148"/>
        <v>-1838685899.9341261</v>
      </c>
      <c r="L3364" s="455">
        <f t="shared" ca="1" si="149"/>
        <v>-443123301884.12445</v>
      </c>
      <c r="M3364" s="471">
        <f t="shared" si="151"/>
        <v>0.05</v>
      </c>
      <c r="N3364" s="475">
        <f t="shared" si="152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50"/>
        <v>-443123301884.12445</v>
      </c>
      <c r="J3365" s="455">
        <f t="array" ref="J3365">IFERROR(INDEX('Retirement Calculator'!K:K,MATCH('Lorri 401b'!N3365,'Retirement Calculator'!A:A,0),0),0)</f>
        <v>0</v>
      </c>
      <c r="K3365" s="455">
        <f t="shared" ca="1" si="148"/>
        <v>-1846347091.1838522</v>
      </c>
      <c r="L3365" s="455">
        <f t="shared" ca="1" si="149"/>
        <v>-444969648975.30829</v>
      </c>
      <c r="M3365" s="471">
        <f t="shared" si="151"/>
        <v>0.05</v>
      </c>
      <c r="N3365" s="475">
        <f t="shared" si="152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50"/>
        <v>-444969648975.30829</v>
      </c>
      <c r="J3366" s="455">
        <f t="array" ref="J3366">IFERROR(INDEX('Retirement Calculator'!K:K,MATCH('Lorri 401b'!N3366,'Retirement Calculator'!A:A,0),0),0)</f>
        <v>0</v>
      </c>
      <c r="K3366" s="455">
        <f t="shared" ca="1" si="148"/>
        <v>-1854040204.0637846</v>
      </c>
      <c r="L3366" s="455">
        <f t="shared" ca="1" si="149"/>
        <v>-446823689179.37207</v>
      </c>
      <c r="M3366" s="471">
        <f t="shared" si="151"/>
        <v>0.05</v>
      </c>
      <c r="N3366" s="475">
        <f t="shared" si="152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50"/>
        <v>-446823689179.37207</v>
      </c>
      <c r="J3367" s="455">
        <f t="array" ref="J3367">IFERROR(INDEX('Retirement Calculator'!K:K,MATCH('Lorri 401b'!N3367,'Retirement Calculator'!A:A,0),0),0)</f>
        <v>0</v>
      </c>
      <c r="K3367" s="455">
        <f t="shared" ca="1" si="148"/>
        <v>-1861765371.5807168</v>
      </c>
      <c r="L3367" s="455">
        <f t="shared" ca="1" si="149"/>
        <v>-448685454550.95276</v>
      </c>
      <c r="M3367" s="471">
        <f t="shared" si="151"/>
        <v>0.05</v>
      </c>
      <c r="N3367" s="475">
        <f t="shared" si="152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50"/>
        <v>-448685454550.95276</v>
      </c>
      <c r="J3368" s="455">
        <f t="array" ref="J3368">IFERROR(INDEX('Retirement Calculator'!K:K,MATCH('Lorri 401b'!N3368,'Retirement Calculator'!A:A,0),0),0)</f>
        <v>0</v>
      </c>
      <c r="K3368" s="455">
        <f t="shared" ca="1" si="148"/>
        <v>-1869522727.2956364</v>
      </c>
      <c r="L3368" s="455">
        <f t="shared" ca="1" si="149"/>
        <v>-450554977278.24841</v>
      </c>
      <c r="M3368" s="471">
        <f t="shared" si="151"/>
        <v>0.05</v>
      </c>
      <c r="N3368" s="475">
        <f t="shared" si="152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50"/>
        <v>-450554977278.24841</v>
      </c>
      <c r="J3369" s="455">
        <f t="array" ref="J3369">IFERROR(INDEX('Retirement Calculator'!K:K,MATCH('Lorri 401b'!N3369,'Retirement Calculator'!A:A,0),0),0)</f>
        <v>0</v>
      </c>
      <c r="K3369" s="455">
        <f t="shared" ca="1" si="148"/>
        <v>-1877312405.326035</v>
      </c>
      <c r="L3369" s="455">
        <f t="shared" ca="1" si="149"/>
        <v>-452432289683.57446</v>
      </c>
      <c r="M3369" s="471">
        <f t="shared" si="151"/>
        <v>0.05</v>
      </c>
      <c r="N3369" s="475">
        <f t="shared" si="152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50"/>
        <v>-452432289683.57446</v>
      </c>
      <c r="J3370" s="455">
        <f t="array" ref="J3370">IFERROR(INDEX('Retirement Calculator'!K:K,MATCH('Lorri 401b'!N3370,'Retirement Calculator'!A:A,0),0),0)</f>
        <v>0</v>
      </c>
      <c r="K3370" s="455">
        <f t="shared" ca="1" si="148"/>
        <v>-1885134540.3482265</v>
      </c>
      <c r="L3370" s="455">
        <f t="shared" ca="1" si="149"/>
        <v>-454317424223.92267</v>
      </c>
      <c r="M3370" s="471">
        <f t="shared" si="151"/>
        <v>0.05</v>
      </c>
      <c r="N3370" s="475">
        <f t="shared" si="152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50"/>
        <v>-454317424223.92267</v>
      </c>
      <c r="J3371" s="455">
        <f t="array" ref="J3371">IFERROR(INDEX('Retirement Calculator'!K:K,MATCH('Lorri 401b'!N3371,'Retirement Calculator'!A:A,0),0),0)</f>
        <v>0</v>
      </c>
      <c r="K3371" s="455">
        <f t="shared" ca="1" si="148"/>
        <v>-1892989267.5996778</v>
      </c>
      <c r="L3371" s="455">
        <f t="shared" ca="1" si="149"/>
        <v>-456210413491.52234</v>
      </c>
      <c r="M3371" s="471">
        <f t="shared" si="151"/>
        <v>0.05</v>
      </c>
      <c r="N3371" s="475">
        <f t="shared" si="152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50"/>
        <v>-456210413491.52234</v>
      </c>
      <c r="J3372" s="455">
        <f t="array" ref="J3372">IFERROR(INDEX('Retirement Calculator'!K:K,MATCH('Lorri 401b'!N3372,'Retirement Calculator'!A:A,0),0),0)</f>
        <v>0</v>
      </c>
      <c r="K3372" s="455">
        <f t="shared" ca="1" si="148"/>
        <v>-1900876722.8813429</v>
      </c>
      <c r="L3372" s="455">
        <f t="shared" ca="1" si="149"/>
        <v>-458111290214.40369</v>
      </c>
      <c r="M3372" s="471">
        <f t="shared" si="151"/>
        <v>0.05</v>
      </c>
      <c r="N3372" s="475">
        <f t="shared" si="152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50"/>
        <v>-458111290214.40369</v>
      </c>
      <c r="J3373" s="455">
        <f t="array" ref="J3373">IFERROR(INDEX('Retirement Calculator'!K:K,MATCH('Lorri 401b'!N3373,'Retirement Calculator'!A:A,0),0),0)</f>
        <v>0</v>
      </c>
      <c r="K3373" s="455">
        <f t="shared" ca="1" si="148"/>
        <v>-1908797042.5600154</v>
      </c>
      <c r="L3373" s="455">
        <f t="shared" ca="1" si="149"/>
        <v>-460020087256.96368</v>
      </c>
      <c r="M3373" s="471">
        <f t="shared" si="151"/>
        <v>0.05</v>
      </c>
      <c r="N3373" s="475">
        <f t="shared" si="152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50"/>
        <v>-460020087256.96368</v>
      </c>
      <c r="J3374" s="455">
        <f t="array" ref="J3374">IFERROR(INDEX('Retirement Calculator'!K:K,MATCH('Lorri 401b'!N3374,'Retirement Calculator'!A:A,0),0),0)</f>
        <v>0</v>
      </c>
      <c r="K3374" s="455">
        <f t="shared" ca="1" si="148"/>
        <v>-1916750363.5706823</v>
      </c>
      <c r="L3374" s="455">
        <f t="shared" ca="1" si="149"/>
        <v>-461936837620.53436</v>
      </c>
      <c r="M3374" s="471">
        <f t="shared" si="151"/>
        <v>0.05</v>
      </c>
      <c r="N3374" s="475">
        <f t="shared" si="152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50"/>
        <v>-461936837620.53436</v>
      </c>
      <c r="J3375" s="455">
        <f t="array" ref="J3375">IFERROR(INDEX('Retirement Calculator'!K:K,MATCH('Lorri 401b'!N3375,'Retirement Calculator'!A:A,0),0),0)</f>
        <v>0</v>
      </c>
      <c r="K3375" s="455">
        <f t="shared" ca="1" si="148"/>
        <v>-1924736823.4188933</v>
      </c>
      <c r="L3375" s="455">
        <f t="shared" ca="1" si="149"/>
        <v>-463861574443.95325</v>
      </c>
      <c r="M3375" s="471">
        <f t="shared" si="151"/>
        <v>0.05</v>
      </c>
      <c r="N3375" s="475">
        <f t="shared" si="152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50"/>
        <v>-463861574443.95325</v>
      </c>
      <c r="J3376" s="455">
        <f t="array" ref="J3376">IFERROR(INDEX('Retirement Calculator'!K:K,MATCH('Lorri 401b'!N3376,'Retirement Calculator'!A:A,0),0),0)</f>
        <v>0</v>
      </c>
      <c r="K3376" s="455">
        <f t="shared" ca="1" si="148"/>
        <v>-1932756560.1831388</v>
      </c>
      <c r="L3376" s="455">
        <f t="shared" ca="1" si="149"/>
        <v>-465794331004.13641</v>
      </c>
      <c r="M3376" s="471">
        <f t="shared" si="151"/>
        <v>0.05</v>
      </c>
      <c r="N3376" s="475">
        <f t="shared" si="152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50"/>
        <v>-465794331004.13641</v>
      </c>
      <c r="J3377" s="455">
        <f t="array" ref="J3377">IFERROR(INDEX('Retirement Calculator'!K:K,MATCH('Lorri 401b'!N3377,'Retirement Calculator'!A:A,0),0),0)</f>
        <v>0</v>
      </c>
      <c r="K3377" s="455">
        <f t="shared" ca="1" si="148"/>
        <v>-1940809712.517235</v>
      </c>
      <c r="L3377" s="455">
        <f t="shared" ca="1" si="149"/>
        <v>-467735140716.65363</v>
      </c>
      <c r="M3377" s="471">
        <f t="shared" si="151"/>
        <v>0.05</v>
      </c>
      <c r="N3377" s="475">
        <f t="shared" si="152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50"/>
        <v>-467735140716.65363</v>
      </c>
      <c r="J3378" s="455">
        <f t="array" ref="J3378">IFERROR(INDEX('Retirement Calculator'!K:K,MATCH('Lorri 401b'!N3378,'Retirement Calculator'!A:A,0),0),0)</f>
        <v>0</v>
      </c>
      <c r="K3378" s="455">
        <f t="shared" ca="1" si="148"/>
        <v>-1948896419.6527233</v>
      </c>
      <c r="L3378" s="455">
        <f t="shared" ca="1" si="149"/>
        <v>-469684037136.30634</v>
      </c>
      <c r="M3378" s="471">
        <f t="shared" si="151"/>
        <v>0.05</v>
      </c>
      <c r="N3378" s="475">
        <f t="shared" si="152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50"/>
        <v>-469684037136.30634</v>
      </c>
      <c r="J3379" s="455">
        <f t="array" ref="J3379">IFERROR(INDEX('Retirement Calculator'!K:K,MATCH('Lorri 401b'!N3379,'Retirement Calculator'!A:A,0),0),0)</f>
        <v>0</v>
      </c>
      <c r="K3379" s="455">
        <f t="shared" ca="1" si="148"/>
        <v>-1957016821.4012764</v>
      </c>
      <c r="L3379" s="455">
        <f t="shared" ca="1" si="149"/>
        <v>-471641053957.70764</v>
      </c>
      <c r="M3379" s="471">
        <f t="shared" si="151"/>
        <v>0.05</v>
      </c>
      <c r="N3379" s="475">
        <f t="shared" si="152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50"/>
        <v>-471641053957.70764</v>
      </c>
      <c r="J3380" s="455">
        <f t="array" ref="J3380">IFERROR(INDEX('Retirement Calculator'!K:K,MATCH('Lorri 401b'!N3380,'Retirement Calculator'!A:A,0),0),0)</f>
        <v>0</v>
      </c>
      <c r="K3380" s="455">
        <f t="shared" ca="1" si="148"/>
        <v>-1965171058.1571152</v>
      </c>
      <c r="L3380" s="455">
        <f t="shared" ca="1" si="149"/>
        <v>-473606225015.86475</v>
      </c>
      <c r="M3380" s="471">
        <f t="shared" si="151"/>
        <v>0.05</v>
      </c>
      <c r="N3380" s="475">
        <f t="shared" si="152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50"/>
        <v>-473606225015.86475</v>
      </c>
      <c r="J3381" s="455">
        <f t="array" ref="J3381">IFERROR(INDEX('Retirement Calculator'!K:K,MATCH('Lorri 401b'!N3381,'Retirement Calculator'!A:A,0),0),0)</f>
        <v>0</v>
      </c>
      <c r="K3381" s="455">
        <f t="shared" ca="1" si="148"/>
        <v>-1973359270.8994365</v>
      </c>
      <c r="L3381" s="455">
        <f t="shared" ca="1" si="149"/>
        <v>-475579584286.76416</v>
      </c>
      <c r="M3381" s="471">
        <f t="shared" si="151"/>
        <v>0.05</v>
      </c>
      <c r="N3381" s="475">
        <f t="shared" si="152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50"/>
        <v>-475579584286.76416</v>
      </c>
      <c r="J3382" s="455">
        <f t="array" ref="J3382">IFERROR(INDEX('Retirement Calculator'!K:K,MATCH('Lorri 401b'!N3382,'Retirement Calculator'!A:A,0),0),0)</f>
        <v>0</v>
      </c>
      <c r="K3382" s="455">
        <f t="shared" ca="1" si="148"/>
        <v>-1981581601.1948507</v>
      </c>
      <c r="L3382" s="455">
        <f t="shared" ca="1" si="149"/>
        <v>-477561165887.95898</v>
      </c>
      <c r="M3382" s="471">
        <f t="shared" si="151"/>
        <v>0.05</v>
      </c>
      <c r="N3382" s="475">
        <f t="shared" si="152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50"/>
        <v>-477561165887.95898</v>
      </c>
      <c r="J3383" s="455">
        <f t="array" ref="J3383">IFERROR(INDEX('Retirement Calculator'!K:K,MATCH('Lorri 401b'!N3383,'Retirement Calculator'!A:A,0),0),0)</f>
        <v>0</v>
      </c>
      <c r="K3383" s="455">
        <f t="shared" ca="1" si="148"/>
        <v>-1989838191.1998291</v>
      </c>
      <c r="L3383" s="455">
        <f t="shared" ca="1" si="149"/>
        <v>-479551004079.15881</v>
      </c>
      <c r="M3383" s="471">
        <f t="shared" si="151"/>
        <v>0.05</v>
      </c>
      <c r="N3383" s="475">
        <f t="shared" si="152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50"/>
        <v>-479551004079.15881</v>
      </c>
      <c r="J3384" s="455">
        <f t="array" ref="J3384">IFERROR(INDEX('Retirement Calculator'!K:K,MATCH('Lorri 401b'!N3384,'Retirement Calculator'!A:A,0),0),0)</f>
        <v>0</v>
      </c>
      <c r="K3384" s="455">
        <f t="shared" ca="1" si="148"/>
        <v>-1998129183.6631618</v>
      </c>
      <c r="L3384" s="455">
        <f t="shared" ca="1" si="149"/>
        <v>-481549133262.82196</v>
      </c>
      <c r="M3384" s="471">
        <f t="shared" si="151"/>
        <v>0.05</v>
      </c>
      <c r="N3384" s="475">
        <f t="shared" si="152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50"/>
        <v>-481549133262.82196</v>
      </c>
      <c r="J3385" s="455">
        <f t="array" ref="J3385">IFERROR(INDEX('Retirement Calculator'!K:K,MATCH('Lorri 401b'!N3385,'Retirement Calculator'!A:A,0),0),0)</f>
        <v>0</v>
      </c>
      <c r="K3385" s="455">
        <f t="shared" ca="1" si="148"/>
        <v>-2006454721.9284248</v>
      </c>
      <c r="L3385" s="455">
        <f t="shared" ca="1" si="149"/>
        <v>-483555587984.75037</v>
      </c>
      <c r="M3385" s="471">
        <f t="shared" si="151"/>
        <v>0.05</v>
      </c>
      <c r="N3385" s="475">
        <f t="shared" si="152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50"/>
        <v>-483555587984.75037</v>
      </c>
      <c r="J3386" s="455">
        <f t="array" ref="J3386">IFERROR(INDEX('Retirement Calculator'!K:K,MATCH('Lorri 401b'!N3386,'Retirement Calculator'!A:A,0),0),0)</f>
        <v>0</v>
      </c>
      <c r="K3386" s="455">
        <f t="shared" ca="1" si="148"/>
        <v>-2014814949.9364598</v>
      </c>
      <c r="L3386" s="455">
        <f t="shared" ca="1" si="149"/>
        <v>-485570402934.68683</v>
      </c>
      <c r="M3386" s="471">
        <f t="shared" si="151"/>
        <v>0.05</v>
      </c>
      <c r="N3386" s="475">
        <f t="shared" si="152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50"/>
        <v>-485570402934.68683</v>
      </c>
      <c r="J3387" s="455">
        <f t="array" ref="J3387">IFERROR(INDEX('Retirement Calculator'!K:K,MATCH('Lorri 401b'!N3387,'Retirement Calculator'!A:A,0),0),0)</f>
        <v>0</v>
      </c>
      <c r="K3387" s="455">
        <f t="shared" ca="1" si="148"/>
        <v>-2023210012.2278614</v>
      </c>
      <c r="L3387" s="455">
        <f t="shared" ca="1" si="149"/>
        <v>-487593612946.91467</v>
      </c>
      <c r="M3387" s="471">
        <f t="shared" si="151"/>
        <v>0.05</v>
      </c>
      <c r="N3387" s="475">
        <f t="shared" si="152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50"/>
        <v>-487593612946.91467</v>
      </c>
      <c r="J3388" s="455">
        <f t="array" ref="J3388">IFERROR(INDEX('Retirement Calculator'!K:K,MATCH('Lorri 401b'!N3388,'Retirement Calculator'!A:A,0),0),0)</f>
        <v>0</v>
      </c>
      <c r="K3388" s="455">
        <f t="shared" ca="1" si="148"/>
        <v>-2031640053.9454777</v>
      </c>
      <c r="L3388" s="455">
        <f t="shared" ca="1" si="149"/>
        <v>-489625253000.86017</v>
      </c>
      <c r="M3388" s="471">
        <f t="shared" si="151"/>
        <v>0.05</v>
      </c>
      <c r="N3388" s="475">
        <f t="shared" si="152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50"/>
        <v>-489625253000.86017</v>
      </c>
      <c r="J3389" s="455">
        <f t="array" ref="J3389">IFERROR(INDEX('Retirement Calculator'!K:K,MATCH('Lorri 401b'!N3389,'Retirement Calculator'!A:A,0),0),0)</f>
        <v>0</v>
      </c>
      <c r="K3389" s="455">
        <f t="shared" ca="1" si="148"/>
        <v>-2040105220.8369176</v>
      </c>
      <c r="L3389" s="455">
        <f t="shared" ca="1" si="149"/>
        <v>-491665358221.69708</v>
      </c>
      <c r="M3389" s="471">
        <f t="shared" si="151"/>
        <v>0.05</v>
      </c>
      <c r="N3389" s="475">
        <f t="shared" si="152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50"/>
        <v>-491665358221.69708</v>
      </c>
      <c r="J3390" s="455">
        <f t="array" ref="J3390">IFERROR(INDEX('Retirement Calculator'!K:K,MATCH('Lorri 401b'!N3390,'Retirement Calculator'!A:A,0),0),0)</f>
        <v>0</v>
      </c>
      <c r="K3390" s="455">
        <f t="shared" ca="1" si="148"/>
        <v>-2048605659.2570713</v>
      </c>
      <c r="L3390" s="455">
        <f t="shared" ca="1" si="149"/>
        <v>-493713963880.95416</v>
      </c>
      <c r="M3390" s="471">
        <f t="shared" si="151"/>
        <v>0.05</v>
      </c>
      <c r="N3390" s="475">
        <f t="shared" si="152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50"/>
        <v>-493713963880.95416</v>
      </c>
      <c r="J3391" s="455">
        <f t="array" ref="J3391">IFERROR(INDEX('Retirement Calculator'!K:K,MATCH('Lorri 401b'!N3391,'Retirement Calculator'!A:A,0),0),0)</f>
        <v>0</v>
      </c>
      <c r="K3391" s="455">
        <f t="shared" ca="1" si="148"/>
        <v>-2057141516.1706424</v>
      </c>
      <c r="L3391" s="455">
        <f t="shared" ca="1" si="149"/>
        <v>-495771105397.12482</v>
      </c>
      <c r="M3391" s="471">
        <f t="shared" si="151"/>
        <v>0.05</v>
      </c>
      <c r="N3391" s="475">
        <f t="shared" si="152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50"/>
        <v>-495771105397.12482</v>
      </c>
      <c r="J3392" s="455">
        <f t="array" ref="J3392">IFERROR(INDEX('Retirement Calculator'!K:K,MATCH('Lorri 401b'!N3392,'Retirement Calculator'!A:A,0),0),0)</f>
        <v>0</v>
      </c>
      <c r="K3392" s="455">
        <f t="shared" ca="1" si="148"/>
        <v>-2065712939.1546865</v>
      </c>
      <c r="L3392" s="455">
        <f t="shared" ca="1" si="149"/>
        <v>-497836818336.27948</v>
      </c>
      <c r="M3392" s="471">
        <f t="shared" si="151"/>
        <v>0.05</v>
      </c>
      <c r="N3392" s="475">
        <f t="shared" si="152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50"/>
        <v>-497836818336.27948</v>
      </c>
      <c r="J3393" s="455">
        <f t="array" ref="J3393">IFERROR(INDEX('Retirement Calculator'!K:K,MATCH('Lorri 401b'!N3393,'Retirement Calculator'!A:A,0),0),0)</f>
        <v>0</v>
      </c>
      <c r="K3393" s="455">
        <f t="shared" ca="1" si="148"/>
        <v>-2074320076.4011645</v>
      </c>
      <c r="L3393" s="455">
        <f t="shared" ca="1" si="149"/>
        <v>-499911138412.68066</v>
      </c>
      <c r="M3393" s="471">
        <f t="shared" si="151"/>
        <v>0.05</v>
      </c>
      <c r="N3393" s="475">
        <f t="shared" si="152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50"/>
        <v>-499911138412.68066</v>
      </c>
      <c r="J3394" s="455">
        <f t="array" ref="J3394">IFERROR(INDEX('Retirement Calculator'!K:K,MATCH('Lorri 401b'!N3394,'Retirement Calculator'!A:A,0),0),0)</f>
        <v>0</v>
      </c>
      <c r="K3394" s="455">
        <f t="shared" ca="1" si="148"/>
        <v>-2082963076.7195027</v>
      </c>
      <c r="L3394" s="455">
        <f t="shared" ca="1" si="149"/>
        <v>-501994101489.40015</v>
      </c>
      <c r="M3394" s="471">
        <f t="shared" si="151"/>
        <v>0.05</v>
      </c>
      <c r="N3394" s="475">
        <f t="shared" si="152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50"/>
        <v>-501994101489.40015</v>
      </c>
      <c r="J3395" s="455">
        <f t="array" ref="J3395">IFERROR(INDEX('Retirement Calculator'!K:K,MATCH('Lorri 401b'!N3395,'Retirement Calculator'!A:A,0),0),0)</f>
        <v>0</v>
      </c>
      <c r="K3395" s="455">
        <f t="shared" ca="1" si="148"/>
        <v>-2091642089.5391672</v>
      </c>
      <c r="L3395" s="455">
        <f t="shared" ca="1" si="149"/>
        <v>-504085743578.93933</v>
      </c>
      <c r="M3395" s="471">
        <f t="shared" si="151"/>
        <v>0.05</v>
      </c>
      <c r="N3395" s="475">
        <f t="shared" si="152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50"/>
        <v>-504085743578.93933</v>
      </c>
      <c r="J3396" s="455">
        <f t="array" ref="J3396">IFERROR(INDEX('Retirement Calculator'!K:K,MATCH('Lorri 401b'!N3396,'Retirement Calculator'!A:A,0),0),0)</f>
        <v>0</v>
      </c>
      <c r="K3396" s="455">
        <f t="shared" ca="1" si="148"/>
        <v>-2100357264.9122472</v>
      </c>
      <c r="L3396" s="455">
        <f t="shared" ca="1" si="149"/>
        <v>-506186100843.85156</v>
      </c>
      <c r="M3396" s="471">
        <f t="shared" si="151"/>
        <v>0.05</v>
      </c>
      <c r="N3396" s="475">
        <f t="shared" si="152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50"/>
        <v>-506186100843.85156</v>
      </c>
      <c r="J3397" s="455">
        <f t="array" ref="J3397">IFERROR(INDEX('Retirement Calculator'!K:K,MATCH('Lorri 401b'!N3397,'Retirement Calculator'!A:A,0),0),0)</f>
        <v>0</v>
      </c>
      <c r="K3397" s="455">
        <f t="shared" ca="1" si="148"/>
        <v>-2109108753.5160482</v>
      </c>
      <c r="L3397" s="455">
        <f t="shared" ca="1" si="149"/>
        <v>-508295209597.36761</v>
      </c>
      <c r="M3397" s="471">
        <f t="shared" si="151"/>
        <v>0.05</v>
      </c>
      <c r="N3397" s="475">
        <f t="shared" si="152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50"/>
        <v>-508295209597.36761</v>
      </c>
      <c r="J3398" s="455">
        <f t="array" ref="J3398">IFERROR(INDEX('Retirement Calculator'!K:K,MATCH('Lorri 401b'!N3398,'Retirement Calculator'!A:A,0),0),0)</f>
        <v>0</v>
      </c>
      <c r="K3398" s="455">
        <f t="shared" ca="1" si="148"/>
        <v>-2117896706.6556983</v>
      </c>
      <c r="L3398" s="455">
        <f t="shared" ca="1" si="149"/>
        <v>-510413106304.02332</v>
      </c>
      <c r="M3398" s="471">
        <f t="shared" si="151"/>
        <v>0.05</v>
      </c>
      <c r="N3398" s="475">
        <f t="shared" si="152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50"/>
        <v>-510413106304.02332</v>
      </c>
      <c r="J3399" s="455">
        <f t="array" ref="J3399">IFERROR(INDEX('Retirement Calculator'!K:K,MATCH('Lorri 401b'!N3399,'Retirement Calculator'!A:A,0),0),0)</f>
        <v>0</v>
      </c>
      <c r="K3399" s="455">
        <f t="shared" ca="1" si="148"/>
        <v>-2126721276.2667634</v>
      </c>
      <c r="L3399" s="455">
        <f t="shared" ca="1" si="149"/>
        <v>-512539827580.2901</v>
      </c>
      <c r="M3399" s="471">
        <f t="shared" si="151"/>
        <v>0.05</v>
      </c>
      <c r="N3399" s="475">
        <f t="shared" si="152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50"/>
        <v>-512539827580.2901</v>
      </c>
      <c r="J3400" s="455">
        <f t="array" ref="J3400">IFERROR(INDEX('Retirement Calculator'!K:K,MATCH('Lorri 401b'!N3400,'Retirement Calculator'!A:A,0),0),0)</f>
        <v>0</v>
      </c>
      <c r="K3400" s="455">
        <f t="shared" ca="1" si="148"/>
        <v>-2135582614.9178753</v>
      </c>
      <c r="L3400" s="455">
        <f t="shared" ca="1" si="149"/>
        <v>-514675410195.20795</v>
      </c>
      <c r="M3400" s="471">
        <f t="shared" si="151"/>
        <v>0.05</v>
      </c>
      <c r="N3400" s="475">
        <f t="shared" si="152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50"/>
        <v>-514675410195.20795</v>
      </c>
      <c r="J3401" s="455">
        <f t="array" ref="J3401">IFERROR(INDEX('Retirement Calculator'!K:K,MATCH('Lorri 401b'!N3401,'Retirement Calculator'!A:A,0),0),0)</f>
        <v>0</v>
      </c>
      <c r="K3401" s="455">
        <f t="shared" ca="1" si="148"/>
        <v>-2144480875.8133664</v>
      </c>
      <c r="L3401" s="455">
        <f t="shared" ca="1" si="149"/>
        <v>-516819891071.0213</v>
      </c>
      <c r="M3401" s="471">
        <f t="shared" si="151"/>
        <v>0.05</v>
      </c>
      <c r="N3401" s="475">
        <f t="shared" si="152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50"/>
        <v>-516819891071.0213</v>
      </c>
      <c r="J3402" s="455">
        <f t="array" ref="J3402">IFERROR(INDEX('Retirement Calculator'!K:K,MATCH('Lorri 401b'!N3402,'Retirement Calculator'!A:A,0),0),0)</f>
        <v>0</v>
      </c>
      <c r="K3402" s="455">
        <f t="shared" ca="1" si="148"/>
        <v>-2153416212.7959223</v>
      </c>
      <c r="L3402" s="455">
        <f t="shared" ca="1" si="149"/>
        <v>-518973307283.8172</v>
      </c>
      <c r="M3402" s="471">
        <f t="shared" si="151"/>
        <v>0.05</v>
      </c>
      <c r="N3402" s="475">
        <f t="shared" si="152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50"/>
        <v>-518973307283.8172</v>
      </c>
      <c r="J3403" s="455">
        <f t="array" ref="J3403">IFERROR(INDEX('Retirement Calculator'!K:K,MATCH('Lorri 401b'!N3403,'Retirement Calculator'!A:A,0),0),0)</f>
        <v>0</v>
      </c>
      <c r="K3403" s="455">
        <f t="shared" ca="1" si="148"/>
        <v>-2162388780.3492384</v>
      </c>
      <c r="L3403" s="455">
        <f t="shared" ca="1" si="149"/>
        <v>-521135696064.16644</v>
      </c>
      <c r="M3403" s="471">
        <f t="shared" si="151"/>
        <v>0.05</v>
      </c>
      <c r="N3403" s="475">
        <f t="shared" si="152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50"/>
        <v>-521135696064.16644</v>
      </c>
      <c r="J3404" s="455">
        <f t="array" ref="J3404">IFERROR(INDEX('Retirement Calculator'!K:K,MATCH('Lorri 401b'!N3404,'Retirement Calculator'!A:A,0),0),0)</f>
        <v>0</v>
      </c>
      <c r="K3404" s="455">
        <f t="shared" ca="1" si="148"/>
        <v>-2171398733.6006937</v>
      </c>
      <c r="L3404" s="455">
        <f t="shared" ca="1" si="149"/>
        <v>-523307094797.76715</v>
      </c>
      <c r="M3404" s="471">
        <f t="shared" si="151"/>
        <v>0.05</v>
      </c>
      <c r="N3404" s="475">
        <f t="shared" si="152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50"/>
        <v>-523307094797.76715</v>
      </c>
      <c r="J3405" s="455">
        <f t="array" ref="J3405">IFERROR(INDEX('Retirement Calculator'!K:K,MATCH('Lorri 401b'!N3405,'Retirement Calculator'!A:A,0),0),0)</f>
        <v>0</v>
      </c>
      <c r="K3405" s="455">
        <f t="shared" ca="1" si="148"/>
        <v>-2180446228.3240299</v>
      </c>
      <c r="L3405" s="455">
        <f t="shared" ca="1" si="149"/>
        <v>-525487541026.09119</v>
      </c>
      <c r="M3405" s="471">
        <f t="shared" si="151"/>
        <v>0.05</v>
      </c>
      <c r="N3405" s="475">
        <f t="shared" si="152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50"/>
        <v>-525487541026.09119</v>
      </c>
      <c r="J3406" s="455">
        <f t="array" ref="J3406">IFERROR(INDEX('Retirement Calculator'!K:K,MATCH('Lorri 401b'!N3406,'Retirement Calculator'!A:A,0),0),0)</f>
        <v>0</v>
      </c>
      <c r="K3406" s="455">
        <f t="shared" ca="1" si="148"/>
        <v>-2189531420.9420466</v>
      </c>
      <c r="L3406" s="455">
        <f t="shared" ca="1" si="149"/>
        <v>-527677072447.0332</v>
      </c>
      <c r="M3406" s="471">
        <f t="shared" si="151"/>
        <v>0.05</v>
      </c>
      <c r="N3406" s="475">
        <f t="shared" si="152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50"/>
        <v>-527677072447.0332</v>
      </c>
      <c r="J3407" s="455">
        <f t="array" ref="J3407">IFERROR(INDEX('Retirement Calculator'!K:K,MATCH('Lorri 401b'!N3407,'Retirement Calculator'!A:A,0),0),0)</f>
        <v>0</v>
      </c>
      <c r="K3407" s="455">
        <f t="shared" ca="1" si="148"/>
        <v>-2198654468.5293045</v>
      </c>
      <c r="L3407" s="455">
        <f t="shared" ca="1" si="149"/>
        <v>-529875726915.5625</v>
      </c>
      <c r="M3407" s="471">
        <f t="shared" si="151"/>
        <v>0.05</v>
      </c>
      <c r="N3407" s="475">
        <f t="shared" si="152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50"/>
        <v>-529875726915.5625</v>
      </c>
      <c r="J3408" s="455">
        <f t="array" ref="J3408">IFERROR(INDEX('Retirement Calculator'!K:K,MATCH('Lorri 401b'!N3408,'Retirement Calculator'!A:A,0),0),0)</f>
        <v>0</v>
      </c>
      <c r="K3408" s="455">
        <f t="shared" ca="1" si="148"/>
        <v>-2207815528.8148437</v>
      </c>
      <c r="L3408" s="455">
        <f t="shared" ca="1" si="149"/>
        <v>-532083542444.37732</v>
      </c>
      <c r="M3408" s="471">
        <f t="shared" si="151"/>
        <v>0.05</v>
      </c>
      <c r="N3408" s="475">
        <f t="shared" si="152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50"/>
        <v>-532083542444.37732</v>
      </c>
      <c r="J3409" s="455">
        <f t="array" ref="J3409">IFERROR(INDEX('Retirement Calculator'!K:K,MATCH('Lorri 401b'!N3409,'Retirement Calculator'!A:A,0),0),0)</f>
        <v>0</v>
      </c>
      <c r="K3409" s="455">
        <f t="shared" ca="1" si="148"/>
        <v>-2217014760.1849055</v>
      </c>
      <c r="L3409" s="455">
        <f t="shared" ca="1" si="149"/>
        <v>-534300557204.56219</v>
      </c>
      <c r="M3409" s="471">
        <f t="shared" si="151"/>
        <v>0.05</v>
      </c>
      <c r="N3409" s="475">
        <f t="shared" si="152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50"/>
        <v>-534300557204.56219</v>
      </c>
      <c r="J3410" s="455">
        <f t="array" ref="J3410">IFERROR(INDEX('Retirement Calculator'!K:K,MATCH('Lorri 401b'!N3410,'Retirement Calculator'!A:A,0),0),0)</f>
        <v>0</v>
      </c>
      <c r="K3410" s="455">
        <f t="shared" ca="1" si="148"/>
        <v>-2226252321.6856756</v>
      </c>
      <c r="L3410" s="455">
        <f t="shared" ca="1" si="149"/>
        <v>-536526809526.24786</v>
      </c>
      <c r="M3410" s="471">
        <f t="shared" si="151"/>
        <v>0.05</v>
      </c>
      <c r="N3410" s="475">
        <f t="shared" si="152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50"/>
        <v>-536526809526.24786</v>
      </c>
      <c r="J3411" s="455">
        <f t="array" ref="J3411">IFERROR(INDEX('Retirement Calculator'!K:K,MATCH('Lorri 401b'!N3411,'Retirement Calculator'!A:A,0),0),0)</f>
        <v>0</v>
      </c>
      <c r="K3411" s="455">
        <f t="shared" ca="1" si="148"/>
        <v>-2235528373.0260329</v>
      </c>
      <c r="L3411" s="455">
        <f t="shared" ca="1" si="149"/>
        <v>-538762337899.27393</v>
      </c>
      <c r="M3411" s="471">
        <f t="shared" si="151"/>
        <v>0.05</v>
      </c>
      <c r="N3411" s="475">
        <f t="shared" si="152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50"/>
        <v>-538762337899.27393</v>
      </c>
      <c r="J3412" s="455">
        <f t="array" ref="J3412">IFERROR(INDEX('Retirement Calculator'!K:K,MATCH('Lorri 401b'!N3412,'Retirement Calculator'!A:A,0),0),0)</f>
        <v>0</v>
      </c>
      <c r="K3412" s="455">
        <f t="shared" ca="1" si="148"/>
        <v>-2244843074.580308</v>
      </c>
      <c r="L3412" s="455">
        <f t="shared" ca="1" si="149"/>
        <v>-541007180973.85425</v>
      </c>
      <c r="M3412" s="471">
        <f t="shared" si="151"/>
        <v>0.05</v>
      </c>
      <c r="N3412" s="475">
        <f t="shared" si="152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50"/>
        <v>-541007180973.85425</v>
      </c>
      <c r="J3413" s="455">
        <f t="array" ref="J3413">IFERROR(INDEX('Retirement Calculator'!K:K,MATCH('Lorri 401b'!N3413,'Retirement Calculator'!A:A,0),0),0)</f>
        <v>0</v>
      </c>
      <c r="K3413" s="455">
        <f t="shared" ca="1" si="148"/>
        <v>-2254196587.3910594</v>
      </c>
      <c r="L3413" s="455">
        <f t="shared" ca="1" si="149"/>
        <v>-543261377561.2453</v>
      </c>
      <c r="M3413" s="471">
        <f t="shared" si="151"/>
        <v>0.05</v>
      </c>
      <c r="N3413" s="475">
        <f t="shared" si="152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50"/>
        <v>-543261377561.2453</v>
      </c>
      <c r="J3414" s="455">
        <f t="array" ref="J3414">IFERROR(INDEX('Retirement Calculator'!K:K,MATCH('Lorri 401b'!N3414,'Retirement Calculator'!A:A,0),0),0)</f>
        <v>0</v>
      </c>
      <c r="K3414" s="455">
        <f t="shared" ca="1" si="148"/>
        <v>-2263589073.1718554</v>
      </c>
      <c r="L3414" s="455">
        <f t="shared" ca="1" si="149"/>
        <v>-545524966634.41718</v>
      </c>
      <c r="M3414" s="471">
        <f t="shared" si="151"/>
        <v>0.05</v>
      </c>
      <c r="N3414" s="475">
        <f t="shared" si="152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50"/>
        <v>-545524966634.41718</v>
      </c>
      <c r="J3415" s="455">
        <f t="array" ref="J3415">IFERROR(INDEX('Retirement Calculator'!K:K,MATCH('Lorri 401b'!N3415,'Retirement Calculator'!A:A,0),0),0)</f>
        <v>0</v>
      </c>
      <c r="K3415" s="455">
        <f t="shared" ca="1" si="148"/>
        <v>-2273020694.3100719</v>
      </c>
      <c r="L3415" s="455">
        <f t="shared" ca="1" si="149"/>
        <v>-547797987328.72723</v>
      </c>
      <c r="M3415" s="471">
        <f t="shared" si="151"/>
        <v>0.05</v>
      </c>
      <c r="N3415" s="475">
        <f t="shared" si="152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50"/>
        <v>-547797987328.72723</v>
      </c>
      <c r="J3416" s="455">
        <f t="array" ref="J3416">IFERROR(INDEX('Retirement Calculator'!K:K,MATCH('Lorri 401b'!N3416,'Retirement Calculator'!A:A,0),0),0)</f>
        <v>0</v>
      </c>
      <c r="K3416" s="455">
        <f t="shared" ca="1" si="148"/>
        <v>-2282491613.8696966</v>
      </c>
      <c r="L3416" s="455">
        <f t="shared" ca="1" si="149"/>
        <v>-550080478942.59692</v>
      </c>
      <c r="M3416" s="471">
        <f t="shared" si="151"/>
        <v>0.05</v>
      </c>
      <c r="N3416" s="475">
        <f t="shared" si="152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50"/>
        <v>-550080478942.59692</v>
      </c>
      <c r="J3417" s="455">
        <f t="array" ref="J3417">IFERROR(INDEX('Retirement Calculator'!K:K,MATCH('Lorri 401b'!N3417,'Retirement Calculator'!A:A,0),0),0)</f>
        <v>0</v>
      </c>
      <c r="K3417" s="455">
        <f t="shared" ca="1" si="148"/>
        <v>-2292001995.5941539</v>
      </c>
      <c r="L3417" s="455">
        <f t="shared" ca="1" si="149"/>
        <v>-552372480938.19104</v>
      </c>
      <c r="M3417" s="471">
        <f t="shared" si="151"/>
        <v>0.05</v>
      </c>
      <c r="N3417" s="475">
        <f t="shared" si="152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50"/>
        <v>-552372480938.19104</v>
      </c>
      <c r="J3418" s="455">
        <f t="array" ref="J3418">IFERROR(INDEX('Retirement Calculator'!K:K,MATCH('Lorri 401b'!N3418,'Retirement Calculator'!A:A,0),0),0)</f>
        <v>0</v>
      </c>
      <c r="K3418" s="455">
        <f t="shared" ca="1" si="148"/>
        <v>-2301552003.9091291</v>
      </c>
      <c r="L3418" s="455">
        <f t="shared" ca="1" si="149"/>
        <v>-554674032942.10022</v>
      </c>
      <c r="M3418" s="471">
        <f t="shared" si="151"/>
        <v>0.05</v>
      </c>
      <c r="N3418" s="475">
        <f t="shared" si="152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50"/>
        <v>-554674032942.10022</v>
      </c>
      <c r="J3419" s="455">
        <f t="array" ref="J3419">IFERROR(INDEX('Retirement Calculator'!K:K,MATCH('Lorri 401b'!N3419,'Retirement Calculator'!A:A,0),0),0)</f>
        <v>0</v>
      </c>
      <c r="K3419" s="455">
        <f t="shared" ca="1" si="148"/>
        <v>-2311141803.9254174</v>
      </c>
      <c r="L3419" s="455">
        <f t="shared" ca="1" si="149"/>
        <v>-556985174746.02563</v>
      </c>
      <c r="M3419" s="471">
        <f t="shared" si="151"/>
        <v>0.05</v>
      </c>
      <c r="N3419" s="475">
        <f t="shared" si="152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50"/>
        <v>-556985174746.02563</v>
      </c>
      <c r="J3420" s="455">
        <f t="array" ref="J3420">IFERROR(INDEX('Retirement Calculator'!K:K,MATCH('Lorri 401b'!N3420,'Retirement Calculator'!A:A,0),0),0)</f>
        <v>0</v>
      </c>
      <c r="K3420" s="455">
        <f t="shared" ca="1" si="148"/>
        <v>-2320771561.4417734</v>
      </c>
      <c r="L3420" s="455">
        <f t="shared" ca="1" si="149"/>
        <v>-559305946307.46741</v>
      </c>
      <c r="M3420" s="471">
        <f t="shared" si="151"/>
        <v>0.05</v>
      </c>
      <c r="N3420" s="475">
        <f t="shared" si="152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50"/>
        <v>-559305946307.46741</v>
      </c>
      <c r="J3421" s="455">
        <f t="array" ref="J3421">IFERROR(INDEX('Retirement Calculator'!K:K,MATCH('Lorri 401b'!N3421,'Retirement Calculator'!A:A,0),0),0)</f>
        <v>0</v>
      </c>
      <c r="K3421" s="455">
        <f t="shared" ca="1" si="148"/>
        <v>-2330441442.9477806</v>
      </c>
      <c r="L3421" s="455">
        <f t="shared" ca="1" si="149"/>
        <v>-561636387750.41516</v>
      </c>
      <c r="M3421" s="471">
        <f t="shared" si="151"/>
        <v>0.05</v>
      </c>
      <c r="N3421" s="475">
        <f t="shared" si="152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50"/>
        <v>-561636387750.41516</v>
      </c>
      <c r="J3422" s="455">
        <f t="array" ref="J3422">IFERROR(INDEX('Retirement Calculator'!K:K,MATCH('Lorri 401b'!N3422,'Retirement Calculator'!A:A,0),0),0)</f>
        <v>0</v>
      </c>
      <c r="K3422" s="455">
        <f t="shared" ca="1" si="148"/>
        <v>-2340151615.62673</v>
      </c>
      <c r="L3422" s="455">
        <f t="shared" ca="1" si="149"/>
        <v>-563976539366.04187</v>
      </c>
      <c r="M3422" s="471">
        <f t="shared" si="151"/>
        <v>0.05</v>
      </c>
      <c r="N3422" s="475">
        <f t="shared" si="152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50"/>
        <v>-563976539366.04187</v>
      </c>
      <c r="J3423" s="455">
        <f t="array" ref="J3423">IFERROR(INDEX('Retirement Calculator'!K:K,MATCH('Lorri 401b'!N3423,'Retirement Calculator'!A:A,0),0),0)</f>
        <v>0</v>
      </c>
      <c r="K3423" s="455">
        <f t="shared" ca="1" si="148"/>
        <v>-2349902247.3585076</v>
      </c>
      <c r="L3423" s="455">
        <f t="shared" ca="1" si="149"/>
        <v>-566326441613.40039</v>
      </c>
      <c r="M3423" s="471">
        <f t="shared" si="151"/>
        <v>0.05</v>
      </c>
      <c r="N3423" s="475">
        <f t="shared" si="152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50"/>
        <v>-566326441613.40039</v>
      </c>
      <c r="J3424" s="455">
        <f t="array" ref="J3424">IFERROR(INDEX('Retirement Calculator'!K:K,MATCH('Lorri 401b'!N3424,'Retirement Calculator'!A:A,0),0),0)</f>
        <v>0</v>
      </c>
      <c r="K3424" s="455">
        <f t="shared" ca="1" si="148"/>
        <v>-2359693506.7225018</v>
      </c>
      <c r="L3424" s="455">
        <f t="shared" ca="1" si="149"/>
        <v>-568686135120.12292</v>
      </c>
      <c r="M3424" s="471">
        <f t="shared" si="151"/>
        <v>0.05</v>
      </c>
      <c r="N3424" s="475">
        <f t="shared" si="152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50"/>
        <v>-568686135120.12292</v>
      </c>
      <c r="J3425" s="455">
        <f t="array" ref="J3425">IFERROR(INDEX('Retirement Calculator'!K:K,MATCH('Lorri 401b'!N3425,'Retirement Calculator'!A:A,0),0),0)</f>
        <v>0</v>
      </c>
      <c r="K3425" s="455">
        <f t="shared" ca="1" si="148"/>
        <v>-2369525563.0005121</v>
      </c>
      <c r="L3425" s="455">
        <f t="shared" ca="1" si="149"/>
        <v>-571055660683.12341</v>
      </c>
      <c r="M3425" s="471">
        <f t="shared" si="151"/>
        <v>0.05</v>
      </c>
      <c r="N3425" s="475">
        <f t="shared" si="152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50"/>
        <v>-571055660683.12341</v>
      </c>
      <c r="J3426" s="455">
        <f t="array" ref="J3426">IFERROR(INDEX('Retirement Calculator'!K:K,MATCH('Lorri 401b'!N3426,'Retirement Calculator'!A:A,0),0),0)</f>
        <v>0</v>
      </c>
      <c r="K3426" s="455">
        <f t="shared" ca="1" si="148"/>
        <v>-2379398586.1796808</v>
      </c>
      <c r="L3426" s="455">
        <f t="shared" ca="1" si="149"/>
        <v>-573435059269.3031</v>
      </c>
      <c r="M3426" s="471">
        <f t="shared" si="151"/>
        <v>0.05</v>
      </c>
      <c r="N3426" s="475">
        <f t="shared" si="152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50"/>
        <v>-573435059269.3031</v>
      </c>
      <c r="J3427" s="455">
        <f t="array" ref="J3427">IFERROR(INDEX('Retirement Calculator'!K:K,MATCH('Lorri 401b'!N3427,'Retirement Calculator'!A:A,0),0),0)</f>
        <v>0</v>
      </c>
      <c r="K3427" s="455">
        <f t="shared" ca="1" si="148"/>
        <v>-2389312746.9554296</v>
      </c>
      <c r="L3427" s="455">
        <f t="shared" ca="1" si="149"/>
        <v>-575824372016.25854</v>
      </c>
      <c r="M3427" s="471">
        <f t="shared" si="151"/>
        <v>0.05</v>
      </c>
      <c r="N3427" s="475">
        <f t="shared" si="152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50"/>
        <v>-575824372016.25854</v>
      </c>
      <c r="J3428" s="455">
        <f t="array" ref="J3428">IFERROR(INDEX('Retirement Calculator'!K:K,MATCH('Lorri 401b'!N3428,'Retirement Calculator'!A:A,0),0),0)</f>
        <v>0</v>
      </c>
      <c r="K3428" s="455">
        <f t="shared" ca="1" si="148"/>
        <v>-2399268216.7344108</v>
      </c>
      <c r="L3428" s="455">
        <f t="shared" ca="1" si="149"/>
        <v>-578223640232.99292</v>
      </c>
      <c r="M3428" s="471">
        <f t="shared" si="151"/>
        <v>0.05</v>
      </c>
      <c r="N3428" s="475">
        <f t="shared" si="152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50"/>
        <v>-578223640232.99292</v>
      </c>
      <c r="J3429" s="455">
        <f t="array" ref="J3429">IFERROR(INDEX('Retirement Calculator'!K:K,MATCH('Lorri 401b'!N3429,'Retirement Calculator'!A:A,0),0),0)</f>
        <v>0</v>
      </c>
      <c r="K3429" s="455">
        <f t="shared" ca="1" si="148"/>
        <v>-2409265167.6374702</v>
      </c>
      <c r="L3429" s="455">
        <f t="shared" ca="1" si="149"/>
        <v>-580632905400.63037</v>
      </c>
      <c r="M3429" s="471">
        <f t="shared" si="151"/>
        <v>0.05</v>
      </c>
      <c r="N3429" s="475">
        <f t="shared" si="152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50"/>
        <v>-580632905400.63037</v>
      </c>
      <c r="J3430" s="455">
        <f t="array" ref="J3430">IFERROR(INDEX('Retirement Calculator'!K:K,MATCH('Lorri 401b'!N3430,'Retirement Calculator'!A:A,0),0),0)</f>
        <v>0</v>
      </c>
      <c r="K3430" s="455">
        <f t="shared" ca="1" si="148"/>
        <v>-2419303772.5026264</v>
      </c>
      <c r="L3430" s="455">
        <f t="shared" ca="1" si="149"/>
        <v>-583052209173.13306</v>
      </c>
      <c r="M3430" s="471">
        <f t="shared" si="151"/>
        <v>0.05</v>
      </c>
      <c r="N3430" s="475">
        <f t="shared" si="152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50"/>
        <v>-583052209173.13306</v>
      </c>
      <c r="J3431" s="455">
        <f t="array" ref="J3431">IFERROR(INDEX('Retirement Calculator'!K:K,MATCH('Lorri 401b'!N3431,'Retirement Calculator'!A:A,0),0),0)</f>
        <v>0</v>
      </c>
      <c r="K3431" s="455">
        <f t="shared" ca="1" si="148"/>
        <v>-2429384204.8880544</v>
      </c>
      <c r="L3431" s="455">
        <f t="shared" ca="1" si="149"/>
        <v>-585481593378.02112</v>
      </c>
      <c r="M3431" s="471">
        <f t="shared" si="151"/>
        <v>0.05</v>
      </c>
      <c r="N3431" s="475">
        <f t="shared" si="152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50"/>
        <v>-585481593378.02112</v>
      </c>
      <c r="J3432" s="455">
        <f t="array" ref="J3432">IFERROR(INDEX('Retirement Calculator'!K:K,MATCH('Lorri 401b'!N3432,'Retirement Calculator'!A:A,0),0),0)</f>
        <v>0</v>
      </c>
      <c r="K3432" s="455">
        <f t="shared" ca="1" si="148"/>
        <v>-2439506639.075088</v>
      </c>
      <c r="L3432" s="455">
        <f t="shared" ca="1" si="149"/>
        <v>-587921100017.09619</v>
      </c>
      <c r="M3432" s="471">
        <f t="shared" si="151"/>
        <v>0.05</v>
      </c>
      <c r="N3432" s="475">
        <f t="shared" si="152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50"/>
        <v>-587921100017.09619</v>
      </c>
      <c r="J3433" s="455">
        <f t="array" ref="J3433">IFERROR(INDEX('Retirement Calculator'!K:K,MATCH('Lorri 401b'!N3433,'Retirement Calculator'!A:A,0),0),0)</f>
        <v>0</v>
      </c>
      <c r="K3433" s="455">
        <f t="shared" ca="1" si="148"/>
        <v>-2449671250.0712342</v>
      </c>
      <c r="L3433" s="455">
        <f t="shared" ca="1" si="149"/>
        <v>-590370771267.16748</v>
      </c>
      <c r="M3433" s="471">
        <f t="shared" si="151"/>
        <v>0.05</v>
      </c>
      <c r="N3433" s="475">
        <f t="shared" si="152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50"/>
        <v>-590370771267.16748</v>
      </c>
      <c r="J3434" s="455">
        <f t="array" ref="J3434">IFERROR(INDEX('Retirement Calculator'!K:K,MATCH('Lorri 401b'!N3434,'Retirement Calculator'!A:A,0),0),0)</f>
        <v>0</v>
      </c>
      <c r="K3434" s="455">
        <f t="shared" ca="1" si="148"/>
        <v>-2459878213.6131978</v>
      </c>
      <c r="L3434" s="455">
        <f t="shared" ca="1" si="149"/>
        <v>-592830649480.78064</v>
      </c>
      <c r="M3434" s="471">
        <f t="shared" si="151"/>
        <v>0.05</v>
      </c>
      <c r="N3434" s="475">
        <f t="shared" si="152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50"/>
        <v>-592830649480.78064</v>
      </c>
      <c r="J3435" s="455">
        <f t="array" ref="J3435">IFERROR(INDEX('Retirement Calculator'!K:K,MATCH('Lorri 401b'!N3435,'Retirement Calculator'!A:A,0),0),0)</f>
        <v>0</v>
      </c>
      <c r="K3435" s="455">
        <f t="shared" ca="1" si="148"/>
        <v>-2470127706.1699195</v>
      </c>
      <c r="L3435" s="455">
        <f t="shared" ca="1" si="149"/>
        <v>-595300777186.95056</v>
      </c>
      <c r="M3435" s="471">
        <f t="shared" si="151"/>
        <v>0.05</v>
      </c>
      <c r="N3435" s="475">
        <f t="shared" si="152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50"/>
        <v>-595300777186.95056</v>
      </c>
      <c r="J3436" s="455">
        <f t="array" ref="J3436">IFERROR(INDEX('Retirement Calculator'!K:K,MATCH('Lorri 401b'!N3436,'Retirement Calculator'!A:A,0),0),0)</f>
        <v>0</v>
      </c>
      <c r="K3436" s="455">
        <f t="shared" ca="1" si="148"/>
        <v>-2480419904.9456272</v>
      </c>
      <c r="L3436" s="455">
        <f t="shared" ca="1" si="149"/>
        <v>-597781197091.89624</v>
      </c>
      <c r="M3436" s="471">
        <f t="shared" si="151"/>
        <v>0.05</v>
      </c>
      <c r="N3436" s="475">
        <f t="shared" si="152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50"/>
        <v>-597781197091.89624</v>
      </c>
      <c r="J3437" s="455">
        <f t="array" ref="J3437">IFERROR(INDEX('Retirement Calculator'!K:K,MATCH('Lorri 401b'!N3437,'Retirement Calculator'!A:A,0),0),0)</f>
        <v>0</v>
      </c>
      <c r="K3437" s="455">
        <f t="shared" ca="1" si="148"/>
        <v>-2490754987.8829012</v>
      </c>
      <c r="L3437" s="455">
        <f t="shared" ca="1" si="149"/>
        <v>-600271952079.77917</v>
      </c>
      <c r="M3437" s="471">
        <f t="shared" si="151"/>
        <v>0.05</v>
      </c>
      <c r="N3437" s="475">
        <f t="shared" si="152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50"/>
        <v>-600271952079.77917</v>
      </c>
      <c r="J3438" s="455">
        <f t="array" ref="J3438">IFERROR(INDEX('Retirement Calculator'!K:K,MATCH('Lorri 401b'!N3438,'Retirement Calculator'!A:A,0),0),0)</f>
        <v>0</v>
      </c>
      <c r="K3438" s="455">
        <f t="shared" ca="1" si="148"/>
        <v>-2501133133.6657467</v>
      </c>
      <c r="L3438" s="455">
        <f t="shared" ca="1" si="149"/>
        <v>-602773085213.44495</v>
      </c>
      <c r="M3438" s="471">
        <f t="shared" si="151"/>
        <v>0.05</v>
      </c>
      <c r="N3438" s="475">
        <f t="shared" si="152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50"/>
        <v>-602773085213.44495</v>
      </c>
      <c r="J3439" s="455">
        <f t="array" ref="J3439">IFERROR(INDEX('Retirement Calculator'!K:K,MATCH('Lorri 401b'!N3439,'Retirement Calculator'!A:A,0),0),0)</f>
        <v>0</v>
      </c>
      <c r="K3439" s="455">
        <f t="shared" ca="1" si="148"/>
        <v>-2511554521.7226872</v>
      </c>
      <c r="L3439" s="455">
        <f t="shared" ca="1" si="149"/>
        <v>-605284639735.1676</v>
      </c>
      <c r="M3439" s="471">
        <f t="shared" si="151"/>
        <v>0.05</v>
      </c>
      <c r="N3439" s="475">
        <f t="shared" si="152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50"/>
        <v>-605284639735.1676</v>
      </c>
      <c r="J3440" s="455">
        <f t="array" ref="J3440">IFERROR(INDEX('Retirement Calculator'!K:K,MATCH('Lorri 401b'!N3440,'Retirement Calculator'!A:A,0),0),0)</f>
        <v>0</v>
      </c>
      <c r="K3440" s="455">
        <f t="shared" ca="1" si="148"/>
        <v>-2522019332.2298651</v>
      </c>
      <c r="L3440" s="455">
        <f t="shared" ca="1" si="149"/>
        <v>-607806659067.39746</v>
      </c>
      <c r="M3440" s="471">
        <f t="shared" si="151"/>
        <v>0.05</v>
      </c>
      <c r="N3440" s="475">
        <f t="shared" si="152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50"/>
        <v>-607806659067.39746</v>
      </c>
      <c r="J3441" s="455">
        <f t="array" ref="J3441">IFERROR(INDEX('Retirement Calculator'!K:K,MATCH('Lorri 401b'!N3441,'Retirement Calculator'!A:A,0),0),0)</f>
        <v>0</v>
      </c>
      <c r="K3441" s="455">
        <f t="shared" ca="1" si="148"/>
        <v>-2532527746.1141562</v>
      </c>
      <c r="L3441" s="455">
        <f t="shared" ca="1" si="149"/>
        <v>-610339186813.5116</v>
      </c>
      <c r="M3441" s="471">
        <f t="shared" si="151"/>
        <v>0.05</v>
      </c>
      <c r="N3441" s="475">
        <f t="shared" si="152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50"/>
        <v>-610339186813.5116</v>
      </c>
      <c r="J3442" s="455">
        <f t="array" ref="J3442">IFERROR(INDEX('Retirement Calculator'!K:K,MATCH('Lorri 401b'!N3442,'Retirement Calculator'!A:A,0),0),0)</f>
        <v>0</v>
      </c>
      <c r="K3442" s="455">
        <f t="shared" ca="1" si="148"/>
        <v>-2543079945.0562983</v>
      </c>
      <c r="L3442" s="455">
        <f t="shared" ca="1" si="149"/>
        <v>-612882266758.56787</v>
      </c>
      <c r="M3442" s="471">
        <f t="shared" si="151"/>
        <v>0.05</v>
      </c>
      <c r="N3442" s="475">
        <f t="shared" si="152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50"/>
        <v>-612882266758.56787</v>
      </c>
      <c r="J3443" s="455">
        <f t="array" ref="J3443">IFERROR(INDEX('Retirement Calculator'!K:K,MATCH('Lorri 401b'!N3443,'Retirement Calculator'!A:A,0),0),0)</f>
        <v>0</v>
      </c>
      <c r="K3443" s="455">
        <f t="shared" ca="1" si="148"/>
        <v>-2553676111.4940329</v>
      </c>
      <c r="L3443" s="455">
        <f t="shared" ca="1" si="149"/>
        <v>-615435942870.06189</v>
      </c>
      <c r="M3443" s="471">
        <f t="shared" si="151"/>
        <v>0.05</v>
      </c>
      <c r="N3443" s="475">
        <f t="shared" si="152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50"/>
        <v>-615435942870.06189</v>
      </c>
      <c r="J3444" s="455">
        <f t="array" ref="J3444">IFERROR(INDEX('Retirement Calculator'!K:K,MATCH('Lorri 401b'!N3444,'Retirement Calculator'!A:A,0),0),0)</f>
        <v>0</v>
      </c>
      <c r="K3444" s="455">
        <f t="shared" ca="1" si="148"/>
        <v>-2564316428.625258</v>
      </c>
      <c r="L3444" s="455">
        <f t="shared" ca="1" si="149"/>
        <v>-618000259298.68713</v>
      </c>
      <c r="M3444" s="471">
        <f t="shared" si="151"/>
        <v>0.05</v>
      </c>
      <c r="N3444" s="475">
        <f t="shared" si="152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50"/>
        <v>-618000259298.68713</v>
      </c>
      <c r="J3445" s="455">
        <f t="array" ref="J3445">IFERROR(INDEX('Retirement Calculator'!K:K,MATCH('Lorri 401b'!N3445,'Retirement Calculator'!A:A,0),0),0)</f>
        <v>0</v>
      </c>
      <c r="K3445" s="455">
        <f t="shared" ca="1" si="148"/>
        <v>-2575001080.4111962</v>
      </c>
      <c r="L3445" s="455">
        <f t="shared" ca="1" si="149"/>
        <v>-620575260379.09839</v>
      </c>
      <c r="M3445" s="471">
        <f t="shared" si="151"/>
        <v>0.05</v>
      </c>
      <c r="N3445" s="475">
        <f t="shared" si="152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50"/>
        <v>-620575260379.09839</v>
      </c>
      <c r="J3446" s="455">
        <f t="array" ref="J3446">IFERROR(INDEX('Retirement Calculator'!K:K,MATCH('Lorri 401b'!N3446,'Retirement Calculator'!A:A,0),0),0)</f>
        <v>0</v>
      </c>
      <c r="K3446" s="455">
        <f t="shared" ca="1" si="148"/>
        <v>-2585730251.5795765</v>
      </c>
      <c r="L3446" s="455">
        <f t="shared" ca="1" si="149"/>
        <v>-623160990630.67798</v>
      </c>
      <c r="M3446" s="471">
        <f t="shared" si="151"/>
        <v>0.05</v>
      </c>
      <c r="N3446" s="475">
        <f t="shared" si="152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50"/>
        <v>-623160990630.67798</v>
      </c>
      <c r="J3447" s="455">
        <f t="array" ref="J3447">IFERROR(INDEX('Retirement Calculator'!K:K,MATCH('Lorri 401b'!N3447,'Retirement Calculator'!A:A,0),0),0)</f>
        <v>0</v>
      </c>
      <c r="K3447" s="455">
        <f t="shared" ca="1" si="148"/>
        <v>-2596504127.6278248</v>
      </c>
      <c r="L3447" s="455">
        <f t="shared" ca="1" si="149"/>
        <v>-625757494758.30579</v>
      </c>
      <c r="M3447" s="471">
        <f t="shared" si="151"/>
        <v>0.05</v>
      </c>
      <c r="N3447" s="475">
        <f t="shared" si="152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50"/>
        <v>-625757494758.30579</v>
      </c>
      <c r="J3448" s="455">
        <f t="array" ref="J3448">IFERROR(INDEX('Retirement Calculator'!K:K,MATCH('Lorri 401b'!N3448,'Retirement Calculator'!A:A,0),0),0)</f>
        <v>0</v>
      </c>
      <c r="K3448" s="455">
        <f t="shared" ca="1" si="148"/>
        <v>-2607322894.8262739</v>
      </c>
      <c r="L3448" s="455">
        <f t="shared" ca="1" si="149"/>
        <v>-628364817653.13208</v>
      </c>
      <c r="M3448" s="471">
        <f t="shared" si="151"/>
        <v>0.05</v>
      </c>
      <c r="N3448" s="475">
        <f t="shared" si="152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50"/>
        <v>-628364817653.13208</v>
      </c>
      <c r="J3449" s="455">
        <f t="array" ref="J3449">IFERROR(INDEX('Retirement Calculator'!K:K,MATCH('Lorri 401b'!N3449,'Retirement Calculator'!A:A,0),0),0)</f>
        <v>0</v>
      </c>
      <c r="K3449" s="455">
        <f t="shared" ca="1" si="148"/>
        <v>-2618186740.2213836</v>
      </c>
      <c r="L3449" s="455">
        <f t="shared" ca="1" si="149"/>
        <v>-630983004393.35352</v>
      </c>
      <c r="M3449" s="471">
        <f t="shared" si="151"/>
        <v>0.05</v>
      </c>
      <c r="N3449" s="475">
        <f t="shared" si="152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50"/>
        <v>-630983004393.35352</v>
      </c>
      <c r="J3450" s="455">
        <f t="array" ref="J3450">IFERROR(INDEX('Retirement Calculator'!K:K,MATCH('Lorri 401b'!N3450,'Retirement Calculator'!A:A,0),0),0)</f>
        <v>0</v>
      </c>
      <c r="K3450" s="455">
        <f t="shared" ca="1" si="148"/>
        <v>-2629095851.6389728</v>
      </c>
      <c r="L3450" s="455">
        <f t="shared" ca="1" si="149"/>
        <v>-633612100244.99243</v>
      </c>
      <c r="M3450" s="471">
        <f t="shared" si="151"/>
        <v>0.05</v>
      </c>
      <c r="N3450" s="475">
        <f t="shared" si="152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50"/>
        <v>-633612100244.99243</v>
      </c>
      <c r="J3451" s="455">
        <f t="array" ref="J3451">IFERROR(INDEX('Retirement Calculator'!K:K,MATCH('Lorri 401b'!N3451,'Retirement Calculator'!A:A,0),0),0)</f>
        <v>0</v>
      </c>
      <c r="K3451" s="455">
        <f t="shared" ca="1" si="148"/>
        <v>-2640050417.6874685</v>
      </c>
      <c r="L3451" s="455">
        <f t="shared" ca="1" si="149"/>
        <v>-636252150662.67993</v>
      </c>
      <c r="M3451" s="471">
        <f t="shared" si="151"/>
        <v>0.05</v>
      </c>
      <c r="N3451" s="475">
        <f t="shared" si="152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50"/>
        <v>-636252150662.67993</v>
      </c>
      <c r="J3452" s="455">
        <f t="array" ref="J3452">IFERROR(INDEX('Retirement Calculator'!K:K,MATCH('Lorri 401b'!N3452,'Retirement Calculator'!A:A,0),0),0)</f>
        <v>0</v>
      </c>
      <c r="K3452" s="455">
        <f t="shared" ca="1" si="148"/>
        <v>-2651050627.7611666</v>
      </c>
      <c r="L3452" s="455">
        <f t="shared" ca="1" si="149"/>
        <v>-638903201290.44104</v>
      </c>
      <c r="M3452" s="471">
        <f t="shared" si="151"/>
        <v>0.05</v>
      </c>
      <c r="N3452" s="475">
        <f t="shared" si="152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50"/>
        <v>-638903201290.44104</v>
      </c>
      <c r="J3453" s="455">
        <f t="array" ref="J3453">IFERROR(INDEX('Retirement Calculator'!K:K,MATCH('Lorri 401b'!N3453,'Retirement Calculator'!A:A,0),0),0)</f>
        <v>0</v>
      </c>
      <c r="K3453" s="455">
        <f t="shared" ca="1" si="148"/>
        <v>-2662096672.0435042</v>
      </c>
      <c r="L3453" s="455">
        <f t="shared" ca="1" si="149"/>
        <v>-641565297962.4845</v>
      </c>
      <c r="M3453" s="471">
        <f t="shared" si="151"/>
        <v>0.05</v>
      </c>
      <c r="N3453" s="475">
        <f t="shared" si="152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50"/>
        <v>-641565297962.4845</v>
      </c>
      <c r="J3454" s="455">
        <f t="array" ref="J3454">IFERROR(INDEX('Retirement Calculator'!K:K,MATCH('Lorri 401b'!N3454,'Retirement Calculator'!A:A,0),0),0)</f>
        <v>0</v>
      </c>
      <c r="K3454" s="455">
        <f t="shared" ca="1" si="148"/>
        <v>-2673188741.5103521</v>
      </c>
      <c r="L3454" s="455">
        <f t="shared" ca="1" si="149"/>
        <v>-644238486703.99487</v>
      </c>
      <c r="M3454" s="471">
        <f t="shared" si="151"/>
        <v>0.05</v>
      </c>
      <c r="N3454" s="475">
        <f t="shared" si="152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50"/>
        <v>-644238486703.99487</v>
      </c>
      <c r="J3455" s="455">
        <f t="array" ref="J3455">IFERROR(INDEX('Retirement Calculator'!K:K,MATCH('Lorri 401b'!N3455,'Retirement Calculator'!A:A,0),0),0)</f>
        <v>0</v>
      </c>
      <c r="K3455" s="455">
        <f t="shared" ca="1" si="148"/>
        <v>-2684327027.9333119</v>
      </c>
      <c r="L3455" s="455">
        <f t="shared" ca="1" si="149"/>
        <v>-646922813731.92822</v>
      </c>
      <c r="M3455" s="471">
        <f t="shared" si="151"/>
        <v>0.05</v>
      </c>
      <c r="N3455" s="475">
        <f t="shared" si="152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50"/>
        <v>-646922813731.92822</v>
      </c>
      <c r="J3456" s="455">
        <f t="array" ref="J3456">IFERROR(INDEX('Retirement Calculator'!K:K,MATCH('Lorri 401b'!N3456,'Retirement Calculator'!A:A,0),0),0)</f>
        <v>0</v>
      </c>
      <c r="K3456" s="455">
        <f t="shared" ca="1" si="148"/>
        <v>-2695511723.8830342</v>
      </c>
      <c r="L3456" s="455">
        <f t="shared" ca="1" si="149"/>
        <v>-649618325455.81128</v>
      </c>
      <c r="M3456" s="471">
        <f t="shared" si="151"/>
        <v>0.05</v>
      </c>
      <c r="N3456" s="475">
        <f t="shared" si="152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50"/>
        <v>-649618325455.81128</v>
      </c>
      <c r="J3457" s="455">
        <f t="array" ref="J3457">IFERROR(INDEX('Retirement Calculator'!K:K,MATCH('Lorri 401b'!N3457,'Retirement Calculator'!A:A,0),0),0)</f>
        <v>0</v>
      </c>
      <c r="K3457" s="455">
        <f t="shared" ca="1" si="148"/>
        <v>-2706743022.7325468</v>
      </c>
      <c r="L3457" s="455">
        <f t="shared" ca="1" si="149"/>
        <v>-652325068478.54382</v>
      </c>
      <c r="M3457" s="471">
        <f t="shared" si="151"/>
        <v>0.05</v>
      </c>
      <c r="N3457" s="475">
        <f t="shared" si="152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50"/>
        <v>-652325068478.54382</v>
      </c>
      <c r="J3458" s="455">
        <f t="array" ref="J3458">IFERROR(INDEX('Retirement Calculator'!K:K,MATCH('Lorri 401b'!N3458,'Retirement Calculator'!A:A,0),0),0)</f>
        <v>0</v>
      </c>
      <c r="K3458" s="455">
        <f t="shared" ca="1" si="148"/>
        <v>-2718021118.6605992</v>
      </c>
      <c r="L3458" s="455">
        <f t="shared" ca="1" si="149"/>
        <v>-655043089597.20447</v>
      </c>
      <c r="M3458" s="471">
        <f t="shared" si="151"/>
        <v>0.05</v>
      </c>
      <c r="N3458" s="475">
        <f t="shared" si="152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50"/>
        <v>-655043089597.20447</v>
      </c>
      <c r="J3459" s="455">
        <f t="array" ref="J3459">IFERROR(INDEX('Retirement Calculator'!K:K,MATCH('Lorri 401b'!N3459,'Retirement Calculator'!A:A,0),0),0)</f>
        <v>0</v>
      </c>
      <c r="K3459" s="455">
        <f t="shared" ca="1" si="148"/>
        <v>-2729346206.6550188</v>
      </c>
      <c r="L3459" s="455">
        <f t="shared" ca="1" si="149"/>
        <v>-657772435803.8595</v>
      </c>
      <c r="M3459" s="471">
        <f t="shared" si="151"/>
        <v>0.05</v>
      </c>
      <c r="N3459" s="475">
        <f t="shared" si="152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50"/>
        <v>-657772435803.8595</v>
      </c>
      <c r="J3460" s="455">
        <f t="array" ref="J3460">IFERROR(INDEX('Retirement Calculator'!K:K,MATCH('Lorri 401b'!N3460,'Retirement Calculator'!A:A,0),0),0)</f>
        <v>0</v>
      </c>
      <c r="K3460" s="455">
        <f t="shared" ca="1" si="148"/>
        <v>-2740718482.5160813</v>
      </c>
      <c r="L3460" s="455">
        <f t="shared" ca="1" si="149"/>
        <v>-660513154286.37561</v>
      </c>
      <c r="M3460" s="471">
        <f t="shared" si="151"/>
        <v>0.05</v>
      </c>
      <c r="N3460" s="475">
        <f t="shared" si="152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50"/>
        <v>-660513154286.37561</v>
      </c>
      <c r="J3461" s="455">
        <f t="array" ref="J3461">IFERROR(INDEX('Retirement Calculator'!K:K,MATCH('Lorri 401b'!N3461,'Retirement Calculator'!A:A,0),0),0)</f>
        <v>0</v>
      </c>
      <c r="K3461" s="455">
        <f t="shared" ca="1" si="148"/>
        <v>-2752138142.8598986</v>
      </c>
      <c r="L3461" s="455">
        <f t="shared" ca="1" si="149"/>
        <v>-663265292429.23547</v>
      </c>
      <c r="M3461" s="471">
        <f t="shared" si="151"/>
        <v>0.05</v>
      </c>
      <c r="N3461" s="475">
        <f t="shared" si="152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50"/>
        <v>-663265292429.23547</v>
      </c>
      <c r="J3462" s="455">
        <f t="array" ref="J3462">IFERROR(INDEX('Retirement Calculator'!K:K,MATCH('Lorri 401b'!N3462,'Retirement Calculator'!A:A,0),0),0)</f>
        <v>0</v>
      </c>
      <c r="K3462" s="455">
        <f t="shared" ca="1" si="148"/>
        <v>-2763605385.1218143</v>
      </c>
      <c r="L3462" s="455">
        <f t="shared" ca="1" si="149"/>
        <v>-666028897814.3573</v>
      </c>
      <c r="M3462" s="471">
        <f t="shared" si="151"/>
        <v>0.05</v>
      </c>
      <c r="N3462" s="475">
        <f t="shared" si="152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50"/>
        <v>-666028897814.3573</v>
      </c>
      <c r="J3463" s="455">
        <f t="array" ref="J3463">IFERROR(INDEX('Retirement Calculator'!K:K,MATCH('Lorri 401b'!N3463,'Retirement Calculator'!A:A,0),0),0)</f>
        <v>0</v>
      </c>
      <c r="K3463" s="455">
        <f t="shared" ca="1" si="148"/>
        <v>-2775120407.5598221</v>
      </c>
      <c r="L3463" s="455">
        <f t="shared" ca="1" si="149"/>
        <v>-668804018221.91711</v>
      </c>
      <c r="M3463" s="471">
        <f t="shared" si="151"/>
        <v>0.05</v>
      </c>
      <c r="N3463" s="475">
        <f t="shared" si="152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50"/>
        <v>-668804018221.91711</v>
      </c>
      <c r="J3464" s="455">
        <f t="array" ref="J3464">IFERROR(INDEX('Retirement Calculator'!K:K,MATCH('Lorri 401b'!N3464,'Retirement Calculator'!A:A,0),0),0)</f>
        <v>0</v>
      </c>
      <c r="K3464" s="455">
        <f t="shared" ca="1" si="148"/>
        <v>-2786683409.257988</v>
      </c>
      <c r="L3464" s="455">
        <f t="shared" ca="1" si="149"/>
        <v>-671590701631.17505</v>
      </c>
      <c r="M3464" s="471">
        <f t="shared" si="151"/>
        <v>0.05</v>
      </c>
      <c r="N3464" s="475">
        <f t="shared" si="152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50"/>
        <v>-671590701631.17505</v>
      </c>
      <c r="J3465" s="455">
        <f t="array" ref="J3465">IFERROR(INDEX('Retirement Calculator'!K:K,MATCH('Lorri 401b'!N3465,'Retirement Calculator'!A:A,0),0),0)</f>
        <v>0</v>
      </c>
      <c r="K3465" s="455">
        <f t="shared" ca="1" si="148"/>
        <v>-2798294590.1298962</v>
      </c>
      <c r="L3465" s="455">
        <f t="shared" ca="1" si="149"/>
        <v>-674388996221.30493</v>
      </c>
      <c r="M3465" s="471">
        <f t="shared" si="151"/>
        <v>0.05</v>
      </c>
      <c r="N3465" s="475">
        <f t="shared" si="152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50"/>
        <v>-674388996221.30493</v>
      </c>
      <c r="J3466" s="455">
        <f t="array" ref="J3466">IFERROR(INDEX('Retirement Calculator'!K:K,MATCH('Lorri 401b'!N3466,'Retirement Calculator'!A:A,0),0),0)</f>
        <v>0</v>
      </c>
      <c r="K3466" s="455">
        <f t="shared" ca="1" si="148"/>
        <v>-2809954150.9221039</v>
      </c>
      <c r="L3466" s="455">
        <f t="shared" ca="1" si="149"/>
        <v>-677198950372.22705</v>
      </c>
      <c r="M3466" s="471">
        <f t="shared" si="151"/>
        <v>0.05</v>
      </c>
      <c r="N3466" s="475">
        <f t="shared" si="152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50"/>
        <v>-677198950372.22705</v>
      </c>
      <c r="J3467" s="455">
        <f t="array" ref="J3467">IFERROR(INDEX('Retirement Calculator'!K:K,MATCH('Lorri 401b'!N3467,'Retirement Calculator'!A:A,0),0),0)</f>
        <v>0</v>
      </c>
      <c r="K3467" s="455">
        <f t="shared" ca="1" si="148"/>
        <v>-2821662293.2176127</v>
      </c>
      <c r="L3467" s="455">
        <f t="shared" ca="1" si="149"/>
        <v>-680020612665.4447</v>
      </c>
      <c r="M3467" s="471">
        <f t="shared" si="151"/>
        <v>0.05</v>
      </c>
      <c r="N3467" s="475">
        <f t="shared" si="152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50"/>
        <v>-680020612665.4447</v>
      </c>
      <c r="J3468" s="455">
        <f t="array" ref="J3468">IFERROR(INDEX('Retirement Calculator'!K:K,MATCH('Lorri 401b'!N3468,'Retirement Calculator'!A:A,0),0),0)</f>
        <v>0</v>
      </c>
      <c r="K3468" s="455">
        <f t="shared" ca="1" si="148"/>
        <v>-2833419219.439353</v>
      </c>
      <c r="L3468" s="455">
        <f t="shared" ca="1" si="149"/>
        <v>-682854031884.88403</v>
      </c>
      <c r="M3468" s="471">
        <f t="shared" si="151"/>
        <v>0.05</v>
      </c>
      <c r="N3468" s="475">
        <f t="shared" si="152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50"/>
        <v>-682854031884.88403</v>
      </c>
      <c r="J3469" s="455">
        <f t="array" ref="J3469">IFERROR(INDEX('Retirement Calculator'!K:K,MATCH('Lorri 401b'!N3469,'Retirement Calculator'!A:A,0),0),0)</f>
        <v>0</v>
      </c>
      <c r="K3469" s="455">
        <f t="shared" ca="1" si="148"/>
        <v>-2845225132.8536835</v>
      </c>
      <c r="L3469" s="455">
        <f t="shared" ca="1" si="149"/>
        <v>-685699257017.73767</v>
      </c>
      <c r="M3469" s="471">
        <f t="shared" si="151"/>
        <v>0.05</v>
      </c>
      <c r="N3469" s="475">
        <f t="shared" si="152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50"/>
        <v>-685699257017.73767</v>
      </c>
      <c r="J3470" s="455">
        <f t="array" ref="J3470">IFERROR(INDEX('Retirement Calculator'!K:K,MATCH('Lorri 401b'!N3470,'Retirement Calculator'!A:A,0),0),0)</f>
        <v>0</v>
      </c>
      <c r="K3470" s="455">
        <f t="shared" ca="1" si="148"/>
        <v>-2857080237.5739069</v>
      </c>
      <c r="L3470" s="455">
        <f t="shared" ca="1" si="149"/>
        <v>-688556337255.31152</v>
      </c>
      <c r="M3470" s="471">
        <f t="shared" si="151"/>
        <v>0.05</v>
      </c>
      <c r="N3470" s="475">
        <f t="shared" si="152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50"/>
        <v>-688556337255.31152</v>
      </c>
      <c r="J3471" s="455">
        <f t="array" ref="J3471">IFERROR(INDEX('Retirement Calculator'!K:K,MATCH('Lorri 401b'!N3471,'Retirement Calculator'!A:A,0),0),0)</f>
        <v>0</v>
      </c>
      <c r="K3471" s="455">
        <f t="shared" ca="1" si="148"/>
        <v>-2868984738.563798</v>
      </c>
      <c r="L3471" s="455">
        <f t="shared" ca="1" si="149"/>
        <v>-691425321993.87537</v>
      </c>
      <c r="M3471" s="471">
        <f t="shared" si="151"/>
        <v>0.05</v>
      </c>
      <c r="N3471" s="475">
        <f t="shared" si="152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50"/>
        <v>-691425321993.87537</v>
      </c>
      <c r="J3472" s="455">
        <f t="array" ref="J3472">IFERROR(INDEX('Retirement Calculator'!K:K,MATCH('Lorri 401b'!N3472,'Retirement Calculator'!A:A,0),0),0)</f>
        <v>0</v>
      </c>
      <c r="K3472" s="455">
        <f t="shared" ca="1" si="148"/>
        <v>-2880938841.6411471</v>
      </c>
      <c r="L3472" s="455">
        <f t="shared" ca="1" si="149"/>
        <v>-694306260835.51648</v>
      </c>
      <c r="M3472" s="471">
        <f t="shared" si="151"/>
        <v>0.05</v>
      </c>
      <c r="N3472" s="475">
        <f t="shared" si="152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50"/>
        <v>-694306260835.51648</v>
      </c>
      <c r="J3473" s="455">
        <f t="array" ref="J3473">IFERROR(INDEX('Retirement Calculator'!K:K,MATCH('Lorri 401b'!N3473,'Retirement Calculator'!A:A,0),0),0)</f>
        <v>0</v>
      </c>
      <c r="K3473" s="455">
        <f t="shared" ca="1" si="148"/>
        <v>-2892942753.4813185</v>
      </c>
      <c r="L3473" s="455">
        <f t="shared" ca="1" si="149"/>
        <v>-697199203588.9978</v>
      </c>
      <c r="M3473" s="471">
        <f t="shared" si="151"/>
        <v>0.05</v>
      </c>
      <c r="N3473" s="475">
        <f t="shared" si="152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50"/>
        <v>-697199203588.9978</v>
      </c>
      <c r="J3474" s="455">
        <f t="array" ref="J3474">IFERROR(INDEX('Retirement Calculator'!K:K,MATCH('Lorri 401b'!N3474,'Retirement Calculator'!A:A,0),0),0)</f>
        <v>0</v>
      </c>
      <c r="K3474" s="455">
        <f t="shared" ca="1" si="148"/>
        <v>-2904996681.6208243</v>
      </c>
      <c r="L3474" s="455">
        <f t="shared" ca="1" si="149"/>
        <v>-700104200270.61865</v>
      </c>
      <c r="M3474" s="471">
        <f t="shared" si="151"/>
        <v>0.05</v>
      </c>
      <c r="N3474" s="475">
        <f t="shared" si="152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50"/>
        <v>-700104200270.61865</v>
      </c>
      <c r="J3475" s="455">
        <f t="array" ref="J3475">IFERROR(INDEX('Retirement Calculator'!K:K,MATCH('Lorri 401b'!N3475,'Retirement Calculator'!A:A,0),0),0)</f>
        <v>0</v>
      </c>
      <c r="K3475" s="455">
        <f t="shared" ca="1" si="148"/>
        <v>-2917100834.4609108</v>
      </c>
      <c r="L3475" s="455">
        <f t="shared" ca="1" si="149"/>
        <v>-703021301105.07959</v>
      </c>
      <c r="M3475" s="471">
        <f t="shared" si="151"/>
        <v>0.05</v>
      </c>
      <c r="N3475" s="475">
        <f t="shared" si="152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50"/>
        <v>-703021301105.07959</v>
      </c>
      <c r="J3476" s="455">
        <f t="array" ref="J3476">IFERROR(INDEX('Retirement Calculator'!K:K,MATCH('Lorri 401b'!N3476,'Retirement Calculator'!A:A,0),0),0)</f>
        <v>0</v>
      </c>
      <c r="K3476" s="455">
        <f t="shared" ca="1" si="148"/>
        <v>-2929255421.2711649</v>
      </c>
      <c r="L3476" s="455">
        <f t="shared" ca="1" si="149"/>
        <v>-705950556526.35071</v>
      </c>
      <c r="M3476" s="471">
        <f t="shared" si="151"/>
        <v>0.05</v>
      </c>
      <c r="N3476" s="475">
        <f t="shared" si="152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50"/>
        <v>-705950556526.35071</v>
      </c>
      <c r="J3477" s="455">
        <f t="array" ref="J3477">IFERROR(INDEX('Retirement Calculator'!K:K,MATCH('Lorri 401b'!N3477,'Retirement Calculator'!A:A,0),0),0)</f>
        <v>0</v>
      </c>
      <c r="K3477" s="455">
        <f t="shared" ca="1" si="148"/>
        <v>-2941460652.1931281</v>
      </c>
      <c r="L3477" s="455">
        <f t="shared" ca="1" si="149"/>
        <v>-708892017178.54382</v>
      </c>
      <c r="M3477" s="471">
        <f t="shared" si="151"/>
        <v>0.05</v>
      </c>
      <c r="N3477" s="475">
        <f t="shared" si="152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50"/>
        <v>-708892017178.54382</v>
      </c>
      <c r="J3478" s="455">
        <f t="array" ref="J3478">IFERROR(INDEX('Retirement Calculator'!K:K,MATCH('Lorri 401b'!N3478,'Retirement Calculator'!A:A,0),0),0)</f>
        <v>0</v>
      </c>
      <c r="K3478" s="455">
        <f t="shared" ca="1" si="148"/>
        <v>-2953716738.2439327</v>
      </c>
      <c r="L3478" s="455">
        <f t="shared" ca="1" si="149"/>
        <v>-711845733916.78772</v>
      </c>
      <c r="M3478" s="471">
        <f t="shared" si="151"/>
        <v>0.05</v>
      </c>
      <c r="N3478" s="475">
        <f t="shared" si="152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50"/>
        <v>-711845733916.78772</v>
      </c>
      <c r="J3479" s="455">
        <f t="array" ref="J3479">IFERROR(INDEX('Retirement Calculator'!K:K,MATCH('Lorri 401b'!N3479,'Retirement Calculator'!A:A,0),0),0)</f>
        <v>0</v>
      </c>
      <c r="K3479" s="455">
        <f t="shared" ca="1" si="148"/>
        <v>-2966023891.3199487</v>
      </c>
      <c r="L3479" s="455">
        <f t="shared" ca="1" si="149"/>
        <v>-714811757808.10767</v>
      </c>
      <c r="M3479" s="471">
        <f t="shared" si="151"/>
        <v>0.05</v>
      </c>
      <c r="N3479" s="475">
        <f t="shared" si="152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50"/>
        <v>-714811757808.10767</v>
      </c>
      <c r="J3480" s="455">
        <f t="array" ref="J3480">IFERROR(INDEX('Retirement Calculator'!K:K,MATCH('Lorri 401b'!N3480,'Retirement Calculator'!A:A,0),0),0)</f>
        <v>0</v>
      </c>
      <c r="K3480" s="455">
        <f t="shared" ca="1" si="148"/>
        <v>-2978382324.2004485</v>
      </c>
      <c r="L3480" s="455">
        <f t="shared" ca="1" si="149"/>
        <v>-717790140132.30811</v>
      </c>
      <c r="M3480" s="471">
        <f t="shared" si="151"/>
        <v>0.05</v>
      </c>
      <c r="N3480" s="475">
        <f t="shared" si="152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50"/>
        <v>-717790140132.30811</v>
      </c>
      <c r="J3481" s="455">
        <f t="array" ref="J3481">IFERROR(INDEX('Retirement Calculator'!K:K,MATCH('Lorri 401b'!N3481,'Retirement Calculator'!A:A,0),0),0)</f>
        <v>0</v>
      </c>
      <c r="K3481" s="455">
        <f t="shared" ca="1" si="148"/>
        <v>-2990792250.5512838</v>
      </c>
      <c r="L3481" s="455">
        <f t="shared" ca="1" si="149"/>
        <v>-720780932382.85938</v>
      </c>
      <c r="M3481" s="471">
        <f t="shared" si="151"/>
        <v>0.05</v>
      </c>
      <c r="N3481" s="475">
        <f t="shared" si="152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50"/>
        <v>-720780932382.85938</v>
      </c>
      <c r="J3482" s="455">
        <f t="array" ref="J3482">IFERROR(INDEX('Retirement Calculator'!K:K,MATCH('Lorri 401b'!N3482,'Retirement Calculator'!A:A,0),0),0)</f>
        <v>0</v>
      </c>
      <c r="K3482" s="455">
        <f t="shared" ca="1" si="148"/>
        <v>-3003253884.9285808</v>
      </c>
      <c r="L3482" s="455">
        <f t="shared" ca="1" si="149"/>
        <v>-723784186267.78796</v>
      </c>
      <c r="M3482" s="471">
        <f t="shared" si="151"/>
        <v>0.05</v>
      </c>
      <c r="N3482" s="475">
        <f t="shared" si="152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50"/>
        <v>-723784186267.78796</v>
      </c>
      <c r="J3483" s="455">
        <f t="array" ref="J3483">IFERROR(INDEX('Retirement Calculator'!K:K,MATCH('Lorri 401b'!N3483,'Retirement Calculator'!A:A,0),0),0)</f>
        <v>0</v>
      </c>
      <c r="K3483" s="455">
        <f t="shared" ca="1" si="148"/>
        <v>-3015767442.7824497</v>
      </c>
      <c r="L3483" s="455">
        <f t="shared" ca="1" si="149"/>
        <v>-726799953710.57043</v>
      </c>
      <c r="M3483" s="471">
        <f t="shared" si="151"/>
        <v>0.05</v>
      </c>
      <c r="N3483" s="475">
        <f t="shared" si="152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50"/>
        <v>-726799953710.57043</v>
      </c>
      <c r="J3484" s="455">
        <f t="array" ref="J3484">IFERROR(INDEX('Retirement Calculator'!K:K,MATCH('Lorri 401b'!N3484,'Retirement Calculator'!A:A,0),0),0)</f>
        <v>0</v>
      </c>
      <c r="K3484" s="455">
        <f t="shared" ca="1" si="148"/>
        <v>-3028333140.46071</v>
      </c>
      <c r="L3484" s="455">
        <f t="shared" ca="1" si="149"/>
        <v>-729828286851.03113</v>
      </c>
      <c r="M3484" s="471">
        <f t="shared" si="151"/>
        <v>0.05</v>
      </c>
      <c r="N3484" s="475">
        <f t="shared" si="152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50"/>
        <v>-729828286851.03113</v>
      </c>
      <c r="J3485" s="455">
        <f t="array" ref="J3485">IFERROR(INDEX('Retirement Calculator'!K:K,MATCH('Lorri 401b'!N3485,'Retirement Calculator'!A:A,0),0),0)</f>
        <v>0</v>
      </c>
      <c r="K3485" s="455">
        <f t="shared" ca="1" si="148"/>
        <v>-3040951195.2126298</v>
      </c>
      <c r="L3485" s="455">
        <f t="shared" ca="1" si="149"/>
        <v>-732869238046.24377</v>
      </c>
      <c r="M3485" s="471">
        <f t="shared" si="151"/>
        <v>0.05</v>
      </c>
      <c r="N3485" s="475">
        <f t="shared" si="152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50"/>
        <v>-732869238046.24377</v>
      </c>
      <c r="J3486" s="455">
        <f t="array" ref="J3486">IFERROR(INDEX('Retirement Calculator'!K:K,MATCH('Lorri 401b'!N3486,'Retirement Calculator'!A:A,0),0),0)</f>
        <v>0</v>
      </c>
      <c r="K3486" s="455">
        <f t="shared" ca="1" si="148"/>
        <v>-3053621825.1926823</v>
      </c>
      <c r="L3486" s="455">
        <f t="shared" ca="1" si="149"/>
        <v>-735922859871.4364</v>
      </c>
      <c r="M3486" s="471">
        <f t="shared" si="151"/>
        <v>0.05</v>
      </c>
      <c r="N3486" s="475">
        <f t="shared" si="152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50"/>
        <v>-735922859871.4364</v>
      </c>
      <c r="J3487" s="455">
        <f t="array" ref="J3487">IFERROR(INDEX('Retirement Calculator'!K:K,MATCH('Lorri 401b'!N3487,'Retirement Calculator'!A:A,0),0),0)</f>
        <v>0</v>
      </c>
      <c r="K3487" s="455">
        <f t="shared" ca="1" si="148"/>
        <v>-3066345249.4643183</v>
      </c>
      <c r="L3487" s="455">
        <f t="shared" ca="1" si="149"/>
        <v>-738989205120.90076</v>
      </c>
      <c r="M3487" s="471">
        <f t="shared" si="151"/>
        <v>0.05</v>
      </c>
      <c r="N3487" s="475">
        <f t="shared" si="152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50"/>
        <v>-738989205120.90076</v>
      </c>
      <c r="J3488" s="455">
        <f t="array" ref="J3488">IFERROR(INDEX('Retirement Calculator'!K:K,MATCH('Lorri 401b'!N3488,'Retirement Calculator'!A:A,0),0),0)</f>
        <v>0</v>
      </c>
      <c r="K3488" s="455">
        <f t="shared" ca="1" si="148"/>
        <v>-3079121688.0037532</v>
      </c>
      <c r="L3488" s="455">
        <f t="shared" ca="1" si="149"/>
        <v>-742068326808.90454</v>
      </c>
      <c r="M3488" s="471">
        <f t="shared" si="151"/>
        <v>0.05</v>
      </c>
      <c r="N3488" s="475">
        <f t="shared" si="152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50"/>
        <v>-742068326808.90454</v>
      </c>
      <c r="J3489" s="455">
        <f t="array" ref="J3489">IFERROR(INDEX('Retirement Calculator'!K:K,MATCH('Lorri 401b'!N3489,'Retirement Calculator'!A:A,0),0),0)</f>
        <v>0</v>
      </c>
      <c r="K3489" s="455">
        <f t="shared" ca="1" si="148"/>
        <v>-3091951361.7037687</v>
      </c>
      <c r="L3489" s="455">
        <f t="shared" ca="1" si="149"/>
        <v>-745160278170.60828</v>
      </c>
      <c r="M3489" s="471">
        <f t="shared" si="151"/>
        <v>0.05</v>
      </c>
      <c r="N3489" s="475">
        <f t="shared" si="152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50"/>
        <v>-745160278170.60828</v>
      </c>
      <c r="J3490" s="455">
        <f t="array" ref="J3490">IFERROR(INDEX('Retirement Calculator'!K:K,MATCH('Lorri 401b'!N3490,'Retirement Calculator'!A:A,0),0),0)</f>
        <v>0</v>
      </c>
      <c r="K3490" s="455">
        <f t="shared" ca="1" si="148"/>
        <v>-3104834492.3775344</v>
      </c>
      <c r="L3490" s="455">
        <f t="shared" ca="1" si="149"/>
        <v>-748265112662.98584</v>
      </c>
      <c r="M3490" s="471">
        <f t="shared" si="151"/>
        <v>0.05</v>
      </c>
      <c r="N3490" s="475">
        <f t="shared" si="152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50"/>
        <v>-748265112662.98584</v>
      </c>
      <c r="J3491" s="455">
        <f t="array" ref="J3491">IFERROR(INDEX('Retirement Calculator'!K:K,MATCH('Lorri 401b'!N3491,'Retirement Calculator'!A:A,0),0),0)</f>
        <v>0</v>
      </c>
      <c r="K3491" s="455">
        <f t="shared" ca="1" si="148"/>
        <v>-3117771302.7624412</v>
      </c>
      <c r="L3491" s="455">
        <f t="shared" ca="1" si="149"/>
        <v>-751382883965.74829</v>
      </c>
      <c r="M3491" s="471">
        <f t="shared" si="151"/>
        <v>0.05</v>
      </c>
      <c r="N3491" s="475">
        <f t="shared" si="152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50"/>
        <v>-751382883965.74829</v>
      </c>
      <c r="J3492" s="455">
        <f t="array" ref="J3492">IFERROR(INDEX('Retirement Calculator'!K:K,MATCH('Lorri 401b'!N3492,'Retirement Calculator'!A:A,0),0),0)</f>
        <v>0</v>
      </c>
      <c r="K3492" s="455">
        <f t="shared" ca="1" si="148"/>
        <v>-3130762016.5239511</v>
      </c>
      <c r="L3492" s="455">
        <f t="shared" ca="1" si="149"/>
        <v>-754513645982.27222</v>
      </c>
      <c r="M3492" s="471">
        <f t="shared" si="151"/>
        <v>0.05</v>
      </c>
      <c r="N3492" s="475">
        <f t="shared" si="152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50"/>
        <v>-754513645982.27222</v>
      </c>
      <c r="J3493" s="455">
        <f t="array" ref="J3493">IFERROR(INDEX('Retirement Calculator'!K:K,MATCH('Lorri 401b'!N3493,'Retirement Calculator'!A:A,0),0),0)</f>
        <v>0</v>
      </c>
      <c r="K3493" s="455">
        <f t="shared" ca="1" si="148"/>
        <v>-3143806858.2594676</v>
      </c>
      <c r="L3493" s="455">
        <f t="shared" ca="1" si="149"/>
        <v>-757657452840.53174</v>
      </c>
      <c r="M3493" s="471">
        <f t="shared" si="151"/>
        <v>0.05</v>
      </c>
      <c r="N3493" s="475">
        <f t="shared" si="152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50"/>
        <v>-757657452840.53174</v>
      </c>
      <c r="J3494" s="455">
        <f t="array" ref="J3494">IFERROR(INDEX('Retirement Calculator'!K:K,MATCH('Lorri 401b'!N3494,'Retirement Calculator'!A:A,0),0),0)</f>
        <v>0</v>
      </c>
      <c r="K3494" s="455">
        <f t="shared" ca="1" si="148"/>
        <v>-3156906053.5022154</v>
      </c>
      <c r="L3494" s="455">
        <f t="shared" ca="1" si="149"/>
        <v>-760814358894.03394</v>
      </c>
      <c r="M3494" s="471">
        <f t="shared" si="151"/>
        <v>0.05</v>
      </c>
      <c r="N3494" s="475">
        <f t="shared" si="152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50"/>
        <v>-760814358894.03394</v>
      </c>
      <c r="J3495" s="455">
        <f t="array" ref="J3495">IFERROR(INDEX('Retirement Calculator'!K:K,MATCH('Lorri 401b'!N3495,'Retirement Calculator'!A:A,0),0),0)</f>
        <v>0</v>
      </c>
      <c r="K3495" s="455">
        <f t="shared" ca="1" si="148"/>
        <v>-3170059828.7251415</v>
      </c>
      <c r="L3495" s="455">
        <f t="shared" ca="1" si="149"/>
        <v>-763984418722.75903</v>
      </c>
      <c r="M3495" s="471">
        <f t="shared" si="151"/>
        <v>0.05</v>
      </c>
      <c r="N3495" s="475">
        <f t="shared" si="152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50"/>
        <v>-763984418722.75903</v>
      </c>
      <c r="J3496" s="455">
        <f t="array" ref="J3496">IFERROR(INDEX('Retirement Calculator'!K:K,MATCH('Lorri 401b'!N3496,'Retirement Calculator'!A:A,0),0),0)</f>
        <v>0</v>
      </c>
      <c r="K3496" s="455">
        <f t="shared" ca="1" si="148"/>
        <v>-3183268411.3448291</v>
      </c>
      <c r="L3496" s="455">
        <f t="shared" ca="1" si="149"/>
        <v>-767167687134.10388</v>
      </c>
      <c r="M3496" s="471">
        <f t="shared" si="151"/>
        <v>0.05</v>
      </c>
      <c r="N3496" s="475">
        <f t="shared" si="152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50"/>
        <v>-767167687134.10388</v>
      </c>
      <c r="J3497" s="455">
        <f t="array" ref="J3497">IFERROR(INDEX('Retirement Calculator'!K:K,MATCH('Lorri 401b'!N3497,'Retirement Calculator'!A:A,0),0),0)</f>
        <v>0</v>
      </c>
      <c r="K3497" s="455">
        <f t="shared" ca="1" si="148"/>
        <v>-3196532029.7254329</v>
      </c>
      <c r="L3497" s="455">
        <f t="shared" ca="1" si="149"/>
        <v>-770364219163.82935</v>
      </c>
      <c r="M3497" s="471">
        <f t="shared" si="151"/>
        <v>0.05</v>
      </c>
      <c r="N3497" s="475">
        <f t="shared" si="152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50"/>
        <v>-770364219163.82935</v>
      </c>
      <c r="J3498" s="455">
        <f t="array" ref="J3498">IFERROR(INDEX('Retirement Calculator'!K:K,MATCH('Lorri 401b'!N3498,'Retirement Calculator'!A:A,0),0),0)</f>
        <v>0</v>
      </c>
      <c r="K3498" s="455">
        <f t="shared" ca="1" si="148"/>
        <v>-3209850913.1826224</v>
      </c>
      <c r="L3498" s="455">
        <f t="shared" ca="1" si="149"/>
        <v>-773574070077.01196</v>
      </c>
      <c r="M3498" s="471">
        <f t="shared" si="151"/>
        <v>0.05</v>
      </c>
      <c r="N3498" s="475">
        <f t="shared" si="152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50"/>
        <v>-773574070077.01196</v>
      </c>
      <c r="J3499" s="455">
        <f t="array" ref="J3499">IFERROR(INDEX('Retirement Calculator'!K:K,MATCH('Lorri 401b'!N3499,'Retirement Calculator'!A:A,0),0),0)</f>
        <v>0</v>
      </c>
      <c r="K3499" s="455">
        <f t="shared" ca="1" si="148"/>
        <v>-3223225291.9875498</v>
      </c>
      <c r="L3499" s="455">
        <f t="shared" ca="1" si="149"/>
        <v>-776797295368.99951</v>
      </c>
      <c r="M3499" s="471">
        <f t="shared" si="151"/>
        <v>0.05</v>
      </c>
      <c r="N3499" s="475">
        <f t="shared" si="152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50"/>
        <v>-776797295368.99951</v>
      </c>
      <c r="J3500" s="455">
        <f t="array" ref="J3500">IFERROR(INDEX('Retirement Calculator'!K:K,MATCH('Lorri 401b'!N3500,'Retirement Calculator'!A:A,0),0),0)</f>
        <v>0</v>
      </c>
      <c r="K3500" s="455">
        <f t="shared" ca="1" si="148"/>
        <v>-3236655397.3708315</v>
      </c>
      <c r="L3500" s="455">
        <f t="shared" ca="1" si="149"/>
        <v>-780033950766.37036</v>
      </c>
      <c r="M3500" s="471">
        <f t="shared" si="151"/>
        <v>0.05</v>
      </c>
      <c r="N3500" s="475">
        <f t="shared" si="152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50"/>
        <v>-780033950766.37036</v>
      </c>
      <c r="J3501" s="455">
        <f t="array" ref="J3501">IFERROR(INDEX('Retirement Calculator'!K:K,MATCH('Lorri 401b'!N3501,'Retirement Calculator'!A:A,0),0),0)</f>
        <v>0</v>
      </c>
      <c r="K3501" s="455">
        <f t="shared" ca="1" si="148"/>
        <v>-3250141461.5265431</v>
      </c>
      <c r="L3501" s="455">
        <f t="shared" ca="1" si="149"/>
        <v>-783284092227.89685</v>
      </c>
      <c r="M3501" s="471">
        <f t="shared" si="151"/>
        <v>0.05</v>
      </c>
      <c r="N3501" s="475">
        <f t="shared" si="152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50"/>
        <v>-783284092227.89685</v>
      </c>
      <c r="J3502" s="455">
        <f t="array" ref="J3502">IFERROR(INDEX('Retirement Calculator'!K:K,MATCH('Lorri 401b'!N3502,'Retirement Calculator'!A:A,0),0),0)</f>
        <v>0</v>
      </c>
      <c r="K3502" s="455">
        <f t="shared" ca="1" si="148"/>
        <v>-3263683717.6162367</v>
      </c>
      <c r="L3502" s="455">
        <f t="shared" ca="1" si="149"/>
        <v>-786547775945.51306</v>
      </c>
      <c r="M3502" s="471">
        <f t="shared" si="151"/>
        <v>0.05</v>
      </c>
      <c r="N3502" s="475">
        <f t="shared" si="152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50"/>
        <v>-786547775945.51306</v>
      </c>
      <c r="J3503" s="455">
        <f t="array" ref="J3503">IFERROR(INDEX('Retirement Calculator'!K:K,MATCH('Lorri 401b'!N3503,'Retirement Calculator'!A:A,0),0),0)</f>
        <v>0</v>
      </c>
      <c r="K3503" s="455">
        <f t="shared" ca="1" si="148"/>
        <v>-3277282399.7729712</v>
      </c>
      <c r="L3503" s="455">
        <f t="shared" ca="1" si="149"/>
        <v>-789825058345.28601</v>
      </c>
      <c r="M3503" s="471">
        <f t="shared" si="151"/>
        <v>0.05</v>
      </c>
      <c r="N3503" s="475">
        <f t="shared" si="152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50"/>
        <v>-789825058345.28601</v>
      </c>
      <c r="J3504" s="455">
        <f t="array" ref="J3504">IFERROR(INDEX('Retirement Calculator'!K:K,MATCH('Lorri 401b'!N3504,'Retirement Calculator'!A:A,0),0),0)</f>
        <v>0</v>
      </c>
      <c r="K3504" s="455">
        <f t="shared" ca="1" si="148"/>
        <v>-3290937743.1053581</v>
      </c>
      <c r="L3504" s="455">
        <f t="shared" ca="1" si="149"/>
        <v>-793115996088.39136</v>
      </c>
      <c r="M3504" s="471">
        <f t="shared" si="151"/>
        <v>0.05</v>
      </c>
      <c r="N3504" s="475">
        <f t="shared" si="152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50"/>
        <v>-793115996088.39136</v>
      </c>
      <c r="J3505" s="455">
        <f t="array" ref="J3505">IFERROR(INDEX('Retirement Calculator'!K:K,MATCH('Lorri 401b'!N3505,'Retirement Calculator'!A:A,0),0),0)</f>
        <v>0</v>
      </c>
      <c r="K3505" s="455">
        <f t="shared" ca="1" si="148"/>
        <v>-3304649983.7016306</v>
      </c>
      <c r="L3505" s="455">
        <f t="shared" ca="1" si="149"/>
        <v>-796420646072.09302</v>
      </c>
      <c r="M3505" s="471">
        <f t="shared" si="151"/>
        <v>0.05</v>
      </c>
      <c r="N3505" s="475">
        <f t="shared" si="152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50"/>
        <v>-796420646072.09302</v>
      </c>
      <c r="J3506" s="455">
        <f t="array" ref="J3506">IFERROR(INDEX('Retirement Calculator'!K:K,MATCH('Lorri 401b'!N3506,'Retirement Calculator'!A:A,0),0),0)</f>
        <v>0</v>
      </c>
      <c r="K3506" s="455">
        <f t="shared" ca="1" si="148"/>
        <v>-3318419358.6337209</v>
      </c>
      <c r="L3506" s="455">
        <f t="shared" ca="1" si="149"/>
        <v>-799739065430.72668</v>
      </c>
      <c r="M3506" s="471">
        <f t="shared" si="151"/>
        <v>0.05</v>
      </c>
      <c r="N3506" s="475">
        <f t="shared" si="152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50"/>
        <v>-799739065430.72668</v>
      </c>
      <c r="J3507" s="455">
        <f t="array" ref="J3507">IFERROR(INDEX('Retirement Calculator'!K:K,MATCH('Lorri 401b'!N3507,'Retirement Calculator'!A:A,0),0),0)</f>
        <v>0</v>
      </c>
      <c r="K3507" s="455">
        <f t="shared" ca="1" si="148"/>
        <v>-3332246105.9613609</v>
      </c>
      <c r="L3507" s="455">
        <f t="shared" ca="1" si="149"/>
        <v>-803071311536.68799</v>
      </c>
      <c r="M3507" s="471">
        <f t="shared" si="151"/>
        <v>0.05</v>
      </c>
      <c r="N3507" s="475">
        <f t="shared" si="152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50"/>
        <v>-803071311536.68799</v>
      </c>
      <c r="J3508" s="455">
        <f t="array" ref="J3508">IFERROR(INDEX('Retirement Calculator'!K:K,MATCH('Lorri 401b'!N3508,'Retirement Calculator'!A:A,0),0),0)</f>
        <v>0</v>
      </c>
      <c r="K3508" s="455">
        <f t="shared" ca="1" si="148"/>
        <v>-3346130464.7361999</v>
      </c>
      <c r="L3508" s="455">
        <f t="shared" ca="1" si="149"/>
        <v>-806417442001.42419</v>
      </c>
      <c r="M3508" s="471">
        <f t="shared" si="151"/>
        <v>0.05</v>
      </c>
      <c r="N3508" s="475">
        <f t="shared" si="152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50"/>
        <v>-806417442001.42419</v>
      </c>
      <c r="J3509" s="455">
        <f t="array" ref="J3509">IFERROR(INDEX('Retirement Calculator'!K:K,MATCH('Lorri 401b'!N3509,'Retirement Calculator'!A:A,0),0),0)</f>
        <v>0</v>
      </c>
      <c r="K3509" s="455">
        <f t="shared" ca="1" si="148"/>
        <v>-3360072675.0059342</v>
      </c>
      <c r="L3509" s="455">
        <f t="shared" ca="1" si="149"/>
        <v>-809777514676.43018</v>
      </c>
      <c r="M3509" s="471">
        <f t="shared" si="151"/>
        <v>0.05</v>
      </c>
      <c r="N3509" s="475">
        <f t="shared" si="152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50"/>
        <v>-809777514676.43018</v>
      </c>
      <c r="J3510" s="455">
        <f t="array" ref="J3510">IFERROR(INDEX('Retirement Calculator'!K:K,MATCH('Lorri 401b'!N3510,'Retirement Calculator'!A:A,0),0),0)</f>
        <v>0</v>
      </c>
      <c r="K3510" s="455">
        <f t="shared" ca="1" si="148"/>
        <v>-3374072977.818459</v>
      </c>
      <c r="L3510" s="455">
        <f t="shared" ca="1" si="149"/>
        <v>-813151587654.24866</v>
      </c>
      <c r="M3510" s="471">
        <f t="shared" si="151"/>
        <v>0.05</v>
      </c>
      <c r="N3510" s="475">
        <f t="shared" si="152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50"/>
        <v>-813151587654.24866</v>
      </c>
      <c r="J3511" s="455">
        <f t="array" ref="J3511">IFERROR(INDEX('Retirement Calculator'!K:K,MATCH('Lorri 401b'!N3511,'Retirement Calculator'!A:A,0),0),0)</f>
        <v>0</v>
      </c>
      <c r="K3511" s="455">
        <f t="shared" ca="1" si="148"/>
        <v>-3388131615.2260361</v>
      </c>
      <c r="L3511" s="455">
        <f t="shared" ca="1" si="149"/>
        <v>-816539719269.47473</v>
      </c>
      <c r="M3511" s="471">
        <f t="shared" si="151"/>
        <v>0.05</v>
      </c>
      <c r="N3511" s="475">
        <f t="shared" si="152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50"/>
        <v>-816539719269.47473</v>
      </c>
      <c r="J3512" s="455">
        <f t="array" ref="J3512">IFERROR(INDEX('Retirement Calculator'!K:K,MATCH('Lorri 401b'!N3512,'Retirement Calculator'!A:A,0),0),0)</f>
        <v>0</v>
      </c>
      <c r="K3512" s="455">
        <f t="shared" ca="1" si="148"/>
        <v>-3402248830.2894778</v>
      </c>
      <c r="L3512" s="455">
        <f t="shared" ca="1" si="149"/>
        <v>-819941968099.76416</v>
      </c>
      <c r="M3512" s="471">
        <f t="shared" si="151"/>
        <v>0.05</v>
      </c>
      <c r="N3512" s="475">
        <f t="shared" si="152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50"/>
        <v>-819941968099.76416</v>
      </c>
      <c r="J3513" s="455">
        <f t="array" ref="J3513">IFERROR(INDEX('Retirement Calculator'!K:K,MATCH('Lorri 401b'!N3513,'Retirement Calculator'!A:A,0),0),0)</f>
        <v>0</v>
      </c>
      <c r="K3513" s="455">
        <f t="shared" ca="1" si="148"/>
        <v>-3416424867.0823507</v>
      </c>
      <c r="L3513" s="455">
        <f t="shared" ca="1" si="149"/>
        <v>-823358392966.84656</v>
      </c>
      <c r="M3513" s="471">
        <f t="shared" si="151"/>
        <v>0.05</v>
      </c>
      <c r="N3513" s="475">
        <f t="shared" si="152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50"/>
        <v>-823358392966.84656</v>
      </c>
      <c r="J3514" s="455">
        <f t="array" ref="J3514">IFERROR(INDEX('Retirement Calculator'!K:K,MATCH('Lorri 401b'!N3514,'Retirement Calculator'!A:A,0),0),0)</f>
        <v>0</v>
      </c>
      <c r="K3514" s="455">
        <f t="shared" ca="1" si="148"/>
        <v>-3430659970.6951938</v>
      </c>
      <c r="L3514" s="455">
        <f t="shared" ca="1" si="149"/>
        <v>-826789052937.54175</v>
      </c>
      <c r="M3514" s="471">
        <f t="shared" si="151"/>
        <v>0.05</v>
      </c>
      <c r="N3514" s="475">
        <f t="shared" si="152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50"/>
        <v>-826789052937.54175</v>
      </c>
      <c r="J3515" s="455">
        <f t="array" ref="J3515">IFERROR(INDEX('Retirement Calculator'!K:K,MATCH('Lorri 401b'!N3515,'Retirement Calculator'!A:A,0),0),0)</f>
        <v>0</v>
      </c>
      <c r="K3515" s="455">
        <f t="shared" ca="1" si="148"/>
        <v>-3444954387.2397571</v>
      </c>
      <c r="L3515" s="455">
        <f t="shared" ca="1" si="149"/>
        <v>-830234007324.78149</v>
      </c>
      <c r="M3515" s="471">
        <f t="shared" si="151"/>
        <v>0.05</v>
      </c>
      <c r="N3515" s="475">
        <f t="shared" si="152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50"/>
        <v>-830234007324.78149</v>
      </c>
      <c r="J3516" s="455">
        <f t="array" ref="J3516">IFERROR(INDEX('Retirement Calculator'!K:K,MATCH('Lorri 401b'!N3516,'Retirement Calculator'!A:A,0),0),0)</f>
        <v>0</v>
      </c>
      <c r="K3516" s="455">
        <f t="shared" ca="1" si="148"/>
        <v>-3459308363.8532562</v>
      </c>
      <c r="L3516" s="455">
        <f t="shared" ca="1" si="149"/>
        <v>-833693315688.63477</v>
      </c>
      <c r="M3516" s="471">
        <f t="shared" si="151"/>
        <v>0.05</v>
      </c>
      <c r="N3516" s="475">
        <f t="shared" si="152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50"/>
        <v>-833693315688.63477</v>
      </c>
      <c r="J3517" s="455">
        <f t="array" ref="J3517">IFERROR(INDEX('Retirement Calculator'!K:K,MATCH('Lorri 401b'!N3517,'Retirement Calculator'!A:A,0),0),0)</f>
        <v>0</v>
      </c>
      <c r="K3517" s="455">
        <f t="shared" ca="1" si="148"/>
        <v>-3473722148.7026448</v>
      </c>
      <c r="L3517" s="455">
        <f t="shared" ca="1" si="149"/>
        <v>-837167037837.3374</v>
      </c>
      <c r="M3517" s="471">
        <f t="shared" si="151"/>
        <v>0.05</v>
      </c>
      <c r="N3517" s="475">
        <f t="shared" si="152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50"/>
        <v>-837167037837.3374</v>
      </c>
      <c r="J3518" s="455">
        <f t="array" ref="J3518">IFERROR(INDEX('Retirement Calculator'!K:K,MATCH('Lorri 401b'!N3518,'Retirement Calculator'!A:A,0),0),0)</f>
        <v>0</v>
      </c>
      <c r="K3518" s="455">
        <f t="shared" ca="1" si="148"/>
        <v>-3488195990.9889059</v>
      </c>
      <c r="L3518" s="455">
        <f t="shared" ca="1" si="149"/>
        <v>-840655233828.32629</v>
      </c>
      <c r="M3518" s="471">
        <f t="shared" si="151"/>
        <v>0.05</v>
      </c>
      <c r="N3518" s="475">
        <f t="shared" si="152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50"/>
        <v>-840655233828.32629</v>
      </c>
      <c r="J3519" s="455">
        <f t="array" ref="J3519">IFERROR(INDEX('Retirement Calculator'!K:K,MATCH('Lorri 401b'!N3519,'Retirement Calculator'!A:A,0),0),0)</f>
        <v>0</v>
      </c>
      <c r="K3519" s="455">
        <f t="shared" ca="1" si="148"/>
        <v>-3502730140.9513593</v>
      </c>
      <c r="L3519" s="455">
        <f t="shared" ca="1" si="149"/>
        <v>-844157963969.27771</v>
      </c>
      <c r="M3519" s="471">
        <f t="shared" si="151"/>
        <v>0.05</v>
      </c>
      <c r="N3519" s="475">
        <f t="shared" si="152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50"/>
        <v>-844157963969.27771</v>
      </c>
      <c r="J3520" s="455">
        <f t="array" ref="J3520">IFERROR(INDEX('Retirement Calculator'!K:K,MATCH('Lorri 401b'!N3520,'Retirement Calculator'!A:A,0),0),0)</f>
        <v>0</v>
      </c>
      <c r="K3520" s="455">
        <f t="shared" ca="1" si="148"/>
        <v>-3517324849.8719902</v>
      </c>
      <c r="L3520" s="455">
        <f t="shared" ca="1" si="149"/>
        <v>-847675288819.14966</v>
      </c>
      <c r="M3520" s="471">
        <f t="shared" si="151"/>
        <v>0.05</v>
      </c>
      <c r="N3520" s="475">
        <f t="shared" si="152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50"/>
        <v>-847675288819.14966</v>
      </c>
      <c r="J3521" s="455">
        <f t="array" ref="J3521">IFERROR(INDEX('Retirement Calculator'!K:K,MATCH('Lorri 401b'!N3521,'Retirement Calculator'!A:A,0),0),0)</f>
        <v>0</v>
      </c>
      <c r="K3521" s="455">
        <f t="shared" ca="1" si="148"/>
        <v>-3531980370.0797901</v>
      </c>
      <c r="L3521" s="455">
        <f t="shared" ca="1" si="149"/>
        <v>-851207269189.22949</v>
      </c>
      <c r="M3521" s="471">
        <f t="shared" si="151"/>
        <v>0.05</v>
      </c>
      <c r="N3521" s="475">
        <f t="shared" si="152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50"/>
        <v>-851207269189.22949</v>
      </c>
      <c r="J3522" s="455">
        <f t="array" ref="J3522">IFERROR(INDEX('Retirement Calculator'!K:K,MATCH('Lorri 401b'!N3522,'Retirement Calculator'!A:A,0),0),0)</f>
        <v>0</v>
      </c>
      <c r="K3522" s="455">
        <f t="shared" ca="1" si="148"/>
        <v>-3546696954.9551229</v>
      </c>
      <c r="L3522" s="455">
        <f t="shared" ca="1" si="149"/>
        <v>-854753966144.18457</v>
      </c>
      <c r="M3522" s="471">
        <f t="shared" si="151"/>
        <v>0.05</v>
      </c>
      <c r="N3522" s="475">
        <f t="shared" si="152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50"/>
        <v>-854753966144.18457</v>
      </c>
      <c r="J3523" s="455">
        <f t="array" ref="J3523">IFERROR(INDEX('Retirement Calculator'!K:K,MATCH('Lorri 401b'!N3523,'Retirement Calculator'!A:A,0),0),0)</f>
        <v>0</v>
      </c>
      <c r="K3523" s="455">
        <f t="shared" ca="1" si="148"/>
        <v>-3561474858.9341025</v>
      </c>
      <c r="L3523" s="455">
        <f t="shared" ca="1" si="149"/>
        <v>-858315441003.11865</v>
      </c>
      <c r="M3523" s="471">
        <f t="shared" si="151"/>
        <v>0.05</v>
      </c>
      <c r="N3523" s="475">
        <f t="shared" si="152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50"/>
        <v>-858315441003.11865</v>
      </c>
      <c r="J3524" s="455">
        <f t="array" ref="J3524">IFERROR(INDEX('Retirement Calculator'!K:K,MATCH('Lorri 401b'!N3524,'Retirement Calculator'!A:A,0),0),0)</f>
        <v>0</v>
      </c>
      <c r="K3524" s="455">
        <f t="shared" ca="1" si="148"/>
        <v>-3576314337.5129948</v>
      </c>
      <c r="L3524" s="455">
        <f t="shared" ca="1" si="149"/>
        <v>-861891755340.63159</v>
      </c>
      <c r="M3524" s="471">
        <f t="shared" si="151"/>
        <v>0.05</v>
      </c>
      <c r="N3524" s="475">
        <f t="shared" si="152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50"/>
        <v>-861891755340.63159</v>
      </c>
      <c r="J3525" s="455">
        <f t="array" ref="J3525">IFERROR(INDEX('Retirement Calculator'!K:K,MATCH('Lorri 401b'!N3525,'Retirement Calculator'!A:A,0),0),0)</f>
        <v>0</v>
      </c>
      <c r="K3525" s="455">
        <f t="shared" ca="1" si="148"/>
        <v>-3591215647.2526321</v>
      </c>
      <c r="L3525" s="455">
        <f t="shared" ca="1" si="149"/>
        <v>-865482970987.88428</v>
      </c>
      <c r="M3525" s="471">
        <f t="shared" si="151"/>
        <v>0.05</v>
      </c>
      <c r="N3525" s="475">
        <f t="shared" si="152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50"/>
        <v>-865482970987.88428</v>
      </c>
      <c r="J3526" s="455">
        <f t="array" ref="J3526">IFERROR(INDEX('Retirement Calculator'!K:K,MATCH('Lorri 401b'!N3526,'Retirement Calculator'!A:A,0),0),0)</f>
        <v>0</v>
      </c>
      <c r="K3526" s="455">
        <f t="shared" ca="1" si="148"/>
        <v>-3606179045.7828512</v>
      </c>
      <c r="L3526" s="455">
        <f t="shared" ca="1" si="149"/>
        <v>-869089150033.66711</v>
      </c>
      <c r="M3526" s="471">
        <f t="shared" si="151"/>
        <v>0.05</v>
      </c>
      <c r="N3526" s="475">
        <f t="shared" si="152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50"/>
        <v>-869089150033.66711</v>
      </c>
      <c r="J3527" s="455">
        <f t="array" ref="J3527">IFERROR(INDEX('Retirement Calculator'!K:K,MATCH('Lorri 401b'!N3527,'Retirement Calculator'!A:A,0),0),0)</f>
        <v>0</v>
      </c>
      <c r="K3527" s="455">
        <f t="shared" ca="1" si="148"/>
        <v>-3621204791.8069468</v>
      </c>
      <c r="L3527" s="455">
        <f t="shared" ca="1" si="149"/>
        <v>-872710354825.47412</v>
      </c>
      <c r="M3527" s="471">
        <f t="shared" si="151"/>
        <v>0.05</v>
      </c>
      <c r="N3527" s="475">
        <f t="shared" si="152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50"/>
        <v>-872710354825.47412</v>
      </c>
      <c r="J3528" s="455">
        <f t="array" ref="J3528">IFERROR(INDEX('Retirement Calculator'!K:K,MATCH('Lorri 401b'!N3528,'Retirement Calculator'!A:A,0),0),0)</f>
        <v>0</v>
      </c>
      <c r="K3528" s="455">
        <f t="shared" ca="1" si="148"/>
        <v>-3636293145.106142</v>
      </c>
      <c r="L3528" s="455">
        <f t="shared" ca="1" si="149"/>
        <v>-876346647970.58032</v>
      </c>
      <c r="M3528" s="471">
        <f t="shared" si="151"/>
        <v>0.05</v>
      </c>
      <c r="N3528" s="475">
        <f t="shared" si="152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50"/>
        <v>-876346647970.58032</v>
      </c>
      <c r="J3529" s="455">
        <f t="array" ref="J3529">IFERROR(INDEX('Retirement Calculator'!K:K,MATCH('Lorri 401b'!N3529,'Retirement Calculator'!A:A,0),0),0)</f>
        <v>0</v>
      </c>
      <c r="K3529" s="455">
        <f t="shared" ca="1" si="148"/>
        <v>-3651444366.5440845</v>
      </c>
      <c r="L3529" s="455">
        <f t="shared" ca="1" si="149"/>
        <v>-879998092337.12439</v>
      </c>
      <c r="M3529" s="471">
        <f t="shared" si="151"/>
        <v>0.05</v>
      </c>
      <c r="N3529" s="475">
        <f t="shared" si="152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50"/>
        <v>-879998092337.12439</v>
      </c>
      <c r="J3530" s="455">
        <f t="array" ref="J3530">IFERROR(INDEX('Retirement Calculator'!K:K,MATCH('Lorri 401b'!N3530,'Retirement Calculator'!A:A,0),0),0)</f>
        <v>0</v>
      </c>
      <c r="K3530" s="455">
        <f t="shared" ca="1" si="148"/>
        <v>-3666658718.071352</v>
      </c>
      <c r="L3530" s="455">
        <f t="shared" ca="1" si="149"/>
        <v>-883664751055.1958</v>
      </c>
      <c r="M3530" s="471">
        <f t="shared" si="151"/>
        <v>0.05</v>
      </c>
      <c r="N3530" s="475">
        <f t="shared" si="152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50"/>
        <v>-883664751055.1958</v>
      </c>
      <c r="J3531" s="455">
        <f t="array" ref="J3531">IFERROR(INDEX('Retirement Calculator'!K:K,MATCH('Lorri 401b'!N3531,'Retirement Calculator'!A:A,0),0),0)</f>
        <v>0</v>
      </c>
      <c r="K3531" s="455">
        <f t="shared" ca="1" si="148"/>
        <v>-3681936462.7299824</v>
      </c>
      <c r="L3531" s="455">
        <f t="shared" ca="1" si="149"/>
        <v>-887346687517.92578</v>
      </c>
      <c r="M3531" s="471">
        <f t="shared" si="151"/>
        <v>0.05</v>
      </c>
      <c r="N3531" s="475">
        <f t="shared" si="152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50"/>
        <v>-887346687517.92578</v>
      </c>
      <c r="J3532" s="455">
        <f t="array" ref="J3532">IFERROR(INDEX('Retirement Calculator'!K:K,MATCH('Lorri 401b'!N3532,'Retirement Calculator'!A:A,0),0),0)</f>
        <v>0</v>
      </c>
      <c r="K3532" s="455">
        <f t="shared" ca="1" si="148"/>
        <v>-3697277864.6580238</v>
      </c>
      <c r="L3532" s="455">
        <f t="shared" ca="1" si="149"/>
        <v>-891043965382.58386</v>
      </c>
      <c r="M3532" s="471">
        <f t="shared" si="151"/>
        <v>0.05</v>
      </c>
      <c r="N3532" s="475">
        <f t="shared" si="152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50"/>
        <v>-891043965382.58386</v>
      </c>
      <c r="J3533" s="455">
        <f t="array" ref="J3533">IFERROR(INDEX('Retirement Calculator'!K:K,MATCH('Lorri 401b'!N3533,'Retirement Calculator'!A:A,0),0),0)</f>
        <v>0</v>
      </c>
      <c r="K3533" s="455">
        <f t="shared" ca="1" si="148"/>
        <v>-3712683189.0940995</v>
      </c>
      <c r="L3533" s="455">
        <f t="shared" ca="1" si="149"/>
        <v>-894756648571.67798</v>
      </c>
      <c r="M3533" s="471">
        <f t="shared" si="151"/>
        <v>0.05</v>
      </c>
      <c r="N3533" s="475">
        <f t="shared" si="152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50"/>
        <v>-894756648571.67798</v>
      </c>
      <c r="J3534" s="455">
        <f t="array" ref="J3534">IFERROR(INDEX('Retirement Calculator'!K:K,MATCH('Lorri 401b'!N3534,'Retirement Calculator'!A:A,0),0),0)</f>
        <v>0</v>
      </c>
      <c r="K3534" s="455">
        <f t="shared" ca="1" si="148"/>
        <v>-3728152702.3819909</v>
      </c>
      <c r="L3534" s="455">
        <f t="shared" ca="1" si="149"/>
        <v>-898484801274.05994</v>
      </c>
      <c r="M3534" s="471">
        <f t="shared" si="151"/>
        <v>0.05</v>
      </c>
      <c r="N3534" s="475">
        <f t="shared" si="152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50"/>
        <v>-898484801274.05994</v>
      </c>
      <c r="J3535" s="455">
        <f t="array" ref="J3535">IFERROR(INDEX('Retirement Calculator'!K:K,MATCH('Lorri 401b'!N3535,'Retirement Calculator'!A:A,0),0),0)</f>
        <v>0</v>
      </c>
      <c r="K3535" s="455">
        <f t="shared" ca="1" si="148"/>
        <v>-3743686671.9752498</v>
      </c>
      <c r="L3535" s="455">
        <f t="shared" ca="1" si="149"/>
        <v>-902228487946.03516</v>
      </c>
      <c r="M3535" s="471">
        <f t="shared" si="151"/>
        <v>0.05</v>
      </c>
      <c r="N3535" s="475">
        <f t="shared" si="152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50"/>
        <v>-902228487946.03516</v>
      </c>
      <c r="J3536" s="455">
        <f t="array" ref="J3536">IFERROR(INDEX('Retirement Calculator'!K:K,MATCH('Lorri 401b'!N3536,'Retirement Calculator'!A:A,0),0),0)</f>
        <v>0</v>
      </c>
      <c r="K3536" s="455">
        <f t="shared" ca="1" si="148"/>
        <v>-3759285366.4418125</v>
      </c>
      <c r="L3536" s="455">
        <f t="shared" ca="1" si="149"/>
        <v>-905987773312.47693</v>
      </c>
      <c r="M3536" s="471">
        <f t="shared" si="151"/>
        <v>0.05</v>
      </c>
      <c r="N3536" s="475">
        <f t="shared" si="152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50"/>
        <v>-905987773312.47693</v>
      </c>
      <c r="J3537" s="455">
        <f t="array" ref="J3537">IFERROR(INDEX('Retirement Calculator'!K:K,MATCH('Lorri 401b'!N3537,'Retirement Calculator'!A:A,0),0),0)</f>
        <v>0</v>
      </c>
      <c r="K3537" s="455">
        <f t="shared" ca="1" si="148"/>
        <v>-3774949055.4686542</v>
      </c>
      <c r="L3537" s="455">
        <f t="shared" ca="1" si="149"/>
        <v>-909762722367.94556</v>
      </c>
      <c r="M3537" s="471">
        <f t="shared" si="151"/>
        <v>0.05</v>
      </c>
      <c r="N3537" s="475">
        <f t="shared" si="152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50"/>
        <v>-909762722367.94556</v>
      </c>
      <c r="J3538" s="455">
        <f t="array" ref="J3538">IFERROR(INDEX('Retirement Calculator'!K:K,MATCH('Lorri 401b'!N3538,'Retirement Calculator'!A:A,0),0),0)</f>
        <v>0</v>
      </c>
      <c r="K3538" s="455">
        <f t="shared" ca="1" si="148"/>
        <v>-3790678009.8664393</v>
      </c>
      <c r="L3538" s="455">
        <f t="shared" ca="1" si="149"/>
        <v>-913553400377.81201</v>
      </c>
      <c r="M3538" s="471">
        <f t="shared" si="151"/>
        <v>0.05</v>
      </c>
      <c r="N3538" s="475">
        <f t="shared" si="152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50"/>
        <v>-913553400377.81201</v>
      </c>
      <c r="J3539" s="455">
        <f t="array" ref="J3539">IFERROR(INDEX('Retirement Calculator'!K:K,MATCH('Lorri 401b'!N3539,'Retirement Calculator'!A:A,0),0),0)</f>
        <v>0</v>
      </c>
      <c r="K3539" s="455">
        <f t="shared" ca="1" si="148"/>
        <v>-3806472501.5742168</v>
      </c>
      <c r="L3539" s="455">
        <f t="shared" ca="1" si="149"/>
        <v>-917359872879.38623</v>
      </c>
      <c r="M3539" s="471">
        <f t="shared" si="151"/>
        <v>0.05</v>
      </c>
      <c r="N3539" s="475">
        <f t="shared" si="152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50"/>
        <v>-917359872879.38623</v>
      </c>
      <c r="J3540" s="455">
        <f t="array" ref="J3540">IFERROR(INDEX('Retirement Calculator'!K:K,MATCH('Lorri 401b'!N3540,'Retirement Calculator'!A:A,0),0),0)</f>
        <v>0</v>
      </c>
      <c r="K3540" s="455">
        <f t="shared" ca="1" si="148"/>
        <v>-3822332803.6641092</v>
      </c>
      <c r="L3540" s="455">
        <f t="shared" ca="1" si="149"/>
        <v>-921182205683.05029</v>
      </c>
      <c r="M3540" s="471">
        <f t="shared" si="151"/>
        <v>0.05</v>
      </c>
      <c r="N3540" s="475">
        <f t="shared" si="152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50"/>
        <v>-921182205683.05029</v>
      </c>
      <c r="J3541" s="455">
        <f t="array" ref="J3541">IFERROR(INDEX('Retirement Calculator'!K:K,MATCH('Lorri 401b'!N3541,'Retirement Calculator'!A:A,0),0),0)</f>
        <v>0</v>
      </c>
      <c r="K3541" s="455">
        <f t="shared" ca="1" si="148"/>
        <v>-3838259190.3460426</v>
      </c>
      <c r="L3541" s="455">
        <f t="shared" ca="1" si="149"/>
        <v>-925020464873.39636</v>
      </c>
      <c r="M3541" s="471">
        <f t="shared" si="151"/>
        <v>0.05</v>
      </c>
      <c r="N3541" s="475">
        <f t="shared" si="152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50"/>
        <v>-925020464873.39636</v>
      </c>
      <c r="J3542" s="455">
        <f t="array" ref="J3542">IFERROR(INDEX('Retirement Calculator'!K:K,MATCH('Lorri 401b'!N3542,'Retirement Calculator'!A:A,0),0),0)</f>
        <v>0</v>
      </c>
      <c r="K3542" s="455">
        <f t="shared" ca="1" si="148"/>
        <v>-3854251936.9724846</v>
      </c>
      <c r="L3542" s="455">
        <f t="shared" ca="1" si="149"/>
        <v>-928874716810.3689</v>
      </c>
      <c r="M3542" s="471">
        <f t="shared" si="151"/>
        <v>0.05</v>
      </c>
      <c r="N3542" s="475">
        <f t="shared" si="152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50"/>
        <v>-928874716810.3689</v>
      </c>
      <c r="J3543" s="455">
        <f t="array" ref="J3543">IFERROR(INDEX('Retirement Calculator'!K:K,MATCH('Lorri 401b'!N3543,'Retirement Calculator'!A:A,0),0),0)</f>
        <v>0</v>
      </c>
      <c r="K3543" s="455">
        <f t="shared" ca="1" si="148"/>
        <v>-3870311320.0432038</v>
      </c>
      <c r="L3543" s="455">
        <f t="shared" ca="1" si="149"/>
        <v>-932745028130.41211</v>
      </c>
      <c r="M3543" s="471">
        <f t="shared" si="151"/>
        <v>0.05</v>
      </c>
      <c r="N3543" s="475">
        <f t="shared" si="152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50"/>
        <v>-932745028130.41211</v>
      </c>
      <c r="J3544" s="455">
        <f t="array" ref="J3544">IFERROR(INDEX('Retirement Calculator'!K:K,MATCH('Lorri 401b'!N3544,'Retirement Calculator'!A:A,0),0),0)</f>
        <v>0</v>
      </c>
      <c r="K3544" s="455">
        <f t="shared" ca="1" si="148"/>
        <v>-3886437617.2100506</v>
      </c>
      <c r="L3544" s="455">
        <f t="shared" ca="1" si="149"/>
        <v>-936631465747.62219</v>
      </c>
      <c r="M3544" s="471">
        <f t="shared" si="151"/>
        <v>0.05</v>
      </c>
      <c r="N3544" s="475">
        <f t="shared" si="152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50"/>
        <v>-936631465747.62219</v>
      </c>
      <c r="J3545" s="455">
        <f t="array" ref="J3545">IFERROR(INDEX('Retirement Calculator'!K:K,MATCH('Lorri 401b'!N3545,'Retirement Calculator'!A:A,0),0),0)</f>
        <v>0</v>
      </c>
      <c r="K3545" s="455">
        <f t="shared" ca="1" si="148"/>
        <v>-3902631107.2817593</v>
      </c>
      <c r="L3545" s="455">
        <f t="shared" ca="1" si="149"/>
        <v>-940534096854.90393</v>
      </c>
      <c r="M3545" s="471">
        <f t="shared" si="151"/>
        <v>0.05</v>
      </c>
      <c r="N3545" s="475">
        <f t="shared" si="152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50"/>
        <v>-940534096854.90393</v>
      </c>
      <c r="J3546" s="455">
        <f t="array" ref="J3546">IFERROR(INDEX('Retirement Calculator'!K:K,MATCH('Lorri 401b'!N3546,'Retirement Calculator'!A:A,0),0),0)</f>
        <v>0</v>
      </c>
      <c r="K3546" s="455">
        <f t="shared" ca="1" si="148"/>
        <v>-3918892070.2287669</v>
      </c>
      <c r="L3546" s="455">
        <f t="shared" ca="1" si="149"/>
        <v>-944452988925.13269</v>
      </c>
      <c r="M3546" s="471">
        <f t="shared" si="151"/>
        <v>0.05</v>
      </c>
      <c r="N3546" s="475">
        <f t="shared" si="152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50"/>
        <v>-944452988925.13269</v>
      </c>
      <c r="J3547" s="455">
        <f t="array" ref="J3547">IFERROR(INDEX('Retirement Calculator'!K:K,MATCH('Lorri 401b'!N3547,'Retirement Calculator'!A:A,0),0),0)</f>
        <v>0</v>
      </c>
      <c r="K3547" s="455">
        <f t="shared" ca="1" si="148"/>
        <v>-3935220787.1880527</v>
      </c>
      <c r="L3547" s="455">
        <f t="shared" ca="1" si="149"/>
        <v>-948388209712.3208</v>
      </c>
      <c r="M3547" s="471">
        <f t="shared" si="151"/>
        <v>0.05</v>
      </c>
      <c r="N3547" s="475">
        <f t="shared" si="152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50"/>
        <v>-948388209712.3208</v>
      </c>
      <c r="J3548" s="455">
        <f t="array" ref="J3548">IFERROR(INDEX('Retirement Calculator'!K:K,MATCH('Lorri 401b'!N3548,'Retirement Calculator'!A:A,0),0),0)</f>
        <v>0</v>
      </c>
      <c r="K3548" s="455">
        <f t="shared" ca="1" si="148"/>
        <v>-3951617540.4680033</v>
      </c>
      <c r="L3548" s="455">
        <f t="shared" ca="1" si="149"/>
        <v>-952339827252.78882</v>
      </c>
      <c r="M3548" s="471">
        <f t="shared" si="151"/>
        <v>0.05</v>
      </c>
      <c r="N3548" s="475">
        <f t="shared" si="152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50"/>
        <v>-952339827252.78882</v>
      </c>
      <c r="J3549" s="455">
        <f t="array" ref="J3549">IFERROR(INDEX('Retirement Calculator'!K:K,MATCH('Lorri 401b'!N3549,'Retirement Calculator'!A:A,0),0),0)</f>
        <v>0</v>
      </c>
      <c r="K3549" s="455">
        <f t="shared" ca="1" si="148"/>
        <v>-3968082613.5532866</v>
      </c>
      <c r="L3549" s="455">
        <f t="shared" ca="1" si="149"/>
        <v>-956307909866.34216</v>
      </c>
      <c r="M3549" s="471">
        <f t="shared" si="151"/>
        <v>0.05</v>
      </c>
      <c r="N3549" s="475">
        <f t="shared" si="152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50"/>
        <v>-956307909866.34216</v>
      </c>
      <c r="J3550" s="455">
        <f t="array" ref="J3550">IFERROR(INDEX('Retirement Calculator'!K:K,MATCH('Lorri 401b'!N3550,'Retirement Calculator'!A:A,0),0),0)</f>
        <v>0</v>
      </c>
      <c r="K3550" s="455">
        <f t="shared" ca="1" si="148"/>
        <v>-3984616291.1097589</v>
      </c>
      <c r="L3550" s="455">
        <f t="shared" ca="1" si="149"/>
        <v>-960292526157.4519</v>
      </c>
      <c r="M3550" s="471">
        <f t="shared" si="151"/>
        <v>0.05</v>
      </c>
      <c r="N3550" s="475">
        <f t="shared" si="152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50"/>
        <v>-960292526157.4519</v>
      </c>
      <c r="J3551" s="455">
        <f t="array" ref="J3551">IFERROR(INDEX('Retirement Calculator'!K:K,MATCH('Lorri 401b'!N3551,'Retirement Calculator'!A:A,0),0),0)</f>
        <v>0</v>
      </c>
      <c r="K3551" s="455">
        <f t="shared" ca="1" si="148"/>
        <v>-4001218858.9893827</v>
      </c>
      <c r="L3551" s="455">
        <f t="shared" ca="1" si="149"/>
        <v>-964293745016.44128</v>
      </c>
      <c r="M3551" s="471">
        <f t="shared" si="151"/>
        <v>0.05</v>
      </c>
      <c r="N3551" s="475">
        <f t="shared" si="152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50"/>
        <v>-964293745016.44128</v>
      </c>
      <c r="J3552" s="455">
        <f t="array" ref="J3552">IFERROR(INDEX('Retirement Calculator'!K:K,MATCH('Lorri 401b'!N3552,'Retirement Calculator'!A:A,0),0),0)</f>
        <v>0</v>
      </c>
      <c r="K3552" s="455">
        <f t="shared" ca="1" si="148"/>
        <v>-4017890604.2351718</v>
      </c>
      <c r="L3552" s="455">
        <f t="shared" ca="1" si="149"/>
        <v>-968311635620.67651</v>
      </c>
      <c r="M3552" s="471">
        <f t="shared" si="151"/>
        <v>0.05</v>
      </c>
      <c r="N3552" s="475">
        <f t="shared" si="152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50"/>
        <v>-968311635620.67651</v>
      </c>
      <c r="J3553" s="455">
        <f t="array" ref="J3553">IFERROR(INDEX('Retirement Calculator'!K:K,MATCH('Lorri 401b'!N3553,'Retirement Calculator'!A:A,0),0),0)</f>
        <v>0</v>
      </c>
      <c r="K3553" s="455">
        <f t="shared" ca="1" si="148"/>
        <v>-4034631815.0861516</v>
      </c>
      <c r="L3553" s="455">
        <f t="shared" ca="1" si="149"/>
        <v>-972346267435.7627</v>
      </c>
      <c r="M3553" s="471">
        <f t="shared" si="151"/>
        <v>0.05</v>
      </c>
      <c r="N3553" s="475">
        <f t="shared" si="152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50"/>
        <v>-972346267435.7627</v>
      </c>
      <c r="J3554" s="455">
        <f t="array" ref="J3554">IFERROR(INDEX('Retirement Calculator'!K:K,MATCH('Lorri 401b'!N3554,'Retirement Calculator'!A:A,0),0),0)</f>
        <v>0</v>
      </c>
      <c r="K3554" s="455">
        <f t="shared" ca="1" si="148"/>
        <v>-4051442780.9823446</v>
      </c>
      <c r="L3554" s="455">
        <f t="shared" ca="1" si="149"/>
        <v>-976397710216.745</v>
      </c>
      <c r="M3554" s="471">
        <f t="shared" si="151"/>
        <v>0.05</v>
      </c>
      <c r="N3554" s="475">
        <f t="shared" si="152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50"/>
        <v>-976397710216.745</v>
      </c>
      <c r="J3555" s="455">
        <f t="array" ref="J3555">IFERROR(INDEX('Retirement Calculator'!K:K,MATCH('Lorri 401b'!N3555,'Retirement Calculator'!A:A,0),0),0)</f>
        <v>0</v>
      </c>
      <c r="K3555" s="455">
        <f t="shared" ca="1" si="148"/>
        <v>-4068323792.5697708</v>
      </c>
      <c r="L3555" s="455">
        <f t="shared" ca="1" si="149"/>
        <v>-980466034009.31482</v>
      </c>
      <c r="M3555" s="471">
        <f t="shared" si="151"/>
        <v>0.05</v>
      </c>
      <c r="N3555" s="475">
        <f t="shared" si="152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50"/>
        <v>-980466034009.31482</v>
      </c>
      <c r="J3556" s="455">
        <f t="array" ref="J3556">IFERROR(INDEX('Retirement Calculator'!K:K,MATCH('Lorri 401b'!N3556,'Retirement Calculator'!A:A,0),0),0)</f>
        <v>0</v>
      </c>
      <c r="K3556" s="455">
        <f t="shared" ca="1" si="148"/>
        <v>-4085275141.7054777</v>
      </c>
      <c r="L3556" s="455">
        <f t="shared" ca="1" si="149"/>
        <v>-984551309151.02026</v>
      </c>
      <c r="M3556" s="471">
        <f t="shared" si="151"/>
        <v>0.05</v>
      </c>
      <c r="N3556" s="475">
        <f t="shared" si="152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50"/>
        <v>-984551309151.02026</v>
      </c>
      <c r="J3557" s="455">
        <f t="array" ref="J3557">IFERROR(INDEX('Retirement Calculator'!K:K,MATCH('Lorri 401b'!N3557,'Retirement Calculator'!A:A,0),0),0)</f>
        <v>0</v>
      </c>
      <c r="K3557" s="455">
        <f t="shared" ca="1" si="148"/>
        <v>-4102297121.4625845</v>
      </c>
      <c r="L3557" s="455">
        <f t="shared" ca="1" si="149"/>
        <v>-988653606272.48279</v>
      </c>
      <c r="M3557" s="471">
        <f t="shared" si="151"/>
        <v>0.05</v>
      </c>
      <c r="N3557" s="475">
        <f t="shared" si="152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50"/>
        <v>-988653606272.48279</v>
      </c>
      <c r="J3558" s="455">
        <f t="array" ref="J3558">IFERROR(INDEX('Retirement Calculator'!K:K,MATCH('Lorri 401b'!N3558,'Retirement Calculator'!A:A,0),0),0)</f>
        <v>0</v>
      </c>
      <c r="K3558" s="455">
        <f t="shared" ca="1" si="148"/>
        <v>-4119390026.135345</v>
      </c>
      <c r="L3558" s="455">
        <f t="shared" ca="1" si="149"/>
        <v>-992772996298.61816</v>
      </c>
      <c r="M3558" s="471">
        <f t="shared" si="151"/>
        <v>0.05</v>
      </c>
      <c r="N3558" s="475">
        <f t="shared" si="152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50"/>
        <v>-992772996298.61816</v>
      </c>
      <c r="J3559" s="455">
        <f t="array" ref="J3559">IFERROR(INDEX('Retirement Calculator'!K:K,MATCH('Lorri 401b'!N3559,'Retirement Calculator'!A:A,0),0),0)</f>
        <v>0</v>
      </c>
      <c r="K3559" s="455">
        <f t="shared" ca="1" si="148"/>
        <v>-4136554151.2442422</v>
      </c>
      <c r="L3559" s="455">
        <f t="shared" ca="1" si="149"/>
        <v>-996909550449.86243</v>
      </c>
      <c r="M3559" s="471">
        <f t="shared" si="151"/>
        <v>0.05</v>
      </c>
      <c r="N3559" s="475">
        <f t="shared" si="152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50"/>
        <v>-996909550449.86243</v>
      </c>
      <c r="J3560" s="455">
        <f t="array" ref="J3560">IFERROR(INDEX('Retirement Calculator'!K:K,MATCH('Lorri 401b'!N3560,'Retirement Calculator'!A:A,0),0),0)</f>
        <v>0</v>
      </c>
      <c r="K3560" s="455">
        <f t="shared" ca="1" si="148"/>
        <v>-4153789793.5410933</v>
      </c>
      <c r="L3560" s="455">
        <f t="shared" ca="1" si="149"/>
        <v>-1001063340243.4036</v>
      </c>
      <c r="M3560" s="471">
        <f t="shared" si="151"/>
        <v>0.05</v>
      </c>
      <c r="N3560" s="475">
        <f t="shared" si="152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50"/>
        <v>-1001063340243.4036</v>
      </c>
      <c r="J3561" s="455">
        <f t="array" ref="J3561">IFERROR(INDEX('Retirement Calculator'!K:K,MATCH('Lorri 401b'!N3561,'Retirement Calculator'!A:A,0),0),0)</f>
        <v>0</v>
      </c>
      <c r="K3561" s="455">
        <f t="shared" ca="1" si="148"/>
        <v>-4171097251.0141816</v>
      </c>
      <c r="L3561" s="455">
        <f t="shared" ca="1" si="149"/>
        <v>-1005234437494.4177</v>
      </c>
      <c r="M3561" s="471">
        <f t="shared" si="151"/>
        <v>0.05</v>
      </c>
      <c r="N3561" s="475">
        <f t="shared" si="152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50"/>
        <v>-1005234437494.4177</v>
      </c>
      <c r="J3562" s="455">
        <f t="array" ref="J3562">IFERROR(INDEX('Retirement Calculator'!K:K,MATCH('Lorri 401b'!N3562,'Retirement Calculator'!A:A,0),0),0)</f>
        <v>0</v>
      </c>
      <c r="K3562" s="455">
        <f t="shared" ca="1" si="148"/>
        <v>-4188476822.8934073</v>
      </c>
      <c r="L3562" s="455">
        <f t="shared" ca="1" si="149"/>
        <v>-1009422914317.3112</v>
      </c>
      <c r="M3562" s="471">
        <f t="shared" si="151"/>
        <v>0.05</v>
      </c>
      <c r="N3562" s="475">
        <f t="shared" si="152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50"/>
        <v>-1009422914317.3112</v>
      </c>
      <c r="J3563" s="455">
        <f t="array" ref="J3563">IFERROR(INDEX('Retirement Calculator'!K:K,MATCH('Lorri 401b'!N3563,'Retirement Calculator'!A:A,0),0),0)</f>
        <v>0</v>
      </c>
      <c r="K3563" s="455">
        <f t="shared" ca="1" si="148"/>
        <v>-4205928809.6554632</v>
      </c>
      <c r="L3563" s="455">
        <f t="shared" ca="1" si="149"/>
        <v>-1013628843126.9667</v>
      </c>
      <c r="M3563" s="471">
        <f t="shared" si="151"/>
        <v>0.05</v>
      </c>
      <c r="N3563" s="475">
        <f t="shared" si="152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50"/>
        <v>-1013628843126.9667</v>
      </c>
      <c r="J3564" s="455">
        <f t="array" ref="J3564">IFERROR(INDEX('Retirement Calculator'!K:K,MATCH('Lorri 401b'!N3564,'Retirement Calculator'!A:A,0),0),0)</f>
        <v>0</v>
      </c>
      <c r="K3564" s="455">
        <f t="shared" ca="1" si="148"/>
        <v>-4223453513.0290279</v>
      </c>
      <c r="L3564" s="455">
        <f t="shared" ca="1" si="149"/>
        <v>-1017852296639.9957</v>
      </c>
      <c r="M3564" s="471">
        <f t="shared" si="151"/>
        <v>0.05</v>
      </c>
      <c r="N3564" s="475">
        <f t="shared" si="152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50"/>
        <v>-1017852296639.9957</v>
      </c>
      <c r="J3565" s="455">
        <f t="array" ref="J3565">IFERROR(INDEX('Retirement Calculator'!K:K,MATCH('Lorri 401b'!N3565,'Retirement Calculator'!A:A,0),0),0)</f>
        <v>0</v>
      </c>
      <c r="K3565" s="455">
        <f t="shared" ca="1" si="148"/>
        <v>-4241051235.9999824</v>
      </c>
      <c r="L3565" s="455">
        <f t="shared" ca="1" si="149"/>
        <v>-1022093347875.9957</v>
      </c>
      <c r="M3565" s="471">
        <f t="shared" si="151"/>
        <v>0.05</v>
      </c>
      <c r="N3565" s="475">
        <f t="shared" si="152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50"/>
        <v>-1022093347875.9957</v>
      </c>
      <c r="J3566" s="455">
        <f t="array" ref="J3566">IFERROR(INDEX('Retirement Calculator'!K:K,MATCH('Lorri 401b'!N3566,'Retirement Calculator'!A:A,0),0),0)</f>
        <v>0</v>
      </c>
      <c r="K3566" s="455">
        <f t="shared" ca="1" si="148"/>
        <v>-4258722282.816649</v>
      </c>
      <c r="L3566" s="455">
        <f t="shared" ca="1" si="149"/>
        <v>-1026352070158.8124</v>
      </c>
      <c r="M3566" s="471">
        <f t="shared" si="151"/>
        <v>0.05</v>
      </c>
      <c r="N3566" s="475">
        <f t="shared" si="152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50"/>
        <v>-1026352070158.8124</v>
      </c>
      <c r="J3567" s="455">
        <f t="array" ref="J3567">IFERROR(INDEX('Retirement Calculator'!K:K,MATCH('Lorri 401b'!N3567,'Retirement Calculator'!A:A,0),0),0)</f>
        <v>0</v>
      </c>
      <c r="K3567" s="455">
        <f t="shared" ca="1" si="148"/>
        <v>-4276466958.9950519</v>
      </c>
      <c r="L3567" s="455">
        <f t="shared" ca="1" si="149"/>
        <v>-1030628537117.8074</v>
      </c>
      <c r="M3567" s="471">
        <f t="shared" si="151"/>
        <v>0.05</v>
      </c>
      <c r="N3567" s="475">
        <f t="shared" si="152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50"/>
        <v>-1030628537117.8074</v>
      </c>
      <c r="J3568" s="455">
        <f t="array" ref="J3568">IFERROR(INDEX('Retirement Calculator'!K:K,MATCH('Lorri 401b'!N3568,'Retirement Calculator'!A:A,0),0),0)</f>
        <v>0</v>
      </c>
      <c r="K3568" s="455">
        <f t="shared" ca="1" si="148"/>
        <v>-4294285571.3241968</v>
      </c>
      <c r="L3568" s="455">
        <f t="shared" ca="1" si="149"/>
        <v>-1034922822689.1316</v>
      </c>
      <c r="M3568" s="471">
        <f t="shared" si="151"/>
        <v>0.05</v>
      </c>
      <c r="N3568" s="475">
        <f t="shared" si="152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50"/>
        <v>-1034922822689.1316</v>
      </c>
      <c r="J3569" s="455">
        <f t="array" ref="J3569">IFERROR(INDEX('Retirement Calculator'!K:K,MATCH('Lorri 401b'!N3569,'Retirement Calculator'!A:A,0),0),0)</f>
        <v>0</v>
      </c>
      <c r="K3569" s="455">
        <f t="shared" ca="1" si="148"/>
        <v>-4312178427.8713818</v>
      </c>
      <c r="L3569" s="455">
        <f t="shared" ca="1" si="149"/>
        <v>-1039235001117.0029</v>
      </c>
      <c r="M3569" s="471">
        <f t="shared" si="151"/>
        <v>0.05</v>
      </c>
      <c r="N3569" s="475">
        <f t="shared" si="152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50"/>
        <v>-1039235001117.0029</v>
      </c>
      <c r="J3570" s="455">
        <f t="array" ref="J3570">IFERROR(INDEX('Retirement Calculator'!K:K,MATCH('Lorri 401b'!N3570,'Retirement Calculator'!A:A,0),0),0)</f>
        <v>0</v>
      </c>
      <c r="K3570" s="455">
        <f t="shared" ca="1" si="148"/>
        <v>-4330145837.9875126</v>
      </c>
      <c r="L3570" s="455">
        <f t="shared" ca="1" si="149"/>
        <v>-1043565146954.9905</v>
      </c>
      <c r="M3570" s="471">
        <f t="shared" si="151"/>
        <v>0.05</v>
      </c>
      <c r="N3570" s="475">
        <f t="shared" si="152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50"/>
        <v>-1043565146954.9905</v>
      </c>
      <c r="J3571" s="455">
        <f t="array" ref="J3571">IFERROR(INDEX('Retirement Calculator'!K:K,MATCH('Lorri 401b'!N3571,'Retirement Calculator'!A:A,0),0),0)</f>
        <v>0</v>
      </c>
      <c r="K3571" s="455">
        <f t="shared" ca="1" si="148"/>
        <v>-4348188112.3124599</v>
      </c>
      <c r="L3571" s="455">
        <f t="shared" ca="1" si="149"/>
        <v>-1047913335067.303</v>
      </c>
      <c r="M3571" s="471">
        <f t="shared" si="151"/>
        <v>0.05</v>
      </c>
      <c r="N3571" s="475">
        <f t="shared" si="152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50"/>
        <v>-1047913335067.303</v>
      </c>
      <c r="J3572" s="455">
        <f t="array" ref="J3572">IFERROR(INDEX('Retirement Calculator'!K:K,MATCH('Lorri 401b'!N3572,'Retirement Calculator'!A:A,0),0),0)</f>
        <v>0</v>
      </c>
      <c r="K3572" s="455">
        <f t="shared" ca="1" si="148"/>
        <v>-4366305562.7804298</v>
      </c>
      <c r="L3572" s="455">
        <f t="shared" ca="1" si="149"/>
        <v>-1052279640630.0834</v>
      </c>
      <c r="M3572" s="471">
        <f t="shared" si="151"/>
        <v>0.05</v>
      </c>
      <c r="N3572" s="475">
        <f t="shared" si="152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50"/>
        <v>-1052279640630.0834</v>
      </c>
      <c r="J3573" s="455">
        <f t="array" ref="J3573">IFERROR(INDEX('Retirement Calculator'!K:K,MATCH('Lorri 401b'!N3573,'Retirement Calculator'!A:A,0),0),0)</f>
        <v>0</v>
      </c>
      <c r="K3573" s="455">
        <f t="shared" ca="1" si="148"/>
        <v>-4384498502.6253471</v>
      </c>
      <c r="L3573" s="455">
        <f t="shared" ca="1" si="149"/>
        <v>-1056664139132.7087</v>
      </c>
      <c r="M3573" s="471">
        <f t="shared" si="151"/>
        <v>0.05</v>
      </c>
      <c r="N3573" s="475">
        <f t="shared" si="152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50"/>
        <v>-1056664139132.7087</v>
      </c>
      <c r="J3574" s="455">
        <f t="array" ref="J3574">IFERROR(INDEX('Retirement Calculator'!K:K,MATCH('Lorri 401b'!N3574,'Retirement Calculator'!A:A,0),0),0)</f>
        <v>0</v>
      </c>
      <c r="K3574" s="455">
        <f t="shared" ca="1" si="148"/>
        <v>-4402767246.3862858</v>
      </c>
      <c r="L3574" s="455">
        <f t="shared" ca="1" si="149"/>
        <v>-1061066906379.095</v>
      </c>
      <c r="M3574" s="471">
        <f t="shared" si="151"/>
        <v>0.05</v>
      </c>
      <c r="N3574" s="475">
        <f t="shared" si="152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50"/>
        <v>-1061066906379.095</v>
      </c>
      <c r="J3575" s="455">
        <f t="array" ref="J3575">IFERROR(INDEX('Retirement Calculator'!K:K,MATCH('Lorri 401b'!N3575,'Retirement Calculator'!A:A,0),0),0)</f>
        <v>0</v>
      </c>
      <c r="K3575" s="455">
        <f t="shared" ca="1" si="148"/>
        <v>-4421112109.9128952</v>
      </c>
      <c r="L3575" s="455">
        <f t="shared" ca="1" si="149"/>
        <v>-1065488018489.0078</v>
      </c>
      <c r="M3575" s="471">
        <f t="shared" si="151"/>
        <v>0.05</v>
      </c>
      <c r="N3575" s="475">
        <f t="shared" si="152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50"/>
        <v>-1065488018489.0078</v>
      </c>
      <c r="J3576" s="455">
        <f t="array" ref="J3576">IFERROR(INDEX('Retirement Calculator'!K:K,MATCH('Lorri 401b'!N3576,'Retirement Calculator'!A:A,0),0),0)</f>
        <v>0</v>
      </c>
      <c r="K3576" s="455">
        <f t="shared" ca="1" si="148"/>
        <v>-4439533410.3708658</v>
      </c>
      <c r="L3576" s="455">
        <f t="shared" ca="1" si="149"/>
        <v>-1069927551899.3787</v>
      </c>
      <c r="M3576" s="471">
        <f t="shared" si="151"/>
        <v>0.05</v>
      </c>
      <c r="N3576" s="475">
        <f t="shared" si="152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50"/>
        <v>-1069927551899.3787</v>
      </c>
      <c r="J3577" s="455">
        <f t="array" ref="J3577">IFERROR(INDEX('Retirement Calculator'!K:K,MATCH('Lorri 401b'!N3577,'Retirement Calculator'!A:A,0),0),0)</f>
        <v>0</v>
      </c>
      <c r="K3577" s="455">
        <f t="shared" ca="1" si="148"/>
        <v>-4458031466.2474108</v>
      </c>
      <c r="L3577" s="455">
        <f t="shared" ca="1" si="149"/>
        <v>-1074385583365.6261</v>
      </c>
      <c r="M3577" s="471">
        <f t="shared" si="151"/>
        <v>0.05</v>
      </c>
      <c r="N3577" s="475">
        <f t="shared" si="152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50"/>
        <v>-1074385583365.6261</v>
      </c>
      <c r="J3578" s="455">
        <f t="array" ref="J3578">IFERROR(INDEX('Retirement Calculator'!K:K,MATCH('Lorri 401b'!N3578,'Retirement Calculator'!A:A,0),0),0)</f>
        <v>0</v>
      </c>
      <c r="K3578" s="455">
        <f t="shared" ref="K3578:K3832" ca="1" si="153">IPMT(M3578/12,1,12,-I3578+J3578,,0)</f>
        <v>-4476606597.3567753</v>
      </c>
      <c r="L3578" s="455">
        <f t="shared" ref="L3578:L3832" ca="1" si="154">I3578-J3578+K3578</f>
        <v>-1078862189962.9829</v>
      </c>
      <c r="M3578" s="471">
        <f t="shared" si="151"/>
        <v>0.05</v>
      </c>
      <c r="N3578" s="475">
        <f t="shared" si="152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55">L3578</f>
        <v>-1078862189962.9829</v>
      </c>
      <c r="J3579" s="455">
        <f t="array" ref="J3579">IFERROR(INDEX('Retirement Calculator'!K:K,MATCH('Lorri 401b'!N3579,'Retirement Calculator'!A:A,0),0),0)</f>
        <v>0</v>
      </c>
      <c r="K3579" s="455">
        <f t="shared" ca="1" si="153"/>
        <v>-4495259124.8457623</v>
      </c>
      <c r="L3579" s="455">
        <f t="shared" ca="1" si="154"/>
        <v>-1083357449087.8286</v>
      </c>
      <c r="M3579" s="471">
        <f t="shared" ref="M3579:M3833" si="156">M3578</f>
        <v>0.05</v>
      </c>
      <c r="N3579" s="475">
        <f t="shared" ref="N3579:N3833" si="157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55"/>
        <v>-1083357449087.8286</v>
      </c>
      <c r="J3580" s="455">
        <f t="array" ref="J3580">IFERROR(INDEX('Retirement Calculator'!K:K,MATCH('Lorri 401b'!N3580,'Retirement Calculator'!A:A,0),0),0)</f>
        <v>0</v>
      </c>
      <c r="K3580" s="455">
        <f t="shared" ca="1" si="153"/>
        <v>-4513989371.1992855</v>
      </c>
      <c r="L3580" s="455">
        <f t="shared" ca="1" si="154"/>
        <v>-1087871438459.028</v>
      </c>
      <c r="M3580" s="471">
        <f t="shared" si="156"/>
        <v>0.05</v>
      </c>
      <c r="N3580" s="475">
        <f t="shared" si="157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55"/>
        <v>-1087871438459.028</v>
      </c>
      <c r="J3581" s="455">
        <f t="array" ref="J3581">IFERROR(INDEX('Retirement Calculator'!K:K,MATCH('Lorri 401b'!N3581,'Retirement Calculator'!A:A,0),0),0)</f>
        <v>0</v>
      </c>
      <c r="K3581" s="455">
        <f t="shared" ca="1" si="153"/>
        <v>-4532797660.2459497</v>
      </c>
      <c r="L3581" s="455">
        <f t="shared" ca="1" si="154"/>
        <v>-1092404236119.2739</v>
      </c>
      <c r="M3581" s="471">
        <f t="shared" si="156"/>
        <v>0.05</v>
      </c>
      <c r="N3581" s="475">
        <f t="shared" si="157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55"/>
        <v>-1092404236119.2739</v>
      </c>
      <c r="J3582" s="455">
        <f t="array" ref="J3582">IFERROR(INDEX('Retirement Calculator'!K:K,MATCH('Lorri 401b'!N3582,'Retirement Calculator'!A:A,0),0),0)</f>
        <v>0</v>
      </c>
      <c r="K3582" s="455">
        <f t="shared" ca="1" si="153"/>
        <v>-4551684317.163641</v>
      </c>
      <c r="L3582" s="455">
        <f t="shared" ca="1" si="154"/>
        <v>-1096955920436.4376</v>
      </c>
      <c r="M3582" s="471">
        <f t="shared" si="156"/>
        <v>0.05</v>
      </c>
      <c r="N3582" s="475">
        <f t="shared" si="157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55"/>
        <v>-1096955920436.4376</v>
      </c>
      <c r="J3583" s="455">
        <f t="array" ref="J3583">IFERROR(INDEX('Retirement Calculator'!K:K,MATCH('Lorri 401b'!N3583,'Retirement Calculator'!A:A,0),0),0)</f>
        <v>0</v>
      </c>
      <c r="K3583" s="455">
        <f t="shared" ca="1" si="153"/>
        <v>-4570649668.4851561</v>
      </c>
      <c r="L3583" s="455">
        <f t="shared" ca="1" si="154"/>
        <v>-1101526570104.9229</v>
      </c>
      <c r="M3583" s="471">
        <f t="shared" si="156"/>
        <v>0.05</v>
      </c>
      <c r="N3583" s="475">
        <f t="shared" si="157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55"/>
        <v>-1101526570104.9229</v>
      </c>
      <c r="J3584" s="455">
        <f t="array" ref="J3584">IFERROR(INDEX('Retirement Calculator'!K:K,MATCH('Lorri 401b'!N3584,'Retirement Calculator'!A:A,0),0),0)</f>
        <v>0</v>
      </c>
      <c r="K3584" s="455">
        <f t="shared" ca="1" si="153"/>
        <v>-4589694042.1038456</v>
      </c>
      <c r="L3584" s="455">
        <f t="shared" ca="1" si="154"/>
        <v>-1106116264147.0266</v>
      </c>
      <c r="M3584" s="471">
        <f t="shared" si="156"/>
        <v>0.05</v>
      </c>
      <c r="N3584" s="475">
        <f t="shared" si="157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55"/>
        <v>-1106116264147.0266</v>
      </c>
      <c r="J3585" s="455">
        <f t="array" ref="J3585">IFERROR(INDEX('Retirement Calculator'!K:K,MATCH('Lorri 401b'!N3585,'Retirement Calculator'!A:A,0),0),0)</f>
        <v>0</v>
      </c>
      <c r="K3585" s="455">
        <f t="shared" ca="1" si="153"/>
        <v>-4608817767.2792778</v>
      </c>
      <c r="L3585" s="455">
        <f t="shared" ca="1" si="154"/>
        <v>-1110725081914.3059</v>
      </c>
      <c r="M3585" s="471">
        <f t="shared" si="156"/>
        <v>0.05</v>
      </c>
      <c r="N3585" s="475">
        <f t="shared" si="157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55"/>
        <v>-1110725081914.3059</v>
      </c>
      <c r="J3586" s="455">
        <f t="array" ref="J3586">IFERROR(INDEX('Retirement Calculator'!K:K,MATCH('Lorri 401b'!N3586,'Retirement Calculator'!A:A,0),0),0)</f>
        <v>0</v>
      </c>
      <c r="K3586" s="455">
        <f t="shared" ca="1" si="153"/>
        <v>-4628021174.6429415</v>
      </c>
      <c r="L3586" s="455">
        <f t="shared" ca="1" si="154"/>
        <v>-1115353103088.9487</v>
      </c>
      <c r="M3586" s="471">
        <f t="shared" si="156"/>
        <v>0.05</v>
      </c>
      <c r="N3586" s="475">
        <f t="shared" si="157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55"/>
        <v>-1115353103088.9487</v>
      </c>
      <c r="J3587" s="455">
        <f t="array" ref="J3587">IFERROR(INDEX('Retirement Calculator'!K:K,MATCH('Lorri 401b'!N3587,'Retirement Calculator'!A:A,0),0),0)</f>
        <v>0</v>
      </c>
      <c r="K3587" s="455">
        <f t="shared" ca="1" si="153"/>
        <v>-4647304596.2039528</v>
      </c>
      <c r="L3587" s="455">
        <f t="shared" ca="1" si="154"/>
        <v>-1120000407685.1526</v>
      </c>
      <c r="M3587" s="471">
        <f t="shared" si="156"/>
        <v>0.05</v>
      </c>
      <c r="N3587" s="475">
        <f t="shared" si="157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55"/>
        <v>-1120000407685.1526</v>
      </c>
      <c r="J3588" s="455">
        <f t="array" ref="J3588">IFERROR(INDEX('Retirement Calculator'!K:K,MATCH('Lorri 401b'!N3588,'Retirement Calculator'!A:A,0),0),0)</f>
        <v>0</v>
      </c>
      <c r="K3588" s="455">
        <f t="shared" ca="1" si="153"/>
        <v>-4666668365.3548021</v>
      </c>
      <c r="L3588" s="455">
        <f t="shared" ca="1" si="154"/>
        <v>-1124667076050.5073</v>
      </c>
      <c r="M3588" s="471">
        <f t="shared" si="156"/>
        <v>0.05</v>
      </c>
      <c r="N3588" s="475">
        <f t="shared" si="157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55"/>
        <v>-1124667076050.5073</v>
      </c>
      <c r="J3589" s="455">
        <f t="array" ref="J3589">IFERROR(INDEX('Retirement Calculator'!K:K,MATCH('Lorri 401b'!N3589,'Retirement Calculator'!A:A,0),0),0)</f>
        <v>0</v>
      </c>
      <c r="K3589" s="455">
        <f t="shared" ca="1" si="153"/>
        <v>-4686112816.8771133</v>
      </c>
      <c r="L3589" s="455">
        <f t="shared" ca="1" si="154"/>
        <v>-1129353188867.3845</v>
      </c>
      <c r="M3589" s="471">
        <f t="shared" si="156"/>
        <v>0.05</v>
      </c>
      <c r="N3589" s="475">
        <f t="shared" si="157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55"/>
        <v>-1129353188867.3845</v>
      </c>
      <c r="J3590" s="455">
        <f t="array" ref="J3590">IFERROR(INDEX('Retirement Calculator'!K:K,MATCH('Lorri 401b'!N3590,'Retirement Calculator'!A:A,0),0),0)</f>
        <v>0</v>
      </c>
      <c r="K3590" s="455">
        <f t="shared" ca="1" si="153"/>
        <v>-4705638286.9474354</v>
      </c>
      <c r="L3590" s="455">
        <f t="shared" ca="1" si="154"/>
        <v>-1134058827154.332</v>
      </c>
      <c r="M3590" s="471">
        <f t="shared" si="156"/>
        <v>0.05</v>
      </c>
      <c r="N3590" s="475">
        <f t="shared" si="157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55"/>
        <v>-1134058827154.332</v>
      </c>
      <c r="J3591" s="455">
        <f t="array" ref="J3591">IFERROR(INDEX('Retirement Calculator'!K:K,MATCH('Lorri 401b'!N3591,'Retirement Calculator'!A:A,0),0),0)</f>
        <v>0</v>
      </c>
      <c r="K3591" s="455">
        <f t="shared" ca="1" si="153"/>
        <v>-4725245113.1430502</v>
      </c>
      <c r="L3591" s="455">
        <f t="shared" ca="1" si="154"/>
        <v>-1138784072267.4751</v>
      </c>
      <c r="M3591" s="471">
        <f t="shared" si="156"/>
        <v>0.05</v>
      </c>
      <c r="N3591" s="475">
        <f t="shared" si="157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55"/>
        <v>-1138784072267.4751</v>
      </c>
      <c r="J3592" s="455">
        <f t="array" ref="J3592">IFERROR(INDEX('Retirement Calculator'!K:K,MATCH('Lorri 401b'!N3592,'Retirement Calculator'!A:A,0),0),0)</f>
        <v>0</v>
      </c>
      <c r="K3592" s="455">
        <f t="shared" ca="1" si="153"/>
        <v>-4744933634.447813</v>
      </c>
      <c r="L3592" s="455">
        <f t="shared" ca="1" si="154"/>
        <v>-1143529005901.9229</v>
      </c>
      <c r="M3592" s="471">
        <f t="shared" si="156"/>
        <v>0.05</v>
      </c>
      <c r="N3592" s="475">
        <f t="shared" si="157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55"/>
        <v>-1143529005901.9229</v>
      </c>
      <c r="J3593" s="455">
        <f t="array" ref="J3593">IFERROR(INDEX('Retirement Calculator'!K:K,MATCH('Lorri 401b'!N3593,'Retirement Calculator'!A:A,0),0),0)</f>
        <v>0</v>
      </c>
      <c r="K3593" s="455">
        <f t="shared" ca="1" si="153"/>
        <v>-4764704191.2580118</v>
      </c>
      <c r="L3593" s="455">
        <f t="shared" ca="1" si="154"/>
        <v>-1148293710093.1809</v>
      </c>
      <c r="M3593" s="471">
        <f t="shared" si="156"/>
        <v>0.05</v>
      </c>
      <c r="N3593" s="475">
        <f t="shared" si="157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55"/>
        <v>-1148293710093.1809</v>
      </c>
      <c r="J3594" s="455">
        <f t="array" ref="J3594">IFERROR(INDEX('Retirement Calculator'!K:K,MATCH('Lorri 401b'!N3594,'Retirement Calculator'!A:A,0),0),0)</f>
        <v>0</v>
      </c>
      <c r="K3594" s="455">
        <f t="shared" ca="1" si="153"/>
        <v>-4784557125.3882542</v>
      </c>
      <c r="L3594" s="455">
        <f t="shared" ca="1" si="154"/>
        <v>-1153078267218.5691</v>
      </c>
      <c r="M3594" s="471">
        <f t="shared" si="156"/>
        <v>0.05</v>
      </c>
      <c r="N3594" s="475">
        <f t="shared" si="157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55"/>
        <v>-1153078267218.5691</v>
      </c>
      <c r="J3595" s="455">
        <f t="array" ref="J3595">IFERROR(INDEX('Retirement Calculator'!K:K,MATCH('Lorri 401b'!N3595,'Retirement Calculator'!A:A,0),0),0)</f>
        <v>0</v>
      </c>
      <c r="K3595" s="455">
        <f t="shared" ca="1" si="153"/>
        <v>-4804492780.0773716</v>
      </c>
      <c r="L3595" s="455">
        <f t="shared" ca="1" si="154"/>
        <v>-1157882759998.6465</v>
      </c>
      <c r="M3595" s="471">
        <f t="shared" si="156"/>
        <v>0.05</v>
      </c>
      <c r="N3595" s="475">
        <f t="shared" si="157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55"/>
        <v>-1157882759998.6465</v>
      </c>
      <c r="J3596" s="455">
        <f t="array" ref="J3596">IFERROR(INDEX('Retirement Calculator'!K:K,MATCH('Lorri 401b'!N3596,'Retirement Calculator'!A:A,0),0),0)</f>
        <v>0</v>
      </c>
      <c r="K3596" s="455">
        <f t="shared" ca="1" si="153"/>
        <v>-4824511499.99436</v>
      </c>
      <c r="L3596" s="455">
        <f t="shared" ca="1" si="154"/>
        <v>-1162707271498.6409</v>
      </c>
      <c r="M3596" s="471">
        <f t="shared" si="156"/>
        <v>0.05</v>
      </c>
      <c r="N3596" s="475">
        <f t="shared" si="157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55"/>
        <v>-1162707271498.6409</v>
      </c>
      <c r="J3597" s="455">
        <f t="array" ref="J3597">IFERROR(INDEX('Retirement Calculator'!K:K,MATCH('Lorri 401b'!N3597,'Retirement Calculator'!A:A,0),0),0)</f>
        <v>0</v>
      </c>
      <c r="K3597" s="455">
        <f t="shared" ca="1" si="153"/>
        <v>-4844613631.2443371</v>
      </c>
      <c r="L3597" s="455">
        <f t="shared" ca="1" si="154"/>
        <v>-1167551885129.8853</v>
      </c>
      <c r="M3597" s="471">
        <f t="shared" si="156"/>
        <v>0.05</v>
      </c>
      <c r="N3597" s="475">
        <f t="shared" si="157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55"/>
        <v>-1167551885129.8853</v>
      </c>
      <c r="J3598" s="455">
        <f t="array" ref="J3598">IFERROR(INDEX('Retirement Calculator'!K:K,MATCH('Lorri 401b'!N3598,'Retirement Calculator'!A:A,0),0),0)</f>
        <v>0</v>
      </c>
      <c r="K3598" s="455">
        <f t="shared" ca="1" si="153"/>
        <v>-4864799521.3745222</v>
      </c>
      <c r="L3598" s="455">
        <f t="shared" ca="1" si="154"/>
        <v>-1172416684651.2598</v>
      </c>
      <c r="M3598" s="471">
        <f t="shared" si="156"/>
        <v>0.05</v>
      </c>
      <c r="N3598" s="475">
        <f t="shared" si="157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55"/>
        <v>-1172416684651.2598</v>
      </c>
      <c r="J3599" s="455">
        <f t="array" ref="J3599">IFERROR(INDEX('Retirement Calculator'!K:K,MATCH('Lorri 401b'!N3599,'Retirement Calculator'!A:A,0),0),0)</f>
        <v>0</v>
      </c>
      <c r="K3599" s="455">
        <f t="shared" ca="1" si="153"/>
        <v>-4885069519.380249</v>
      </c>
      <c r="L3599" s="455">
        <f t="shared" ca="1" si="154"/>
        <v>-1177301754170.6401</v>
      </c>
      <c r="M3599" s="471">
        <f t="shared" si="156"/>
        <v>0.05</v>
      </c>
      <c r="N3599" s="475">
        <f t="shared" si="157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55"/>
        <v>-1177301754170.6401</v>
      </c>
      <c r="J3600" s="455">
        <f t="array" ref="J3600">IFERROR(INDEX('Retirement Calculator'!K:K,MATCH('Lorri 401b'!N3600,'Retirement Calculator'!A:A,0),0),0)</f>
        <v>0</v>
      </c>
      <c r="K3600" s="455">
        <f t="shared" ca="1" si="153"/>
        <v>-4905423975.7110004</v>
      </c>
      <c r="L3600" s="455">
        <f t="shared" ca="1" si="154"/>
        <v>-1182207178146.3511</v>
      </c>
      <c r="M3600" s="471">
        <f t="shared" si="156"/>
        <v>0.05</v>
      </c>
      <c r="N3600" s="475">
        <f t="shared" si="157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55"/>
        <v>-1182207178146.3511</v>
      </c>
      <c r="J3601" s="455">
        <f t="array" ref="J3601">IFERROR(INDEX('Retirement Calculator'!K:K,MATCH('Lorri 401b'!N3601,'Retirement Calculator'!A:A,0),0),0)</f>
        <v>0</v>
      </c>
      <c r="K3601" s="455">
        <f t="shared" ca="1" si="153"/>
        <v>-4925863242.2764626</v>
      </c>
      <c r="L3601" s="455">
        <f t="shared" ca="1" si="154"/>
        <v>-1187133041388.6274</v>
      </c>
      <c r="M3601" s="471">
        <f t="shared" si="156"/>
        <v>0.05</v>
      </c>
      <c r="N3601" s="475">
        <f t="shared" si="157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55"/>
        <v>-1187133041388.6274</v>
      </c>
      <c r="J3602" s="455">
        <f t="array" ref="J3602">IFERROR(INDEX('Retirement Calculator'!K:K,MATCH('Lorri 401b'!N3602,'Retirement Calculator'!A:A,0),0),0)</f>
        <v>0</v>
      </c>
      <c r="K3602" s="455">
        <f t="shared" ca="1" si="153"/>
        <v>-4946387672.4526138</v>
      </c>
      <c r="L3602" s="455">
        <f t="shared" ca="1" si="154"/>
        <v>-1192079429061.0801</v>
      </c>
      <c r="M3602" s="471">
        <f t="shared" si="156"/>
        <v>0.05</v>
      </c>
      <c r="N3602" s="475">
        <f t="shared" si="157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55"/>
        <v>-1192079429061.0801</v>
      </c>
      <c r="J3603" s="455">
        <f t="array" ref="J3603">IFERROR(INDEX('Retirement Calculator'!K:K,MATCH('Lorri 401b'!N3603,'Retirement Calculator'!A:A,0),0),0)</f>
        <v>0</v>
      </c>
      <c r="K3603" s="455">
        <f t="shared" ca="1" si="153"/>
        <v>-4966997621.0878334</v>
      </c>
      <c r="L3603" s="455">
        <f t="shared" ca="1" si="154"/>
        <v>-1197046426682.168</v>
      </c>
      <c r="M3603" s="471">
        <f t="shared" si="156"/>
        <v>0.05</v>
      </c>
      <c r="N3603" s="475">
        <f t="shared" si="157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55"/>
        <v>-1197046426682.168</v>
      </c>
      <c r="J3604" s="455">
        <f t="array" ref="J3604">IFERROR(INDEX('Retirement Calculator'!K:K,MATCH('Lorri 401b'!N3604,'Retirement Calculator'!A:A,0),0),0)</f>
        <v>0</v>
      </c>
      <c r="K3604" s="455">
        <f t="shared" ca="1" si="153"/>
        <v>-4987693444.5090332</v>
      </c>
      <c r="L3604" s="455">
        <f t="shared" ca="1" si="154"/>
        <v>-1202034120126.677</v>
      </c>
      <c r="M3604" s="471">
        <f t="shared" si="156"/>
        <v>0.05</v>
      </c>
      <c r="N3604" s="475">
        <f t="shared" si="157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55"/>
        <v>-1202034120126.677</v>
      </c>
      <c r="J3605" s="455">
        <f t="array" ref="J3605">IFERROR(INDEX('Retirement Calculator'!K:K,MATCH('Lorri 401b'!N3605,'Retirement Calculator'!A:A,0),0),0)</f>
        <v>0</v>
      </c>
      <c r="K3605" s="455">
        <f t="shared" ca="1" si="153"/>
        <v>-5008475500.5278206</v>
      </c>
      <c r="L3605" s="455">
        <f t="shared" ca="1" si="154"/>
        <v>-1207042595627.2048</v>
      </c>
      <c r="M3605" s="471">
        <f t="shared" si="156"/>
        <v>0.05</v>
      </c>
      <c r="N3605" s="475">
        <f t="shared" si="157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55"/>
        <v>-1207042595627.2048</v>
      </c>
      <c r="J3606" s="455">
        <f t="array" ref="J3606">IFERROR(INDEX('Retirement Calculator'!K:K,MATCH('Lorri 401b'!N3606,'Retirement Calculator'!A:A,0),0),0)</f>
        <v>0</v>
      </c>
      <c r="K3606" s="455">
        <f t="shared" ca="1" si="153"/>
        <v>-5029344148.4466867</v>
      </c>
      <c r="L3606" s="455">
        <f t="shared" ca="1" si="154"/>
        <v>-1212071939775.6516</v>
      </c>
      <c r="M3606" s="471">
        <f t="shared" si="156"/>
        <v>0.05</v>
      </c>
      <c r="N3606" s="475">
        <f t="shared" si="157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55"/>
        <v>-1212071939775.6516</v>
      </c>
      <c r="J3607" s="455">
        <f t="array" ref="J3607">IFERROR(INDEX('Retirement Calculator'!K:K,MATCH('Lorri 401b'!N3607,'Retirement Calculator'!A:A,0),0),0)</f>
        <v>0</v>
      </c>
      <c r="K3607" s="455">
        <f t="shared" ca="1" si="153"/>
        <v>-5050299749.0652151</v>
      </c>
      <c r="L3607" s="455">
        <f t="shared" ca="1" si="154"/>
        <v>-1217122239524.7168</v>
      </c>
      <c r="M3607" s="471">
        <f t="shared" si="156"/>
        <v>0.05</v>
      </c>
      <c r="N3607" s="475">
        <f t="shared" si="157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55"/>
        <v>-1217122239524.7168</v>
      </c>
      <c r="J3608" s="455">
        <f t="array" ref="J3608">IFERROR(INDEX('Retirement Calculator'!K:K,MATCH('Lorri 401b'!N3608,'Retirement Calculator'!A:A,0),0),0)</f>
        <v>0</v>
      </c>
      <c r="K3608" s="455">
        <f t="shared" ca="1" si="153"/>
        <v>-5071342664.6863203</v>
      </c>
      <c r="L3608" s="455">
        <f t="shared" ca="1" si="154"/>
        <v>-1222193582189.4031</v>
      </c>
      <c r="M3608" s="471">
        <f t="shared" si="156"/>
        <v>0.05</v>
      </c>
      <c r="N3608" s="475">
        <f t="shared" si="157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55"/>
        <v>-1222193582189.4031</v>
      </c>
      <c r="J3609" s="455">
        <f t="array" ref="J3609">IFERROR(INDEX('Retirement Calculator'!K:K,MATCH('Lorri 401b'!N3609,'Retirement Calculator'!A:A,0),0),0)</f>
        <v>0</v>
      </c>
      <c r="K3609" s="455">
        <f t="shared" ca="1" si="153"/>
        <v>-5092473259.1225128</v>
      </c>
      <c r="L3609" s="455">
        <f t="shared" ca="1" si="154"/>
        <v>-1227286055448.5256</v>
      </c>
      <c r="M3609" s="471">
        <f t="shared" si="156"/>
        <v>0.05</v>
      </c>
      <c r="N3609" s="475">
        <f t="shared" si="157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55"/>
        <v>-1227286055448.5256</v>
      </c>
      <c r="J3610" s="455">
        <f t="array" ref="J3610">IFERROR(INDEX('Retirement Calculator'!K:K,MATCH('Lorri 401b'!N3610,'Retirement Calculator'!A:A,0),0),0)</f>
        <v>0</v>
      </c>
      <c r="K3610" s="455">
        <f t="shared" ca="1" si="153"/>
        <v>-5113691897.7021904</v>
      </c>
      <c r="L3610" s="455">
        <f t="shared" ca="1" si="154"/>
        <v>-1232399747346.2278</v>
      </c>
      <c r="M3610" s="471">
        <f t="shared" si="156"/>
        <v>0.05</v>
      </c>
      <c r="N3610" s="475">
        <f t="shared" si="157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55"/>
        <v>-1232399747346.2278</v>
      </c>
      <c r="J3611" s="455">
        <f t="array" ref="J3611">IFERROR(INDEX('Retirement Calculator'!K:K,MATCH('Lorri 401b'!N3611,'Retirement Calculator'!A:A,0),0),0)</f>
        <v>0</v>
      </c>
      <c r="K3611" s="455">
        <f t="shared" ca="1" si="153"/>
        <v>-5134998947.2759495</v>
      </c>
      <c r="L3611" s="455">
        <f t="shared" ca="1" si="154"/>
        <v>-1237534746293.5037</v>
      </c>
      <c r="M3611" s="471">
        <f t="shared" si="156"/>
        <v>0.05</v>
      </c>
      <c r="N3611" s="475">
        <f t="shared" si="157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55"/>
        <v>-1237534746293.5037</v>
      </c>
      <c r="J3612" s="455">
        <f t="array" ref="J3612">IFERROR(INDEX('Retirement Calculator'!K:K,MATCH('Lorri 401b'!N3612,'Retirement Calculator'!A:A,0),0),0)</f>
        <v>0</v>
      </c>
      <c r="K3612" s="455">
        <f t="shared" ca="1" si="153"/>
        <v>-5156394776.2229319</v>
      </c>
      <c r="L3612" s="455">
        <f t="shared" ca="1" si="154"/>
        <v>-1242691141069.7266</v>
      </c>
      <c r="M3612" s="471">
        <f t="shared" si="156"/>
        <v>0.05</v>
      </c>
      <c r="N3612" s="475">
        <f t="shared" si="157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55"/>
        <v>-1242691141069.7266</v>
      </c>
      <c r="J3613" s="455">
        <f t="array" ref="J3613">IFERROR(INDEX('Retirement Calculator'!K:K,MATCH('Lorri 401b'!N3613,'Retirement Calculator'!A:A,0),0),0)</f>
        <v>0</v>
      </c>
      <c r="K3613" s="455">
        <f t="shared" ca="1" si="153"/>
        <v>-5177879754.4571943</v>
      </c>
      <c r="L3613" s="455">
        <f t="shared" ca="1" si="154"/>
        <v>-1247869020824.1838</v>
      </c>
      <c r="M3613" s="471">
        <f t="shared" si="156"/>
        <v>0.05</v>
      </c>
      <c r="N3613" s="475">
        <f t="shared" si="157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55"/>
        <v>-1247869020824.1838</v>
      </c>
      <c r="J3614" s="455">
        <f t="array" ref="J3614">IFERROR(INDEX('Retirement Calculator'!K:K,MATCH('Lorri 401b'!N3614,'Retirement Calculator'!A:A,0),0),0)</f>
        <v>0</v>
      </c>
      <c r="K3614" s="455">
        <f t="shared" ca="1" si="153"/>
        <v>-5199454253.4340992</v>
      </c>
      <c r="L3614" s="455">
        <f t="shared" ca="1" si="154"/>
        <v>-1253068475077.6179</v>
      </c>
      <c r="M3614" s="471">
        <f t="shared" si="156"/>
        <v>0.05</v>
      </c>
      <c r="N3614" s="475">
        <f t="shared" si="157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55"/>
        <v>-1253068475077.6179</v>
      </c>
      <c r="J3615" s="455">
        <f t="array" ref="J3615">IFERROR(INDEX('Retirement Calculator'!K:K,MATCH('Lorri 401b'!N3615,'Retirement Calculator'!A:A,0),0),0)</f>
        <v>0</v>
      </c>
      <c r="K3615" s="455">
        <f t="shared" ca="1" si="153"/>
        <v>-5221118646.1567411</v>
      </c>
      <c r="L3615" s="455">
        <f t="shared" ca="1" si="154"/>
        <v>-1258289593723.7747</v>
      </c>
      <c r="M3615" s="471">
        <f t="shared" si="156"/>
        <v>0.05</v>
      </c>
      <c r="N3615" s="475">
        <f t="shared" si="157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55"/>
        <v>-1258289593723.7747</v>
      </c>
      <c r="J3616" s="455">
        <f t="array" ref="J3616">IFERROR(INDEX('Retirement Calculator'!K:K,MATCH('Lorri 401b'!N3616,'Retirement Calculator'!A:A,0),0),0)</f>
        <v>0</v>
      </c>
      <c r="K3616" s="455">
        <f t="shared" ca="1" si="153"/>
        <v>-5242873307.182394</v>
      </c>
      <c r="L3616" s="455">
        <f t="shared" ca="1" si="154"/>
        <v>-1263532467030.957</v>
      </c>
      <c r="M3616" s="471">
        <f t="shared" si="156"/>
        <v>0.05</v>
      </c>
      <c r="N3616" s="475">
        <f t="shared" si="157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55"/>
        <v>-1263532467030.957</v>
      </c>
      <c r="J3617" s="455">
        <f t="array" ref="J3617">IFERROR(INDEX('Retirement Calculator'!K:K,MATCH('Lorri 401b'!N3617,'Retirement Calculator'!A:A,0),0),0)</f>
        <v>0</v>
      </c>
      <c r="K3617" s="455">
        <f t="shared" ca="1" si="153"/>
        <v>-5264718612.6289873</v>
      </c>
      <c r="L3617" s="455">
        <f t="shared" ca="1" si="154"/>
        <v>-1268797185643.5859</v>
      </c>
      <c r="M3617" s="471">
        <f t="shared" si="156"/>
        <v>0.05</v>
      </c>
      <c r="N3617" s="475">
        <f t="shared" si="157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55"/>
        <v>-1268797185643.5859</v>
      </c>
      <c r="J3618" s="455">
        <f t="array" ref="J3618">IFERROR(INDEX('Retirement Calculator'!K:K,MATCH('Lorri 401b'!N3618,'Retirement Calculator'!A:A,0),0),0)</f>
        <v>0</v>
      </c>
      <c r="K3618" s="455">
        <f t="shared" ca="1" si="153"/>
        <v>-5286654940.1816082</v>
      </c>
      <c r="L3618" s="455">
        <f t="shared" ca="1" si="154"/>
        <v>-1274083840583.7676</v>
      </c>
      <c r="M3618" s="471">
        <f t="shared" si="156"/>
        <v>0.05</v>
      </c>
      <c r="N3618" s="475">
        <f t="shared" si="157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55"/>
        <v>-1274083840583.7676</v>
      </c>
      <c r="J3619" s="455">
        <f t="array" ref="J3619">IFERROR(INDEX('Retirement Calculator'!K:K,MATCH('Lorri 401b'!N3619,'Retirement Calculator'!A:A,0),0),0)</f>
        <v>0</v>
      </c>
      <c r="K3619" s="455">
        <f t="shared" ca="1" si="153"/>
        <v>-5308682669.0990314</v>
      </c>
      <c r="L3619" s="455">
        <f t="shared" ca="1" si="154"/>
        <v>-1279392523252.8667</v>
      </c>
      <c r="M3619" s="471">
        <f t="shared" si="156"/>
        <v>0.05</v>
      </c>
      <c r="N3619" s="475">
        <f t="shared" si="157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55"/>
        <v>-1279392523252.8667</v>
      </c>
      <c r="J3620" s="455">
        <f t="array" ref="J3620">IFERROR(INDEX('Retirement Calculator'!K:K,MATCH('Lorri 401b'!N3620,'Retirement Calculator'!A:A,0),0),0)</f>
        <v>0</v>
      </c>
      <c r="K3620" s="455">
        <f t="shared" ca="1" si="153"/>
        <v>-5330802180.2202778</v>
      </c>
      <c r="L3620" s="455">
        <f t="shared" ca="1" si="154"/>
        <v>-1284723325433.0869</v>
      </c>
      <c r="M3620" s="471">
        <f t="shared" si="156"/>
        <v>0.05</v>
      </c>
      <c r="N3620" s="475">
        <f t="shared" si="157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55"/>
        <v>-1284723325433.0869</v>
      </c>
      <c r="J3621" s="455">
        <f t="array" ref="J3621">IFERROR(INDEX('Retirement Calculator'!K:K,MATCH('Lorri 401b'!N3621,'Retirement Calculator'!A:A,0),0),0)</f>
        <v>0</v>
      </c>
      <c r="K3621" s="455">
        <f t="shared" ca="1" si="153"/>
        <v>-5353013855.9711952</v>
      </c>
      <c r="L3621" s="455">
        <f t="shared" ca="1" si="154"/>
        <v>-1290076339289.0581</v>
      </c>
      <c r="M3621" s="471">
        <f t="shared" si="156"/>
        <v>0.05</v>
      </c>
      <c r="N3621" s="475">
        <f t="shared" si="157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55"/>
        <v>-1290076339289.0581</v>
      </c>
      <c r="J3622" s="455">
        <f t="array" ref="J3622">IFERROR(INDEX('Retirement Calculator'!K:K,MATCH('Lorri 401b'!N3622,'Retirement Calculator'!A:A,0),0),0)</f>
        <v>0</v>
      </c>
      <c r="K3622" s="455">
        <f t="shared" ca="1" si="153"/>
        <v>-5375318080.3710756</v>
      </c>
      <c r="L3622" s="455">
        <f t="shared" ca="1" si="154"/>
        <v>-1295451657369.4292</v>
      </c>
      <c r="M3622" s="471">
        <f t="shared" si="156"/>
        <v>0.05</v>
      </c>
      <c r="N3622" s="475">
        <f t="shared" si="157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55"/>
        <v>-1295451657369.4292</v>
      </c>
      <c r="J3623" s="455">
        <f t="array" ref="J3623">IFERROR(INDEX('Retirement Calculator'!K:K,MATCH('Lorri 401b'!N3623,'Retirement Calculator'!A:A,0),0),0)</f>
        <v>0</v>
      </c>
      <c r="K3623" s="455">
        <f t="shared" ca="1" si="153"/>
        <v>-5397715239.0392885</v>
      </c>
      <c r="L3623" s="455">
        <f t="shared" ca="1" si="154"/>
        <v>-1300849372608.4685</v>
      </c>
      <c r="M3623" s="471">
        <f t="shared" si="156"/>
        <v>0.05</v>
      </c>
      <c r="N3623" s="475">
        <f t="shared" si="157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55"/>
        <v>-1300849372608.4685</v>
      </c>
      <c r="J3624" s="455">
        <f t="array" ref="J3624">IFERROR(INDEX('Retirement Calculator'!K:K,MATCH('Lorri 401b'!N3624,'Retirement Calculator'!A:A,0),0),0)</f>
        <v>0</v>
      </c>
      <c r="K3624" s="455">
        <f t="shared" ca="1" si="153"/>
        <v>-5420205719.201952</v>
      </c>
      <c r="L3624" s="455">
        <f t="shared" ca="1" si="154"/>
        <v>-1306269578327.6704</v>
      </c>
      <c r="M3624" s="471">
        <f t="shared" si="156"/>
        <v>0.05</v>
      </c>
      <c r="N3624" s="475">
        <f t="shared" si="157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55"/>
        <v>-1306269578327.6704</v>
      </c>
      <c r="J3625" s="455">
        <f t="array" ref="J3625">IFERROR(INDEX('Retirement Calculator'!K:K,MATCH('Lorri 401b'!N3625,'Retirement Calculator'!A:A,0),0),0)</f>
        <v>0</v>
      </c>
      <c r="K3625" s="455">
        <f t="shared" ca="1" si="153"/>
        <v>-5442789909.6986265</v>
      </c>
      <c r="L3625" s="455">
        <f t="shared" ca="1" si="154"/>
        <v>-1311712368237.3691</v>
      </c>
      <c r="M3625" s="471">
        <f t="shared" si="156"/>
        <v>0.05</v>
      </c>
      <c r="N3625" s="475">
        <f t="shared" si="157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55"/>
        <v>-1311712368237.3691</v>
      </c>
      <c r="J3626" s="455">
        <f t="array" ref="J3626">IFERROR(INDEX('Retirement Calculator'!K:K,MATCH('Lorri 401b'!N3626,'Retirement Calculator'!A:A,0),0),0)</f>
        <v>0</v>
      </c>
      <c r="K3626" s="455">
        <f t="shared" ca="1" si="153"/>
        <v>-5465468200.9890385</v>
      </c>
      <c r="L3626" s="455">
        <f t="shared" ca="1" si="154"/>
        <v>-1317177836438.3582</v>
      </c>
      <c r="M3626" s="471">
        <f t="shared" si="156"/>
        <v>0.05</v>
      </c>
      <c r="N3626" s="475">
        <f t="shared" si="157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55"/>
        <v>-1317177836438.3582</v>
      </c>
      <c r="J3627" s="455">
        <f t="array" ref="J3627">IFERROR(INDEX('Retirement Calculator'!K:K,MATCH('Lorri 401b'!N3627,'Retirement Calculator'!A:A,0),0),0)</f>
        <v>0</v>
      </c>
      <c r="K3627" s="455">
        <f t="shared" ca="1" si="153"/>
        <v>-5488240985.1598253</v>
      </c>
      <c r="L3627" s="455">
        <f t="shared" ca="1" si="154"/>
        <v>-1322666077423.5181</v>
      </c>
      <c r="M3627" s="471">
        <f t="shared" si="156"/>
        <v>0.05</v>
      </c>
      <c r="N3627" s="475">
        <f t="shared" si="157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55"/>
        <v>-1322666077423.5181</v>
      </c>
      <c r="J3628" s="455">
        <f t="array" ref="J3628">IFERROR(INDEX('Retirement Calculator'!K:K,MATCH('Lorri 401b'!N3628,'Retirement Calculator'!A:A,0),0),0)</f>
        <v>0</v>
      </c>
      <c r="K3628" s="455">
        <f t="shared" ca="1" si="153"/>
        <v>-5511108655.931325</v>
      </c>
      <c r="L3628" s="455">
        <f t="shared" ca="1" si="154"/>
        <v>-1328177186079.4495</v>
      </c>
      <c r="M3628" s="471">
        <f t="shared" si="156"/>
        <v>0.05</v>
      </c>
      <c r="N3628" s="475">
        <f t="shared" si="157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55"/>
        <v>-1328177186079.4495</v>
      </c>
      <c r="J3629" s="455">
        <f t="array" ref="J3629">IFERROR(INDEX('Retirement Calculator'!K:K,MATCH('Lorri 401b'!N3629,'Retirement Calculator'!A:A,0),0),0)</f>
        <v>0</v>
      </c>
      <c r="K3629" s="455">
        <f t="shared" ca="1" si="153"/>
        <v>-5534071608.6643724</v>
      </c>
      <c r="L3629" s="455">
        <f t="shared" ca="1" si="154"/>
        <v>-1333711257688.1138</v>
      </c>
      <c r="M3629" s="471">
        <f t="shared" si="156"/>
        <v>0.05</v>
      </c>
      <c r="N3629" s="475">
        <f t="shared" si="157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55"/>
        <v>-1333711257688.1138</v>
      </c>
      <c r="J3630" s="455">
        <f t="array" ref="J3630">IFERROR(INDEX('Retirement Calculator'!K:K,MATCH('Lorri 401b'!N3630,'Retirement Calculator'!A:A,0),0),0)</f>
        <v>0</v>
      </c>
      <c r="K3630" s="455">
        <f t="shared" ca="1" si="153"/>
        <v>-5557130240.3671408</v>
      </c>
      <c r="L3630" s="455">
        <f t="shared" ca="1" si="154"/>
        <v>-1339268387928.481</v>
      </c>
      <c r="M3630" s="471">
        <f t="shared" si="156"/>
        <v>0.05</v>
      </c>
      <c r="N3630" s="475">
        <f t="shared" si="157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55"/>
        <v>-1339268387928.481</v>
      </c>
      <c r="J3631" s="455">
        <f t="array" ref="J3631">IFERROR(INDEX('Retirement Calculator'!K:K,MATCH('Lorri 401b'!N3631,'Retirement Calculator'!A:A,0),0),0)</f>
        <v>0</v>
      </c>
      <c r="K3631" s="455">
        <f t="shared" ca="1" si="153"/>
        <v>-5580284949.7020035</v>
      </c>
      <c r="L3631" s="455">
        <f t="shared" ca="1" si="154"/>
        <v>-1344848672878.1829</v>
      </c>
      <c r="M3631" s="471">
        <f t="shared" si="156"/>
        <v>0.05</v>
      </c>
      <c r="N3631" s="475">
        <f t="shared" si="157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55"/>
        <v>-1344848672878.1829</v>
      </c>
      <c r="J3632" s="455">
        <f t="array" ref="J3632">IFERROR(INDEX('Retirement Calculator'!K:K,MATCH('Lorri 401b'!N3632,'Retirement Calculator'!A:A,0),0),0)</f>
        <v>0</v>
      </c>
      <c r="K3632" s="455">
        <f t="shared" ca="1" si="153"/>
        <v>-5603536136.9924288</v>
      </c>
      <c r="L3632" s="455">
        <f t="shared" ca="1" si="154"/>
        <v>-1350452209015.1753</v>
      </c>
      <c r="M3632" s="471">
        <f t="shared" si="156"/>
        <v>0.05</v>
      </c>
      <c r="N3632" s="475">
        <f t="shared" si="157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55"/>
        <v>-1350452209015.1753</v>
      </c>
      <c r="J3633" s="455">
        <f t="array" ref="J3633">IFERROR(INDEX('Retirement Calculator'!K:K,MATCH('Lorri 401b'!N3633,'Retirement Calculator'!A:A,0),0),0)</f>
        <v>0</v>
      </c>
      <c r="K3633" s="455">
        <f t="shared" ca="1" si="153"/>
        <v>-5626884204.2298965</v>
      </c>
      <c r="L3633" s="455">
        <f t="shared" ca="1" si="154"/>
        <v>-1356079093219.4053</v>
      </c>
      <c r="M3633" s="471">
        <f t="shared" si="156"/>
        <v>0.05</v>
      </c>
      <c r="N3633" s="475">
        <f t="shared" si="157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55"/>
        <v>-1356079093219.4053</v>
      </c>
      <c r="J3634" s="455">
        <f t="array" ref="J3634">IFERROR(INDEX('Retirement Calculator'!K:K,MATCH('Lorri 401b'!N3634,'Retirement Calculator'!A:A,0),0),0)</f>
        <v>0</v>
      </c>
      <c r="K3634" s="455">
        <f t="shared" ca="1" si="153"/>
        <v>-5650329555.0808554</v>
      </c>
      <c r="L3634" s="455">
        <f t="shared" ca="1" si="154"/>
        <v>-1361729422774.4861</v>
      </c>
      <c r="M3634" s="471">
        <f t="shared" si="156"/>
        <v>0.05</v>
      </c>
      <c r="N3634" s="475">
        <f t="shared" si="157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55"/>
        <v>-1361729422774.4861</v>
      </c>
      <c r="J3635" s="455">
        <f t="array" ref="J3635">IFERROR(INDEX('Retirement Calculator'!K:K,MATCH('Lorri 401b'!N3635,'Retirement Calculator'!A:A,0),0),0)</f>
        <v>0</v>
      </c>
      <c r="K3635" s="455">
        <f t="shared" ca="1" si="153"/>
        <v>-5673872594.893692</v>
      </c>
      <c r="L3635" s="455">
        <f t="shared" ca="1" si="154"/>
        <v>-1367403295369.3799</v>
      </c>
      <c r="M3635" s="471">
        <f t="shared" si="156"/>
        <v>0.05</v>
      </c>
      <c r="N3635" s="475">
        <f t="shared" si="157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55"/>
        <v>-1367403295369.3799</v>
      </c>
      <c r="J3636" s="455">
        <f t="array" ref="J3636">IFERROR(INDEX('Retirement Calculator'!K:K,MATCH('Lorri 401b'!N3636,'Retirement Calculator'!A:A,0),0),0)</f>
        <v>0</v>
      </c>
      <c r="K3636" s="455">
        <f t="shared" ca="1" si="153"/>
        <v>-5697513730.7057495</v>
      </c>
      <c r="L3636" s="455">
        <f t="shared" ca="1" si="154"/>
        <v>-1373100809100.0857</v>
      </c>
      <c r="M3636" s="471">
        <f t="shared" si="156"/>
        <v>0.05</v>
      </c>
      <c r="N3636" s="475">
        <f t="shared" si="157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55"/>
        <v>-1373100809100.0857</v>
      </c>
      <c r="J3637" s="455">
        <f t="array" ref="J3637">IFERROR(INDEX('Retirement Calculator'!K:K,MATCH('Lorri 401b'!N3637,'Retirement Calculator'!A:A,0),0),0)</f>
        <v>0</v>
      </c>
      <c r="K3637" s="455">
        <f t="shared" ca="1" si="153"/>
        <v>-5721253371.2503567</v>
      </c>
      <c r="L3637" s="455">
        <f t="shared" ca="1" si="154"/>
        <v>-1378822062471.3359</v>
      </c>
      <c r="M3637" s="471">
        <f t="shared" si="156"/>
        <v>0.05</v>
      </c>
      <c r="N3637" s="475">
        <f t="shared" si="157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55"/>
        <v>-1378822062471.3359</v>
      </c>
      <c r="J3638" s="455">
        <f t="array" ref="J3638">IFERROR(INDEX('Retirement Calculator'!K:K,MATCH('Lorri 401b'!N3638,'Retirement Calculator'!A:A,0),0),0)</f>
        <v>0</v>
      </c>
      <c r="K3638" s="455">
        <f t="shared" ca="1" si="153"/>
        <v>-5745091926.9638996</v>
      </c>
      <c r="L3638" s="455">
        <f t="shared" ca="1" si="154"/>
        <v>-1384567154398.2998</v>
      </c>
      <c r="M3638" s="471">
        <f t="shared" si="156"/>
        <v>0.05</v>
      </c>
      <c r="N3638" s="475">
        <f t="shared" si="157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55"/>
        <v>-1384567154398.2998</v>
      </c>
      <c r="J3639" s="455">
        <f t="array" ref="J3639">IFERROR(INDEX('Retirement Calculator'!K:K,MATCH('Lorri 401b'!N3639,'Retirement Calculator'!A:A,0),0),0)</f>
        <v>0</v>
      </c>
      <c r="K3639" s="455">
        <f t="shared" ca="1" si="153"/>
        <v>-5769029809.9929161</v>
      </c>
      <c r="L3639" s="455">
        <f t="shared" ca="1" si="154"/>
        <v>-1390336184208.2927</v>
      </c>
      <c r="M3639" s="471">
        <f t="shared" si="156"/>
        <v>0.05</v>
      </c>
      <c r="N3639" s="475">
        <f t="shared" si="157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55"/>
        <v>-1390336184208.2927</v>
      </c>
      <c r="J3640" s="455">
        <f t="array" ref="J3640">IFERROR(INDEX('Retirement Calculator'!K:K,MATCH('Lorri 401b'!N3640,'Retirement Calculator'!A:A,0),0),0)</f>
        <v>0</v>
      </c>
      <c r="K3640" s="455">
        <f t="shared" ca="1" si="153"/>
        <v>-5793067434.2012196</v>
      </c>
      <c r="L3640" s="455">
        <f t="shared" ca="1" si="154"/>
        <v>-1396129251642.4939</v>
      </c>
      <c r="M3640" s="471">
        <f t="shared" si="156"/>
        <v>0.05</v>
      </c>
      <c r="N3640" s="475">
        <f t="shared" si="157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55"/>
        <v>-1396129251642.4939</v>
      </c>
      <c r="J3641" s="455">
        <f t="array" ref="J3641">IFERROR(INDEX('Retirement Calculator'!K:K,MATCH('Lorri 401b'!N3641,'Retirement Calculator'!A:A,0),0),0)</f>
        <v>0</v>
      </c>
      <c r="K3641" s="455">
        <f t="shared" ca="1" si="153"/>
        <v>-5817205215.1770582</v>
      </c>
      <c r="L3641" s="455">
        <f t="shared" ca="1" si="154"/>
        <v>-1401946456857.6709</v>
      </c>
      <c r="M3641" s="471">
        <f t="shared" si="156"/>
        <v>0.05</v>
      </c>
      <c r="N3641" s="475">
        <f t="shared" si="157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55"/>
        <v>-1401946456857.6709</v>
      </c>
      <c r="J3642" s="455">
        <f t="array" ref="J3642">IFERROR(INDEX('Retirement Calculator'!K:K,MATCH('Lorri 401b'!N3642,'Retirement Calculator'!A:A,0),0),0)</f>
        <v>0</v>
      </c>
      <c r="K3642" s="455">
        <f t="shared" ca="1" si="153"/>
        <v>-5841443570.2402954</v>
      </c>
      <c r="L3642" s="455">
        <f t="shared" ca="1" si="154"/>
        <v>-1407787900427.9111</v>
      </c>
      <c r="M3642" s="471">
        <f t="shared" si="156"/>
        <v>0.05</v>
      </c>
      <c r="N3642" s="475">
        <f t="shared" si="157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55"/>
        <v>-1407787900427.9111</v>
      </c>
      <c r="J3643" s="455">
        <f t="array" ref="J3643">IFERROR(INDEX('Retirement Calculator'!K:K,MATCH('Lorri 401b'!N3643,'Retirement Calculator'!A:A,0),0),0)</f>
        <v>0</v>
      </c>
      <c r="K3643" s="455">
        <f t="shared" ca="1" si="153"/>
        <v>-5865782918.4496298</v>
      </c>
      <c r="L3643" s="455">
        <f t="shared" ca="1" si="154"/>
        <v>-1413653683346.3608</v>
      </c>
      <c r="M3643" s="471">
        <f t="shared" si="156"/>
        <v>0.05</v>
      </c>
      <c r="N3643" s="475">
        <f t="shared" si="157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55"/>
        <v>-1413653683346.3608</v>
      </c>
      <c r="J3644" s="455">
        <f t="array" ref="J3644">IFERROR(INDEX('Retirement Calculator'!K:K,MATCH('Lorri 401b'!N3644,'Retirement Calculator'!A:A,0),0),0)</f>
        <v>0</v>
      </c>
      <c r="K3644" s="455">
        <f t="shared" ca="1" si="153"/>
        <v>-5890223680.6098366</v>
      </c>
      <c r="L3644" s="455">
        <f t="shared" ca="1" si="154"/>
        <v>-1419543907026.9707</v>
      </c>
      <c r="M3644" s="471">
        <f t="shared" si="156"/>
        <v>0.05</v>
      </c>
      <c r="N3644" s="475">
        <f t="shared" si="157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55"/>
        <v>-1419543907026.9707</v>
      </c>
      <c r="J3645" s="455">
        <f t="array" ref="J3645">IFERROR(INDEX('Retirement Calculator'!K:K,MATCH('Lorri 401b'!N3645,'Retirement Calculator'!A:A,0),0),0)</f>
        <v>0</v>
      </c>
      <c r="K3645" s="455">
        <f t="shared" ca="1" si="153"/>
        <v>-5914766279.2790442</v>
      </c>
      <c r="L3645" s="455">
        <f t="shared" ca="1" si="154"/>
        <v>-1425458673306.2498</v>
      </c>
      <c r="M3645" s="471">
        <f t="shared" si="156"/>
        <v>0.05</v>
      </c>
      <c r="N3645" s="475">
        <f t="shared" si="157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55"/>
        <v>-1425458673306.2498</v>
      </c>
      <c r="J3646" s="455">
        <f t="array" ref="J3646">IFERROR(INDEX('Retirement Calculator'!K:K,MATCH('Lorri 401b'!N3646,'Retirement Calculator'!A:A,0),0),0)</f>
        <v>0</v>
      </c>
      <c r="K3646" s="455">
        <f t="shared" ca="1" si="153"/>
        <v>-5939411138.776041</v>
      </c>
      <c r="L3646" s="455">
        <f t="shared" ca="1" si="154"/>
        <v>-1431398084445.0259</v>
      </c>
      <c r="M3646" s="471">
        <f t="shared" si="156"/>
        <v>0.05</v>
      </c>
      <c r="N3646" s="475">
        <f t="shared" si="157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55"/>
        <v>-1431398084445.0259</v>
      </c>
      <c r="J3647" s="455">
        <f t="array" ref="J3647">IFERROR(INDEX('Retirement Calculator'!K:K,MATCH('Lorri 401b'!N3647,'Retirement Calculator'!A:A,0),0),0)</f>
        <v>0</v>
      </c>
      <c r="K3647" s="455">
        <f t="shared" ca="1" si="153"/>
        <v>-5964158685.1876078</v>
      </c>
      <c r="L3647" s="455">
        <f t="shared" ca="1" si="154"/>
        <v>-1437362243130.2134</v>
      </c>
      <c r="M3647" s="471">
        <f t="shared" si="156"/>
        <v>0.05</v>
      </c>
      <c r="N3647" s="475">
        <f t="shared" si="157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55"/>
        <v>-1437362243130.2134</v>
      </c>
      <c r="J3648" s="455">
        <f t="array" ref="J3648">IFERROR(INDEX('Retirement Calculator'!K:K,MATCH('Lorri 401b'!N3648,'Retirement Calculator'!A:A,0),0),0)</f>
        <v>0</v>
      </c>
      <c r="K3648" s="455">
        <f t="shared" ca="1" si="153"/>
        <v>-5989009346.3758888</v>
      </c>
      <c r="L3648" s="455">
        <f t="shared" ca="1" si="154"/>
        <v>-1443351252476.5894</v>
      </c>
      <c r="M3648" s="471">
        <f t="shared" si="156"/>
        <v>0.05</v>
      </c>
      <c r="N3648" s="475">
        <f t="shared" si="157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55"/>
        <v>-1443351252476.5894</v>
      </c>
      <c r="J3649" s="455">
        <f t="array" ref="J3649">IFERROR(INDEX('Retirement Calculator'!K:K,MATCH('Lorri 401b'!N3649,'Retirement Calculator'!A:A,0),0),0)</f>
        <v>0</v>
      </c>
      <c r="K3649" s="455">
        <f t="shared" ca="1" si="153"/>
        <v>-6013963551.9857893</v>
      </c>
      <c r="L3649" s="455">
        <f t="shared" ca="1" si="154"/>
        <v>-1449365216028.5752</v>
      </c>
      <c r="M3649" s="471">
        <f t="shared" si="156"/>
        <v>0.05</v>
      </c>
      <c r="N3649" s="475">
        <f t="shared" si="157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55"/>
        <v>-1449365216028.5752</v>
      </c>
      <c r="J3650" s="455">
        <f t="array" ref="J3650">IFERROR(INDEX('Retirement Calculator'!K:K,MATCH('Lorri 401b'!N3650,'Retirement Calculator'!A:A,0),0),0)</f>
        <v>0</v>
      </c>
      <c r="K3650" s="455">
        <f t="shared" ca="1" si="153"/>
        <v>-6039021733.4523964</v>
      </c>
      <c r="L3650" s="455">
        <f t="shared" ca="1" si="154"/>
        <v>-1455404237762.0276</v>
      </c>
      <c r="M3650" s="471">
        <f t="shared" si="156"/>
        <v>0.05</v>
      </c>
      <c r="N3650" s="475">
        <f t="shared" si="157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55"/>
        <v>-1455404237762.0276</v>
      </c>
      <c r="J3651" s="455">
        <f t="array" ref="J3651">IFERROR(INDEX('Retirement Calculator'!K:K,MATCH('Lorri 401b'!N3651,'Retirement Calculator'!A:A,0),0),0)</f>
        <v>0</v>
      </c>
      <c r="K3651" s="455">
        <f t="shared" ca="1" si="153"/>
        <v>-6064184324.0084486</v>
      </c>
      <c r="L3651" s="455">
        <f t="shared" ca="1" si="154"/>
        <v>-1461468422086.0361</v>
      </c>
      <c r="M3651" s="471">
        <f t="shared" si="156"/>
        <v>0.05</v>
      </c>
      <c r="N3651" s="475">
        <f t="shared" si="157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55"/>
        <v>-1461468422086.0361</v>
      </c>
      <c r="J3652" s="455">
        <f t="array" ref="J3652">IFERROR(INDEX('Retirement Calculator'!K:K,MATCH('Lorri 401b'!N3652,'Retirement Calculator'!A:A,0),0),0)</f>
        <v>0</v>
      </c>
      <c r="K3652" s="455">
        <f t="shared" ca="1" si="153"/>
        <v>-6089451758.6918173</v>
      </c>
      <c r="L3652" s="455">
        <f t="shared" ca="1" si="154"/>
        <v>-1467557873844.728</v>
      </c>
      <c r="M3652" s="471">
        <f t="shared" si="156"/>
        <v>0.05</v>
      </c>
      <c r="N3652" s="475">
        <f t="shared" si="157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55"/>
        <v>-1467557873844.728</v>
      </c>
      <c r="J3653" s="455">
        <f t="array" ref="J3653">IFERROR(INDEX('Retirement Calculator'!K:K,MATCH('Lorri 401b'!N3653,'Retirement Calculator'!A:A,0),0),0)</f>
        <v>0</v>
      </c>
      <c r="K3653" s="455">
        <f t="shared" ca="1" si="153"/>
        <v>-6114824474.3530331</v>
      </c>
      <c r="L3653" s="455">
        <f t="shared" ca="1" si="154"/>
        <v>-1473672698319.0811</v>
      </c>
      <c r="M3653" s="471">
        <f t="shared" si="156"/>
        <v>0.05</v>
      </c>
      <c r="N3653" s="475">
        <f t="shared" si="157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55"/>
        <v>-1473672698319.0811</v>
      </c>
      <c r="J3654" s="455">
        <f t="array" ref="J3654">IFERROR(INDEX('Retirement Calculator'!K:K,MATCH('Lorri 401b'!N3654,'Retirement Calculator'!A:A,0),0),0)</f>
        <v>0</v>
      </c>
      <c r="K3654" s="455">
        <f t="shared" ca="1" si="153"/>
        <v>-6140302909.662838</v>
      </c>
      <c r="L3654" s="455">
        <f t="shared" ca="1" si="154"/>
        <v>-1479813001228.7439</v>
      </c>
      <c r="M3654" s="471">
        <f t="shared" si="156"/>
        <v>0.05</v>
      </c>
      <c r="N3654" s="475">
        <f t="shared" si="157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55"/>
        <v>-1479813001228.7439</v>
      </c>
      <c r="J3655" s="455">
        <f t="array" ref="J3655">IFERROR(INDEX('Retirement Calculator'!K:K,MATCH('Lorri 401b'!N3655,'Retirement Calculator'!A:A,0),0),0)</f>
        <v>0</v>
      </c>
      <c r="K3655" s="455">
        <f t="shared" ca="1" si="153"/>
        <v>-6165887505.1197662</v>
      </c>
      <c r="L3655" s="455">
        <f t="shared" ca="1" si="154"/>
        <v>-1485978888733.8638</v>
      </c>
      <c r="M3655" s="471">
        <f t="shared" si="156"/>
        <v>0.05</v>
      </c>
      <c r="N3655" s="475">
        <f t="shared" si="157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55"/>
        <v>-1485978888733.8638</v>
      </c>
      <c r="J3656" s="455">
        <f t="array" ref="J3656">IFERROR(INDEX('Retirement Calculator'!K:K,MATCH('Lorri 401b'!N3656,'Retirement Calculator'!A:A,0),0),0)</f>
        <v>0</v>
      </c>
      <c r="K3656" s="455">
        <f t="shared" ca="1" si="153"/>
        <v>-6191578703.057766</v>
      </c>
      <c r="L3656" s="455">
        <f t="shared" ca="1" si="154"/>
        <v>-1492170467436.9216</v>
      </c>
      <c r="M3656" s="471">
        <f t="shared" si="156"/>
        <v>0.05</v>
      </c>
      <c r="N3656" s="475">
        <f t="shared" si="157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55"/>
        <v>-1492170467436.9216</v>
      </c>
      <c r="J3657" s="455">
        <f t="array" ref="J3657">IFERROR(INDEX('Retirement Calculator'!K:K,MATCH('Lorri 401b'!N3657,'Retirement Calculator'!A:A,0),0),0)</f>
        <v>0</v>
      </c>
      <c r="K3657" s="455">
        <f t="shared" ca="1" si="153"/>
        <v>-6217376947.6538401</v>
      </c>
      <c r="L3657" s="455">
        <f t="shared" ca="1" si="154"/>
        <v>-1498387844384.5754</v>
      </c>
      <c r="M3657" s="471">
        <f t="shared" si="156"/>
        <v>0.05</v>
      </c>
      <c r="N3657" s="475">
        <f t="shared" si="157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55"/>
        <v>-1498387844384.5754</v>
      </c>
      <c r="J3658" s="455">
        <f t="array" ref="J3658">IFERROR(INDEX('Retirement Calculator'!K:K,MATCH('Lorri 401b'!N3658,'Retirement Calculator'!A:A,0),0),0)</f>
        <v>0</v>
      </c>
      <c r="K3658" s="455">
        <f t="shared" ca="1" si="153"/>
        <v>-6243282684.9357309</v>
      </c>
      <c r="L3658" s="455">
        <f t="shared" ca="1" si="154"/>
        <v>-1504631127069.5112</v>
      </c>
      <c r="M3658" s="471">
        <f t="shared" si="156"/>
        <v>0.05</v>
      </c>
      <c r="N3658" s="475">
        <f t="shared" si="157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55"/>
        <v>-1504631127069.5112</v>
      </c>
      <c r="J3659" s="455">
        <f t="array" ref="J3659">IFERROR(INDEX('Retirement Calculator'!K:K,MATCH('Lorri 401b'!N3659,'Retirement Calculator'!A:A,0),0),0)</f>
        <v>0</v>
      </c>
      <c r="K3659" s="455">
        <f t="shared" ca="1" si="153"/>
        <v>-6269296362.7896299</v>
      </c>
      <c r="L3659" s="455">
        <f t="shared" ca="1" si="154"/>
        <v>-1510900423432.3008</v>
      </c>
      <c r="M3659" s="471">
        <f t="shared" si="156"/>
        <v>0.05</v>
      </c>
      <c r="N3659" s="475">
        <f t="shared" si="157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55"/>
        <v>-1510900423432.3008</v>
      </c>
      <c r="J3660" s="455">
        <f t="array" ref="J3660">IFERROR(INDEX('Retirement Calculator'!K:K,MATCH('Lorri 401b'!N3660,'Retirement Calculator'!A:A,0),0),0)</f>
        <v>0</v>
      </c>
      <c r="K3660" s="455">
        <f t="shared" ca="1" si="153"/>
        <v>-6295418430.9679203</v>
      </c>
      <c r="L3660" s="455">
        <f t="shared" ca="1" si="154"/>
        <v>-1517195841863.2688</v>
      </c>
      <c r="M3660" s="471">
        <f t="shared" si="156"/>
        <v>0.05</v>
      </c>
      <c r="N3660" s="475">
        <f t="shared" si="157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55"/>
        <v>-1517195841863.2688</v>
      </c>
      <c r="J3661" s="455">
        <f t="array" ref="J3661">IFERROR(INDEX('Retirement Calculator'!K:K,MATCH('Lorri 401b'!N3661,'Retirement Calculator'!A:A,0),0),0)</f>
        <v>0</v>
      </c>
      <c r="K3661" s="455">
        <f t="shared" ca="1" si="153"/>
        <v>-6321649341.0969534</v>
      </c>
      <c r="L3661" s="455">
        <f t="shared" ca="1" si="154"/>
        <v>-1523517491204.3657</v>
      </c>
      <c r="M3661" s="471">
        <f t="shared" si="156"/>
        <v>0.05</v>
      </c>
      <c r="N3661" s="475">
        <f t="shared" si="157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55"/>
        <v>-1523517491204.3657</v>
      </c>
      <c r="J3662" s="455">
        <f t="array" ref="J3662">IFERROR(INDEX('Retirement Calculator'!K:K,MATCH('Lorri 401b'!N3662,'Retirement Calculator'!A:A,0),0),0)</f>
        <v>0</v>
      </c>
      <c r="K3662" s="455">
        <f t="shared" ca="1" si="153"/>
        <v>-6347989546.6848574</v>
      </c>
      <c r="L3662" s="455">
        <f t="shared" ca="1" si="154"/>
        <v>-1529865480751.0505</v>
      </c>
      <c r="M3662" s="471">
        <f t="shared" si="156"/>
        <v>0.05</v>
      </c>
      <c r="N3662" s="475">
        <f t="shared" si="157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55"/>
        <v>-1529865480751.0505</v>
      </c>
      <c r="J3663" s="455">
        <f t="array" ref="J3663">IFERROR(INDEX('Retirement Calculator'!K:K,MATCH('Lorri 401b'!N3663,'Retirement Calculator'!A:A,0),0),0)</f>
        <v>0</v>
      </c>
      <c r="K3663" s="455">
        <f t="shared" ca="1" si="153"/>
        <v>-6374439503.1293774</v>
      </c>
      <c r="L3663" s="455">
        <f t="shared" ca="1" si="154"/>
        <v>-1536239920254.1799</v>
      </c>
      <c r="M3663" s="471">
        <f t="shared" si="156"/>
        <v>0.05</v>
      </c>
      <c r="N3663" s="475">
        <f t="shared" si="157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55"/>
        <v>-1536239920254.1799</v>
      </c>
      <c r="J3664" s="455">
        <f t="array" ref="J3664">IFERROR(INDEX('Retirement Calculator'!K:K,MATCH('Lorri 401b'!N3664,'Retirement Calculator'!A:A,0),0),0)</f>
        <v>0</v>
      </c>
      <c r="K3664" s="455">
        <f t="shared" ca="1" si="153"/>
        <v>-6400999667.72575</v>
      </c>
      <c r="L3664" s="455">
        <f t="shared" ca="1" si="154"/>
        <v>-1542640919921.9058</v>
      </c>
      <c r="M3664" s="471">
        <f t="shared" si="156"/>
        <v>0.05</v>
      </c>
      <c r="N3664" s="475">
        <f t="shared" si="157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55"/>
        <v>-1542640919921.9058</v>
      </c>
      <c r="J3665" s="455">
        <f t="array" ref="J3665">IFERROR(INDEX('Retirement Calculator'!K:K,MATCH('Lorri 401b'!N3665,'Retirement Calculator'!A:A,0),0),0)</f>
        <v>0</v>
      </c>
      <c r="K3665" s="455">
        <f t="shared" ca="1" si="153"/>
        <v>-6427670499.6746073</v>
      </c>
      <c r="L3665" s="455">
        <f t="shared" ca="1" si="154"/>
        <v>-1549068590421.5803</v>
      </c>
      <c r="M3665" s="471">
        <f t="shared" si="156"/>
        <v>0.05</v>
      </c>
      <c r="N3665" s="475">
        <f t="shared" si="157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55"/>
        <v>-1549068590421.5803</v>
      </c>
      <c r="J3666" s="455">
        <f t="array" ref="J3666">IFERROR(INDEX('Retirement Calculator'!K:K,MATCH('Lorri 401b'!N3666,'Retirement Calculator'!A:A,0),0),0)</f>
        <v>0</v>
      </c>
      <c r="K3666" s="455">
        <f t="shared" ca="1" si="153"/>
        <v>-6454452460.0899181</v>
      </c>
      <c r="L3666" s="455">
        <f t="shared" ca="1" si="154"/>
        <v>-1555523042881.6702</v>
      </c>
      <c r="M3666" s="471">
        <f t="shared" si="156"/>
        <v>0.05</v>
      </c>
      <c r="N3666" s="475">
        <f t="shared" si="157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55"/>
        <v>-1555523042881.6702</v>
      </c>
      <c r="J3667" s="455">
        <f t="array" ref="J3667">IFERROR(INDEX('Retirement Calculator'!K:K,MATCH('Lorri 401b'!N3667,'Retirement Calculator'!A:A,0),0),0)</f>
        <v>0</v>
      </c>
      <c r="K3667" s="455">
        <f t="shared" ca="1" si="153"/>
        <v>-6481346012.006959</v>
      </c>
      <c r="L3667" s="455">
        <f t="shared" ca="1" si="154"/>
        <v>-1562004388893.6772</v>
      </c>
      <c r="M3667" s="471">
        <f t="shared" si="156"/>
        <v>0.05</v>
      </c>
      <c r="N3667" s="475">
        <f t="shared" si="157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55"/>
        <v>-1562004388893.6772</v>
      </c>
      <c r="J3668" s="455">
        <f t="array" ref="J3668">IFERROR(INDEX('Retirement Calculator'!K:K,MATCH('Lorri 401b'!N3668,'Retirement Calculator'!A:A,0),0),0)</f>
        <v>0</v>
      </c>
      <c r="K3668" s="455">
        <f t="shared" ca="1" si="153"/>
        <v>-6508351620.3903217</v>
      </c>
      <c r="L3668" s="455">
        <f t="shared" ca="1" si="154"/>
        <v>-1568512740514.0676</v>
      </c>
      <c r="M3668" s="471">
        <f t="shared" si="156"/>
        <v>0.05</v>
      </c>
      <c r="N3668" s="475">
        <f t="shared" si="157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55"/>
        <v>-1568512740514.0676</v>
      </c>
      <c r="J3669" s="455">
        <f t="array" ref="J3669">IFERROR(INDEX('Retirement Calculator'!K:K,MATCH('Lorri 401b'!N3669,'Retirement Calculator'!A:A,0),0),0)</f>
        <v>0</v>
      </c>
      <c r="K3669" s="455">
        <f t="shared" ca="1" si="153"/>
        <v>-6535469752.1419487</v>
      </c>
      <c r="L3669" s="455">
        <f t="shared" ca="1" si="154"/>
        <v>-1575048210266.2095</v>
      </c>
      <c r="M3669" s="471">
        <f t="shared" si="156"/>
        <v>0.05</v>
      </c>
      <c r="N3669" s="475">
        <f t="shared" si="157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55"/>
        <v>-1575048210266.2095</v>
      </c>
      <c r="J3670" s="455">
        <f t="array" ref="J3670">IFERROR(INDEX('Retirement Calculator'!K:K,MATCH('Lorri 401b'!N3670,'Retirement Calculator'!A:A,0),0),0)</f>
        <v>0</v>
      </c>
      <c r="K3670" s="455">
        <f t="shared" ca="1" si="153"/>
        <v>-6562700876.1092062</v>
      </c>
      <c r="L3670" s="455">
        <f t="shared" ca="1" si="154"/>
        <v>-1581610911142.3186</v>
      </c>
      <c r="M3670" s="471">
        <f t="shared" si="156"/>
        <v>0.05</v>
      </c>
      <c r="N3670" s="475">
        <f t="shared" si="157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55"/>
        <v>-1581610911142.3186</v>
      </c>
      <c r="J3671" s="455">
        <f t="array" ref="J3671">IFERROR(INDEX('Retirement Calculator'!K:K,MATCH('Lorri 401b'!N3671,'Retirement Calculator'!A:A,0),0),0)</f>
        <v>0</v>
      </c>
      <c r="K3671" s="455">
        <f t="shared" ca="1" si="153"/>
        <v>-6590045463.0929937</v>
      </c>
      <c r="L3671" s="455">
        <f t="shared" ca="1" si="154"/>
        <v>-1588200956605.4116</v>
      </c>
      <c r="M3671" s="471">
        <f t="shared" si="156"/>
        <v>0.05</v>
      </c>
      <c r="N3671" s="475">
        <f t="shared" si="157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55"/>
        <v>-1588200956605.4116</v>
      </c>
      <c r="J3672" s="455">
        <f t="array" ref="J3672">IFERROR(INDEX('Retirement Calculator'!K:K,MATCH('Lorri 401b'!N3672,'Retirement Calculator'!A:A,0),0),0)</f>
        <v>0</v>
      </c>
      <c r="K3672" s="455">
        <f t="shared" ca="1" si="153"/>
        <v>-6617503985.8558817</v>
      </c>
      <c r="L3672" s="455">
        <f t="shared" ca="1" si="154"/>
        <v>-1594818460591.2676</v>
      </c>
      <c r="M3672" s="471">
        <f t="shared" si="156"/>
        <v>0.05</v>
      </c>
      <c r="N3672" s="475">
        <f t="shared" si="157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55"/>
        <v>-1594818460591.2676</v>
      </c>
      <c r="J3673" s="455">
        <f t="array" ref="J3673">IFERROR(INDEX('Retirement Calculator'!K:K,MATCH('Lorri 401b'!N3673,'Retirement Calculator'!A:A,0),0),0)</f>
        <v>0</v>
      </c>
      <c r="K3673" s="455">
        <f t="shared" ca="1" si="153"/>
        <v>-6645076919.1302814</v>
      </c>
      <c r="L3673" s="455">
        <f t="shared" ca="1" si="154"/>
        <v>-1601463537510.3979</v>
      </c>
      <c r="M3673" s="471">
        <f t="shared" si="156"/>
        <v>0.05</v>
      </c>
      <c r="N3673" s="475">
        <f t="shared" si="157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55"/>
        <v>-1601463537510.3979</v>
      </c>
      <c r="J3674" s="455">
        <f t="array" ref="J3674">IFERROR(INDEX('Retirement Calculator'!K:K,MATCH('Lorri 401b'!N3674,'Retirement Calculator'!A:A,0),0),0)</f>
        <v>0</v>
      </c>
      <c r="K3674" s="455">
        <f t="shared" ca="1" si="153"/>
        <v>-6672764739.6266584</v>
      </c>
      <c r="L3674" s="455">
        <f t="shared" ca="1" si="154"/>
        <v>-1608136302250.0247</v>
      </c>
      <c r="M3674" s="471">
        <f t="shared" si="156"/>
        <v>0.05</v>
      </c>
      <c r="N3674" s="475">
        <f t="shared" si="157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55"/>
        <v>-1608136302250.0247</v>
      </c>
      <c r="J3675" s="455">
        <f t="array" ref="J3675">IFERROR(INDEX('Retirement Calculator'!K:K,MATCH('Lorri 401b'!N3675,'Retirement Calculator'!A:A,0),0),0)</f>
        <v>0</v>
      </c>
      <c r="K3675" s="455">
        <f t="shared" ca="1" si="153"/>
        <v>-6700567926.041769</v>
      </c>
      <c r="L3675" s="455">
        <f t="shared" ca="1" si="154"/>
        <v>-1614836870176.0664</v>
      </c>
      <c r="M3675" s="471">
        <f t="shared" si="156"/>
        <v>0.05</v>
      </c>
      <c r="N3675" s="475">
        <f t="shared" si="157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55"/>
        <v>-1614836870176.0664</v>
      </c>
      <c r="J3676" s="455">
        <f t="array" ref="J3676">IFERROR(INDEX('Retirement Calculator'!K:K,MATCH('Lorri 401b'!N3676,'Retirement Calculator'!A:A,0),0),0)</f>
        <v>0</v>
      </c>
      <c r="K3676" s="455">
        <f t="shared" ca="1" si="153"/>
        <v>-6728486959.0669432</v>
      </c>
      <c r="L3676" s="455">
        <f t="shared" ca="1" si="154"/>
        <v>-1621565357135.1333</v>
      </c>
      <c r="M3676" s="471">
        <f t="shared" si="156"/>
        <v>0.05</v>
      </c>
      <c r="N3676" s="475">
        <f t="shared" si="157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55"/>
        <v>-1621565357135.1333</v>
      </c>
      <c r="J3677" s="455">
        <f t="array" ref="J3677">IFERROR(INDEX('Retirement Calculator'!K:K,MATCH('Lorri 401b'!N3677,'Retirement Calculator'!A:A,0),0),0)</f>
        <v>0</v>
      </c>
      <c r="K3677" s="455">
        <f t="shared" ca="1" si="153"/>
        <v>-6756522321.396389</v>
      </c>
      <c r="L3677" s="455">
        <f t="shared" ca="1" si="154"/>
        <v>-1628321879456.5298</v>
      </c>
      <c r="M3677" s="471">
        <f t="shared" si="156"/>
        <v>0.05</v>
      </c>
      <c r="N3677" s="475">
        <f t="shared" si="157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55"/>
        <v>-1628321879456.5298</v>
      </c>
      <c r="J3678" s="455">
        <f t="array" ref="J3678">IFERROR(INDEX('Retirement Calculator'!K:K,MATCH('Lorri 401b'!N3678,'Retirement Calculator'!A:A,0),0),0)</f>
        <v>0</v>
      </c>
      <c r="K3678" s="455">
        <f t="shared" ca="1" si="153"/>
        <v>-6784674497.7355404</v>
      </c>
      <c r="L3678" s="455">
        <f t="shared" ca="1" si="154"/>
        <v>-1635106553954.2654</v>
      </c>
      <c r="M3678" s="471">
        <f t="shared" si="156"/>
        <v>0.05</v>
      </c>
      <c r="N3678" s="475">
        <f t="shared" si="157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55"/>
        <v>-1635106553954.2654</v>
      </c>
      <c r="J3679" s="455">
        <f t="array" ref="J3679">IFERROR(INDEX('Retirement Calculator'!K:K,MATCH('Lorri 401b'!N3679,'Retirement Calculator'!A:A,0),0),0)</f>
        <v>0</v>
      </c>
      <c r="K3679" s="455">
        <f t="shared" ca="1" si="153"/>
        <v>-6812943974.8094387</v>
      </c>
      <c r="L3679" s="455">
        <f t="shared" ca="1" si="154"/>
        <v>-1641919497929.0747</v>
      </c>
      <c r="M3679" s="471">
        <f t="shared" si="156"/>
        <v>0.05</v>
      </c>
      <c r="N3679" s="475">
        <f t="shared" si="157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55"/>
        <v>-1641919497929.0747</v>
      </c>
      <c r="J3680" s="455">
        <f t="array" ref="J3680">IFERROR(INDEX('Retirement Calculator'!K:K,MATCH('Lorri 401b'!N3680,'Retirement Calculator'!A:A,0),0),0)</f>
        <v>0</v>
      </c>
      <c r="K3680" s="455">
        <f t="shared" ca="1" si="153"/>
        <v>-6841331241.3711443</v>
      </c>
      <c r="L3680" s="455">
        <f t="shared" ca="1" si="154"/>
        <v>-1648760829170.4458</v>
      </c>
      <c r="M3680" s="471">
        <f t="shared" si="156"/>
        <v>0.05</v>
      </c>
      <c r="N3680" s="475">
        <f t="shared" si="157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55"/>
        <v>-1648760829170.4458</v>
      </c>
      <c r="J3681" s="455">
        <f t="array" ref="J3681">IFERROR(INDEX('Retirement Calculator'!K:K,MATCH('Lorri 401b'!N3681,'Retirement Calculator'!A:A,0),0),0)</f>
        <v>0</v>
      </c>
      <c r="K3681" s="455">
        <f t="shared" ca="1" si="153"/>
        <v>-6869836788.2101908</v>
      </c>
      <c r="L3681" s="455">
        <f t="shared" ca="1" si="154"/>
        <v>-1655630665958.656</v>
      </c>
      <c r="M3681" s="471">
        <f t="shared" si="156"/>
        <v>0.05</v>
      </c>
      <c r="N3681" s="475">
        <f t="shared" si="157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55"/>
        <v>-1655630665958.656</v>
      </c>
      <c r="J3682" s="455">
        <f t="array" ref="J3682">IFERROR(INDEX('Retirement Calculator'!K:K,MATCH('Lorri 401b'!N3682,'Retirement Calculator'!A:A,0),0),0)</f>
        <v>0</v>
      </c>
      <c r="K3682" s="455">
        <f t="shared" ca="1" si="153"/>
        <v>-6898461108.161067</v>
      </c>
      <c r="L3682" s="455">
        <f t="shared" ca="1" si="154"/>
        <v>-1662529127066.8171</v>
      </c>
      <c r="M3682" s="471">
        <f t="shared" si="156"/>
        <v>0.05</v>
      </c>
      <c r="N3682" s="475">
        <f t="shared" si="157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55"/>
        <v>-1662529127066.8171</v>
      </c>
      <c r="J3683" s="455">
        <f t="array" ref="J3683">IFERROR(INDEX('Retirement Calculator'!K:K,MATCH('Lorri 401b'!N3683,'Retirement Calculator'!A:A,0),0),0)</f>
        <v>0</v>
      </c>
      <c r="K3683" s="455">
        <f t="shared" ca="1" si="153"/>
        <v>-6927204696.1117382</v>
      </c>
      <c r="L3683" s="455">
        <f t="shared" ca="1" si="154"/>
        <v>-1669456331762.929</v>
      </c>
      <c r="M3683" s="471">
        <f t="shared" si="156"/>
        <v>0.05</v>
      </c>
      <c r="N3683" s="475">
        <f t="shared" si="157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55"/>
        <v>-1669456331762.929</v>
      </c>
      <c r="J3684" s="455">
        <f t="array" ref="J3684">IFERROR(INDEX('Retirement Calculator'!K:K,MATCH('Lorri 401b'!N3684,'Retirement Calculator'!A:A,0),0),0)</f>
        <v>0</v>
      </c>
      <c r="K3684" s="455">
        <f t="shared" ca="1" si="153"/>
        <v>-6956068049.0122042</v>
      </c>
      <c r="L3684" s="455">
        <f t="shared" ca="1" si="154"/>
        <v>-1676412399811.9412</v>
      </c>
      <c r="M3684" s="471">
        <f t="shared" si="156"/>
        <v>0.05</v>
      </c>
      <c r="N3684" s="475">
        <f t="shared" si="157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55"/>
        <v>-1676412399811.9412</v>
      </c>
      <c r="J3685" s="455">
        <f t="array" ref="J3685">IFERROR(INDEX('Retirement Calculator'!K:K,MATCH('Lorri 401b'!N3685,'Retirement Calculator'!A:A,0),0),0)</f>
        <v>0</v>
      </c>
      <c r="K3685" s="455">
        <f t="shared" ca="1" si="153"/>
        <v>-6985051665.8830881</v>
      </c>
      <c r="L3685" s="455">
        <f t="shared" ca="1" si="154"/>
        <v>-1683397451477.8242</v>
      </c>
      <c r="M3685" s="471">
        <f t="shared" si="156"/>
        <v>0.05</v>
      </c>
      <c r="N3685" s="475">
        <f t="shared" si="157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55"/>
        <v>-1683397451477.8242</v>
      </c>
      <c r="J3686" s="455">
        <f t="array" ref="J3686">IFERROR(INDEX('Retirement Calculator'!K:K,MATCH('Lorri 401b'!N3686,'Retirement Calculator'!A:A,0),0),0)</f>
        <v>0</v>
      </c>
      <c r="K3686" s="455">
        <f t="shared" ca="1" si="153"/>
        <v>-7014156047.8242674</v>
      </c>
      <c r="L3686" s="455">
        <f t="shared" ca="1" si="154"/>
        <v>-1690411607525.6484</v>
      </c>
      <c r="M3686" s="471">
        <f t="shared" si="156"/>
        <v>0.05</v>
      </c>
      <c r="N3686" s="475">
        <f t="shared" si="157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55"/>
        <v>-1690411607525.6484</v>
      </c>
      <c r="J3687" s="455">
        <f t="array" ref="J3687">IFERROR(INDEX('Retirement Calculator'!K:K,MATCH('Lorri 401b'!N3687,'Retirement Calculator'!A:A,0),0),0)</f>
        <v>0</v>
      </c>
      <c r="K3687" s="455">
        <f t="shared" ca="1" si="153"/>
        <v>-7043381698.0235348</v>
      </c>
      <c r="L3687" s="455">
        <f t="shared" ca="1" si="154"/>
        <v>-1697454989223.6719</v>
      </c>
      <c r="M3687" s="471">
        <f t="shared" si="156"/>
        <v>0.05</v>
      </c>
      <c r="N3687" s="475">
        <f t="shared" si="157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55"/>
        <v>-1697454989223.6719</v>
      </c>
      <c r="J3688" s="455">
        <f t="array" ref="J3688">IFERROR(INDEX('Retirement Calculator'!K:K,MATCH('Lorri 401b'!N3688,'Retirement Calculator'!A:A,0),0),0)</f>
        <v>0</v>
      </c>
      <c r="K3688" s="455">
        <f t="shared" ca="1" si="153"/>
        <v>-7072729121.7652998</v>
      </c>
      <c r="L3688" s="455">
        <f t="shared" ca="1" si="154"/>
        <v>-1704527718345.4373</v>
      </c>
      <c r="M3688" s="471">
        <f t="shared" si="156"/>
        <v>0.05</v>
      </c>
      <c r="N3688" s="475">
        <f t="shared" si="157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55"/>
        <v>-1704527718345.4373</v>
      </c>
      <c r="J3689" s="455">
        <f t="array" ref="J3689">IFERROR(INDEX('Retirement Calculator'!K:K,MATCH('Lorri 401b'!N3689,'Retirement Calculator'!A:A,0),0),0)</f>
        <v>0</v>
      </c>
      <c r="K3689" s="455">
        <f t="shared" ca="1" si="153"/>
        <v>-7102198826.4393215</v>
      </c>
      <c r="L3689" s="455">
        <f t="shared" ca="1" si="154"/>
        <v>-1711629917171.8765</v>
      </c>
      <c r="M3689" s="471">
        <f t="shared" si="156"/>
        <v>0.05</v>
      </c>
      <c r="N3689" s="475">
        <f t="shared" si="157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55"/>
        <v>-1711629917171.8765</v>
      </c>
      <c r="J3690" s="455">
        <f t="array" ref="J3690">IFERROR(INDEX('Retirement Calculator'!K:K,MATCH('Lorri 401b'!N3690,'Retirement Calculator'!A:A,0),0),0)</f>
        <v>0</v>
      </c>
      <c r="K3690" s="455">
        <f t="shared" ca="1" si="153"/>
        <v>-7131791321.5494852</v>
      </c>
      <c r="L3690" s="455">
        <f t="shared" ca="1" si="154"/>
        <v>-1718761708493.426</v>
      </c>
      <c r="M3690" s="471">
        <f t="shared" si="156"/>
        <v>0.05</v>
      </c>
      <c r="N3690" s="475">
        <f t="shared" si="157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55"/>
        <v>-1718761708493.426</v>
      </c>
      <c r="J3691" s="455">
        <f t="array" ref="J3691">IFERROR(INDEX('Retirement Calculator'!K:K,MATCH('Lorri 401b'!N3691,'Retirement Calculator'!A:A,0),0),0)</f>
        <v>0</v>
      </c>
      <c r="K3691" s="455">
        <f t="shared" ca="1" si="153"/>
        <v>-7161507118.7226086</v>
      </c>
      <c r="L3691" s="455">
        <f t="shared" ca="1" si="154"/>
        <v>-1725923215612.1487</v>
      </c>
      <c r="M3691" s="471">
        <f t="shared" si="156"/>
        <v>0.05</v>
      </c>
      <c r="N3691" s="475">
        <f t="shared" si="157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55"/>
        <v>-1725923215612.1487</v>
      </c>
      <c r="J3692" s="455">
        <f t="array" ref="J3692">IFERROR(INDEX('Retirement Calculator'!K:K,MATCH('Lorri 401b'!N3692,'Retirement Calculator'!A:A,0),0),0)</f>
        <v>0</v>
      </c>
      <c r="K3692" s="455">
        <f t="shared" ca="1" si="153"/>
        <v>-7191346731.7172861</v>
      </c>
      <c r="L3692" s="455">
        <f t="shared" ca="1" si="154"/>
        <v>-1733114562343.866</v>
      </c>
      <c r="M3692" s="471">
        <f t="shared" si="156"/>
        <v>0.05</v>
      </c>
      <c r="N3692" s="475">
        <f t="shared" si="157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55"/>
        <v>-1733114562343.866</v>
      </c>
      <c r="J3693" s="455">
        <f t="array" ref="J3693">IFERROR(INDEX('Retirement Calculator'!K:K,MATCH('Lorri 401b'!N3693,'Retirement Calculator'!A:A,0),0),0)</f>
        <v>0</v>
      </c>
      <c r="K3693" s="455">
        <f t="shared" ca="1" si="153"/>
        <v>-7221310676.4327745</v>
      </c>
      <c r="L3693" s="455">
        <f t="shared" ca="1" si="154"/>
        <v>-1740335873020.2988</v>
      </c>
      <c r="M3693" s="471">
        <f t="shared" si="156"/>
        <v>0.05</v>
      </c>
      <c r="N3693" s="475">
        <f t="shared" si="157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55"/>
        <v>-1740335873020.2988</v>
      </c>
      <c r="J3694" s="455">
        <f t="array" ref="J3694">IFERROR(INDEX('Retirement Calculator'!K:K,MATCH('Lorri 401b'!N3694,'Retirement Calculator'!A:A,0),0),0)</f>
        <v>0</v>
      </c>
      <c r="K3694" s="455">
        <f t="shared" ca="1" si="153"/>
        <v>-7251399470.9179115</v>
      </c>
      <c r="L3694" s="455">
        <f t="shared" ca="1" si="154"/>
        <v>-1747587272491.2168</v>
      </c>
      <c r="M3694" s="471">
        <f t="shared" si="156"/>
        <v>0.05</v>
      </c>
      <c r="N3694" s="475">
        <f t="shared" si="157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55"/>
        <v>-1747587272491.2168</v>
      </c>
      <c r="J3695" s="455">
        <f t="array" ref="J3695">IFERROR(INDEX('Retirement Calculator'!K:K,MATCH('Lorri 401b'!N3695,'Retirement Calculator'!A:A,0),0),0)</f>
        <v>0</v>
      </c>
      <c r="K3695" s="455">
        <f t="shared" ca="1" si="153"/>
        <v>-7281613635.3800707</v>
      </c>
      <c r="L3695" s="455">
        <f t="shared" ca="1" si="154"/>
        <v>-1754868886126.5969</v>
      </c>
      <c r="M3695" s="471">
        <f t="shared" si="156"/>
        <v>0.05</v>
      </c>
      <c r="N3695" s="475">
        <f t="shared" si="157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55"/>
        <v>-1754868886126.5969</v>
      </c>
      <c r="J3696" s="455">
        <f t="array" ref="J3696">IFERROR(INDEX('Retirement Calculator'!K:K,MATCH('Lorri 401b'!N3696,'Retirement Calculator'!A:A,0),0),0)</f>
        <v>0</v>
      </c>
      <c r="K3696" s="455">
        <f t="shared" ca="1" si="153"/>
        <v>-7311953692.1941538</v>
      </c>
      <c r="L3696" s="455">
        <f t="shared" ca="1" si="154"/>
        <v>-1762180839818.791</v>
      </c>
      <c r="M3696" s="471">
        <f t="shared" si="156"/>
        <v>0.05</v>
      </c>
      <c r="N3696" s="475">
        <f t="shared" si="157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55"/>
        <v>-1762180839818.791</v>
      </c>
      <c r="J3697" s="455">
        <f t="array" ref="J3697">IFERROR(INDEX('Retirement Calculator'!K:K,MATCH('Lorri 401b'!N3697,'Retirement Calculator'!A:A,0),0),0)</f>
        <v>0</v>
      </c>
      <c r="K3697" s="455">
        <f t="shared" ca="1" si="153"/>
        <v>-7342420165.9116278</v>
      </c>
      <c r="L3697" s="455">
        <f t="shared" ca="1" si="154"/>
        <v>-1769523259984.7026</v>
      </c>
      <c r="M3697" s="471">
        <f t="shared" si="156"/>
        <v>0.05</v>
      </c>
      <c r="N3697" s="475">
        <f t="shared" si="157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55"/>
        <v>-1769523259984.7026</v>
      </c>
      <c r="J3698" s="455">
        <f t="array" ref="J3698">IFERROR(INDEX('Retirement Calculator'!K:K,MATCH('Lorri 401b'!N3698,'Retirement Calculator'!A:A,0),0),0)</f>
        <v>0</v>
      </c>
      <c r="K3698" s="455">
        <f t="shared" ca="1" si="153"/>
        <v>-7373013583.2695942</v>
      </c>
      <c r="L3698" s="455">
        <f t="shared" ca="1" si="154"/>
        <v>-1776896273567.9722</v>
      </c>
      <c r="M3698" s="471">
        <f t="shared" si="156"/>
        <v>0.05</v>
      </c>
      <c r="N3698" s="475">
        <f t="shared" si="157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55"/>
        <v>-1776896273567.9722</v>
      </c>
      <c r="J3699" s="455">
        <f t="array" ref="J3699">IFERROR(INDEX('Retirement Calculator'!K:K,MATCH('Lorri 401b'!N3699,'Retirement Calculator'!A:A,0),0),0)</f>
        <v>0</v>
      </c>
      <c r="K3699" s="455">
        <f t="shared" ca="1" si="153"/>
        <v>-7403734473.1998854</v>
      </c>
      <c r="L3699" s="455">
        <f t="shared" ca="1" si="154"/>
        <v>-1784300008041.1721</v>
      </c>
      <c r="M3699" s="471">
        <f t="shared" si="156"/>
        <v>0.05</v>
      </c>
      <c r="N3699" s="475">
        <f t="shared" si="157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55"/>
        <v>-1784300008041.1721</v>
      </c>
      <c r="J3700" s="455">
        <f t="array" ref="J3700">IFERROR(INDEX('Retirement Calculator'!K:K,MATCH('Lorri 401b'!N3700,'Retirement Calculator'!A:A,0),0),0)</f>
        <v>0</v>
      </c>
      <c r="K3700" s="455">
        <f t="shared" ca="1" si="153"/>
        <v>-7434583366.8382168</v>
      </c>
      <c r="L3700" s="455">
        <f t="shared" ca="1" si="154"/>
        <v>-1791734591408.0103</v>
      </c>
      <c r="M3700" s="471">
        <f t="shared" si="156"/>
        <v>0.05</v>
      </c>
      <c r="N3700" s="475">
        <f t="shared" si="157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55"/>
        <v>-1791734591408.0103</v>
      </c>
      <c r="J3701" s="455">
        <f t="array" ref="J3701">IFERROR(INDEX('Retirement Calculator'!K:K,MATCH('Lorri 401b'!N3701,'Retirement Calculator'!A:A,0),0),0)</f>
        <v>0</v>
      </c>
      <c r="K3701" s="455">
        <f t="shared" ca="1" si="153"/>
        <v>-7465560797.5333757</v>
      </c>
      <c r="L3701" s="455">
        <f t="shared" ca="1" si="154"/>
        <v>-1799200152205.5437</v>
      </c>
      <c r="M3701" s="471">
        <f t="shared" si="156"/>
        <v>0.05</v>
      </c>
      <c r="N3701" s="475">
        <f t="shared" si="157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55"/>
        <v>-1799200152205.5437</v>
      </c>
      <c r="J3702" s="455">
        <f t="array" ref="J3702">IFERROR(INDEX('Retirement Calculator'!K:K,MATCH('Lorri 401b'!N3702,'Retirement Calculator'!A:A,0),0),0)</f>
        <v>0</v>
      </c>
      <c r="K3702" s="455">
        <f t="shared" ca="1" si="153"/>
        <v>-7496667300.856432</v>
      </c>
      <c r="L3702" s="455">
        <f t="shared" ca="1" si="154"/>
        <v>-1806696819506.4001</v>
      </c>
      <c r="M3702" s="471">
        <f t="shared" si="156"/>
        <v>0.05</v>
      </c>
      <c r="N3702" s="475">
        <f t="shared" si="157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55"/>
        <v>-1806696819506.4001</v>
      </c>
      <c r="J3703" s="455">
        <f t="array" ref="J3703">IFERROR(INDEX('Retirement Calculator'!K:K,MATCH('Lorri 401b'!N3703,'Retirement Calculator'!A:A,0),0),0)</f>
        <v>0</v>
      </c>
      <c r="K3703" s="455">
        <f t="shared" ca="1" si="153"/>
        <v>-7527903414.6100016</v>
      </c>
      <c r="L3703" s="455">
        <f t="shared" ca="1" si="154"/>
        <v>-1814224722921.0103</v>
      </c>
      <c r="M3703" s="471">
        <f t="shared" si="156"/>
        <v>0.05</v>
      </c>
      <c r="N3703" s="475">
        <f t="shared" si="157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55"/>
        <v>-1814224722921.0103</v>
      </c>
      <c r="J3704" s="455">
        <f t="array" ref="J3704">IFERROR(INDEX('Retirement Calculator'!K:K,MATCH('Lorri 401b'!N3704,'Retirement Calculator'!A:A,0),0),0)</f>
        <v>0</v>
      </c>
      <c r="K3704" s="455">
        <f t="shared" ca="1" si="153"/>
        <v>-7559269678.8375425</v>
      </c>
      <c r="L3704" s="455">
        <f t="shared" ca="1" si="154"/>
        <v>-1821783992599.8479</v>
      </c>
      <c r="M3704" s="471">
        <f t="shared" si="156"/>
        <v>0.05</v>
      </c>
      <c r="N3704" s="475">
        <f t="shared" si="157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55"/>
        <v>-1821783992599.8479</v>
      </c>
      <c r="J3705" s="455">
        <f t="array" ref="J3705">IFERROR(INDEX('Retirement Calculator'!K:K,MATCH('Lorri 401b'!N3705,'Retirement Calculator'!A:A,0),0),0)</f>
        <v>0</v>
      </c>
      <c r="K3705" s="455">
        <f t="shared" ca="1" si="153"/>
        <v>-7590766635.8326988</v>
      </c>
      <c r="L3705" s="455">
        <f t="shared" ca="1" si="154"/>
        <v>-1829374759235.6807</v>
      </c>
      <c r="M3705" s="471">
        <f t="shared" si="156"/>
        <v>0.05</v>
      </c>
      <c r="N3705" s="475">
        <f t="shared" si="157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55"/>
        <v>-1829374759235.6807</v>
      </c>
      <c r="J3706" s="455">
        <f t="array" ref="J3706">IFERROR(INDEX('Retirement Calculator'!K:K,MATCH('Lorri 401b'!N3706,'Retirement Calculator'!A:A,0),0),0)</f>
        <v>0</v>
      </c>
      <c r="K3706" s="455">
        <f t="shared" ca="1" si="153"/>
        <v>-7622394830.1486692</v>
      </c>
      <c r="L3706" s="455">
        <f t="shared" ca="1" si="154"/>
        <v>-1836997154065.8293</v>
      </c>
      <c r="M3706" s="471">
        <f t="shared" si="156"/>
        <v>0.05</v>
      </c>
      <c r="N3706" s="475">
        <f t="shared" si="157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55"/>
        <v>-1836997154065.8293</v>
      </c>
      <c r="J3707" s="455">
        <f t="array" ref="J3707">IFERROR(INDEX('Retirement Calculator'!K:K,MATCH('Lorri 401b'!N3707,'Retirement Calculator'!A:A,0),0),0)</f>
        <v>0</v>
      </c>
      <c r="K3707" s="455">
        <f t="shared" ca="1" si="153"/>
        <v>-7654154808.6076231</v>
      </c>
      <c r="L3707" s="455">
        <f t="shared" ca="1" si="154"/>
        <v>-1844651308874.437</v>
      </c>
      <c r="M3707" s="471">
        <f t="shared" si="156"/>
        <v>0.05</v>
      </c>
      <c r="N3707" s="475">
        <f t="shared" si="157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55"/>
        <v>-1844651308874.437</v>
      </c>
      <c r="J3708" s="455">
        <f t="array" ref="J3708">IFERROR(INDEX('Retirement Calculator'!K:K,MATCH('Lorri 401b'!N3708,'Retirement Calculator'!A:A,0),0),0)</f>
        <v>0</v>
      </c>
      <c r="K3708" s="455">
        <f t="shared" ca="1" si="153"/>
        <v>-7686047120.310154</v>
      </c>
      <c r="L3708" s="455">
        <f t="shared" ca="1" si="154"/>
        <v>-1852337355994.7471</v>
      </c>
      <c r="M3708" s="471">
        <f t="shared" si="156"/>
        <v>0.05</v>
      </c>
      <c r="N3708" s="475">
        <f t="shared" si="157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55"/>
        <v>-1852337355994.7471</v>
      </c>
      <c r="J3709" s="455">
        <f t="array" ref="J3709">IFERROR(INDEX('Retirement Calculator'!K:K,MATCH('Lorri 401b'!N3709,'Retirement Calculator'!A:A,0),0),0)</f>
        <v>0</v>
      </c>
      <c r="K3709" s="455">
        <f t="shared" ca="1" si="153"/>
        <v>-7718072316.6447802</v>
      </c>
      <c r="L3709" s="455">
        <f t="shared" ca="1" si="154"/>
        <v>-1860055428311.3918</v>
      </c>
      <c r="M3709" s="471">
        <f t="shared" si="156"/>
        <v>0.05</v>
      </c>
      <c r="N3709" s="475">
        <f t="shared" si="157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55"/>
        <v>-1860055428311.3918</v>
      </c>
      <c r="J3710" s="455">
        <f t="array" ref="J3710">IFERROR(INDEX('Retirement Calculator'!K:K,MATCH('Lorri 401b'!N3710,'Retirement Calculator'!A:A,0),0),0)</f>
        <v>0</v>
      </c>
      <c r="K3710" s="455">
        <f t="shared" ca="1" si="153"/>
        <v>-7750230951.2974663</v>
      </c>
      <c r="L3710" s="455">
        <f t="shared" ca="1" si="154"/>
        <v>-1867805659262.6892</v>
      </c>
      <c r="M3710" s="471">
        <f t="shared" si="156"/>
        <v>0.05</v>
      </c>
      <c r="N3710" s="475">
        <f t="shared" si="157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55"/>
        <v>-1867805659262.6892</v>
      </c>
      <c r="J3711" s="455">
        <f t="array" ref="J3711">IFERROR(INDEX('Retirement Calculator'!K:K,MATCH('Lorri 401b'!N3711,'Retirement Calculator'!A:A,0),0),0)</f>
        <v>0</v>
      </c>
      <c r="K3711" s="455">
        <f t="shared" ca="1" si="153"/>
        <v>-7782523580.2612047</v>
      </c>
      <c r="L3711" s="455">
        <f t="shared" ca="1" si="154"/>
        <v>-1875588182842.9504</v>
      </c>
      <c r="M3711" s="471">
        <f t="shared" si="156"/>
        <v>0.05</v>
      </c>
      <c r="N3711" s="475">
        <f t="shared" si="157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55"/>
        <v>-1875588182842.9504</v>
      </c>
      <c r="J3712" s="455">
        <f t="array" ref="J3712">IFERROR(INDEX('Retirement Calculator'!K:K,MATCH('Lorri 401b'!N3712,'Retirement Calculator'!A:A,0),0),0)</f>
        <v>0</v>
      </c>
      <c r="K3712" s="455">
        <f t="shared" ca="1" si="153"/>
        <v>-7814950761.8456259</v>
      </c>
      <c r="L3712" s="455">
        <f t="shared" ca="1" si="154"/>
        <v>-1883403133604.7961</v>
      </c>
      <c r="M3712" s="471">
        <f t="shared" si="156"/>
        <v>0.05</v>
      </c>
      <c r="N3712" s="475">
        <f t="shared" si="157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55"/>
        <v>-1883403133604.7961</v>
      </c>
      <c r="J3713" s="455">
        <f t="array" ref="J3713">IFERROR(INDEX('Retirement Calculator'!K:K,MATCH('Lorri 401b'!N3713,'Retirement Calculator'!A:A,0),0),0)</f>
        <v>0</v>
      </c>
      <c r="K3713" s="455">
        <f t="shared" ca="1" si="153"/>
        <v>-7847513056.6866503</v>
      </c>
      <c r="L3713" s="455">
        <f t="shared" ca="1" si="154"/>
        <v>-1891250646661.4829</v>
      </c>
      <c r="M3713" s="471">
        <f t="shared" si="156"/>
        <v>0.05</v>
      </c>
      <c r="N3713" s="475">
        <f t="shared" si="157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55"/>
        <v>-1891250646661.4829</v>
      </c>
      <c r="J3714" s="455">
        <f t="array" ref="J3714">IFERROR(INDEX('Retirement Calculator'!K:K,MATCH('Lorri 401b'!N3714,'Retirement Calculator'!A:A,0),0),0)</f>
        <v>0</v>
      </c>
      <c r="K3714" s="455">
        <f t="shared" ca="1" si="153"/>
        <v>-7880211027.7561789</v>
      </c>
      <c r="L3714" s="455">
        <f t="shared" ca="1" si="154"/>
        <v>-1899130857689.239</v>
      </c>
      <c r="M3714" s="471">
        <f t="shared" si="156"/>
        <v>0.05</v>
      </c>
      <c r="N3714" s="475">
        <f t="shared" si="157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55"/>
        <v>-1899130857689.239</v>
      </c>
      <c r="J3715" s="455">
        <f t="array" ref="J3715">IFERROR(INDEX('Retirement Calculator'!K:K,MATCH('Lorri 401b'!N3715,'Retirement Calculator'!A:A,0),0),0)</f>
        <v>0</v>
      </c>
      <c r="K3715" s="455">
        <f t="shared" ca="1" si="153"/>
        <v>-7913045240.371829</v>
      </c>
      <c r="L3715" s="455">
        <f t="shared" ca="1" si="154"/>
        <v>-1907043902929.6108</v>
      </c>
      <c r="M3715" s="471">
        <f t="shared" si="156"/>
        <v>0.05</v>
      </c>
      <c r="N3715" s="475">
        <f t="shared" si="157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55"/>
        <v>-1907043902929.6108</v>
      </c>
      <c r="J3716" s="455">
        <f t="array" ref="J3716">IFERROR(INDEX('Retirement Calculator'!K:K,MATCH('Lorri 401b'!N3716,'Retirement Calculator'!A:A,0),0),0)</f>
        <v>0</v>
      </c>
      <c r="K3716" s="455">
        <f t="shared" ca="1" si="153"/>
        <v>-7946016262.2067118</v>
      </c>
      <c r="L3716" s="455">
        <f t="shared" ca="1" si="154"/>
        <v>-1914989919191.8176</v>
      </c>
      <c r="M3716" s="471">
        <f t="shared" si="156"/>
        <v>0.05</v>
      </c>
      <c r="N3716" s="475">
        <f t="shared" si="157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55"/>
        <v>-1914989919191.8176</v>
      </c>
      <c r="J3717" s="455">
        <f t="array" ref="J3717">IFERROR(INDEX('Retirement Calculator'!K:K,MATCH('Lorri 401b'!N3717,'Retirement Calculator'!A:A,0),0),0)</f>
        <v>0</v>
      </c>
      <c r="K3717" s="455">
        <f t="shared" ca="1" si="153"/>
        <v>-7979124663.2992392</v>
      </c>
      <c r="L3717" s="455">
        <f t="shared" ca="1" si="154"/>
        <v>-1922969043855.1169</v>
      </c>
      <c r="M3717" s="471">
        <f t="shared" si="156"/>
        <v>0.05</v>
      </c>
      <c r="N3717" s="475">
        <f t="shared" si="157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55"/>
        <v>-1922969043855.1169</v>
      </c>
      <c r="J3718" s="455">
        <f t="array" ref="J3718">IFERROR(INDEX('Retirement Calculator'!K:K,MATCH('Lorri 401b'!N3718,'Retirement Calculator'!A:A,0),0),0)</f>
        <v>0</v>
      </c>
      <c r="K3718" s="455">
        <f t="shared" ca="1" si="153"/>
        <v>-8012371016.0629883</v>
      </c>
      <c r="L3718" s="455">
        <f t="shared" ca="1" si="154"/>
        <v>-1930981414871.1799</v>
      </c>
      <c r="M3718" s="471">
        <f t="shared" si="156"/>
        <v>0.05</v>
      </c>
      <c r="N3718" s="475">
        <f t="shared" si="157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55"/>
        <v>-1930981414871.1799</v>
      </c>
      <c r="J3719" s="455">
        <f t="array" ref="J3719">IFERROR(INDEX('Retirement Calculator'!K:K,MATCH('Lorri 401b'!N3719,'Retirement Calculator'!A:A,0),0),0)</f>
        <v>0</v>
      </c>
      <c r="K3719" s="455">
        <f t="shared" ca="1" si="153"/>
        <v>-8045755895.2965832</v>
      </c>
      <c r="L3719" s="455">
        <f t="shared" ca="1" si="154"/>
        <v>-1939027170766.4766</v>
      </c>
      <c r="M3719" s="471">
        <f t="shared" si="156"/>
        <v>0.05</v>
      </c>
      <c r="N3719" s="475">
        <f t="shared" si="157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55"/>
        <v>-1939027170766.4766</v>
      </c>
      <c r="J3720" s="455">
        <f t="array" ref="J3720">IFERROR(INDEX('Retirement Calculator'!K:K,MATCH('Lorri 401b'!N3720,'Retirement Calculator'!A:A,0),0),0)</f>
        <v>0</v>
      </c>
      <c r="K3720" s="455">
        <f t="shared" ca="1" si="153"/>
        <v>-8079279878.1936522</v>
      </c>
      <c r="L3720" s="455">
        <f t="shared" ca="1" si="154"/>
        <v>-1947106450644.6702</v>
      </c>
      <c r="M3720" s="471">
        <f t="shared" si="156"/>
        <v>0.05</v>
      </c>
      <c r="N3720" s="475">
        <f t="shared" si="157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55"/>
        <v>-1947106450644.6702</v>
      </c>
      <c r="J3721" s="455">
        <f t="array" ref="J3721">IFERROR(INDEX('Retirement Calculator'!K:K,MATCH('Lorri 401b'!N3721,'Retirement Calculator'!A:A,0),0),0)</f>
        <v>0</v>
      </c>
      <c r="K3721" s="455">
        <f t="shared" ca="1" si="153"/>
        <v>-8112943544.3527918</v>
      </c>
      <c r="L3721" s="455">
        <f t="shared" ca="1" si="154"/>
        <v>-1955219394189.0229</v>
      </c>
      <c r="M3721" s="471">
        <f t="shared" si="156"/>
        <v>0.05</v>
      </c>
      <c r="N3721" s="475">
        <f t="shared" si="157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55"/>
        <v>-1955219394189.0229</v>
      </c>
      <c r="J3722" s="455">
        <f t="array" ref="J3722">IFERROR(INDEX('Retirement Calculator'!K:K,MATCH('Lorri 401b'!N3722,'Retirement Calculator'!A:A,0),0),0)</f>
        <v>0</v>
      </c>
      <c r="K3722" s="455">
        <f t="shared" ca="1" si="153"/>
        <v>-8146747475.7875967</v>
      </c>
      <c r="L3722" s="455">
        <f t="shared" ca="1" si="154"/>
        <v>-1963366141664.8105</v>
      </c>
      <c r="M3722" s="471">
        <f t="shared" si="156"/>
        <v>0.05</v>
      </c>
      <c r="N3722" s="475">
        <f t="shared" si="157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55"/>
        <v>-1963366141664.8105</v>
      </c>
      <c r="J3723" s="455">
        <f t="array" ref="J3723">IFERROR(INDEX('Retirement Calculator'!K:K,MATCH('Lorri 401b'!N3723,'Retirement Calculator'!A:A,0),0),0)</f>
        <v>0</v>
      </c>
      <c r="K3723" s="455">
        <f t="shared" ca="1" si="153"/>
        <v>-8180692256.9367104</v>
      </c>
      <c r="L3723" s="455">
        <f t="shared" ca="1" si="154"/>
        <v>-1971546833921.7473</v>
      </c>
      <c r="M3723" s="471">
        <f t="shared" si="156"/>
        <v>0.05</v>
      </c>
      <c r="N3723" s="475">
        <f t="shared" si="157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55"/>
        <v>-1971546833921.7473</v>
      </c>
      <c r="J3724" s="455">
        <f t="array" ref="J3724">IFERROR(INDEX('Retirement Calculator'!K:K,MATCH('Lorri 401b'!N3724,'Retirement Calculator'!A:A,0),0),0)</f>
        <v>0</v>
      </c>
      <c r="K3724" s="455">
        <f t="shared" ca="1" si="153"/>
        <v>-8214778474.6739473</v>
      </c>
      <c r="L3724" s="455">
        <f t="shared" ca="1" si="154"/>
        <v>-1979761612396.4211</v>
      </c>
      <c r="M3724" s="471">
        <f t="shared" si="156"/>
        <v>0.05</v>
      </c>
      <c r="N3724" s="475">
        <f t="shared" si="157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55"/>
        <v>-1979761612396.4211</v>
      </c>
      <c r="J3725" s="455">
        <f t="array" ref="J3725">IFERROR(INDEX('Retirement Calculator'!K:K,MATCH('Lorri 401b'!N3725,'Retirement Calculator'!A:A,0),0),0)</f>
        <v>0</v>
      </c>
      <c r="K3725" s="455">
        <f t="shared" ca="1" si="153"/>
        <v>-8249006718.3184214</v>
      </c>
      <c r="L3725" s="455">
        <f t="shared" ca="1" si="154"/>
        <v>-1988010619114.7395</v>
      </c>
      <c r="M3725" s="471">
        <f t="shared" si="156"/>
        <v>0.05</v>
      </c>
      <c r="N3725" s="475">
        <f t="shared" si="157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55"/>
        <v>-1988010619114.7395</v>
      </c>
      <c r="J3726" s="455">
        <f t="array" ref="J3726">IFERROR(INDEX('Retirement Calculator'!K:K,MATCH('Lorri 401b'!N3726,'Retirement Calculator'!A:A,0),0),0)</f>
        <v>0</v>
      </c>
      <c r="K3726" s="455">
        <f t="shared" ca="1" si="153"/>
        <v>-8283377579.6447487</v>
      </c>
      <c r="L3726" s="455">
        <f t="shared" ca="1" si="154"/>
        <v>-1996293996694.3843</v>
      </c>
      <c r="M3726" s="471">
        <f t="shared" si="156"/>
        <v>0.05</v>
      </c>
      <c r="N3726" s="475">
        <f t="shared" si="157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55"/>
        <v>-1996293996694.3843</v>
      </c>
      <c r="J3727" s="455">
        <f t="array" ref="J3727">IFERROR(INDEX('Retirement Calculator'!K:K,MATCH('Lorri 401b'!N3727,'Retirement Calculator'!A:A,0),0),0)</f>
        <v>0</v>
      </c>
      <c r="K3727" s="455">
        <f t="shared" ca="1" si="153"/>
        <v>-8317891652.8932676</v>
      </c>
      <c r="L3727" s="455">
        <f t="shared" ca="1" si="154"/>
        <v>-2004611888347.2776</v>
      </c>
      <c r="M3727" s="471">
        <f t="shared" si="156"/>
        <v>0.05</v>
      </c>
      <c r="N3727" s="475">
        <f t="shared" si="157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55"/>
        <v>-2004611888347.2776</v>
      </c>
      <c r="J3728" s="455">
        <f t="array" ref="J3728">IFERROR(INDEX('Retirement Calculator'!K:K,MATCH('Lorri 401b'!N3728,'Retirement Calculator'!A:A,0),0),0)</f>
        <v>0</v>
      </c>
      <c r="K3728" s="455">
        <f t="shared" ca="1" si="153"/>
        <v>-8352549534.780323</v>
      </c>
      <c r="L3728" s="455">
        <f t="shared" ca="1" si="154"/>
        <v>-2012964437882.0579</v>
      </c>
      <c r="M3728" s="471">
        <f t="shared" si="156"/>
        <v>0.05</v>
      </c>
      <c r="N3728" s="475">
        <f t="shared" si="157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55"/>
        <v>-2012964437882.0579</v>
      </c>
      <c r="J3729" s="455">
        <f t="array" ref="J3729">IFERROR(INDEX('Retirement Calculator'!K:K,MATCH('Lorri 401b'!N3729,'Retirement Calculator'!A:A,0),0),0)</f>
        <v>0</v>
      </c>
      <c r="K3729" s="455">
        <f t="shared" ca="1" si="153"/>
        <v>-8387351824.5085745</v>
      </c>
      <c r="L3729" s="455">
        <f t="shared" ca="1" si="154"/>
        <v>-2021351789706.5664</v>
      </c>
      <c r="M3729" s="471">
        <f t="shared" si="156"/>
        <v>0.05</v>
      </c>
      <c r="N3729" s="475">
        <f t="shared" si="157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55"/>
        <v>-2021351789706.5664</v>
      </c>
      <c r="J3730" s="455">
        <f t="array" ref="J3730">IFERROR(INDEX('Retirement Calculator'!K:K,MATCH('Lorri 401b'!N3730,'Retirement Calculator'!A:A,0),0),0)</f>
        <v>0</v>
      </c>
      <c r="K3730" s="455">
        <f t="shared" ca="1" si="153"/>
        <v>-8422299123.77736</v>
      </c>
      <c r="L3730" s="455">
        <f t="shared" ca="1" si="154"/>
        <v>-2029774088830.3438</v>
      </c>
      <c r="M3730" s="471">
        <f t="shared" si="156"/>
        <v>0.05</v>
      </c>
      <c r="N3730" s="475">
        <f t="shared" si="157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55"/>
        <v>-2029774088830.3438</v>
      </c>
      <c r="J3731" s="455">
        <f t="array" ref="J3731">IFERROR(INDEX('Retirement Calculator'!K:K,MATCH('Lorri 401b'!N3731,'Retirement Calculator'!A:A,0),0),0)</f>
        <v>0</v>
      </c>
      <c r="K3731" s="455">
        <f t="shared" ca="1" si="153"/>
        <v>-8457392036.7930994</v>
      </c>
      <c r="L3731" s="455">
        <f t="shared" ca="1" si="154"/>
        <v>-2038231480867.137</v>
      </c>
      <c r="M3731" s="471">
        <f t="shared" si="156"/>
        <v>0.05</v>
      </c>
      <c r="N3731" s="475">
        <f t="shared" si="157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55"/>
        <v>-2038231480867.137</v>
      </c>
      <c r="J3732" s="455">
        <f t="array" ref="J3732">IFERROR(INDEX('Retirement Calculator'!K:K,MATCH('Lorri 401b'!N3732,'Retirement Calculator'!A:A,0),0),0)</f>
        <v>0</v>
      </c>
      <c r="K3732" s="455">
        <f t="shared" ca="1" si="153"/>
        <v>-8492631170.2797365</v>
      </c>
      <c r="L3732" s="455">
        <f t="shared" ca="1" si="154"/>
        <v>-2046724112037.4167</v>
      </c>
      <c r="M3732" s="471">
        <f t="shared" si="156"/>
        <v>0.05</v>
      </c>
      <c r="N3732" s="475">
        <f t="shared" si="157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55"/>
        <v>-2046724112037.4167</v>
      </c>
      <c r="J3733" s="455">
        <f t="array" ref="J3733">IFERROR(INDEX('Retirement Calculator'!K:K,MATCH('Lorri 401b'!N3733,'Retirement Calculator'!A:A,0),0),0)</f>
        <v>0</v>
      </c>
      <c r="K3733" s="455">
        <f t="shared" ca="1" si="153"/>
        <v>-8528017133.4892359</v>
      </c>
      <c r="L3733" s="455">
        <f t="shared" ca="1" si="154"/>
        <v>-2055252129170.906</v>
      </c>
      <c r="M3733" s="471">
        <f t="shared" si="156"/>
        <v>0.05</v>
      </c>
      <c r="N3733" s="475">
        <f t="shared" si="157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55"/>
        <v>-2055252129170.906</v>
      </c>
      <c r="J3734" s="455">
        <f t="array" ref="J3734">IFERROR(INDEX('Retirement Calculator'!K:K,MATCH('Lorri 401b'!N3734,'Retirement Calculator'!A:A,0),0),0)</f>
        <v>0</v>
      </c>
      <c r="K3734" s="455">
        <f t="shared" ca="1" si="153"/>
        <v>-8563550538.2121096</v>
      </c>
      <c r="L3734" s="455">
        <f t="shared" ca="1" si="154"/>
        <v>-2063815679709.1182</v>
      </c>
      <c r="M3734" s="471">
        <f t="shared" si="156"/>
        <v>0.05</v>
      </c>
      <c r="N3734" s="475">
        <f t="shared" si="157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55"/>
        <v>-2063815679709.1182</v>
      </c>
      <c r="J3735" s="455">
        <f t="array" ref="J3735">IFERROR(INDEX('Retirement Calculator'!K:K,MATCH('Lorri 401b'!N3735,'Retirement Calculator'!A:A,0),0),0)</f>
        <v>0</v>
      </c>
      <c r="K3735" s="455">
        <f t="shared" ca="1" si="153"/>
        <v>-8599231998.7879925</v>
      </c>
      <c r="L3735" s="455">
        <f t="shared" ca="1" si="154"/>
        <v>-2072414911707.9063</v>
      </c>
      <c r="M3735" s="471">
        <f t="shared" si="156"/>
        <v>0.05</v>
      </c>
      <c r="N3735" s="475">
        <f t="shared" si="157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55"/>
        <v>-2072414911707.9063</v>
      </c>
      <c r="J3736" s="455">
        <f t="array" ref="J3736">IFERROR(INDEX('Retirement Calculator'!K:K,MATCH('Lorri 401b'!N3736,'Retirement Calculator'!A:A,0),0),0)</f>
        <v>0</v>
      </c>
      <c r="K3736" s="455">
        <f t="shared" ca="1" si="153"/>
        <v>-8635062132.1162758</v>
      </c>
      <c r="L3736" s="455">
        <f t="shared" ca="1" si="154"/>
        <v>-2081049973840.0225</v>
      </c>
      <c r="M3736" s="471">
        <f t="shared" si="156"/>
        <v>0.05</v>
      </c>
      <c r="N3736" s="475">
        <f t="shared" si="157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55"/>
        <v>-2081049973840.0225</v>
      </c>
      <c r="J3737" s="455">
        <f t="array" ref="J3737">IFERROR(INDEX('Retirement Calculator'!K:K,MATCH('Lorri 401b'!N3737,'Retirement Calculator'!A:A,0),0),0)</f>
        <v>0</v>
      </c>
      <c r="K3737" s="455">
        <f t="shared" ca="1" si="153"/>
        <v>-8671041557.6667595</v>
      </c>
      <c r="L3737" s="455">
        <f t="shared" ca="1" si="154"/>
        <v>-2089721015397.6892</v>
      </c>
      <c r="M3737" s="471">
        <f t="shared" si="156"/>
        <v>0.05</v>
      </c>
      <c r="N3737" s="475">
        <f t="shared" si="157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55"/>
        <v>-2089721015397.6892</v>
      </c>
      <c r="J3738" s="455">
        <f t="array" ref="J3738">IFERROR(INDEX('Retirement Calculator'!K:K,MATCH('Lorri 401b'!N3738,'Retirement Calculator'!A:A,0),0),0)</f>
        <v>0</v>
      </c>
      <c r="K3738" s="455">
        <f t="shared" ca="1" si="153"/>
        <v>-8707170897.4903698</v>
      </c>
      <c r="L3738" s="455">
        <f t="shared" ca="1" si="154"/>
        <v>-2098428186295.1797</v>
      </c>
      <c r="M3738" s="471">
        <f t="shared" si="156"/>
        <v>0.05</v>
      </c>
      <c r="N3738" s="475">
        <f t="shared" si="157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55"/>
        <v>-2098428186295.1797</v>
      </c>
      <c r="J3739" s="455">
        <f t="array" ref="J3739">IFERROR(INDEX('Retirement Calculator'!K:K,MATCH('Lorri 401b'!N3739,'Retirement Calculator'!A:A,0),0),0)</f>
        <v>0</v>
      </c>
      <c r="K3739" s="455">
        <f t="shared" ca="1" si="153"/>
        <v>-8743450776.2299156</v>
      </c>
      <c r="L3739" s="455">
        <f t="shared" ca="1" si="154"/>
        <v>-2107171637071.4097</v>
      </c>
      <c r="M3739" s="471">
        <f t="shared" si="156"/>
        <v>0.05</v>
      </c>
      <c r="N3739" s="475">
        <f t="shared" si="157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55"/>
        <v>-2107171637071.4097</v>
      </c>
      <c r="J3740" s="455">
        <f t="array" ref="J3740">IFERROR(INDEX('Retirement Calculator'!K:K,MATCH('Lorri 401b'!N3740,'Retirement Calculator'!A:A,0),0),0)</f>
        <v>0</v>
      </c>
      <c r="K3740" s="455">
        <f t="shared" ca="1" si="153"/>
        <v>-8779881821.1308727</v>
      </c>
      <c r="L3740" s="455">
        <f t="shared" ca="1" si="154"/>
        <v>-2115951518892.5405</v>
      </c>
      <c r="M3740" s="471">
        <f t="shared" si="156"/>
        <v>0.05</v>
      </c>
      <c r="N3740" s="475">
        <f t="shared" si="157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55"/>
        <v>-2115951518892.5405</v>
      </c>
      <c r="J3741" s="455">
        <f t="array" ref="J3741">IFERROR(INDEX('Retirement Calculator'!K:K,MATCH('Lorri 401b'!N3741,'Retirement Calculator'!A:A,0),0),0)</f>
        <v>0</v>
      </c>
      <c r="K3741" s="455">
        <f t="shared" ca="1" si="153"/>
        <v>-8816464662.0522518</v>
      </c>
      <c r="L3741" s="455">
        <f t="shared" ca="1" si="154"/>
        <v>-2124767983554.5928</v>
      </c>
      <c r="M3741" s="471">
        <f t="shared" si="156"/>
        <v>0.05</v>
      </c>
      <c r="N3741" s="475">
        <f t="shared" si="157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55"/>
        <v>-2124767983554.5928</v>
      </c>
      <c r="J3742" s="455">
        <f t="array" ref="J3742">IFERROR(INDEX('Retirement Calculator'!K:K,MATCH('Lorri 401b'!N3742,'Retirement Calculator'!A:A,0),0),0)</f>
        <v>0</v>
      </c>
      <c r="K3742" s="455">
        <f t="shared" ca="1" si="153"/>
        <v>-8853199931.4774704</v>
      </c>
      <c r="L3742" s="455">
        <f t="shared" ca="1" si="154"/>
        <v>-2133621183486.0703</v>
      </c>
      <c r="M3742" s="471">
        <f t="shared" si="156"/>
        <v>0.05</v>
      </c>
      <c r="N3742" s="475">
        <f t="shared" si="157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55"/>
        <v>-2133621183486.0703</v>
      </c>
      <c r="J3743" s="455">
        <f t="array" ref="J3743">IFERROR(INDEX('Retirement Calculator'!K:K,MATCH('Lorri 401b'!N3743,'Retirement Calculator'!A:A,0),0),0)</f>
        <v>0</v>
      </c>
      <c r="K3743" s="455">
        <f t="shared" ca="1" si="153"/>
        <v>-8890088264.5252934</v>
      </c>
      <c r="L3743" s="455">
        <f t="shared" ca="1" si="154"/>
        <v>-2142511271750.5957</v>
      </c>
      <c r="M3743" s="471">
        <f t="shared" si="156"/>
        <v>0.05</v>
      </c>
      <c r="N3743" s="475">
        <f t="shared" si="157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55"/>
        <v>-2142511271750.5957</v>
      </c>
      <c r="J3744" s="455">
        <f t="array" ref="J3744">IFERROR(INDEX('Retirement Calculator'!K:K,MATCH('Lorri 401b'!N3744,'Retirement Calculator'!A:A,0),0),0)</f>
        <v>0</v>
      </c>
      <c r="K3744" s="455">
        <f t="shared" ca="1" si="153"/>
        <v>-8927130298.9608154</v>
      </c>
      <c r="L3744" s="455">
        <f t="shared" ca="1" si="154"/>
        <v>-2151438402049.5566</v>
      </c>
      <c r="M3744" s="471">
        <f t="shared" si="156"/>
        <v>0.05</v>
      </c>
      <c r="N3744" s="475">
        <f t="shared" si="157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55"/>
        <v>-2151438402049.5566</v>
      </c>
      <c r="J3745" s="455">
        <f t="array" ref="J3745">IFERROR(INDEX('Retirement Calculator'!K:K,MATCH('Lorri 401b'!N3745,'Retirement Calculator'!A:A,0),0),0)</f>
        <v>0</v>
      </c>
      <c r="K3745" s="455">
        <f t="shared" ca="1" si="153"/>
        <v>-8964326675.2064857</v>
      </c>
      <c r="L3745" s="455">
        <f t="shared" ca="1" si="154"/>
        <v>-2160402728724.7632</v>
      </c>
      <c r="M3745" s="471">
        <f t="shared" si="156"/>
        <v>0.05</v>
      </c>
      <c r="N3745" s="475">
        <f t="shared" si="157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55"/>
        <v>-2160402728724.7632</v>
      </c>
      <c r="J3746" s="455">
        <f t="array" ref="J3746">IFERROR(INDEX('Retirement Calculator'!K:K,MATCH('Lorri 401b'!N3746,'Retirement Calculator'!A:A,0),0),0)</f>
        <v>0</v>
      </c>
      <c r="K3746" s="455">
        <f t="shared" ca="1" si="153"/>
        <v>-9001678036.3531799</v>
      </c>
      <c r="L3746" s="455">
        <f t="shared" ca="1" si="154"/>
        <v>-2169404406761.1165</v>
      </c>
      <c r="M3746" s="471">
        <f t="shared" si="156"/>
        <v>0.05</v>
      </c>
      <c r="N3746" s="475">
        <f t="shared" si="157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55"/>
        <v>-2169404406761.1165</v>
      </c>
      <c r="J3747" s="455">
        <f t="array" ref="J3747">IFERROR(INDEX('Retirement Calculator'!K:K,MATCH('Lorri 401b'!N3747,'Retirement Calculator'!A:A,0),0),0)</f>
        <v>0</v>
      </c>
      <c r="K3747" s="455">
        <f t="shared" ca="1" si="153"/>
        <v>-9039185028.1713181</v>
      </c>
      <c r="L3747" s="455">
        <f t="shared" ca="1" si="154"/>
        <v>-2178443591789.2878</v>
      </c>
      <c r="M3747" s="471">
        <f t="shared" si="156"/>
        <v>0.05</v>
      </c>
      <c r="N3747" s="475">
        <f t="shared" si="157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55"/>
        <v>-2178443591789.2878</v>
      </c>
      <c r="J3748" s="455">
        <f t="array" ref="J3748">IFERROR(INDEX('Retirement Calculator'!K:K,MATCH('Lorri 401b'!N3748,'Retirement Calculator'!A:A,0),0),0)</f>
        <v>0</v>
      </c>
      <c r="K3748" s="455">
        <f t="shared" ca="1" si="153"/>
        <v>-9076848299.1220341</v>
      </c>
      <c r="L3748" s="455">
        <f t="shared" ca="1" si="154"/>
        <v>-2187520440088.4099</v>
      </c>
      <c r="M3748" s="471">
        <f t="shared" si="156"/>
        <v>0.05</v>
      </c>
      <c r="N3748" s="475">
        <f t="shared" si="157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55"/>
        <v>-2187520440088.4099</v>
      </c>
      <c r="J3749" s="455">
        <f t="array" ref="J3749">IFERROR(INDEX('Retirement Calculator'!K:K,MATCH('Lorri 401b'!N3749,'Retirement Calculator'!A:A,0),0),0)</f>
        <v>0</v>
      </c>
      <c r="K3749" s="455">
        <f t="shared" ca="1" si="153"/>
        <v>-9114668500.3683758</v>
      </c>
      <c r="L3749" s="455">
        <f t="shared" ca="1" si="154"/>
        <v>-2196635108588.7783</v>
      </c>
      <c r="M3749" s="471">
        <f t="shared" si="156"/>
        <v>0.05</v>
      </c>
      <c r="N3749" s="475">
        <f t="shared" si="157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55"/>
        <v>-2196635108588.7783</v>
      </c>
      <c r="J3750" s="455">
        <f t="array" ref="J3750">IFERROR(INDEX('Retirement Calculator'!K:K,MATCH('Lorri 401b'!N3750,'Retirement Calculator'!A:A,0),0),0)</f>
        <v>0</v>
      </c>
      <c r="K3750" s="455">
        <f t="shared" ca="1" si="153"/>
        <v>-9152646285.7865753</v>
      </c>
      <c r="L3750" s="455">
        <f t="shared" ca="1" si="154"/>
        <v>-2205787754874.5649</v>
      </c>
      <c r="M3750" s="471">
        <f t="shared" si="156"/>
        <v>0.05</v>
      </c>
      <c r="N3750" s="475">
        <f t="shared" si="157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55"/>
        <v>-2205787754874.5649</v>
      </c>
      <c r="J3751" s="455">
        <f t="array" ref="J3751">IFERROR(INDEX('Retirement Calculator'!K:K,MATCH('Lorri 401b'!N3751,'Retirement Calculator'!A:A,0),0),0)</f>
        <v>0</v>
      </c>
      <c r="K3751" s="455">
        <f t="shared" ca="1" si="153"/>
        <v>-9190782311.977354</v>
      </c>
      <c r="L3751" s="455">
        <f t="shared" ca="1" si="154"/>
        <v>-2214978537186.5425</v>
      </c>
      <c r="M3751" s="471">
        <f t="shared" si="156"/>
        <v>0.05</v>
      </c>
      <c r="N3751" s="475">
        <f t="shared" si="157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55"/>
        <v>-2214978537186.5425</v>
      </c>
      <c r="J3752" s="455">
        <f t="array" ref="J3752">IFERROR(INDEX('Retirement Calculator'!K:K,MATCH('Lorri 401b'!N3752,'Retirement Calculator'!A:A,0),0),0)</f>
        <v>0</v>
      </c>
      <c r="K3752" s="455">
        <f t="shared" ca="1" si="153"/>
        <v>-9229077238.2772598</v>
      </c>
      <c r="L3752" s="455">
        <f t="shared" ca="1" si="154"/>
        <v>-2224207614424.8198</v>
      </c>
      <c r="M3752" s="471">
        <f t="shared" si="156"/>
        <v>0.05</v>
      </c>
      <c r="N3752" s="475">
        <f t="shared" si="157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55"/>
        <v>-2224207614424.8198</v>
      </c>
      <c r="J3753" s="455">
        <f t="array" ref="J3753">IFERROR(INDEX('Retirement Calculator'!K:K,MATCH('Lorri 401b'!N3753,'Retirement Calculator'!A:A,0),0),0)</f>
        <v>0</v>
      </c>
      <c r="K3753" s="455">
        <f t="shared" ca="1" si="153"/>
        <v>-9267531726.7700825</v>
      </c>
      <c r="L3753" s="455">
        <f t="shared" ca="1" si="154"/>
        <v>-2233475146151.5898</v>
      </c>
      <c r="M3753" s="471">
        <f t="shared" si="156"/>
        <v>0.05</v>
      </c>
      <c r="N3753" s="475">
        <f t="shared" si="157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55"/>
        <v>-2233475146151.5898</v>
      </c>
      <c r="J3754" s="455">
        <f t="array" ref="J3754">IFERROR(INDEX('Retirement Calculator'!K:K,MATCH('Lorri 401b'!N3754,'Retirement Calculator'!A:A,0),0),0)</f>
        <v>0</v>
      </c>
      <c r="K3754" s="455">
        <f t="shared" ca="1" si="153"/>
        <v>-9306146442.2982903</v>
      </c>
      <c r="L3754" s="455">
        <f t="shared" ca="1" si="154"/>
        <v>-2242781292593.8882</v>
      </c>
      <c r="M3754" s="471">
        <f t="shared" si="156"/>
        <v>0.05</v>
      </c>
      <c r="N3754" s="475">
        <f t="shared" si="157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55"/>
        <v>-2242781292593.8882</v>
      </c>
      <c r="J3755" s="455">
        <f t="array" ref="J3755">IFERROR(INDEX('Retirement Calculator'!K:K,MATCH('Lorri 401b'!N3755,'Retirement Calculator'!A:A,0),0),0)</f>
        <v>0</v>
      </c>
      <c r="K3755" s="455">
        <f t="shared" ca="1" si="153"/>
        <v>-9344922052.4745331</v>
      </c>
      <c r="L3755" s="455">
        <f t="shared" ca="1" si="154"/>
        <v>-2252126214646.3628</v>
      </c>
      <c r="M3755" s="471">
        <f t="shared" si="156"/>
        <v>0.05</v>
      </c>
      <c r="N3755" s="475">
        <f t="shared" si="157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55"/>
        <v>-2252126214646.3628</v>
      </c>
      <c r="J3756" s="455">
        <f t="array" ref="J3756">IFERROR(INDEX('Retirement Calculator'!K:K,MATCH('Lorri 401b'!N3756,'Retirement Calculator'!A:A,0),0),0)</f>
        <v>0</v>
      </c>
      <c r="K3756" s="455">
        <f t="shared" ca="1" si="153"/>
        <v>-9383859227.6931782</v>
      </c>
      <c r="L3756" s="455">
        <f t="shared" ca="1" si="154"/>
        <v>-2261510073874.0562</v>
      </c>
      <c r="M3756" s="471">
        <f t="shared" si="156"/>
        <v>0.05</v>
      </c>
      <c r="N3756" s="475">
        <f t="shared" si="157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55"/>
        <v>-2261510073874.0562</v>
      </c>
      <c r="J3757" s="455">
        <f t="array" ref="J3757">IFERROR(INDEX('Retirement Calculator'!K:K,MATCH('Lorri 401b'!N3757,'Retirement Calculator'!A:A,0),0),0)</f>
        <v>0</v>
      </c>
      <c r="K3757" s="455">
        <f t="shared" ca="1" si="153"/>
        <v>-9422958641.141901</v>
      </c>
      <c r="L3757" s="455">
        <f t="shared" ca="1" si="154"/>
        <v>-2270933032515.1982</v>
      </c>
      <c r="M3757" s="471">
        <f t="shared" si="156"/>
        <v>0.05</v>
      </c>
      <c r="N3757" s="475">
        <f t="shared" si="157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55"/>
        <v>-2270933032515.1982</v>
      </c>
      <c r="J3758" s="455">
        <f t="array" ref="J3758">IFERROR(INDEX('Retirement Calculator'!K:K,MATCH('Lorri 401b'!N3758,'Retirement Calculator'!A:A,0),0),0)</f>
        <v>0</v>
      </c>
      <c r="K3758" s="455">
        <f t="shared" ca="1" si="153"/>
        <v>-9462220968.8133259</v>
      </c>
      <c r="L3758" s="455">
        <f t="shared" ca="1" si="154"/>
        <v>-2280395253484.0117</v>
      </c>
      <c r="M3758" s="471">
        <f t="shared" si="156"/>
        <v>0.05</v>
      </c>
      <c r="N3758" s="475">
        <f t="shared" si="157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55"/>
        <v>-2280395253484.0117</v>
      </c>
      <c r="J3759" s="455">
        <f t="array" ref="J3759">IFERROR(INDEX('Retirement Calculator'!K:K,MATCH('Lorri 401b'!N3759,'Retirement Calculator'!A:A,0),0),0)</f>
        <v>0</v>
      </c>
      <c r="K3759" s="455">
        <f t="shared" ca="1" si="153"/>
        <v>-9501646889.516716</v>
      </c>
      <c r="L3759" s="455">
        <f t="shared" ca="1" si="154"/>
        <v>-2289896900373.5283</v>
      </c>
      <c r="M3759" s="471">
        <f t="shared" si="156"/>
        <v>0.05</v>
      </c>
      <c r="N3759" s="475">
        <f t="shared" si="157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55"/>
        <v>-2289896900373.5283</v>
      </c>
      <c r="J3760" s="455">
        <f t="array" ref="J3760">IFERROR(INDEX('Retirement Calculator'!K:K,MATCH('Lorri 401b'!N3760,'Retirement Calculator'!A:A,0),0),0)</f>
        <v>0</v>
      </c>
      <c r="K3760" s="455">
        <f t="shared" ca="1" si="153"/>
        <v>-9541237084.8897018</v>
      </c>
      <c r="L3760" s="455">
        <f t="shared" ca="1" si="154"/>
        <v>-2299438137458.418</v>
      </c>
      <c r="M3760" s="471">
        <f t="shared" si="156"/>
        <v>0.05</v>
      </c>
      <c r="N3760" s="475">
        <f t="shared" si="157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55"/>
        <v>-2299438137458.418</v>
      </c>
      <c r="J3761" s="455">
        <f t="array" ref="J3761">IFERROR(INDEX('Retirement Calculator'!K:K,MATCH('Lorri 401b'!N3761,'Retirement Calculator'!A:A,0),0),0)</f>
        <v>0</v>
      </c>
      <c r="K3761" s="455">
        <f t="shared" ca="1" si="153"/>
        <v>-9580992239.4100742</v>
      </c>
      <c r="L3761" s="455">
        <f t="shared" ca="1" si="154"/>
        <v>-2309019129697.8281</v>
      </c>
      <c r="M3761" s="471">
        <f t="shared" si="156"/>
        <v>0.05</v>
      </c>
      <c r="N3761" s="475">
        <f t="shared" si="157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55"/>
        <v>-2309019129697.8281</v>
      </c>
      <c r="J3762" s="455">
        <f t="array" ref="J3762">IFERROR(INDEX('Retirement Calculator'!K:K,MATCH('Lorri 401b'!N3762,'Retirement Calculator'!A:A,0),0),0)</f>
        <v>0</v>
      </c>
      <c r="K3762" s="455">
        <f t="shared" ca="1" si="153"/>
        <v>-9620913040.4076176</v>
      </c>
      <c r="L3762" s="455">
        <f t="shared" ca="1" si="154"/>
        <v>-2318640042738.2358</v>
      </c>
      <c r="M3762" s="471">
        <f t="shared" si="156"/>
        <v>0.05</v>
      </c>
      <c r="N3762" s="475">
        <f t="shared" si="157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55"/>
        <v>-2318640042738.2358</v>
      </c>
      <c r="J3763" s="455">
        <f t="array" ref="J3763">IFERROR(INDEX('Retirement Calculator'!K:K,MATCH('Lorri 401b'!N3763,'Retirement Calculator'!A:A,0),0),0)</f>
        <v>0</v>
      </c>
      <c r="K3763" s="455">
        <f t="shared" ca="1" si="153"/>
        <v>-9661000178.075983</v>
      </c>
      <c r="L3763" s="455">
        <f t="shared" ca="1" si="154"/>
        <v>-2328301042916.312</v>
      </c>
      <c r="M3763" s="471">
        <f t="shared" si="156"/>
        <v>0.05</v>
      </c>
      <c r="N3763" s="475">
        <f t="shared" si="157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55"/>
        <v>-2328301042916.312</v>
      </c>
      <c r="J3764" s="455">
        <f t="array" ref="J3764">IFERROR(INDEX('Retirement Calculator'!K:K,MATCH('Lorri 401b'!N3764,'Retirement Calculator'!A:A,0),0),0)</f>
        <v>0</v>
      </c>
      <c r="K3764" s="455">
        <f t="shared" ca="1" si="153"/>
        <v>-9701254345.4846325</v>
      </c>
      <c r="L3764" s="455">
        <f t="shared" ca="1" si="154"/>
        <v>-2338002297261.7969</v>
      </c>
      <c r="M3764" s="471">
        <f t="shared" si="156"/>
        <v>0.05</v>
      </c>
      <c r="N3764" s="475">
        <f t="shared" si="157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55"/>
        <v>-2338002297261.7969</v>
      </c>
      <c r="J3765" s="455">
        <f t="array" ref="J3765">IFERROR(INDEX('Retirement Calculator'!K:K,MATCH('Lorri 401b'!N3765,'Retirement Calculator'!A:A,0),0),0)</f>
        <v>0</v>
      </c>
      <c r="K3765" s="455">
        <f t="shared" ca="1" si="153"/>
        <v>-9741676238.5908203</v>
      </c>
      <c r="L3765" s="455">
        <f t="shared" ca="1" si="154"/>
        <v>-2347743973500.3877</v>
      </c>
      <c r="M3765" s="471">
        <f t="shared" si="156"/>
        <v>0.05</v>
      </c>
      <c r="N3765" s="475">
        <f t="shared" si="157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55"/>
        <v>-2347743973500.3877</v>
      </c>
      <c r="J3766" s="455">
        <f t="array" ref="J3766">IFERROR(INDEX('Retirement Calculator'!K:K,MATCH('Lorri 401b'!N3766,'Retirement Calculator'!A:A,0),0),0)</f>
        <v>0</v>
      </c>
      <c r="K3766" s="455">
        <f t="shared" ca="1" si="153"/>
        <v>-9782266556.2516155</v>
      </c>
      <c r="L3766" s="455">
        <f t="shared" ca="1" si="154"/>
        <v>-2357526240056.6392</v>
      </c>
      <c r="M3766" s="471">
        <f t="shared" si="156"/>
        <v>0.05</v>
      </c>
      <c r="N3766" s="475">
        <f t="shared" si="157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55"/>
        <v>-2357526240056.6392</v>
      </c>
      <c r="J3767" s="455">
        <f t="array" ref="J3767">IFERROR(INDEX('Retirement Calculator'!K:K,MATCH('Lorri 401b'!N3767,'Retirement Calculator'!A:A,0),0),0)</f>
        <v>0</v>
      </c>
      <c r="K3767" s="455">
        <f t="shared" ca="1" si="153"/>
        <v>-9823026000.2359962</v>
      </c>
      <c r="L3767" s="455">
        <f t="shared" ca="1" si="154"/>
        <v>-2367349266056.875</v>
      </c>
      <c r="M3767" s="471">
        <f t="shared" si="156"/>
        <v>0.05</v>
      </c>
      <c r="N3767" s="475">
        <f t="shared" si="157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55"/>
        <v>-2367349266056.875</v>
      </c>
      <c r="J3768" s="455">
        <f t="array" ref="J3768">IFERROR(INDEX('Retirement Calculator'!K:K,MATCH('Lorri 401b'!N3768,'Retirement Calculator'!A:A,0),0),0)</f>
        <v>0</v>
      </c>
      <c r="K3768" s="455">
        <f t="shared" ca="1" si="153"/>
        <v>-9863955275.2369785</v>
      </c>
      <c r="L3768" s="455">
        <f t="shared" ca="1" si="154"/>
        <v>-2377213221332.1118</v>
      </c>
      <c r="M3768" s="471">
        <f t="shared" si="156"/>
        <v>0.05</v>
      </c>
      <c r="N3768" s="475">
        <f t="shared" si="157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55"/>
        <v>-2377213221332.1118</v>
      </c>
      <c r="J3769" s="455">
        <f t="array" ref="J3769">IFERROR(INDEX('Retirement Calculator'!K:K,MATCH('Lorri 401b'!N3769,'Retirement Calculator'!A:A,0),0),0)</f>
        <v>0</v>
      </c>
      <c r="K3769" s="455">
        <f t="shared" ca="1" si="153"/>
        <v>-9905055088.8837986</v>
      </c>
      <c r="L3769" s="455">
        <f t="shared" ca="1" si="154"/>
        <v>-2387118276420.9956</v>
      </c>
      <c r="M3769" s="471">
        <f t="shared" si="156"/>
        <v>0.05</v>
      </c>
      <c r="N3769" s="475">
        <f t="shared" si="157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55"/>
        <v>-2387118276420.9956</v>
      </c>
      <c r="J3770" s="455">
        <f t="array" ref="J3770">IFERROR(INDEX('Retirement Calculator'!K:K,MATCH('Lorri 401b'!N3770,'Retirement Calculator'!A:A,0),0),0)</f>
        <v>0</v>
      </c>
      <c r="K3770" s="455">
        <f t="shared" ca="1" si="153"/>
        <v>-9946326151.7541485</v>
      </c>
      <c r="L3770" s="455">
        <f t="shared" ca="1" si="154"/>
        <v>-2397064602572.7495</v>
      </c>
      <c r="M3770" s="471">
        <f t="shared" si="156"/>
        <v>0.05</v>
      </c>
      <c r="N3770" s="475">
        <f t="shared" si="157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55"/>
        <v>-2397064602572.7495</v>
      </c>
      <c r="J3771" s="455">
        <f t="array" ref="J3771">IFERROR(INDEX('Retirement Calculator'!K:K,MATCH('Lorri 401b'!N3771,'Retirement Calculator'!A:A,0),0),0)</f>
        <v>0</v>
      </c>
      <c r="K3771" s="455">
        <f t="shared" ca="1" si="153"/>
        <v>-9987769177.3864555</v>
      </c>
      <c r="L3771" s="455">
        <f t="shared" ca="1" si="154"/>
        <v>-2407052371750.1357</v>
      </c>
      <c r="M3771" s="471">
        <f t="shared" si="156"/>
        <v>0.05</v>
      </c>
      <c r="N3771" s="475">
        <f t="shared" si="157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55"/>
        <v>-2407052371750.1357</v>
      </c>
      <c r="J3772" s="455">
        <f t="array" ref="J3772">IFERROR(INDEX('Retirement Calculator'!K:K,MATCH('Lorri 401b'!N3772,'Retirement Calculator'!A:A,0),0),0)</f>
        <v>0</v>
      </c>
      <c r="K3772" s="455">
        <f t="shared" ca="1" si="153"/>
        <v>-10029384882.292233</v>
      </c>
      <c r="L3772" s="455">
        <f t="shared" ca="1" si="154"/>
        <v>-2417081756632.4277</v>
      </c>
      <c r="M3772" s="471">
        <f t="shared" si="156"/>
        <v>0.05</v>
      </c>
      <c r="N3772" s="475">
        <f t="shared" si="157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55"/>
        <v>-2417081756632.4277</v>
      </c>
      <c r="J3773" s="455">
        <f t="array" ref="J3773">IFERROR(INDEX('Retirement Calculator'!K:K,MATCH('Lorri 401b'!N3773,'Retirement Calculator'!A:A,0),0),0)</f>
        <v>0</v>
      </c>
      <c r="K3773" s="455">
        <f t="shared" ca="1" si="153"/>
        <v>-10071173985.968449</v>
      </c>
      <c r="L3773" s="455">
        <f t="shared" ca="1" si="154"/>
        <v>-2427152930618.396</v>
      </c>
      <c r="M3773" s="471">
        <f t="shared" si="156"/>
        <v>0.05</v>
      </c>
      <c r="N3773" s="475">
        <f t="shared" si="157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55"/>
        <v>-2427152930618.396</v>
      </c>
      <c r="J3774" s="455">
        <f t="array" ref="J3774">IFERROR(INDEX('Retirement Calculator'!K:K,MATCH('Lorri 401b'!N3774,'Retirement Calculator'!A:A,0),0),0)</f>
        <v>0</v>
      </c>
      <c r="K3774" s="455">
        <f t="shared" ca="1" si="153"/>
        <v>-10113137210.909983</v>
      </c>
      <c r="L3774" s="455">
        <f t="shared" ca="1" si="154"/>
        <v>-2437266067829.3062</v>
      </c>
      <c r="M3774" s="471">
        <f t="shared" si="156"/>
        <v>0.05</v>
      </c>
      <c r="N3774" s="475">
        <f t="shared" si="157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55"/>
        <v>-2437266067829.3062</v>
      </c>
      <c r="J3775" s="455">
        <f t="array" ref="J3775">IFERROR(INDEX('Retirement Calculator'!K:K,MATCH('Lorri 401b'!N3775,'Retirement Calculator'!A:A,0),0),0)</f>
        <v>0</v>
      </c>
      <c r="K3775" s="455">
        <f t="shared" ca="1" si="153"/>
        <v>-10155275282.622108</v>
      </c>
      <c r="L3775" s="455">
        <f t="shared" ca="1" si="154"/>
        <v>-2447421343111.9282</v>
      </c>
      <c r="M3775" s="471">
        <f t="shared" si="156"/>
        <v>0.05</v>
      </c>
      <c r="N3775" s="475">
        <f t="shared" si="157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55"/>
        <v>-2447421343111.9282</v>
      </c>
      <c r="J3776" s="455">
        <f t="array" ref="J3776">IFERROR(INDEX('Retirement Calculator'!K:K,MATCH('Lorri 401b'!N3776,'Retirement Calculator'!A:A,0),0),0)</f>
        <v>0</v>
      </c>
      <c r="K3776" s="455">
        <f t="shared" ca="1" si="153"/>
        <v>-10197588929.633034</v>
      </c>
      <c r="L3776" s="455">
        <f t="shared" ca="1" si="154"/>
        <v>-2457618932041.561</v>
      </c>
      <c r="M3776" s="471">
        <f t="shared" si="156"/>
        <v>0.05</v>
      </c>
      <c r="N3776" s="475">
        <f t="shared" si="157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55"/>
        <v>-2457618932041.561</v>
      </c>
      <c r="J3777" s="455">
        <f t="array" ref="J3777">IFERROR(INDEX('Retirement Calculator'!K:K,MATCH('Lorri 401b'!N3777,'Retirement Calculator'!A:A,0),0),0)</f>
        <v>0</v>
      </c>
      <c r="K3777" s="455">
        <f t="shared" ca="1" si="153"/>
        <v>-10240078883.506504</v>
      </c>
      <c r="L3777" s="455">
        <f t="shared" ca="1" si="154"/>
        <v>-2467859010925.0674</v>
      </c>
      <c r="M3777" s="471">
        <f t="shared" si="156"/>
        <v>0.05</v>
      </c>
      <c r="N3777" s="475">
        <f t="shared" si="157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55"/>
        <v>-2467859010925.0674</v>
      </c>
      <c r="J3778" s="455">
        <f t="array" ref="J3778">IFERROR(INDEX('Retirement Calculator'!K:K,MATCH('Lorri 401b'!N3778,'Retirement Calculator'!A:A,0),0),0)</f>
        <v>0</v>
      </c>
      <c r="K3778" s="455">
        <f t="shared" ca="1" si="153"/>
        <v>-10282745878.854446</v>
      </c>
      <c r="L3778" s="455">
        <f t="shared" ca="1" si="154"/>
        <v>-2478141756803.9219</v>
      </c>
      <c r="M3778" s="471">
        <f t="shared" si="156"/>
        <v>0.05</v>
      </c>
      <c r="N3778" s="475">
        <f t="shared" si="157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55"/>
        <v>-2478141756803.9219</v>
      </c>
      <c r="J3779" s="455">
        <f t="array" ref="J3779">IFERROR(INDEX('Retirement Calculator'!K:K,MATCH('Lorri 401b'!N3779,'Retirement Calculator'!A:A,0),0),0)</f>
        <v>0</v>
      </c>
      <c r="K3779" s="455">
        <f t="shared" ca="1" si="153"/>
        <v>-10325590653.349674</v>
      </c>
      <c r="L3779" s="455">
        <f t="shared" ca="1" si="154"/>
        <v>-2488467347457.2715</v>
      </c>
      <c r="M3779" s="471">
        <f t="shared" si="156"/>
        <v>0.05</v>
      </c>
      <c r="N3779" s="475">
        <f t="shared" si="157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55"/>
        <v>-2488467347457.2715</v>
      </c>
      <c r="J3780" s="455">
        <f t="array" ref="J3780">IFERROR(INDEX('Retirement Calculator'!K:K,MATCH('Lorri 401b'!N3780,'Retirement Calculator'!A:A,0),0),0)</f>
        <v>0</v>
      </c>
      <c r="K3780" s="455">
        <f t="shared" ca="1" si="153"/>
        <v>-10368613947.73863</v>
      </c>
      <c r="L3780" s="455">
        <f t="shared" ca="1" si="154"/>
        <v>-2498835961405.0103</v>
      </c>
      <c r="M3780" s="471">
        <f t="shared" si="156"/>
        <v>0.05</v>
      </c>
      <c r="N3780" s="475">
        <f t="shared" si="157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55"/>
        <v>-2498835961405.0103</v>
      </c>
      <c r="J3781" s="455">
        <f t="array" ref="J3781">IFERROR(INDEX('Retirement Calculator'!K:K,MATCH('Lorri 401b'!N3781,'Retirement Calculator'!A:A,0),0),0)</f>
        <v>0</v>
      </c>
      <c r="K3781" s="455">
        <f t="shared" ca="1" si="153"/>
        <v>-10411816505.85421</v>
      </c>
      <c r="L3781" s="455">
        <f t="shared" ca="1" si="154"/>
        <v>-2509247777910.8643</v>
      </c>
      <c r="M3781" s="471">
        <f t="shared" si="156"/>
        <v>0.05</v>
      </c>
      <c r="N3781" s="475">
        <f t="shared" si="157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55"/>
        <v>-2509247777910.8643</v>
      </c>
      <c r="J3782" s="455">
        <f t="array" ref="J3782">IFERROR(INDEX('Retirement Calculator'!K:K,MATCH('Lorri 401b'!N3782,'Retirement Calculator'!A:A,0),0),0)</f>
        <v>0</v>
      </c>
      <c r="K3782" s="455">
        <f t="shared" ca="1" si="153"/>
        <v>-10455199074.628601</v>
      </c>
      <c r="L3782" s="455">
        <f t="shared" ca="1" si="154"/>
        <v>-2519702976985.4927</v>
      </c>
      <c r="M3782" s="471">
        <f t="shared" si="156"/>
        <v>0.05</v>
      </c>
      <c r="N3782" s="475">
        <f t="shared" si="157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55"/>
        <v>-2519702976985.4927</v>
      </c>
      <c r="J3783" s="455">
        <f t="array" ref="J3783">IFERROR(INDEX('Retirement Calculator'!K:K,MATCH('Lorri 401b'!N3783,'Retirement Calculator'!A:A,0),0),0)</f>
        <v>0</v>
      </c>
      <c r="K3783" s="455">
        <f t="shared" ca="1" si="153"/>
        <v>-10498762404.10622</v>
      </c>
      <c r="L3783" s="455">
        <f t="shared" ca="1" si="154"/>
        <v>-2530201739389.5991</v>
      </c>
      <c r="M3783" s="471">
        <f t="shared" si="156"/>
        <v>0.05</v>
      </c>
      <c r="N3783" s="475">
        <f t="shared" si="157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55"/>
        <v>-2530201739389.5991</v>
      </c>
      <c r="J3784" s="455">
        <f t="array" ref="J3784">IFERROR(INDEX('Retirement Calculator'!K:K,MATCH('Lorri 401b'!N3784,'Retirement Calculator'!A:A,0),0),0)</f>
        <v>0</v>
      </c>
      <c r="K3784" s="455">
        <f t="shared" ca="1" si="153"/>
        <v>-10542507247.456663</v>
      </c>
      <c r="L3784" s="455">
        <f t="shared" ca="1" si="154"/>
        <v>-2540744246637.0557</v>
      </c>
      <c r="M3784" s="471">
        <f t="shared" si="156"/>
        <v>0.05</v>
      </c>
      <c r="N3784" s="475">
        <f t="shared" si="157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55"/>
        <v>-2540744246637.0557</v>
      </c>
      <c r="J3785" s="455">
        <f t="array" ref="J3785">IFERROR(INDEX('Retirement Calculator'!K:K,MATCH('Lorri 401b'!N3785,'Retirement Calculator'!A:A,0),0),0)</f>
        <v>0</v>
      </c>
      <c r="K3785" s="455">
        <f t="shared" ca="1" si="153"/>
        <v>-10586434360.987732</v>
      </c>
      <c r="L3785" s="455">
        <f t="shared" ca="1" si="154"/>
        <v>-2551330680998.0435</v>
      </c>
      <c r="M3785" s="471">
        <f t="shared" si="156"/>
        <v>0.05</v>
      </c>
      <c r="N3785" s="475">
        <f t="shared" si="157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55"/>
        <v>-2551330680998.0435</v>
      </c>
      <c r="J3786" s="455">
        <f t="array" ref="J3786">IFERROR(INDEX('Retirement Calculator'!K:K,MATCH('Lorri 401b'!N3786,'Retirement Calculator'!A:A,0),0),0)</f>
        <v>0</v>
      </c>
      <c r="K3786" s="455">
        <f t="shared" ca="1" si="153"/>
        <v>-10630544504.158514</v>
      </c>
      <c r="L3786" s="455">
        <f t="shared" ca="1" si="154"/>
        <v>-2561961225502.2021</v>
      </c>
      <c r="M3786" s="471">
        <f t="shared" si="156"/>
        <v>0.05</v>
      </c>
      <c r="N3786" s="475">
        <f t="shared" si="157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55"/>
        <v>-2561961225502.2021</v>
      </c>
      <c r="J3787" s="455">
        <f t="array" ref="J3787">IFERROR(INDEX('Retirement Calculator'!K:K,MATCH('Lorri 401b'!N3787,'Retirement Calculator'!A:A,0),0),0)</f>
        <v>0</v>
      </c>
      <c r="K3787" s="455">
        <f t="shared" ca="1" si="153"/>
        <v>-10674838439.592508</v>
      </c>
      <c r="L3787" s="455">
        <f t="shared" ca="1" si="154"/>
        <v>-2572636063941.7944</v>
      </c>
      <c r="M3787" s="471">
        <f t="shared" si="156"/>
        <v>0.05</v>
      </c>
      <c r="N3787" s="475">
        <f t="shared" si="157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55"/>
        <v>-2572636063941.7944</v>
      </c>
      <c r="J3788" s="455">
        <f t="array" ref="J3788">IFERROR(INDEX('Retirement Calculator'!K:K,MATCH('Lorri 401b'!N3788,'Retirement Calculator'!A:A,0),0),0)</f>
        <v>0</v>
      </c>
      <c r="K3788" s="455">
        <f t="shared" ca="1" si="153"/>
        <v>-10719316933.090811</v>
      </c>
      <c r="L3788" s="455">
        <f t="shared" ca="1" si="154"/>
        <v>-2583355380874.8853</v>
      </c>
      <c r="M3788" s="471">
        <f t="shared" si="156"/>
        <v>0.05</v>
      </c>
      <c r="N3788" s="475">
        <f t="shared" si="157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55"/>
        <v>-2583355380874.8853</v>
      </c>
      <c r="J3789" s="455">
        <f t="array" ref="J3789">IFERROR(INDEX('Retirement Calculator'!K:K,MATCH('Lorri 401b'!N3789,'Retirement Calculator'!A:A,0),0),0)</f>
        <v>0</v>
      </c>
      <c r="K3789" s="455">
        <f t="shared" ca="1" si="153"/>
        <v>-10763980753.645355</v>
      </c>
      <c r="L3789" s="455">
        <f t="shared" ca="1" si="154"/>
        <v>-2594119361628.5308</v>
      </c>
      <c r="M3789" s="471">
        <f t="shared" si="156"/>
        <v>0.05</v>
      </c>
      <c r="N3789" s="475">
        <f t="shared" si="157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55"/>
        <v>-2594119361628.5308</v>
      </c>
      <c r="J3790" s="455">
        <f t="array" ref="J3790">IFERROR(INDEX('Retirement Calculator'!K:K,MATCH('Lorri 401b'!N3790,'Retirement Calculator'!A:A,0),0),0)</f>
        <v>0</v>
      </c>
      <c r="K3790" s="455">
        <f t="shared" ca="1" si="153"/>
        <v>-10808830673.452211</v>
      </c>
      <c r="L3790" s="455">
        <f t="shared" ca="1" si="154"/>
        <v>-2604928192301.9829</v>
      </c>
      <c r="M3790" s="471">
        <f t="shared" si="156"/>
        <v>0.05</v>
      </c>
      <c r="N3790" s="475">
        <f t="shared" si="157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55"/>
        <v>-2604928192301.9829</v>
      </c>
      <c r="J3791" s="455">
        <f t="array" ref="J3791">IFERROR(INDEX('Retirement Calculator'!K:K,MATCH('Lorri 401b'!N3791,'Retirement Calculator'!A:A,0),0),0)</f>
        <v>0</v>
      </c>
      <c r="K3791" s="455">
        <f t="shared" ca="1" si="153"/>
        <v>-10853867467.924929</v>
      </c>
      <c r="L3791" s="455">
        <f t="shared" ca="1" si="154"/>
        <v>-2615782059769.9077</v>
      </c>
      <c r="M3791" s="471">
        <f t="shared" si="156"/>
        <v>0.05</v>
      </c>
      <c r="N3791" s="475">
        <f t="shared" si="157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55"/>
        <v>-2615782059769.9077</v>
      </c>
      <c r="J3792" s="455">
        <f t="array" ref="J3792">IFERROR(INDEX('Retirement Calculator'!K:K,MATCH('Lorri 401b'!N3792,'Retirement Calculator'!A:A,0),0),0)</f>
        <v>0</v>
      </c>
      <c r="K3792" s="455">
        <f t="shared" ca="1" si="153"/>
        <v>-10899091915.707949</v>
      </c>
      <c r="L3792" s="455">
        <f t="shared" ca="1" si="154"/>
        <v>-2626681151685.6157</v>
      </c>
      <c r="M3792" s="471">
        <f t="shared" si="156"/>
        <v>0.05</v>
      </c>
      <c r="N3792" s="475">
        <f t="shared" si="157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55"/>
        <v>-2626681151685.6157</v>
      </c>
      <c r="J3793" s="455">
        <f t="array" ref="J3793">IFERROR(INDEX('Retirement Calculator'!K:K,MATCH('Lorri 401b'!N3793,'Retirement Calculator'!A:A,0),0),0)</f>
        <v>0</v>
      </c>
      <c r="K3793" s="455">
        <f t="shared" ca="1" si="153"/>
        <v>-10944504798.690065</v>
      </c>
      <c r="L3793" s="455">
        <f t="shared" ca="1" si="154"/>
        <v>-2637625656484.3057</v>
      </c>
      <c r="M3793" s="471">
        <f t="shared" si="156"/>
        <v>0.05</v>
      </c>
      <c r="N3793" s="475">
        <f t="shared" si="157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55"/>
        <v>-2637625656484.3057</v>
      </c>
      <c r="J3794" s="455">
        <f t="array" ref="J3794">IFERROR(INDEX('Retirement Calculator'!K:K,MATCH('Lorri 401b'!N3794,'Retirement Calculator'!A:A,0),0),0)</f>
        <v>0</v>
      </c>
      <c r="K3794" s="455">
        <f t="shared" ca="1" si="153"/>
        <v>-10990106902.017941</v>
      </c>
      <c r="L3794" s="455">
        <f t="shared" ca="1" si="154"/>
        <v>-2648615763386.3237</v>
      </c>
      <c r="M3794" s="471">
        <f t="shared" si="156"/>
        <v>0.05</v>
      </c>
      <c r="N3794" s="475">
        <f t="shared" si="157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55"/>
        <v>-2648615763386.3237</v>
      </c>
      <c r="J3795" s="455">
        <f t="array" ref="J3795">IFERROR(INDEX('Retirement Calculator'!K:K,MATCH('Lorri 401b'!N3795,'Retirement Calculator'!A:A,0),0),0)</f>
        <v>0</v>
      </c>
      <c r="K3795" s="455">
        <f t="shared" ca="1" si="153"/>
        <v>-11035899014.109682</v>
      </c>
      <c r="L3795" s="455">
        <f t="shared" ca="1" si="154"/>
        <v>-2659651662400.4336</v>
      </c>
      <c r="M3795" s="471">
        <f t="shared" si="156"/>
        <v>0.05</v>
      </c>
      <c r="N3795" s="475">
        <f t="shared" si="157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55"/>
        <v>-2659651662400.4336</v>
      </c>
      <c r="J3796" s="455">
        <f t="array" ref="J3796">IFERROR(INDEX('Retirement Calculator'!K:K,MATCH('Lorri 401b'!N3796,'Retirement Calculator'!A:A,0),0),0)</f>
        <v>0</v>
      </c>
      <c r="K3796" s="455">
        <f t="shared" ca="1" si="153"/>
        <v>-11081881926.668472</v>
      </c>
      <c r="L3796" s="455">
        <f t="shared" ca="1" si="154"/>
        <v>-2670733544327.1021</v>
      </c>
      <c r="M3796" s="471">
        <f t="shared" si="156"/>
        <v>0.05</v>
      </c>
      <c r="N3796" s="475">
        <f t="shared" si="157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55"/>
        <v>-2670733544327.1021</v>
      </c>
      <c r="J3797" s="455">
        <f t="array" ref="J3797">IFERROR(INDEX('Retirement Calculator'!K:K,MATCH('Lorri 401b'!N3797,'Retirement Calculator'!A:A,0),0),0)</f>
        <v>0</v>
      </c>
      <c r="K3797" s="455">
        <f t="shared" ca="1" si="153"/>
        <v>-11128056434.696259</v>
      </c>
      <c r="L3797" s="455">
        <f t="shared" ca="1" si="154"/>
        <v>-2681861600761.7983</v>
      </c>
      <c r="M3797" s="471">
        <f t="shared" si="156"/>
        <v>0.05</v>
      </c>
      <c r="N3797" s="475">
        <f t="shared" si="157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55"/>
        <v>-2681861600761.7983</v>
      </c>
      <c r="J3798" s="455">
        <f t="array" ref="J3798">IFERROR(INDEX('Retirement Calculator'!K:K,MATCH('Lorri 401b'!N3798,'Retirement Calculator'!A:A,0),0),0)</f>
        <v>0</v>
      </c>
      <c r="K3798" s="455">
        <f t="shared" ca="1" si="153"/>
        <v>-11174423336.507492</v>
      </c>
      <c r="L3798" s="455">
        <f t="shared" ca="1" si="154"/>
        <v>-2693036024098.3057</v>
      </c>
      <c r="M3798" s="471">
        <f t="shared" si="156"/>
        <v>0.05</v>
      </c>
      <c r="N3798" s="475">
        <f t="shared" si="157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55"/>
        <v>-2693036024098.3057</v>
      </c>
      <c r="J3799" s="455">
        <f t="array" ref="J3799">IFERROR(INDEX('Retirement Calculator'!K:K,MATCH('Lorri 401b'!N3799,'Retirement Calculator'!A:A,0),0),0)</f>
        <v>0</v>
      </c>
      <c r="K3799" s="455">
        <f t="shared" ca="1" si="153"/>
        <v>-11220983433.742941</v>
      </c>
      <c r="L3799" s="455">
        <f t="shared" ca="1" si="154"/>
        <v>-2704257007532.0488</v>
      </c>
      <c r="M3799" s="471">
        <f t="shared" si="156"/>
        <v>0.05</v>
      </c>
      <c r="N3799" s="475">
        <f t="shared" si="157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55"/>
        <v>-2704257007532.0488</v>
      </c>
      <c r="J3800" s="455">
        <f t="array" ref="J3800">IFERROR(INDEX('Retirement Calculator'!K:K,MATCH('Lorri 401b'!N3800,'Retirement Calculator'!A:A,0),0),0)</f>
        <v>0</v>
      </c>
      <c r="K3800" s="455">
        <f t="shared" ca="1" si="153"/>
        <v>-11267737531.383537</v>
      </c>
      <c r="L3800" s="455">
        <f t="shared" ca="1" si="154"/>
        <v>-2715524745063.4321</v>
      </c>
      <c r="M3800" s="471">
        <f t="shared" si="156"/>
        <v>0.05</v>
      </c>
      <c r="N3800" s="475">
        <f t="shared" si="157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55"/>
        <v>-2715524745063.4321</v>
      </c>
      <c r="J3801" s="455">
        <f t="array" ref="J3801">IFERROR(INDEX('Retirement Calculator'!K:K,MATCH('Lorri 401b'!N3801,'Retirement Calculator'!A:A,0),0),0)</f>
        <v>0</v>
      </c>
      <c r="K3801" s="455">
        <f t="shared" ca="1" si="153"/>
        <v>-11314686437.764301</v>
      </c>
      <c r="L3801" s="455">
        <f t="shared" ca="1" si="154"/>
        <v>-2726839431501.1963</v>
      </c>
      <c r="M3801" s="471">
        <f t="shared" si="156"/>
        <v>0.05</v>
      </c>
      <c r="N3801" s="475">
        <f t="shared" si="157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55"/>
        <v>-2726839431501.1963</v>
      </c>
      <c r="J3802" s="455">
        <f t="array" ref="J3802">IFERROR(INDEX('Retirement Calculator'!K:K,MATCH('Lorri 401b'!N3802,'Retirement Calculator'!A:A,0),0),0)</f>
        <v>0</v>
      </c>
      <c r="K3802" s="455">
        <f t="shared" ca="1" si="153"/>
        <v>-11361830964.588318</v>
      </c>
      <c r="L3802" s="455">
        <f t="shared" ca="1" si="154"/>
        <v>-2738201262465.7847</v>
      </c>
      <c r="M3802" s="471">
        <f t="shared" si="156"/>
        <v>0.05</v>
      </c>
      <c r="N3802" s="475">
        <f t="shared" si="157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55"/>
        <v>-2738201262465.7847</v>
      </c>
      <c r="J3803" s="455">
        <f t="array" ref="J3803">IFERROR(INDEX('Retirement Calculator'!K:K,MATCH('Lorri 401b'!N3803,'Retirement Calculator'!A:A,0),0),0)</f>
        <v>0</v>
      </c>
      <c r="K3803" s="455">
        <f t="shared" ca="1" si="153"/>
        <v>-11409171926.940769</v>
      </c>
      <c r="L3803" s="455">
        <f t="shared" ca="1" si="154"/>
        <v>-2749610434392.7256</v>
      </c>
      <c r="M3803" s="471">
        <f t="shared" si="156"/>
        <v>0.05</v>
      </c>
      <c r="N3803" s="475">
        <f t="shared" si="157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55"/>
        <v>-2749610434392.7256</v>
      </c>
      <c r="J3804" s="455">
        <f t="array" ref="J3804">IFERROR(INDEX('Retirement Calculator'!K:K,MATCH('Lorri 401b'!N3804,'Retirement Calculator'!A:A,0),0),0)</f>
        <v>0</v>
      </c>
      <c r="K3804" s="455">
        <f t="shared" ca="1" si="153"/>
        <v>-11456710143.303022</v>
      </c>
      <c r="L3804" s="455">
        <f t="shared" ca="1" si="154"/>
        <v>-2761067144536.0288</v>
      </c>
      <c r="M3804" s="471">
        <f t="shared" si="156"/>
        <v>0.05</v>
      </c>
      <c r="N3804" s="475">
        <f t="shared" si="157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55"/>
        <v>-2761067144536.0288</v>
      </c>
      <c r="J3805" s="455">
        <f t="array" ref="J3805">IFERROR(INDEX('Retirement Calculator'!K:K,MATCH('Lorri 401b'!N3805,'Retirement Calculator'!A:A,0),0),0)</f>
        <v>0</v>
      </c>
      <c r="K3805" s="455">
        <f t="shared" ca="1" si="153"/>
        <v>-11504446435.566786</v>
      </c>
      <c r="L3805" s="455">
        <f t="shared" ca="1" si="154"/>
        <v>-2772571590971.5957</v>
      </c>
      <c r="M3805" s="471">
        <f t="shared" si="156"/>
        <v>0.05</v>
      </c>
      <c r="N3805" s="475">
        <f t="shared" si="157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55"/>
        <v>-2772571590971.5957</v>
      </c>
      <c r="J3806" s="455">
        <f t="array" ref="J3806">IFERROR(INDEX('Retirement Calculator'!K:K,MATCH('Lorri 401b'!N3806,'Retirement Calculator'!A:A,0),0),0)</f>
        <v>0</v>
      </c>
      <c r="K3806" s="455">
        <f t="shared" ca="1" si="153"/>
        <v>-11552381629.048315</v>
      </c>
      <c r="L3806" s="455">
        <f t="shared" ca="1" si="154"/>
        <v>-2784123972600.644</v>
      </c>
      <c r="M3806" s="471">
        <f t="shared" si="156"/>
        <v>0.05</v>
      </c>
      <c r="N3806" s="475">
        <f t="shared" si="157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55"/>
        <v>-2784123972600.644</v>
      </c>
      <c r="J3807" s="455">
        <f t="array" ref="J3807">IFERROR(INDEX('Retirement Calculator'!K:K,MATCH('Lorri 401b'!N3807,'Retirement Calculator'!A:A,0),0),0)</f>
        <v>0</v>
      </c>
      <c r="K3807" s="455">
        <f t="shared" ca="1" si="153"/>
        <v>-11600516552.502684</v>
      </c>
      <c r="L3807" s="455">
        <f t="shared" ca="1" si="154"/>
        <v>-2795724489153.1465</v>
      </c>
      <c r="M3807" s="471">
        <f t="shared" si="156"/>
        <v>0.05</v>
      </c>
      <c r="N3807" s="475">
        <f t="shared" si="157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55"/>
        <v>-2795724489153.1465</v>
      </c>
      <c r="J3808" s="455">
        <f t="array" ref="J3808">IFERROR(INDEX('Retirement Calculator'!K:K,MATCH('Lorri 401b'!N3808,'Retirement Calculator'!A:A,0),0),0)</f>
        <v>0</v>
      </c>
      <c r="K3808" s="455">
        <f t="shared" ca="1" si="153"/>
        <v>-11648852038.138111</v>
      </c>
      <c r="L3808" s="455">
        <f t="shared" ca="1" si="154"/>
        <v>-2807373341191.2847</v>
      </c>
      <c r="M3808" s="471">
        <f t="shared" si="156"/>
        <v>0.05</v>
      </c>
      <c r="N3808" s="475">
        <f t="shared" si="157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55"/>
        <v>-2807373341191.2847</v>
      </c>
      <c r="J3809" s="455">
        <f t="array" ref="J3809">IFERROR(INDEX('Retirement Calculator'!K:K,MATCH('Lorri 401b'!N3809,'Retirement Calculator'!A:A,0),0),0)</f>
        <v>0</v>
      </c>
      <c r="K3809" s="455">
        <f t="shared" ca="1" si="153"/>
        <v>-11697388921.630352</v>
      </c>
      <c r="L3809" s="455">
        <f t="shared" ca="1" si="154"/>
        <v>-2819070730112.915</v>
      </c>
      <c r="M3809" s="471">
        <f t="shared" si="156"/>
        <v>0.05</v>
      </c>
      <c r="N3809" s="475">
        <f t="shared" si="157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55"/>
        <v>-2819070730112.915</v>
      </c>
      <c r="J3810" s="455">
        <f t="array" ref="J3810">IFERROR(INDEX('Retirement Calculator'!K:K,MATCH('Lorri 401b'!N3810,'Retirement Calculator'!A:A,0),0),0)</f>
        <v>0</v>
      </c>
      <c r="K3810" s="455">
        <f t="shared" ca="1" si="153"/>
        <v>-11746128042.137146</v>
      </c>
      <c r="L3810" s="455">
        <f t="shared" ca="1" si="154"/>
        <v>-2830816858155.0522</v>
      </c>
      <c r="M3810" s="471">
        <f t="shared" si="156"/>
        <v>0.05</v>
      </c>
      <c r="N3810" s="475">
        <f t="shared" si="157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55"/>
        <v>-2830816858155.0522</v>
      </c>
      <c r="J3811" s="455">
        <f t="array" ref="J3811">IFERROR(INDEX('Retirement Calculator'!K:K,MATCH('Lorri 401b'!N3811,'Retirement Calculator'!A:A,0),0),0)</f>
        <v>0</v>
      </c>
      <c r="K3811" s="455">
        <f t="shared" ca="1" si="153"/>
        <v>-11795070242.312717</v>
      </c>
      <c r="L3811" s="455">
        <f t="shared" ca="1" si="154"/>
        <v>-2842611928397.3647</v>
      </c>
      <c r="M3811" s="471">
        <f t="shared" si="156"/>
        <v>0.05</v>
      </c>
      <c r="N3811" s="475">
        <f t="shared" si="157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55"/>
        <v>-2842611928397.3647</v>
      </c>
      <c r="J3812" s="455">
        <f t="array" ref="J3812">IFERROR(INDEX('Retirement Calculator'!K:K,MATCH('Lorri 401b'!N3812,'Retirement Calculator'!A:A,0),0),0)</f>
        <v>0</v>
      </c>
      <c r="K3812" s="455">
        <f t="shared" ca="1" si="153"/>
        <v>-11844216368.322353</v>
      </c>
      <c r="L3812" s="455">
        <f t="shared" ca="1" si="154"/>
        <v>-2854456144765.687</v>
      </c>
      <c r="M3812" s="471">
        <f t="shared" si="156"/>
        <v>0.05</v>
      </c>
      <c r="N3812" s="475">
        <f t="shared" si="157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55"/>
        <v>-2854456144765.687</v>
      </c>
      <c r="J3813" s="455">
        <f t="array" ref="J3813">IFERROR(INDEX('Retirement Calculator'!K:K,MATCH('Lorri 401b'!N3813,'Retirement Calculator'!A:A,0),0),0)</f>
        <v>0</v>
      </c>
      <c r="K3813" s="455">
        <f t="shared" ca="1" si="153"/>
        <v>-11893567269.857029</v>
      </c>
      <c r="L3813" s="455">
        <f t="shared" ca="1" si="154"/>
        <v>-2866349712035.5439</v>
      </c>
      <c r="M3813" s="471">
        <f t="shared" si="156"/>
        <v>0.05</v>
      </c>
      <c r="N3813" s="475">
        <f t="shared" si="157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55"/>
        <v>-2866349712035.5439</v>
      </c>
      <c r="J3814" s="455">
        <f t="array" ref="J3814">IFERROR(INDEX('Retirement Calculator'!K:K,MATCH('Lorri 401b'!N3814,'Retirement Calculator'!A:A,0),0),0)</f>
        <v>0</v>
      </c>
      <c r="K3814" s="455">
        <f t="shared" ca="1" si="153"/>
        <v>-11943123800.1481</v>
      </c>
      <c r="L3814" s="455">
        <f t="shared" ca="1" si="154"/>
        <v>-2878292835835.6919</v>
      </c>
      <c r="M3814" s="471">
        <f t="shared" si="156"/>
        <v>0.05</v>
      </c>
      <c r="N3814" s="475">
        <f t="shared" si="157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55"/>
        <v>-2878292835835.6919</v>
      </c>
      <c r="J3815" s="455">
        <f t="array" ref="J3815">IFERROR(INDEX('Retirement Calculator'!K:K,MATCH('Lorri 401b'!N3815,'Retirement Calculator'!A:A,0),0),0)</f>
        <v>0</v>
      </c>
      <c r="K3815" s="455">
        <f t="shared" ca="1" si="153"/>
        <v>-11992886815.98205</v>
      </c>
      <c r="L3815" s="455">
        <f t="shared" ca="1" si="154"/>
        <v>-2890285722651.6738</v>
      </c>
      <c r="M3815" s="471">
        <f t="shared" si="156"/>
        <v>0.05</v>
      </c>
      <c r="N3815" s="475">
        <f t="shared" si="157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55"/>
        <v>-2890285722651.6738</v>
      </c>
      <c r="J3816" s="455">
        <f t="array" ref="J3816">IFERROR(INDEX('Retirement Calculator'!K:K,MATCH('Lorri 401b'!N3816,'Retirement Calculator'!A:A,0),0),0)</f>
        <v>0</v>
      </c>
      <c r="K3816" s="455">
        <f t="shared" ca="1" si="153"/>
        <v>-12042857177.715307</v>
      </c>
      <c r="L3816" s="455">
        <f t="shared" ca="1" si="154"/>
        <v>-2902328579829.3892</v>
      </c>
      <c r="M3816" s="471">
        <f t="shared" si="156"/>
        <v>0.05</v>
      </c>
      <c r="N3816" s="475">
        <f t="shared" si="157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55"/>
        <v>-2902328579829.3892</v>
      </c>
      <c r="J3817" s="455">
        <f t="array" ref="J3817">IFERROR(INDEX('Retirement Calculator'!K:K,MATCH('Lorri 401b'!N3817,'Retirement Calculator'!A:A,0),0),0)</f>
        <v>0</v>
      </c>
      <c r="K3817" s="455">
        <f t="shared" ca="1" si="153"/>
        <v>-12093035749.289122</v>
      </c>
      <c r="L3817" s="455">
        <f t="shared" ca="1" si="154"/>
        <v>-2914421615578.6782</v>
      </c>
      <c r="M3817" s="471">
        <f t="shared" si="156"/>
        <v>0.05</v>
      </c>
      <c r="N3817" s="475">
        <f t="shared" si="157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55"/>
        <v>-2914421615578.6782</v>
      </c>
      <c r="J3818" s="455">
        <f t="array" ref="J3818">IFERROR(INDEX('Retirement Calculator'!K:K,MATCH('Lorri 401b'!N3818,'Retirement Calculator'!A:A,0),0),0)</f>
        <v>0</v>
      </c>
      <c r="K3818" s="455">
        <f t="shared" ca="1" si="153"/>
        <v>-12143423398.244492</v>
      </c>
      <c r="L3818" s="455">
        <f t="shared" ca="1" si="154"/>
        <v>-2926565038976.9229</v>
      </c>
      <c r="M3818" s="471">
        <f t="shared" si="156"/>
        <v>0.05</v>
      </c>
      <c r="N3818" s="475">
        <f t="shared" si="157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55"/>
        <v>-2926565038976.9229</v>
      </c>
      <c r="J3819" s="455">
        <f t="array" ref="J3819">IFERROR(INDEX('Retirement Calculator'!K:K,MATCH('Lorri 401b'!N3819,'Retirement Calculator'!A:A,0),0),0)</f>
        <v>0</v>
      </c>
      <c r="K3819" s="455">
        <f t="shared" ca="1" si="153"/>
        <v>-12194020995.737179</v>
      </c>
      <c r="L3819" s="455">
        <f t="shared" ca="1" si="154"/>
        <v>-2938759059972.6602</v>
      </c>
      <c r="M3819" s="471">
        <f t="shared" si="156"/>
        <v>0.05</v>
      </c>
      <c r="N3819" s="475">
        <f t="shared" si="157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55"/>
        <v>-2938759059972.6602</v>
      </c>
      <c r="J3820" s="455">
        <f t="array" ref="J3820">IFERROR(INDEX('Retirement Calculator'!K:K,MATCH('Lorri 401b'!N3820,'Retirement Calculator'!A:A,0),0),0)</f>
        <v>0</v>
      </c>
      <c r="K3820" s="455">
        <f t="shared" ca="1" si="153"/>
        <v>-12244829416.55275</v>
      </c>
      <c r="L3820" s="455">
        <f t="shared" ca="1" si="154"/>
        <v>-2951003889389.2129</v>
      </c>
      <c r="M3820" s="471">
        <f t="shared" si="156"/>
        <v>0.05</v>
      </c>
      <c r="N3820" s="475">
        <f t="shared" si="157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55"/>
        <v>-2951003889389.2129</v>
      </c>
      <c r="J3821" s="455">
        <f t="array" ref="J3821">IFERROR(INDEX('Retirement Calculator'!K:K,MATCH('Lorri 401b'!N3821,'Retirement Calculator'!A:A,0),0),0)</f>
        <v>0</v>
      </c>
      <c r="K3821" s="455">
        <f t="shared" ca="1" si="153"/>
        <v>-12295849539.121719</v>
      </c>
      <c r="L3821" s="455">
        <f t="shared" ca="1" si="154"/>
        <v>-2963299738928.3345</v>
      </c>
      <c r="M3821" s="471">
        <f t="shared" si="156"/>
        <v>0.05</v>
      </c>
      <c r="N3821" s="475">
        <f t="shared" si="157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55"/>
        <v>-2963299738928.3345</v>
      </c>
      <c r="J3822" s="455">
        <f t="array" ref="J3822">IFERROR(INDEX('Retirement Calculator'!K:K,MATCH('Lorri 401b'!N3822,'Retirement Calculator'!A:A,0),0),0)</f>
        <v>0</v>
      </c>
      <c r="K3822" s="455">
        <f t="shared" ca="1" si="153"/>
        <v>-12347082245.534727</v>
      </c>
      <c r="L3822" s="455">
        <f t="shared" ca="1" si="154"/>
        <v>-2975646821173.8691</v>
      </c>
      <c r="M3822" s="471">
        <f t="shared" si="156"/>
        <v>0.05</v>
      </c>
      <c r="N3822" s="475">
        <f t="shared" si="157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55"/>
        <v>-2975646821173.8691</v>
      </c>
      <c r="J3823" s="455">
        <f t="array" ref="J3823">IFERROR(INDEX('Retirement Calculator'!K:K,MATCH('Lorri 401b'!N3823,'Retirement Calculator'!A:A,0),0),0)</f>
        <v>0</v>
      </c>
      <c r="K3823" s="455">
        <f t="shared" ca="1" si="153"/>
        <v>-12398528421.557789</v>
      </c>
      <c r="L3823" s="455">
        <f t="shared" ca="1" si="154"/>
        <v>-2988045349595.4268</v>
      </c>
      <c r="M3823" s="471">
        <f t="shared" si="156"/>
        <v>0.05</v>
      </c>
      <c r="N3823" s="475">
        <f t="shared" si="157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55"/>
        <v>-2988045349595.4268</v>
      </c>
      <c r="J3824" s="455">
        <f t="array" ref="J3824">IFERROR(INDEX('Retirement Calculator'!K:K,MATCH('Lorri 401b'!N3824,'Retirement Calculator'!A:A,0),0),0)</f>
        <v>0</v>
      </c>
      <c r="K3824" s="455">
        <f t="shared" ca="1" si="153"/>
        <v>-12450188956.647612</v>
      </c>
      <c r="L3824" s="455">
        <f t="shared" ca="1" si="154"/>
        <v>-3000495538552.0742</v>
      </c>
      <c r="M3824" s="471">
        <f t="shared" si="156"/>
        <v>0.05</v>
      </c>
      <c r="N3824" s="475">
        <f t="shared" si="157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55"/>
        <v>-3000495538552.0742</v>
      </c>
      <c r="J3825" s="455">
        <f t="array" ref="J3825">IFERROR(INDEX('Retirement Calculator'!K:K,MATCH('Lorri 401b'!N3825,'Retirement Calculator'!A:A,0),0),0)</f>
        <v>0</v>
      </c>
      <c r="K3825" s="455">
        <f t="shared" ca="1" si="153"/>
        <v>-12502064743.966976</v>
      </c>
      <c r="L3825" s="455">
        <f t="shared" ca="1" si="154"/>
        <v>-3012997603296.041</v>
      </c>
      <c r="M3825" s="471">
        <f t="shared" si="156"/>
        <v>0.05</v>
      </c>
      <c r="N3825" s="475">
        <f t="shared" si="157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55"/>
        <v>-3012997603296.041</v>
      </c>
      <c r="J3826" s="455">
        <f t="array" ref="J3826">IFERROR(INDEX('Retirement Calculator'!K:K,MATCH('Lorri 401b'!N3826,'Retirement Calculator'!A:A,0),0),0)</f>
        <v>0</v>
      </c>
      <c r="K3826" s="455">
        <f t="shared" ca="1" si="153"/>
        <v>-12554156680.400171</v>
      </c>
      <c r="L3826" s="455">
        <f t="shared" ca="1" si="154"/>
        <v>-3025551759976.4414</v>
      </c>
      <c r="M3826" s="471">
        <f t="shared" si="156"/>
        <v>0.05</v>
      </c>
      <c r="N3826" s="475">
        <f t="shared" si="157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55"/>
        <v>-3025551759976.4414</v>
      </c>
      <c r="J3827" s="455">
        <f t="array" ref="J3827">IFERROR(INDEX('Retirement Calculator'!K:K,MATCH('Lorri 401b'!N3827,'Retirement Calculator'!A:A,0),0),0)</f>
        <v>0</v>
      </c>
      <c r="K3827" s="455">
        <f t="shared" ca="1" si="153"/>
        <v>-12606465666.568506</v>
      </c>
      <c r="L3827" s="455">
        <f t="shared" ca="1" si="154"/>
        <v>-3038158225643.0098</v>
      </c>
      <c r="M3827" s="471">
        <f t="shared" si="156"/>
        <v>0.05</v>
      </c>
      <c r="N3827" s="475">
        <f t="shared" si="157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55"/>
        <v>-3038158225643.0098</v>
      </c>
      <c r="J3828" s="455">
        <f t="array" ref="J3828">IFERROR(INDEX('Retirement Calculator'!K:K,MATCH('Lorri 401b'!N3828,'Retirement Calculator'!A:A,0),0),0)</f>
        <v>0</v>
      </c>
      <c r="K3828" s="455">
        <f t="shared" ca="1" si="153"/>
        <v>-12658992606.845875</v>
      </c>
      <c r="L3828" s="455">
        <f t="shared" ca="1" si="154"/>
        <v>-3050817218249.8555</v>
      </c>
      <c r="M3828" s="471">
        <f t="shared" si="156"/>
        <v>0.05</v>
      </c>
      <c r="N3828" s="475">
        <f t="shared" si="157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55"/>
        <v>-3050817218249.8555</v>
      </c>
      <c r="J3829" s="455">
        <f t="array" ref="J3829">IFERROR(INDEX('Retirement Calculator'!K:K,MATCH('Lorri 401b'!N3829,'Retirement Calculator'!A:A,0),0),0)</f>
        <v>0</v>
      </c>
      <c r="K3829" s="455">
        <f t="shared" ca="1" si="153"/>
        <v>-12711738409.374397</v>
      </c>
      <c r="L3829" s="455">
        <f t="shared" ca="1" si="154"/>
        <v>-3063528956659.23</v>
      </c>
      <c r="M3829" s="471">
        <f t="shared" si="156"/>
        <v>0.05</v>
      </c>
      <c r="N3829" s="475">
        <f t="shared" si="157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55"/>
        <v>-3063528956659.23</v>
      </c>
      <c r="J3830" s="455">
        <f t="array" ref="J3830">IFERROR(INDEX('Retirement Calculator'!K:K,MATCH('Lorri 401b'!N3830,'Retirement Calculator'!A:A,0),0),0)</f>
        <v>0</v>
      </c>
      <c r="K3830" s="455">
        <f t="shared" ca="1" si="153"/>
        <v>-12764703986.080124</v>
      </c>
      <c r="L3830" s="455">
        <f t="shared" ca="1" si="154"/>
        <v>-3076293660645.3101</v>
      </c>
      <c r="M3830" s="471">
        <f t="shared" si="156"/>
        <v>0.05</v>
      </c>
      <c r="N3830" s="475">
        <f t="shared" si="157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55"/>
        <v>-3076293660645.3101</v>
      </c>
      <c r="J3831" s="455">
        <f t="array" ref="J3831">IFERROR(INDEX('Retirement Calculator'!K:K,MATCH('Lorri 401b'!N3831,'Retirement Calculator'!A:A,0),0),0)</f>
        <v>0</v>
      </c>
      <c r="K3831" s="455">
        <f t="shared" ca="1" si="153"/>
        <v>-12817890252.688791</v>
      </c>
      <c r="L3831" s="455">
        <f t="shared" ca="1" si="154"/>
        <v>-3089111550897.999</v>
      </c>
      <c r="M3831" s="471">
        <f t="shared" si="156"/>
        <v>0.05</v>
      </c>
      <c r="N3831" s="475">
        <f t="shared" si="157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55"/>
        <v>-3089111550897.999</v>
      </c>
      <c r="J3832" s="455">
        <f t="array" ref="J3832">IFERROR(INDEX('Retirement Calculator'!K:K,MATCH('Lorri 401b'!N3832,'Retirement Calculator'!A:A,0),0),0)</f>
        <v>0</v>
      </c>
      <c r="K3832" s="455">
        <f t="shared" ca="1" si="153"/>
        <v>-12871298128.741663</v>
      </c>
      <c r="L3832" s="455">
        <f t="shared" ca="1" si="154"/>
        <v>-3101982849026.7407</v>
      </c>
      <c r="M3832" s="471">
        <f t="shared" si="156"/>
        <v>0.05</v>
      </c>
      <c r="N3832" s="475">
        <f t="shared" si="157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55"/>
        <v>-3101982849026.7407</v>
      </c>
      <c r="J3833" s="455">
        <f t="array" ref="J3833">IFERROR(INDEX('Retirement Calculator'!K:K,MATCH('Lorri 401b'!N3833,'Retirement Calculator'!A:A,0),0),0)</f>
        <v>0</v>
      </c>
      <c r="K3833" s="455">
        <f t="shared" ref="K3833:K4087" ca="1" si="158">IPMT(M3833/12,1,12,-I3833+J3833,,0)</f>
        <v>-12924928537.61142</v>
      </c>
      <c r="L3833" s="455">
        <f t="shared" ref="L3833:L4087" ca="1" si="159">I3833-J3833+K3833</f>
        <v>-3114907777564.3521</v>
      </c>
      <c r="M3833" s="471">
        <f t="shared" si="156"/>
        <v>0.05</v>
      </c>
      <c r="N3833" s="475">
        <f t="shared" si="157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60">L3833</f>
        <v>-3114907777564.3521</v>
      </c>
      <c r="J3834" s="455">
        <f t="array" ref="J3834">IFERROR(INDEX('Retirement Calculator'!K:K,MATCH('Lorri 401b'!N3834,'Retirement Calculator'!A:A,0),0),0)</f>
        <v>0</v>
      </c>
      <c r="K3834" s="455">
        <f t="shared" ca="1" si="158"/>
        <v>-12978782406.518133</v>
      </c>
      <c r="L3834" s="455">
        <f t="shared" ca="1" si="159"/>
        <v>-3127886559970.8701</v>
      </c>
      <c r="M3834" s="471">
        <f t="shared" ref="M3834:M4088" si="161">M3833</f>
        <v>0.05</v>
      </c>
      <c r="N3834" s="475">
        <f t="shared" ref="N3834:N4088" si="162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60"/>
        <v>-3127886559970.8701</v>
      </c>
      <c r="J3835" s="455">
        <f t="array" ref="J3835">IFERROR(INDEX('Retirement Calculator'!K:K,MATCH('Lorri 401b'!N3835,'Retirement Calculator'!A:A,0),0),0)</f>
        <v>0</v>
      </c>
      <c r="K3835" s="455">
        <f t="shared" ca="1" si="158"/>
        <v>-13032860666.545292</v>
      </c>
      <c r="L3835" s="455">
        <f t="shared" ca="1" si="159"/>
        <v>-3140919420637.4155</v>
      </c>
      <c r="M3835" s="471">
        <f t="shared" si="161"/>
        <v>0.05</v>
      </c>
      <c r="N3835" s="475">
        <f t="shared" si="162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60"/>
        <v>-3140919420637.4155</v>
      </c>
      <c r="J3836" s="455">
        <f t="array" ref="J3836">IFERROR(INDEX('Retirement Calculator'!K:K,MATCH('Lorri 401b'!N3836,'Retirement Calculator'!A:A,0),0),0)</f>
        <v>0</v>
      </c>
      <c r="K3836" s="455">
        <f t="shared" ca="1" si="158"/>
        <v>-13087164252.655897</v>
      </c>
      <c r="L3836" s="455">
        <f t="shared" ca="1" si="159"/>
        <v>-3154006584890.0713</v>
      </c>
      <c r="M3836" s="471">
        <f t="shared" si="161"/>
        <v>0.05</v>
      </c>
      <c r="N3836" s="475">
        <f t="shared" si="162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60"/>
        <v>-3154006584890.0713</v>
      </c>
      <c r="J3837" s="455">
        <f t="array" ref="J3837">IFERROR(INDEX('Retirement Calculator'!K:K,MATCH('Lorri 401b'!N3837,'Retirement Calculator'!A:A,0),0),0)</f>
        <v>0</v>
      </c>
      <c r="K3837" s="455">
        <f t="shared" ca="1" si="158"/>
        <v>-13141694103.70863</v>
      </c>
      <c r="L3837" s="455">
        <f t="shared" ca="1" si="159"/>
        <v>-3167148278993.7798</v>
      </c>
      <c r="M3837" s="471">
        <f t="shared" si="161"/>
        <v>0.05</v>
      </c>
      <c r="N3837" s="475">
        <f t="shared" si="162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60"/>
        <v>-3167148278993.7798</v>
      </c>
      <c r="J3838" s="455">
        <f t="array" ref="J3838">IFERROR(INDEX('Retirement Calculator'!K:K,MATCH('Lorri 401b'!N3838,'Retirement Calculator'!A:A,0),0),0)</f>
        <v>0</v>
      </c>
      <c r="K3838" s="455">
        <f t="shared" ca="1" si="158"/>
        <v>-13196451162.474083</v>
      </c>
      <c r="L3838" s="455">
        <f t="shared" ca="1" si="159"/>
        <v>-3180344730156.2539</v>
      </c>
      <c r="M3838" s="471">
        <f t="shared" si="161"/>
        <v>0.05</v>
      </c>
      <c r="N3838" s="475">
        <f t="shared" si="162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60"/>
        <v>-3180344730156.2539</v>
      </c>
      <c r="J3839" s="455">
        <f t="array" ref="J3839">IFERROR(INDEX('Retirement Calculator'!K:K,MATCH('Lorri 401b'!N3839,'Retirement Calculator'!A:A,0),0),0)</f>
        <v>0</v>
      </c>
      <c r="K3839" s="455">
        <f t="shared" ca="1" si="158"/>
        <v>-13251436375.651058</v>
      </c>
      <c r="L3839" s="455">
        <f t="shared" ca="1" si="159"/>
        <v>-3193596166531.9048</v>
      </c>
      <c r="M3839" s="471">
        <f t="shared" si="161"/>
        <v>0.05</v>
      </c>
      <c r="N3839" s="475">
        <f t="shared" si="162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60"/>
        <v>-3193596166531.9048</v>
      </c>
      <c r="J3840" s="455">
        <f t="array" ref="J3840">IFERROR(INDEX('Retirement Calculator'!K:K,MATCH('Lorri 401b'!N3840,'Retirement Calculator'!A:A,0),0),0)</f>
        <v>0</v>
      </c>
      <c r="K3840" s="455">
        <f t="shared" ca="1" si="158"/>
        <v>-13306650693.882936</v>
      </c>
      <c r="L3840" s="455">
        <f t="shared" ca="1" si="159"/>
        <v>-3206902817225.7876</v>
      </c>
      <c r="M3840" s="471">
        <f t="shared" si="161"/>
        <v>0.05</v>
      </c>
      <c r="N3840" s="475">
        <f t="shared" si="162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60"/>
        <v>-3206902817225.7876</v>
      </c>
      <c r="J3841" s="455">
        <f t="array" ref="J3841">IFERROR(INDEX('Retirement Calculator'!K:K,MATCH('Lorri 401b'!N3841,'Retirement Calculator'!A:A,0),0),0)</f>
        <v>0</v>
      </c>
      <c r="K3841" s="455">
        <f t="shared" ca="1" si="158"/>
        <v>-13362095071.774115</v>
      </c>
      <c r="L3841" s="455">
        <f t="shared" ca="1" si="159"/>
        <v>-3220264912297.5615</v>
      </c>
      <c r="M3841" s="471">
        <f t="shared" si="161"/>
        <v>0.05</v>
      </c>
      <c r="N3841" s="475">
        <f t="shared" si="162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60"/>
        <v>-3220264912297.5615</v>
      </c>
      <c r="J3842" s="455">
        <f t="array" ref="J3842">IFERROR(INDEX('Retirement Calculator'!K:K,MATCH('Lorri 401b'!N3842,'Retirement Calculator'!A:A,0),0),0)</f>
        <v>0</v>
      </c>
      <c r="K3842" s="455">
        <f t="shared" ca="1" si="158"/>
        <v>-13417770467.906506</v>
      </c>
      <c r="L3842" s="455">
        <f t="shared" ca="1" si="159"/>
        <v>-3233682682765.4683</v>
      </c>
      <c r="M3842" s="471">
        <f t="shared" si="161"/>
        <v>0.05</v>
      </c>
      <c r="N3842" s="475">
        <f t="shared" si="162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60"/>
        <v>-3233682682765.4683</v>
      </c>
      <c r="J3843" s="455">
        <f t="array" ref="J3843">IFERROR(INDEX('Retirement Calculator'!K:K,MATCH('Lorri 401b'!N3843,'Retirement Calculator'!A:A,0),0),0)</f>
        <v>0</v>
      </c>
      <c r="K3843" s="455">
        <f t="shared" ca="1" si="158"/>
        <v>-13473677844.856117</v>
      </c>
      <c r="L3843" s="455">
        <f t="shared" ca="1" si="159"/>
        <v>-3247156360610.3242</v>
      </c>
      <c r="M3843" s="471">
        <f t="shared" si="161"/>
        <v>0.05</v>
      </c>
      <c r="N3843" s="475">
        <f t="shared" si="162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60"/>
        <v>-3247156360610.3242</v>
      </c>
      <c r="J3844" s="455">
        <f t="array" ref="J3844">IFERROR(INDEX('Retirement Calculator'!K:K,MATCH('Lorri 401b'!N3844,'Retirement Calculator'!A:A,0),0),0)</f>
        <v>0</v>
      </c>
      <c r="K3844" s="455">
        <f t="shared" ca="1" si="158"/>
        <v>-13529818169.209684</v>
      </c>
      <c r="L3844" s="455">
        <f t="shared" ca="1" si="159"/>
        <v>-3260686178779.5337</v>
      </c>
      <c r="M3844" s="471">
        <f t="shared" si="161"/>
        <v>0.05</v>
      </c>
      <c r="N3844" s="475">
        <f t="shared" si="162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60"/>
        <v>-3260686178779.5337</v>
      </c>
      <c r="J3845" s="455">
        <f t="array" ref="J3845">IFERROR(INDEX('Retirement Calculator'!K:K,MATCH('Lorri 401b'!N3845,'Retirement Calculator'!A:A,0),0),0)</f>
        <v>0</v>
      </c>
      <c r="K3845" s="455">
        <f t="shared" ca="1" si="158"/>
        <v>-13586192411.58139</v>
      </c>
      <c r="L3845" s="455">
        <f t="shared" ca="1" si="159"/>
        <v>-3274272371191.1152</v>
      </c>
      <c r="M3845" s="471">
        <f t="shared" si="161"/>
        <v>0.05</v>
      </c>
      <c r="N3845" s="475">
        <f t="shared" si="162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60"/>
        <v>-3274272371191.1152</v>
      </c>
      <c r="J3846" s="455">
        <f t="array" ref="J3846">IFERROR(INDEX('Retirement Calculator'!K:K,MATCH('Lorri 401b'!N3846,'Retirement Calculator'!A:A,0),0),0)</f>
        <v>0</v>
      </c>
      <c r="K3846" s="455">
        <f t="shared" ca="1" si="158"/>
        <v>-13642801546.629646</v>
      </c>
      <c r="L3846" s="455">
        <f t="shared" ca="1" si="159"/>
        <v>-3287915172737.7451</v>
      </c>
      <c r="M3846" s="471">
        <f t="shared" si="161"/>
        <v>0.05</v>
      </c>
      <c r="N3846" s="475">
        <f t="shared" si="162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60"/>
        <v>-3287915172737.7451</v>
      </c>
      <c r="J3847" s="455">
        <f t="array" ref="J3847">IFERROR(INDEX('Retirement Calculator'!K:K,MATCH('Lorri 401b'!N3847,'Retirement Calculator'!A:A,0),0),0)</f>
        <v>0</v>
      </c>
      <c r="K3847" s="455">
        <f t="shared" ca="1" si="158"/>
        <v>-13699646553.073938</v>
      </c>
      <c r="L3847" s="455">
        <f t="shared" ca="1" si="159"/>
        <v>-3301614819290.8188</v>
      </c>
      <c r="M3847" s="471">
        <f t="shared" si="161"/>
        <v>0.05</v>
      </c>
      <c r="N3847" s="475">
        <f t="shared" si="162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60"/>
        <v>-3301614819290.8188</v>
      </c>
      <c r="J3848" s="455">
        <f t="array" ref="J3848">IFERROR(INDEX('Retirement Calculator'!K:K,MATCH('Lorri 401b'!N3848,'Retirement Calculator'!A:A,0),0),0)</f>
        <v>0</v>
      </c>
      <c r="K3848" s="455">
        <f t="shared" ca="1" si="158"/>
        <v>-13756728413.711744</v>
      </c>
      <c r="L3848" s="455">
        <f t="shared" ca="1" si="159"/>
        <v>-3315371547704.5308</v>
      </c>
      <c r="M3848" s="471">
        <f t="shared" si="161"/>
        <v>0.05</v>
      </c>
      <c r="N3848" s="475">
        <f t="shared" si="162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60"/>
        <v>-3315371547704.5308</v>
      </c>
      <c r="J3849" s="455">
        <f t="array" ref="J3849">IFERROR(INDEX('Retirement Calculator'!K:K,MATCH('Lorri 401b'!N3849,'Retirement Calculator'!A:A,0),0),0)</f>
        <v>0</v>
      </c>
      <c r="K3849" s="455">
        <f t="shared" ca="1" si="158"/>
        <v>-13814048115.435545</v>
      </c>
      <c r="L3849" s="455">
        <f t="shared" ca="1" si="159"/>
        <v>-3329185595819.9663</v>
      </c>
      <c r="M3849" s="471">
        <f t="shared" si="161"/>
        <v>0.05</v>
      </c>
      <c r="N3849" s="475">
        <f t="shared" si="162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60"/>
        <v>-3329185595819.9663</v>
      </c>
      <c r="J3850" s="455">
        <f t="array" ref="J3850">IFERROR(INDEX('Retirement Calculator'!K:K,MATCH('Lorri 401b'!N3850,'Retirement Calculator'!A:A,0),0),0)</f>
        <v>0</v>
      </c>
      <c r="K3850" s="455">
        <f t="shared" ca="1" si="158"/>
        <v>-13871606649.249859</v>
      </c>
      <c r="L3850" s="455">
        <f t="shared" ca="1" si="159"/>
        <v>-3343057202469.2163</v>
      </c>
      <c r="M3850" s="471">
        <f t="shared" si="161"/>
        <v>0.05</v>
      </c>
      <c r="N3850" s="475">
        <f t="shared" si="162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60"/>
        <v>-3343057202469.2163</v>
      </c>
      <c r="J3851" s="455">
        <f t="array" ref="J3851">IFERROR(INDEX('Retirement Calculator'!K:K,MATCH('Lorri 401b'!N3851,'Retirement Calculator'!A:A,0),0),0)</f>
        <v>0</v>
      </c>
      <c r="K3851" s="455">
        <f t="shared" ca="1" si="158"/>
        <v>-13929405010.288401</v>
      </c>
      <c r="L3851" s="455">
        <f t="shared" ca="1" si="159"/>
        <v>-3356986607479.5049</v>
      </c>
      <c r="M3851" s="471">
        <f t="shared" si="161"/>
        <v>0.05</v>
      </c>
      <c r="N3851" s="475">
        <f t="shared" si="162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60"/>
        <v>-3356986607479.5049</v>
      </c>
      <c r="J3852" s="455">
        <f t="array" ref="J3852">IFERROR(INDEX('Retirement Calculator'!K:K,MATCH('Lorri 401b'!N3852,'Retirement Calculator'!A:A,0),0),0)</f>
        <v>0</v>
      </c>
      <c r="K3852" s="455">
        <f t="shared" ca="1" si="158"/>
        <v>-13987444197.83127</v>
      </c>
      <c r="L3852" s="455">
        <f t="shared" ca="1" si="159"/>
        <v>-3370974051677.3359</v>
      </c>
      <c r="M3852" s="471">
        <f t="shared" si="161"/>
        <v>0.05</v>
      </c>
      <c r="N3852" s="475">
        <f t="shared" si="162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60"/>
        <v>-3370974051677.3359</v>
      </c>
      <c r="J3853" s="455">
        <f t="array" ref="J3853">IFERROR(INDEX('Retirement Calculator'!K:K,MATCH('Lorri 401b'!N3853,'Retirement Calculator'!A:A,0),0),0)</f>
        <v>0</v>
      </c>
      <c r="K3853" s="455">
        <f t="shared" ca="1" si="158"/>
        <v>-14045725215.322233</v>
      </c>
      <c r="L3853" s="455">
        <f t="shared" ca="1" si="159"/>
        <v>-3385019776892.6582</v>
      </c>
      <c r="M3853" s="471">
        <f t="shared" si="161"/>
        <v>0.05</v>
      </c>
      <c r="N3853" s="475">
        <f t="shared" si="162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60"/>
        <v>-3385019776892.6582</v>
      </c>
      <c r="J3854" s="455">
        <f t="array" ref="J3854">IFERROR(INDEX('Retirement Calculator'!K:K,MATCH('Lorri 401b'!N3854,'Retirement Calculator'!A:A,0),0),0)</f>
        <v>0</v>
      </c>
      <c r="K3854" s="455">
        <f t="shared" ca="1" si="158"/>
        <v>-14104249070.386076</v>
      </c>
      <c r="L3854" s="455">
        <f t="shared" ca="1" si="159"/>
        <v>-3399124025963.0444</v>
      </c>
      <c r="M3854" s="471">
        <f t="shared" si="161"/>
        <v>0.05</v>
      </c>
      <c r="N3854" s="475">
        <f t="shared" si="162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60"/>
        <v>-3399124025963.0444</v>
      </c>
      <c r="J3855" s="455">
        <f t="array" ref="J3855">IFERROR(INDEX('Retirement Calculator'!K:K,MATCH('Lorri 401b'!N3855,'Retirement Calculator'!A:A,0),0),0)</f>
        <v>0</v>
      </c>
      <c r="K3855" s="455">
        <f t="shared" ca="1" si="158"/>
        <v>-14163016774.846018</v>
      </c>
      <c r="L3855" s="455">
        <f t="shared" ca="1" si="159"/>
        <v>-3413287042737.8906</v>
      </c>
      <c r="M3855" s="471">
        <f t="shared" si="161"/>
        <v>0.05</v>
      </c>
      <c r="N3855" s="475">
        <f t="shared" si="162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60"/>
        <v>-3413287042737.8906</v>
      </c>
      <c r="J3856" s="455">
        <f t="array" ref="J3856">IFERROR(INDEX('Retirement Calculator'!K:K,MATCH('Lorri 401b'!N3856,'Retirement Calculator'!A:A,0),0),0)</f>
        <v>0</v>
      </c>
      <c r="K3856" s="455">
        <f t="shared" ca="1" si="158"/>
        <v>-14222029344.741211</v>
      </c>
      <c r="L3856" s="455">
        <f t="shared" ca="1" si="159"/>
        <v>-3427509072082.6318</v>
      </c>
      <c r="M3856" s="471">
        <f t="shared" si="161"/>
        <v>0.05</v>
      </c>
      <c r="N3856" s="475">
        <f t="shared" si="162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60"/>
        <v>-3427509072082.6318</v>
      </c>
      <c r="J3857" s="455">
        <f t="array" ref="J3857">IFERROR(INDEX('Retirement Calculator'!K:K,MATCH('Lorri 401b'!N3857,'Retirement Calculator'!A:A,0),0),0)</f>
        <v>0</v>
      </c>
      <c r="K3857" s="455">
        <f t="shared" ca="1" si="158"/>
        <v>-14281287800.344299</v>
      </c>
      <c r="L3857" s="455">
        <f t="shared" ca="1" si="159"/>
        <v>-3441790359882.9761</v>
      </c>
      <c r="M3857" s="471">
        <f t="shared" si="161"/>
        <v>0.05</v>
      </c>
      <c r="N3857" s="475">
        <f t="shared" si="162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60"/>
        <v>-3441790359882.9761</v>
      </c>
      <c r="J3858" s="455">
        <f t="array" ref="J3858">IFERROR(INDEX('Retirement Calculator'!K:K,MATCH('Lorri 401b'!N3858,'Retirement Calculator'!A:A,0),0),0)</f>
        <v>0</v>
      </c>
      <c r="K3858" s="455">
        <f t="shared" ca="1" si="158"/>
        <v>-14340793166.179064</v>
      </c>
      <c r="L3858" s="455">
        <f t="shared" ca="1" si="159"/>
        <v>-3456131153049.1553</v>
      </c>
      <c r="M3858" s="471">
        <f t="shared" si="161"/>
        <v>0.05</v>
      </c>
      <c r="N3858" s="475">
        <f t="shared" si="162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60"/>
        <v>-3456131153049.1553</v>
      </c>
      <c r="J3859" s="455">
        <f t="array" ref="J3859">IFERROR(INDEX('Retirement Calculator'!K:K,MATCH('Lorri 401b'!N3859,'Retirement Calculator'!A:A,0),0),0)</f>
        <v>0</v>
      </c>
      <c r="K3859" s="455">
        <f t="shared" ca="1" si="158"/>
        <v>-14400546471.038145</v>
      </c>
      <c r="L3859" s="455">
        <f t="shared" ca="1" si="159"/>
        <v>-3470531699520.1934</v>
      </c>
      <c r="M3859" s="471">
        <f t="shared" si="161"/>
        <v>0.05</v>
      </c>
      <c r="N3859" s="475">
        <f t="shared" si="162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60"/>
        <v>-3470531699520.1934</v>
      </c>
      <c r="J3860" s="455">
        <f t="array" ref="J3860">IFERROR(INDEX('Retirement Calculator'!K:K,MATCH('Lorri 401b'!N3860,'Retirement Calculator'!A:A,0),0),0)</f>
        <v>0</v>
      </c>
      <c r="K3860" s="455">
        <f t="shared" ca="1" si="158"/>
        <v>-14460548748.000807</v>
      </c>
      <c r="L3860" s="455">
        <f t="shared" ca="1" si="159"/>
        <v>-3484992248268.1943</v>
      </c>
      <c r="M3860" s="471">
        <f t="shared" si="161"/>
        <v>0.05</v>
      </c>
      <c r="N3860" s="475">
        <f t="shared" si="162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60"/>
        <v>-3484992248268.1943</v>
      </c>
      <c r="J3861" s="455">
        <f t="array" ref="J3861">IFERROR(INDEX('Retirement Calculator'!K:K,MATCH('Lorri 401b'!N3861,'Retirement Calculator'!A:A,0),0),0)</f>
        <v>0</v>
      </c>
      <c r="K3861" s="455">
        <f t="shared" ca="1" si="158"/>
        <v>-14520801034.450809</v>
      </c>
      <c r="L3861" s="455">
        <f t="shared" ca="1" si="159"/>
        <v>-3499513049302.645</v>
      </c>
      <c r="M3861" s="471">
        <f t="shared" si="161"/>
        <v>0.05</v>
      </c>
      <c r="N3861" s="475">
        <f t="shared" si="162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60"/>
        <v>-3499513049302.645</v>
      </c>
      <c r="J3862" s="455">
        <f t="array" ref="J3862">IFERROR(INDEX('Retirement Calculator'!K:K,MATCH('Lorri 401b'!N3862,'Retirement Calculator'!A:A,0),0),0)</f>
        <v>0</v>
      </c>
      <c r="K3862" s="455">
        <f t="shared" ca="1" si="158"/>
        <v>-14581304372.094353</v>
      </c>
      <c r="L3862" s="455">
        <f t="shared" ca="1" si="159"/>
        <v>-3514094353674.7393</v>
      </c>
      <c r="M3862" s="471">
        <f t="shared" si="161"/>
        <v>0.05</v>
      </c>
      <c r="N3862" s="475">
        <f t="shared" si="162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60"/>
        <v>-3514094353674.7393</v>
      </c>
      <c r="J3863" s="455">
        <f t="array" ref="J3863">IFERROR(INDEX('Retirement Calculator'!K:K,MATCH('Lorri 401b'!N3863,'Retirement Calculator'!A:A,0),0),0)</f>
        <v>0</v>
      </c>
      <c r="K3863" s="455">
        <f t="shared" ca="1" si="158"/>
        <v>-14642059806.978081</v>
      </c>
      <c r="L3863" s="455">
        <f t="shared" ca="1" si="159"/>
        <v>-3528736413481.7173</v>
      </c>
      <c r="M3863" s="471">
        <f t="shared" si="161"/>
        <v>0.05</v>
      </c>
      <c r="N3863" s="475">
        <f t="shared" si="162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60"/>
        <v>-3528736413481.7173</v>
      </c>
      <c r="J3864" s="455">
        <f t="array" ref="J3864">IFERROR(INDEX('Retirement Calculator'!K:K,MATCH('Lorri 401b'!N3864,'Retirement Calculator'!A:A,0),0),0)</f>
        <v>0</v>
      </c>
      <c r="K3864" s="455">
        <f t="shared" ca="1" si="158"/>
        <v>-14703068389.507154</v>
      </c>
      <c r="L3864" s="455">
        <f t="shared" ca="1" si="159"/>
        <v>-3543439481871.2246</v>
      </c>
      <c r="M3864" s="471">
        <f t="shared" si="161"/>
        <v>0.05</v>
      </c>
      <c r="N3864" s="475">
        <f t="shared" si="162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60"/>
        <v>-3543439481871.2246</v>
      </c>
      <c r="J3865" s="455">
        <f t="array" ref="J3865">IFERROR(INDEX('Retirement Calculator'!K:K,MATCH('Lorri 401b'!N3865,'Retirement Calculator'!A:A,0),0),0)</f>
        <v>0</v>
      </c>
      <c r="K3865" s="455">
        <f t="shared" ca="1" si="158"/>
        <v>-14764331174.463434</v>
      </c>
      <c r="L3865" s="455">
        <f t="shared" ca="1" si="159"/>
        <v>-3558203813045.688</v>
      </c>
      <c r="M3865" s="471">
        <f t="shared" si="161"/>
        <v>0.05</v>
      </c>
      <c r="N3865" s="475">
        <f t="shared" si="162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60"/>
        <v>-3558203813045.688</v>
      </c>
      <c r="J3866" s="455">
        <f t="array" ref="J3866">IFERROR(INDEX('Retirement Calculator'!K:K,MATCH('Lorri 401b'!N3866,'Retirement Calculator'!A:A,0),0),0)</f>
        <v>0</v>
      </c>
      <c r="K3866" s="455">
        <f t="shared" ca="1" si="158"/>
        <v>-14825849221.023699</v>
      </c>
      <c r="L3866" s="455">
        <f t="shared" ca="1" si="159"/>
        <v>-3573029662266.7119</v>
      </c>
      <c r="M3866" s="471">
        <f t="shared" si="161"/>
        <v>0.05</v>
      </c>
      <c r="N3866" s="475">
        <f t="shared" si="162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60"/>
        <v>-3573029662266.7119</v>
      </c>
      <c r="J3867" s="455">
        <f t="array" ref="J3867">IFERROR(INDEX('Retirement Calculator'!K:K,MATCH('Lorri 401b'!N3867,'Retirement Calculator'!A:A,0),0),0)</f>
        <v>0</v>
      </c>
      <c r="K3867" s="455">
        <f t="shared" ca="1" si="158"/>
        <v>-14887623592.777966</v>
      </c>
      <c r="L3867" s="455">
        <f t="shared" ca="1" si="159"/>
        <v>-3587917285859.4897</v>
      </c>
      <c r="M3867" s="471">
        <f t="shared" si="161"/>
        <v>0.05</v>
      </c>
      <c r="N3867" s="475">
        <f t="shared" si="162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60"/>
        <v>-3587917285859.4897</v>
      </c>
      <c r="J3868" s="455">
        <f t="array" ref="J3868">IFERROR(INDEX('Retirement Calculator'!K:K,MATCH('Lorri 401b'!N3868,'Retirement Calculator'!A:A,0),0),0)</f>
        <v>0</v>
      </c>
      <c r="K3868" s="455">
        <f t="shared" ca="1" si="158"/>
        <v>-14949655357.747875</v>
      </c>
      <c r="L3868" s="455">
        <f t="shared" ca="1" si="159"/>
        <v>-3602866941217.2378</v>
      </c>
      <c r="M3868" s="471">
        <f t="shared" si="161"/>
        <v>0.05</v>
      </c>
      <c r="N3868" s="475">
        <f t="shared" si="162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60"/>
        <v>-3602866941217.2378</v>
      </c>
      <c r="J3869" s="455">
        <f t="array" ref="J3869">IFERROR(INDEX('Retirement Calculator'!K:K,MATCH('Lorri 401b'!N3869,'Retirement Calculator'!A:A,0),0),0)</f>
        <v>0</v>
      </c>
      <c r="K3869" s="455">
        <f t="shared" ca="1" si="158"/>
        <v>-15011945588.405155</v>
      </c>
      <c r="L3869" s="455">
        <f t="shared" ca="1" si="159"/>
        <v>-3617878886805.6431</v>
      </c>
      <c r="M3869" s="471">
        <f t="shared" si="161"/>
        <v>0.05</v>
      </c>
      <c r="N3869" s="475">
        <f t="shared" si="162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60"/>
        <v>-3617878886805.6431</v>
      </c>
      <c r="J3870" s="455">
        <f t="array" ref="J3870">IFERROR(INDEX('Retirement Calculator'!K:K,MATCH('Lorri 401b'!N3870,'Retirement Calculator'!A:A,0),0),0)</f>
        <v>0</v>
      </c>
      <c r="K3870" s="455">
        <f t="shared" ca="1" si="158"/>
        <v>-15074495361.69018</v>
      </c>
      <c r="L3870" s="455">
        <f t="shared" ca="1" si="159"/>
        <v>-3632953382167.333</v>
      </c>
      <c r="M3870" s="471">
        <f t="shared" si="161"/>
        <v>0.05</v>
      </c>
      <c r="N3870" s="475">
        <f t="shared" si="162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60"/>
        <v>-3632953382167.333</v>
      </c>
      <c r="J3871" s="455">
        <f t="array" ref="J3871">IFERROR(INDEX('Retirement Calculator'!K:K,MATCH('Lorri 401b'!N3871,'Retirement Calculator'!A:A,0),0),0)</f>
        <v>0</v>
      </c>
      <c r="K3871" s="455">
        <f t="shared" ca="1" si="158"/>
        <v>-15137305759.030554</v>
      </c>
      <c r="L3871" s="455">
        <f t="shared" ca="1" si="159"/>
        <v>-3648090687926.3638</v>
      </c>
      <c r="M3871" s="471">
        <f t="shared" si="161"/>
        <v>0.05</v>
      </c>
      <c r="N3871" s="475">
        <f t="shared" si="162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60"/>
        <v>-3648090687926.3638</v>
      </c>
      <c r="J3872" s="455">
        <f t="array" ref="J3872">IFERROR(INDEX('Retirement Calculator'!K:K,MATCH('Lorri 401b'!N3872,'Retirement Calculator'!A:A,0),0),0)</f>
        <v>0</v>
      </c>
      <c r="K3872" s="455">
        <f t="shared" ca="1" si="158"/>
        <v>-15200377866.359846</v>
      </c>
      <c r="L3872" s="455">
        <f t="shared" ca="1" si="159"/>
        <v>-3663291065792.7236</v>
      </c>
      <c r="M3872" s="471">
        <f t="shared" si="161"/>
        <v>0.05</v>
      </c>
      <c r="N3872" s="475">
        <f t="shared" si="162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60"/>
        <v>-3663291065792.7236</v>
      </c>
      <c r="J3873" s="455">
        <f t="array" ref="J3873">IFERROR(INDEX('Retirement Calculator'!K:K,MATCH('Lorri 401b'!N3873,'Retirement Calculator'!A:A,0),0),0)</f>
        <v>0</v>
      </c>
      <c r="K3873" s="455">
        <f t="shared" ca="1" si="158"/>
        <v>-15263712774.136349</v>
      </c>
      <c r="L3873" s="455">
        <f t="shared" ca="1" si="159"/>
        <v>-3678554778566.8599</v>
      </c>
      <c r="M3873" s="471">
        <f t="shared" si="161"/>
        <v>0.05</v>
      </c>
      <c r="N3873" s="475">
        <f t="shared" si="162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60"/>
        <v>-3678554778566.8599</v>
      </c>
      <c r="J3874" s="455">
        <f t="array" ref="J3874">IFERROR(INDEX('Retirement Calculator'!K:K,MATCH('Lorri 401b'!N3874,'Retirement Calculator'!A:A,0),0),0)</f>
        <v>0</v>
      </c>
      <c r="K3874" s="455">
        <f t="shared" ca="1" si="158"/>
        <v>-15327311577.361917</v>
      </c>
      <c r="L3874" s="455">
        <f t="shared" ca="1" si="159"/>
        <v>-3693882090144.2217</v>
      </c>
      <c r="M3874" s="471">
        <f t="shared" si="161"/>
        <v>0.05</v>
      </c>
      <c r="N3874" s="475">
        <f t="shared" si="162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60"/>
        <v>-3693882090144.2217</v>
      </c>
      <c r="J3875" s="455">
        <f t="array" ref="J3875">IFERROR(INDEX('Retirement Calculator'!K:K,MATCH('Lorri 401b'!N3875,'Retirement Calculator'!A:A,0),0),0)</f>
        <v>0</v>
      </c>
      <c r="K3875" s="455">
        <f t="shared" ca="1" si="158"/>
        <v>-15391175375.600924</v>
      </c>
      <c r="L3875" s="455">
        <f t="shared" ca="1" si="159"/>
        <v>-3709273265519.8228</v>
      </c>
      <c r="M3875" s="471">
        <f t="shared" si="161"/>
        <v>0.05</v>
      </c>
      <c r="N3875" s="475">
        <f t="shared" si="162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60"/>
        <v>-3709273265519.8228</v>
      </c>
      <c r="J3876" s="455">
        <f t="array" ref="J3876">IFERROR(INDEX('Retirement Calculator'!K:K,MATCH('Lorri 401b'!N3876,'Retirement Calculator'!A:A,0),0),0)</f>
        <v>0</v>
      </c>
      <c r="K3876" s="455">
        <f t="shared" ca="1" si="158"/>
        <v>-15455305272.99926</v>
      </c>
      <c r="L3876" s="455">
        <f t="shared" ca="1" si="159"/>
        <v>-3724728570792.8218</v>
      </c>
      <c r="M3876" s="471">
        <f t="shared" si="161"/>
        <v>0.05</v>
      </c>
      <c r="N3876" s="475">
        <f t="shared" si="162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60"/>
        <v>-3724728570792.8218</v>
      </c>
      <c r="J3877" s="455">
        <f t="array" ref="J3877">IFERROR(INDEX('Retirement Calculator'!K:K,MATCH('Lorri 401b'!N3877,'Retirement Calculator'!A:A,0),0),0)</f>
        <v>0</v>
      </c>
      <c r="K3877" s="455">
        <f t="shared" ca="1" si="158"/>
        <v>-15519702378.303423</v>
      </c>
      <c r="L3877" s="455">
        <f t="shared" ca="1" si="159"/>
        <v>-3740248273171.125</v>
      </c>
      <c r="M3877" s="471">
        <f t="shared" si="161"/>
        <v>0.05</v>
      </c>
      <c r="N3877" s="475">
        <f t="shared" si="162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60"/>
        <v>-3740248273171.125</v>
      </c>
      <c r="J3878" s="455">
        <f t="array" ref="J3878">IFERROR(INDEX('Retirement Calculator'!K:K,MATCH('Lorri 401b'!N3878,'Retirement Calculator'!A:A,0),0),0)</f>
        <v>0</v>
      </c>
      <c r="K3878" s="455">
        <f t="shared" ca="1" si="158"/>
        <v>-15584367804.879686</v>
      </c>
      <c r="L3878" s="455">
        <f t="shared" ca="1" si="159"/>
        <v>-3755832640976.0049</v>
      </c>
      <c r="M3878" s="471">
        <f t="shared" si="161"/>
        <v>0.05</v>
      </c>
      <c r="N3878" s="475">
        <f t="shared" si="162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60"/>
        <v>-3755832640976.0049</v>
      </c>
      <c r="J3879" s="455">
        <f t="array" ref="J3879">IFERROR(INDEX('Retirement Calculator'!K:K,MATCH('Lorri 401b'!N3879,'Retirement Calculator'!A:A,0),0),0)</f>
        <v>0</v>
      </c>
      <c r="K3879" s="455">
        <f t="shared" ca="1" si="158"/>
        <v>-15649302670.733353</v>
      </c>
      <c r="L3879" s="455">
        <f t="shared" ca="1" si="159"/>
        <v>-3771481943646.7383</v>
      </c>
      <c r="M3879" s="471">
        <f t="shared" si="161"/>
        <v>0.05</v>
      </c>
      <c r="N3879" s="475">
        <f t="shared" si="162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60"/>
        <v>-3771481943646.7383</v>
      </c>
      <c r="J3880" s="455">
        <f t="array" ref="J3880">IFERROR(INDEX('Retirement Calculator'!K:K,MATCH('Lorri 401b'!N3880,'Retirement Calculator'!A:A,0),0),0)</f>
        <v>0</v>
      </c>
      <c r="K3880" s="455">
        <f t="shared" ca="1" si="158"/>
        <v>-15714508098.528076</v>
      </c>
      <c r="L3880" s="455">
        <f t="shared" ca="1" si="159"/>
        <v>-3787196451745.2666</v>
      </c>
      <c r="M3880" s="471">
        <f t="shared" si="161"/>
        <v>0.05</v>
      </c>
      <c r="N3880" s="475">
        <f t="shared" si="162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60"/>
        <v>-3787196451745.2666</v>
      </c>
      <c r="J3881" s="455">
        <f t="array" ref="J3881">IFERROR(INDEX('Retirement Calculator'!K:K,MATCH('Lorri 401b'!N3881,'Retirement Calculator'!A:A,0),0),0)</f>
        <v>0</v>
      </c>
      <c r="K3881" s="455">
        <f t="shared" ca="1" si="158"/>
        <v>-15779985215.60528</v>
      </c>
      <c r="L3881" s="455">
        <f t="shared" ca="1" si="159"/>
        <v>-3802976436960.8721</v>
      </c>
      <c r="M3881" s="471">
        <f t="shared" si="161"/>
        <v>0.05</v>
      </c>
      <c r="N3881" s="475">
        <f t="shared" si="162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60"/>
        <v>-3802976436960.8721</v>
      </c>
      <c r="J3882" s="455">
        <f t="array" ref="J3882">IFERROR(INDEX('Retirement Calculator'!K:K,MATCH('Lorri 401b'!N3882,'Retirement Calculator'!A:A,0),0),0)</f>
        <v>0</v>
      </c>
      <c r="K3882" s="455">
        <f t="shared" ca="1" si="158"/>
        <v>-15845735154.003633</v>
      </c>
      <c r="L3882" s="455">
        <f t="shared" ca="1" si="159"/>
        <v>-3818822172114.8755</v>
      </c>
      <c r="M3882" s="471">
        <f t="shared" si="161"/>
        <v>0.05</v>
      </c>
      <c r="N3882" s="475">
        <f t="shared" si="162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60"/>
        <v>-3818822172114.8755</v>
      </c>
      <c r="J3883" s="455">
        <f t="array" ref="J3883">IFERROR(INDEX('Retirement Calculator'!K:K,MATCH('Lorri 401b'!N3883,'Retirement Calculator'!A:A,0),0),0)</f>
        <v>0</v>
      </c>
      <c r="K3883" s="455">
        <f t="shared" ca="1" si="158"/>
        <v>-15911759050.478647</v>
      </c>
      <c r="L3883" s="455">
        <f t="shared" ca="1" si="159"/>
        <v>-3834733931165.354</v>
      </c>
      <c r="M3883" s="471">
        <f t="shared" si="161"/>
        <v>0.05</v>
      </c>
      <c r="N3883" s="475">
        <f t="shared" si="162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60"/>
        <v>-3834733931165.354</v>
      </c>
      <c r="J3884" s="455">
        <f t="array" ref="J3884">IFERROR(INDEX('Retirement Calculator'!K:K,MATCH('Lorri 401b'!N3884,'Retirement Calculator'!A:A,0),0),0)</f>
        <v>0</v>
      </c>
      <c r="K3884" s="455">
        <f t="shared" ca="1" si="158"/>
        <v>-15978058046.522308</v>
      </c>
      <c r="L3884" s="455">
        <f t="shared" ca="1" si="159"/>
        <v>-3850711989211.8765</v>
      </c>
      <c r="M3884" s="471">
        <f t="shared" si="161"/>
        <v>0.05</v>
      </c>
      <c r="N3884" s="475">
        <f t="shared" si="162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60"/>
        <v>-3850711989211.8765</v>
      </c>
      <c r="J3885" s="455">
        <f t="array" ref="J3885">IFERROR(INDEX('Retirement Calculator'!K:K,MATCH('Lorri 401b'!N3885,'Retirement Calculator'!A:A,0),0),0)</f>
        <v>0</v>
      </c>
      <c r="K3885" s="455">
        <f t="shared" ca="1" si="158"/>
        <v>-16044633288.382818</v>
      </c>
      <c r="L3885" s="455">
        <f t="shared" ca="1" si="159"/>
        <v>-3866756622500.2593</v>
      </c>
      <c r="M3885" s="471">
        <f t="shared" si="161"/>
        <v>0.05</v>
      </c>
      <c r="N3885" s="475">
        <f t="shared" si="162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60"/>
        <v>-3866756622500.2593</v>
      </c>
      <c r="J3886" s="455">
        <f t="array" ref="J3886">IFERROR(INDEX('Retirement Calculator'!K:K,MATCH('Lorri 401b'!N3886,'Retirement Calculator'!A:A,0),0),0)</f>
        <v>0</v>
      </c>
      <c r="K3886" s="455">
        <f t="shared" ca="1" si="158"/>
        <v>-16111485927.084412</v>
      </c>
      <c r="L3886" s="455">
        <f t="shared" ca="1" si="159"/>
        <v>-3882868108427.3438</v>
      </c>
      <c r="M3886" s="471">
        <f t="shared" si="161"/>
        <v>0.05</v>
      </c>
      <c r="N3886" s="475">
        <f t="shared" si="162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60"/>
        <v>-3882868108427.3438</v>
      </c>
      <c r="J3887" s="455">
        <f t="array" ref="J3887">IFERROR(INDEX('Retirement Calculator'!K:K,MATCH('Lorri 401b'!N3887,'Retirement Calculator'!A:A,0),0),0)</f>
        <v>0</v>
      </c>
      <c r="K3887" s="455">
        <f t="shared" ca="1" si="158"/>
        <v>-16178617118.447268</v>
      </c>
      <c r="L3887" s="455">
        <f t="shared" ca="1" si="159"/>
        <v>-3899046725545.791</v>
      </c>
      <c r="M3887" s="471">
        <f t="shared" si="161"/>
        <v>0.05</v>
      </c>
      <c r="N3887" s="475">
        <f t="shared" si="162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60"/>
        <v>-3899046725545.791</v>
      </c>
      <c r="J3888" s="455">
        <f t="array" ref="J3888">IFERROR(INDEX('Retirement Calculator'!K:K,MATCH('Lorri 401b'!N3888,'Retirement Calculator'!A:A,0),0),0)</f>
        <v>0</v>
      </c>
      <c r="K3888" s="455">
        <f t="shared" ca="1" si="158"/>
        <v>-16246028023.107462</v>
      </c>
      <c r="L3888" s="455">
        <f t="shared" ca="1" si="159"/>
        <v>-3915292753568.8984</v>
      </c>
      <c r="M3888" s="471">
        <f t="shared" si="161"/>
        <v>0.05</v>
      </c>
      <c r="N3888" s="475">
        <f t="shared" si="162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60"/>
        <v>-3915292753568.8984</v>
      </c>
      <c r="J3889" s="455">
        <f t="array" ref="J3889">IFERROR(INDEX('Retirement Calculator'!K:K,MATCH('Lorri 401b'!N3889,'Retirement Calculator'!A:A,0),0),0)</f>
        <v>0</v>
      </c>
      <c r="K3889" s="455">
        <f t="shared" ca="1" si="158"/>
        <v>-16313719806.537077</v>
      </c>
      <c r="L3889" s="455">
        <f t="shared" ca="1" si="159"/>
        <v>-3931606473375.4355</v>
      </c>
      <c r="M3889" s="471">
        <f t="shared" si="161"/>
        <v>0.05</v>
      </c>
      <c r="N3889" s="475">
        <f t="shared" si="162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60"/>
        <v>-3931606473375.4355</v>
      </c>
      <c r="J3890" s="455">
        <f t="array" ref="J3890">IFERROR(INDEX('Retirement Calculator'!K:K,MATCH('Lorri 401b'!N3890,'Retirement Calculator'!A:A,0),0),0)</f>
        <v>0</v>
      </c>
      <c r="K3890" s="455">
        <f t="shared" ca="1" si="158"/>
        <v>-16381693639.064316</v>
      </c>
      <c r="L3890" s="455">
        <f t="shared" ca="1" si="159"/>
        <v>-3947988167014.5</v>
      </c>
      <c r="M3890" s="471">
        <f t="shared" si="161"/>
        <v>0.05</v>
      </c>
      <c r="N3890" s="475">
        <f t="shared" si="162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60"/>
        <v>-3947988167014.5</v>
      </c>
      <c r="J3891" s="455">
        <f t="array" ref="J3891">IFERROR(INDEX('Retirement Calculator'!K:K,MATCH('Lorri 401b'!N3891,'Retirement Calculator'!A:A,0),0),0)</f>
        <v>0</v>
      </c>
      <c r="K3891" s="455">
        <f t="shared" ca="1" si="158"/>
        <v>-16449950695.893749</v>
      </c>
      <c r="L3891" s="455">
        <f t="shared" ca="1" si="159"/>
        <v>-3964438117710.3936</v>
      </c>
      <c r="M3891" s="471">
        <f t="shared" si="161"/>
        <v>0.05</v>
      </c>
      <c r="N3891" s="475">
        <f t="shared" si="162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60"/>
        <v>-3964438117710.3936</v>
      </c>
      <c r="J3892" s="455">
        <f t="array" ref="J3892">IFERROR(INDEX('Retirement Calculator'!K:K,MATCH('Lorri 401b'!N3892,'Retirement Calculator'!A:A,0),0),0)</f>
        <v>0</v>
      </c>
      <c r="K3892" s="455">
        <f t="shared" ca="1" si="158"/>
        <v>-16518492157.126638</v>
      </c>
      <c r="L3892" s="455">
        <f t="shared" ca="1" si="159"/>
        <v>-3980956609867.52</v>
      </c>
      <c r="M3892" s="471">
        <f t="shared" si="161"/>
        <v>0.05</v>
      </c>
      <c r="N3892" s="475">
        <f t="shared" si="162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60"/>
        <v>-3980956609867.52</v>
      </c>
      <c r="J3893" s="455">
        <f t="array" ref="J3893">IFERROR(INDEX('Retirement Calculator'!K:K,MATCH('Lorri 401b'!N3893,'Retirement Calculator'!A:A,0),0),0)</f>
        <v>0</v>
      </c>
      <c r="K3893" s="455">
        <f t="shared" ca="1" si="158"/>
        <v>-16587319207.781336</v>
      </c>
      <c r="L3893" s="455">
        <f t="shared" ca="1" si="159"/>
        <v>-3997543929075.3013</v>
      </c>
      <c r="M3893" s="471">
        <f t="shared" si="161"/>
        <v>0.05</v>
      </c>
      <c r="N3893" s="475">
        <f t="shared" si="162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60"/>
        <v>-3997543929075.3013</v>
      </c>
      <c r="J3894" s="455">
        <f t="array" ref="J3894">IFERROR(INDEX('Retirement Calculator'!K:K,MATCH('Lorri 401b'!N3894,'Retirement Calculator'!A:A,0),0),0)</f>
        <v>0</v>
      </c>
      <c r="K3894" s="455">
        <f t="shared" ca="1" si="158"/>
        <v>-16656433037.813755</v>
      </c>
      <c r="L3894" s="455">
        <f t="shared" ca="1" si="159"/>
        <v>-4014200362113.1152</v>
      </c>
      <c r="M3894" s="471">
        <f t="shared" si="161"/>
        <v>0.05</v>
      </c>
      <c r="N3894" s="475">
        <f t="shared" si="162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60"/>
        <v>-4014200362113.1152</v>
      </c>
      <c r="J3895" s="455">
        <f t="array" ref="J3895">IFERROR(INDEX('Retirement Calculator'!K:K,MATCH('Lorri 401b'!N3895,'Retirement Calculator'!A:A,0),0),0)</f>
        <v>0</v>
      </c>
      <c r="K3895" s="455">
        <f t="shared" ca="1" si="158"/>
        <v>-16725834842.137978</v>
      </c>
      <c r="L3895" s="455">
        <f t="shared" ca="1" si="159"/>
        <v>-4030926196955.2534</v>
      </c>
      <c r="M3895" s="471">
        <f t="shared" si="161"/>
        <v>0.05</v>
      </c>
      <c r="N3895" s="475">
        <f t="shared" si="162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60"/>
        <v>-4030926196955.2534</v>
      </c>
      <c r="J3896" s="455">
        <f t="array" ref="J3896">IFERROR(INDEX('Retirement Calculator'!K:K,MATCH('Lorri 401b'!N3896,'Retirement Calculator'!A:A,0),0),0)</f>
        <v>0</v>
      </c>
      <c r="K3896" s="455">
        <f t="shared" ca="1" si="158"/>
        <v>-16795525820.646891</v>
      </c>
      <c r="L3896" s="455">
        <f t="shared" ca="1" si="159"/>
        <v>-4047721722775.9004</v>
      </c>
      <c r="M3896" s="471">
        <f t="shared" si="161"/>
        <v>0.05</v>
      </c>
      <c r="N3896" s="475">
        <f t="shared" si="162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60"/>
        <v>-4047721722775.9004</v>
      </c>
      <c r="J3897" s="455">
        <f t="array" ref="J3897">IFERROR(INDEX('Retirement Calculator'!K:K,MATCH('Lorri 401b'!N3897,'Retirement Calculator'!A:A,0),0),0)</f>
        <v>0</v>
      </c>
      <c r="K3897" s="455">
        <f t="shared" ca="1" si="158"/>
        <v>-16865507178.232918</v>
      </c>
      <c r="L3897" s="455">
        <f t="shared" ca="1" si="159"/>
        <v>-4064587229954.1333</v>
      </c>
      <c r="M3897" s="471">
        <f t="shared" si="161"/>
        <v>0.05</v>
      </c>
      <c r="N3897" s="475">
        <f t="shared" si="162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60"/>
        <v>-4064587229954.1333</v>
      </c>
      <c r="J3898" s="455">
        <f t="array" ref="J3898">IFERROR(INDEX('Retirement Calculator'!K:K,MATCH('Lorri 401b'!N3898,'Retirement Calculator'!A:A,0),0),0)</f>
        <v>0</v>
      </c>
      <c r="K3898" s="455">
        <f t="shared" ca="1" si="158"/>
        <v>-16935780124.808889</v>
      </c>
      <c r="L3898" s="455">
        <f t="shared" ca="1" si="159"/>
        <v>-4081523010078.9424</v>
      </c>
      <c r="M3898" s="471">
        <f t="shared" si="161"/>
        <v>0.05</v>
      </c>
      <c r="N3898" s="475">
        <f t="shared" si="162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60"/>
        <v>-4081523010078.9424</v>
      </c>
      <c r="J3899" s="455">
        <f t="array" ref="J3899">IFERROR(INDEX('Retirement Calculator'!K:K,MATCH('Lorri 401b'!N3899,'Retirement Calculator'!A:A,0),0),0)</f>
        <v>0</v>
      </c>
      <c r="K3899" s="455">
        <f t="shared" ca="1" si="158"/>
        <v>-17006345875.328924</v>
      </c>
      <c r="L3899" s="455">
        <f t="shared" ca="1" si="159"/>
        <v>-4098529355954.2715</v>
      </c>
      <c r="M3899" s="471">
        <f t="shared" si="161"/>
        <v>0.05</v>
      </c>
      <c r="N3899" s="475">
        <f t="shared" si="162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60"/>
        <v>-4098529355954.2715</v>
      </c>
      <c r="J3900" s="455">
        <f t="array" ref="J3900">IFERROR(INDEX('Retirement Calculator'!K:K,MATCH('Lorri 401b'!N3900,'Retirement Calculator'!A:A,0),0),0)</f>
        <v>0</v>
      </c>
      <c r="K3900" s="455">
        <f t="shared" ca="1" si="158"/>
        <v>-17077205649.809464</v>
      </c>
      <c r="L3900" s="455">
        <f t="shared" ca="1" si="159"/>
        <v>-4115606561604.0811</v>
      </c>
      <c r="M3900" s="471">
        <f t="shared" si="161"/>
        <v>0.05</v>
      </c>
      <c r="N3900" s="475">
        <f t="shared" si="162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60"/>
        <v>-4115606561604.0811</v>
      </c>
      <c r="J3901" s="455">
        <f t="array" ref="J3901">IFERROR(INDEX('Retirement Calculator'!K:K,MATCH('Lorri 401b'!N3901,'Retirement Calculator'!A:A,0),0),0)</f>
        <v>0</v>
      </c>
      <c r="K3901" s="455">
        <f t="shared" ca="1" si="158"/>
        <v>-17148360673.350338</v>
      </c>
      <c r="L3901" s="455">
        <f t="shared" ca="1" si="159"/>
        <v>-4132754922277.4312</v>
      </c>
      <c r="M3901" s="471">
        <f t="shared" si="161"/>
        <v>0.05</v>
      </c>
      <c r="N3901" s="475">
        <f t="shared" si="162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60"/>
        <v>-4132754922277.4312</v>
      </c>
      <c r="J3902" s="455">
        <f t="array" ref="J3902">IFERROR(INDEX('Retirement Calculator'!K:K,MATCH('Lorri 401b'!N3902,'Retirement Calculator'!A:A,0),0),0)</f>
        <v>0</v>
      </c>
      <c r="K3902" s="455">
        <f t="shared" ca="1" si="158"/>
        <v>-17219812176.155964</v>
      </c>
      <c r="L3902" s="455">
        <f t="shared" ca="1" si="159"/>
        <v>-4149974734453.5869</v>
      </c>
      <c r="M3902" s="471">
        <f t="shared" si="161"/>
        <v>0.05</v>
      </c>
      <c r="N3902" s="475">
        <f t="shared" si="162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60"/>
        <v>-4149974734453.5869</v>
      </c>
      <c r="J3903" s="455">
        <f t="array" ref="J3903">IFERROR(INDEX('Retirement Calculator'!K:K,MATCH('Lorri 401b'!N3903,'Retirement Calculator'!A:A,0),0),0)</f>
        <v>0</v>
      </c>
      <c r="K3903" s="455">
        <f t="shared" ca="1" si="158"/>
        <v>-17291561393.556614</v>
      </c>
      <c r="L3903" s="455">
        <f t="shared" ca="1" si="159"/>
        <v>-4167266295847.1436</v>
      </c>
      <c r="M3903" s="471">
        <f t="shared" si="161"/>
        <v>0.05</v>
      </c>
      <c r="N3903" s="475">
        <f t="shared" si="162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60"/>
        <v>-4167266295847.1436</v>
      </c>
      <c r="J3904" s="455">
        <f t="array" ref="J3904">IFERROR(INDEX('Retirement Calculator'!K:K,MATCH('Lorri 401b'!N3904,'Retirement Calculator'!A:A,0),0),0)</f>
        <v>0</v>
      </c>
      <c r="K3904" s="455">
        <f t="shared" ca="1" si="158"/>
        <v>-17363609566.029766</v>
      </c>
      <c r="L3904" s="455">
        <f t="shared" ca="1" si="159"/>
        <v>-4184629905413.1733</v>
      </c>
      <c r="M3904" s="471">
        <f t="shared" si="161"/>
        <v>0.05</v>
      </c>
      <c r="N3904" s="475">
        <f t="shared" si="162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60"/>
        <v>-4184629905413.1733</v>
      </c>
      <c r="J3905" s="455">
        <f t="array" ref="J3905">IFERROR(INDEX('Retirement Calculator'!K:K,MATCH('Lorri 401b'!N3905,'Retirement Calculator'!A:A,0),0),0)</f>
        <v>0</v>
      </c>
      <c r="K3905" s="455">
        <f t="shared" ca="1" si="158"/>
        <v>-17435957939.221554</v>
      </c>
      <c r="L3905" s="455">
        <f t="shared" ca="1" si="159"/>
        <v>-4202065863352.395</v>
      </c>
      <c r="M3905" s="471">
        <f t="shared" si="161"/>
        <v>0.05</v>
      </c>
      <c r="N3905" s="475">
        <f t="shared" si="162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60"/>
        <v>-4202065863352.395</v>
      </c>
      <c r="J3906" s="455">
        <f t="array" ref="J3906">IFERROR(INDEX('Retirement Calculator'!K:K,MATCH('Lorri 401b'!N3906,'Retirement Calculator'!A:A,0),0),0)</f>
        <v>0</v>
      </c>
      <c r="K3906" s="455">
        <f t="shared" ca="1" si="158"/>
        <v>-17508607763.968311</v>
      </c>
      <c r="L3906" s="455">
        <f t="shared" ca="1" si="159"/>
        <v>-4219574471116.3633</v>
      </c>
      <c r="M3906" s="471">
        <f t="shared" si="161"/>
        <v>0.05</v>
      </c>
      <c r="N3906" s="475">
        <f t="shared" si="162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60"/>
        <v>-4219574471116.3633</v>
      </c>
      <c r="J3907" s="455">
        <f t="array" ref="J3907">IFERROR(INDEX('Retirement Calculator'!K:K,MATCH('Lorri 401b'!N3907,'Retirement Calculator'!A:A,0),0),0)</f>
        <v>0</v>
      </c>
      <c r="K3907" s="455">
        <f t="shared" ca="1" si="158"/>
        <v>-17581560296.31818</v>
      </c>
      <c r="L3907" s="455">
        <f t="shared" ca="1" si="159"/>
        <v>-4237156031412.6816</v>
      </c>
      <c r="M3907" s="471">
        <f t="shared" si="161"/>
        <v>0.05</v>
      </c>
      <c r="N3907" s="475">
        <f t="shared" si="162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60"/>
        <v>-4237156031412.6816</v>
      </c>
      <c r="J3908" s="455">
        <f t="array" ref="J3908">IFERROR(INDEX('Retirement Calculator'!K:K,MATCH('Lorri 401b'!N3908,'Retirement Calculator'!A:A,0),0),0)</f>
        <v>0</v>
      </c>
      <c r="K3908" s="455">
        <f t="shared" ca="1" si="158"/>
        <v>-17654816797.552841</v>
      </c>
      <c r="L3908" s="455">
        <f t="shared" ca="1" si="159"/>
        <v>-4254810848210.2344</v>
      </c>
      <c r="M3908" s="471">
        <f t="shared" si="161"/>
        <v>0.05</v>
      </c>
      <c r="N3908" s="475">
        <f t="shared" si="162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60"/>
        <v>-4254810848210.2344</v>
      </c>
      <c r="J3909" s="455">
        <f t="array" ref="J3909">IFERROR(INDEX('Retirement Calculator'!K:K,MATCH('Lorri 401b'!N3909,'Retirement Calculator'!A:A,0),0),0)</f>
        <v>0</v>
      </c>
      <c r="K3909" s="455">
        <f t="shared" ca="1" si="158"/>
        <v>-17728378534.209309</v>
      </c>
      <c r="L3909" s="455">
        <f t="shared" ca="1" si="159"/>
        <v>-4272539226744.4438</v>
      </c>
      <c r="M3909" s="471">
        <f t="shared" si="161"/>
        <v>0.05</v>
      </c>
      <c r="N3909" s="475">
        <f t="shared" si="162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60"/>
        <v>-4272539226744.4438</v>
      </c>
      <c r="J3910" s="455">
        <f t="array" ref="J3910">IFERROR(INDEX('Retirement Calculator'!K:K,MATCH('Lorri 401b'!N3910,'Retirement Calculator'!A:A,0),0),0)</f>
        <v>0</v>
      </c>
      <c r="K3910" s="455">
        <f t="shared" ca="1" si="158"/>
        <v>-17802246778.101849</v>
      </c>
      <c r="L3910" s="455">
        <f t="shared" ca="1" si="159"/>
        <v>-4290341473522.5459</v>
      </c>
      <c r="M3910" s="471">
        <f t="shared" si="161"/>
        <v>0.05</v>
      </c>
      <c r="N3910" s="475">
        <f t="shared" si="162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60"/>
        <v>-4290341473522.5459</v>
      </c>
      <c r="J3911" s="455">
        <f t="array" ref="J3911">IFERROR(INDEX('Retirement Calculator'!K:K,MATCH('Lorri 401b'!N3911,'Retirement Calculator'!A:A,0),0),0)</f>
        <v>0</v>
      </c>
      <c r="K3911" s="455">
        <f t="shared" ca="1" si="158"/>
        <v>-17876422806.343941</v>
      </c>
      <c r="L3911" s="455">
        <f t="shared" ca="1" si="159"/>
        <v>-4308217896328.8896</v>
      </c>
      <c r="M3911" s="471">
        <f t="shared" si="161"/>
        <v>0.05</v>
      </c>
      <c r="N3911" s="475">
        <f t="shared" si="162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60"/>
        <v>-4308217896328.8896</v>
      </c>
      <c r="J3912" s="455">
        <f t="array" ref="J3912">IFERROR(INDEX('Retirement Calculator'!K:K,MATCH('Lorri 401b'!N3912,'Retirement Calculator'!A:A,0),0),0)</f>
        <v>0</v>
      </c>
      <c r="K3912" s="455">
        <f t="shared" ca="1" si="158"/>
        <v>-17950907901.370373</v>
      </c>
      <c r="L3912" s="455">
        <f t="shared" ca="1" si="159"/>
        <v>-4326168804230.2603</v>
      </c>
      <c r="M3912" s="471">
        <f t="shared" si="161"/>
        <v>0.05</v>
      </c>
      <c r="N3912" s="475">
        <f t="shared" si="162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60"/>
        <v>-4326168804230.2603</v>
      </c>
      <c r="J3913" s="455">
        <f t="array" ref="J3913">IFERROR(INDEX('Retirement Calculator'!K:K,MATCH('Lorri 401b'!N3913,'Retirement Calculator'!A:A,0),0),0)</f>
        <v>0</v>
      </c>
      <c r="K3913" s="455">
        <f t="shared" ca="1" si="158"/>
        <v>-18025703350.959419</v>
      </c>
      <c r="L3913" s="455">
        <f t="shared" ca="1" si="159"/>
        <v>-4344194507581.2197</v>
      </c>
      <c r="M3913" s="471">
        <f t="shared" si="161"/>
        <v>0.05</v>
      </c>
      <c r="N3913" s="475">
        <f t="shared" si="162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60"/>
        <v>-4344194507581.2197</v>
      </c>
      <c r="J3914" s="455">
        <f t="array" ref="J3914">IFERROR(INDEX('Retirement Calculator'!K:K,MATCH('Lorri 401b'!N3914,'Retirement Calculator'!A:A,0),0),0)</f>
        <v>0</v>
      </c>
      <c r="K3914" s="455">
        <f t="shared" ca="1" si="158"/>
        <v>-18100810448.255085</v>
      </c>
      <c r="L3914" s="455">
        <f t="shared" ca="1" si="159"/>
        <v>-4362295318029.4746</v>
      </c>
      <c r="M3914" s="471">
        <f t="shared" si="161"/>
        <v>0.05</v>
      </c>
      <c r="N3914" s="475">
        <f t="shared" si="162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60"/>
        <v>-4362295318029.4746</v>
      </c>
      <c r="J3915" s="455">
        <f t="array" ref="J3915">IFERROR(INDEX('Retirement Calculator'!K:K,MATCH('Lorri 401b'!N3915,'Retirement Calculator'!A:A,0),0),0)</f>
        <v>0</v>
      </c>
      <c r="K3915" s="455">
        <f t="shared" ca="1" si="158"/>
        <v>-18176230491.789478</v>
      </c>
      <c r="L3915" s="455">
        <f t="shared" ca="1" si="159"/>
        <v>-4380471548521.2642</v>
      </c>
      <c r="M3915" s="471">
        <f t="shared" si="161"/>
        <v>0.05</v>
      </c>
      <c r="N3915" s="475">
        <f t="shared" si="162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60"/>
        <v>-4380471548521.2642</v>
      </c>
      <c r="J3916" s="455">
        <f t="array" ref="J3916">IFERROR(INDEX('Retirement Calculator'!K:K,MATCH('Lorri 401b'!N3916,'Retirement Calculator'!A:A,0),0),0)</f>
        <v>0</v>
      </c>
      <c r="K3916" s="455">
        <f t="shared" ca="1" si="158"/>
        <v>-18251964785.505268</v>
      </c>
      <c r="L3916" s="455">
        <f t="shared" ca="1" si="159"/>
        <v>-4398723513306.7695</v>
      </c>
      <c r="M3916" s="471">
        <f t="shared" si="161"/>
        <v>0.05</v>
      </c>
      <c r="N3916" s="475">
        <f t="shared" si="162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60"/>
        <v>-4398723513306.7695</v>
      </c>
      <c r="J3917" s="455">
        <f t="array" ref="J3917">IFERROR(INDEX('Retirement Calculator'!K:K,MATCH('Lorri 401b'!N3917,'Retirement Calculator'!A:A,0),0),0)</f>
        <v>0</v>
      </c>
      <c r="K3917" s="455">
        <f t="shared" ca="1" si="158"/>
        <v>-18328014638.778206</v>
      </c>
      <c r="L3917" s="455">
        <f t="shared" ca="1" si="159"/>
        <v>-4417051527945.5479</v>
      </c>
      <c r="M3917" s="471">
        <f t="shared" si="161"/>
        <v>0.05</v>
      </c>
      <c r="N3917" s="475">
        <f t="shared" si="162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60"/>
        <v>-4417051527945.5479</v>
      </c>
      <c r="J3918" s="455">
        <f t="array" ref="J3918">IFERROR(INDEX('Retirement Calculator'!K:K,MATCH('Lorri 401b'!N3918,'Retirement Calculator'!A:A,0),0),0)</f>
        <v>0</v>
      </c>
      <c r="K3918" s="455">
        <f t="shared" ca="1" si="158"/>
        <v>-18404381366.439781</v>
      </c>
      <c r="L3918" s="455">
        <f t="shared" ca="1" si="159"/>
        <v>-4435455909311.9873</v>
      </c>
      <c r="M3918" s="471">
        <f t="shared" si="161"/>
        <v>0.05</v>
      </c>
      <c r="N3918" s="475">
        <f t="shared" si="162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60"/>
        <v>-4435455909311.9873</v>
      </c>
      <c r="J3919" s="455">
        <f t="array" ref="J3919">IFERROR(INDEX('Retirement Calculator'!K:K,MATCH('Lorri 401b'!N3919,'Retirement Calculator'!A:A,0),0),0)</f>
        <v>0</v>
      </c>
      <c r="K3919" s="455">
        <f t="shared" ca="1" si="158"/>
        <v>-18481066288.799946</v>
      </c>
      <c r="L3919" s="455">
        <f t="shared" ca="1" si="159"/>
        <v>-4453936975600.7871</v>
      </c>
      <c r="M3919" s="471">
        <f t="shared" si="161"/>
        <v>0.05</v>
      </c>
      <c r="N3919" s="475">
        <f t="shared" si="162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60"/>
        <v>-4453936975600.7871</v>
      </c>
      <c r="J3920" s="455">
        <f t="array" ref="J3920">IFERROR(INDEX('Retirement Calculator'!K:K,MATCH('Lorri 401b'!N3920,'Retirement Calculator'!A:A,0),0),0)</f>
        <v>0</v>
      </c>
      <c r="K3920" s="455">
        <f t="shared" ca="1" si="158"/>
        <v>-18558070731.669945</v>
      </c>
      <c r="L3920" s="455">
        <f t="shared" ca="1" si="159"/>
        <v>-4472495046332.457</v>
      </c>
      <c r="M3920" s="471">
        <f t="shared" si="161"/>
        <v>0.05</v>
      </c>
      <c r="N3920" s="475">
        <f t="shared" si="162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60"/>
        <v>-4472495046332.457</v>
      </c>
      <c r="J3921" s="455">
        <f t="array" ref="J3921">IFERROR(INDEX('Retirement Calculator'!K:K,MATCH('Lorri 401b'!N3921,'Retirement Calculator'!A:A,0),0),0)</f>
        <v>0</v>
      </c>
      <c r="K3921" s="455">
        <f t="shared" ca="1" si="158"/>
        <v>-18635396026.385239</v>
      </c>
      <c r="L3921" s="455">
        <f t="shared" ca="1" si="159"/>
        <v>-4491130442358.8418</v>
      </c>
      <c r="M3921" s="471">
        <f t="shared" si="161"/>
        <v>0.05</v>
      </c>
      <c r="N3921" s="475">
        <f t="shared" si="162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60"/>
        <v>-4491130442358.8418</v>
      </c>
      <c r="J3922" s="455">
        <f t="array" ref="J3922">IFERROR(INDEX('Retirement Calculator'!K:K,MATCH('Lorri 401b'!N3922,'Retirement Calculator'!A:A,0),0),0)</f>
        <v>0</v>
      </c>
      <c r="K3922" s="455">
        <f t="shared" ca="1" si="158"/>
        <v>-18713043509.828506</v>
      </c>
      <c r="L3922" s="455">
        <f t="shared" ca="1" si="159"/>
        <v>-4509843485868.6699</v>
      </c>
      <c r="M3922" s="471">
        <f t="shared" si="161"/>
        <v>0.05</v>
      </c>
      <c r="N3922" s="475">
        <f t="shared" si="162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60"/>
        <v>-4509843485868.6699</v>
      </c>
      <c r="J3923" s="455">
        <f t="array" ref="J3923">IFERROR(INDEX('Retirement Calculator'!K:K,MATCH('Lorri 401b'!N3923,'Retirement Calculator'!A:A,0),0),0)</f>
        <v>0</v>
      </c>
      <c r="K3923" s="455">
        <f t="shared" ca="1" si="158"/>
        <v>-18791014524.452789</v>
      </c>
      <c r="L3923" s="455">
        <f t="shared" ca="1" si="159"/>
        <v>-4528634500393.123</v>
      </c>
      <c r="M3923" s="471">
        <f t="shared" si="161"/>
        <v>0.05</v>
      </c>
      <c r="N3923" s="475">
        <f t="shared" si="162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60"/>
        <v>-4528634500393.123</v>
      </c>
      <c r="J3924" s="455">
        <f t="array" ref="J3924">IFERROR(INDEX('Retirement Calculator'!K:K,MATCH('Lorri 401b'!N3924,'Retirement Calculator'!A:A,0),0),0)</f>
        <v>0</v>
      </c>
      <c r="K3924" s="455">
        <f t="shared" ca="1" si="158"/>
        <v>-18869310418.30468</v>
      </c>
      <c r="L3924" s="455">
        <f t="shared" ca="1" si="159"/>
        <v>-4547503810811.4277</v>
      </c>
      <c r="M3924" s="471">
        <f t="shared" si="161"/>
        <v>0.05</v>
      </c>
      <c r="N3924" s="475">
        <f t="shared" si="162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60"/>
        <v>-4547503810811.4277</v>
      </c>
      <c r="J3925" s="455">
        <f t="array" ref="J3925">IFERROR(INDEX('Retirement Calculator'!K:K,MATCH('Lorri 401b'!N3925,'Retirement Calculator'!A:A,0),0),0)</f>
        <v>0</v>
      </c>
      <c r="K3925" s="455">
        <f t="shared" ca="1" si="158"/>
        <v>-18947932545.047615</v>
      </c>
      <c r="L3925" s="455">
        <f t="shared" ca="1" si="159"/>
        <v>-4566451743356.4756</v>
      </c>
      <c r="M3925" s="471">
        <f t="shared" si="161"/>
        <v>0.05</v>
      </c>
      <c r="N3925" s="475">
        <f t="shared" si="162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60"/>
        <v>-4566451743356.4756</v>
      </c>
      <c r="J3926" s="455">
        <f t="array" ref="J3926">IFERROR(INDEX('Retirement Calculator'!K:K,MATCH('Lorri 401b'!N3926,'Retirement Calculator'!A:A,0),0),0)</f>
        <v>0</v>
      </c>
      <c r="K3926" s="455">
        <f t="shared" ca="1" si="158"/>
        <v>-19026882263.985313</v>
      </c>
      <c r="L3926" s="455">
        <f t="shared" ca="1" si="159"/>
        <v>-4585478625620.4609</v>
      </c>
      <c r="M3926" s="471">
        <f t="shared" si="161"/>
        <v>0.05</v>
      </c>
      <c r="N3926" s="475">
        <f t="shared" si="162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60"/>
        <v>-4585478625620.4609</v>
      </c>
      <c r="J3927" s="455">
        <f t="array" ref="J3927">IFERROR(INDEX('Retirement Calculator'!K:K,MATCH('Lorri 401b'!N3927,'Retirement Calculator'!A:A,0),0),0)</f>
        <v>0</v>
      </c>
      <c r="K3927" s="455">
        <f t="shared" ca="1" si="158"/>
        <v>-19106160940.085255</v>
      </c>
      <c r="L3927" s="455">
        <f t="shared" ca="1" si="159"/>
        <v>-4604584786560.5459</v>
      </c>
      <c r="M3927" s="471">
        <f t="shared" si="161"/>
        <v>0.05</v>
      </c>
      <c r="N3927" s="475">
        <f t="shared" si="162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60"/>
        <v>-4604584786560.5459</v>
      </c>
      <c r="J3928" s="455">
        <f t="array" ref="J3928">IFERROR(INDEX('Retirement Calculator'!K:K,MATCH('Lorri 401b'!N3928,'Retirement Calculator'!A:A,0),0),0)</f>
        <v>0</v>
      </c>
      <c r="K3928" s="455">
        <f t="shared" ca="1" si="158"/>
        <v>-19185769944.002274</v>
      </c>
      <c r="L3928" s="455">
        <f t="shared" ca="1" si="159"/>
        <v>-4623770556504.5479</v>
      </c>
      <c r="M3928" s="471">
        <f t="shared" si="161"/>
        <v>0.05</v>
      </c>
      <c r="N3928" s="475">
        <f t="shared" si="162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60"/>
        <v>-4623770556504.5479</v>
      </c>
      <c r="J3929" s="455">
        <f t="array" ref="J3929">IFERROR(INDEX('Retirement Calculator'!K:K,MATCH('Lorri 401b'!N3929,'Retirement Calculator'!A:A,0),0),0)</f>
        <v>0</v>
      </c>
      <c r="K3929" s="455">
        <f t="shared" ca="1" si="158"/>
        <v>-19265710652.102283</v>
      </c>
      <c r="L3929" s="455">
        <f t="shared" ca="1" si="159"/>
        <v>-4643036267156.6504</v>
      </c>
      <c r="M3929" s="471">
        <f t="shared" si="161"/>
        <v>0.05</v>
      </c>
      <c r="N3929" s="475">
        <f t="shared" si="162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60"/>
        <v>-4643036267156.6504</v>
      </c>
      <c r="J3930" s="455">
        <f t="array" ref="J3930">IFERROR(INDEX('Retirement Calculator'!K:K,MATCH('Lorri 401b'!N3930,'Retirement Calculator'!A:A,0),0),0)</f>
        <v>0</v>
      </c>
      <c r="K3930" s="455">
        <f t="shared" ca="1" si="158"/>
        <v>-19345984446.486042</v>
      </c>
      <c r="L3930" s="455">
        <f t="shared" ca="1" si="159"/>
        <v>-4662382251603.1367</v>
      </c>
      <c r="M3930" s="471">
        <f t="shared" si="161"/>
        <v>0.05</v>
      </c>
      <c r="N3930" s="475">
        <f t="shared" si="162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60"/>
        <v>-4662382251603.1367</v>
      </c>
      <c r="J3931" s="455">
        <f t="array" ref="J3931">IFERROR(INDEX('Retirement Calculator'!K:K,MATCH('Lorri 401b'!N3931,'Retirement Calculator'!A:A,0),0),0)</f>
        <v>0</v>
      </c>
      <c r="K3931" s="455">
        <f t="shared" ca="1" si="158"/>
        <v>-19426592715.013069</v>
      </c>
      <c r="L3931" s="455">
        <f t="shared" ca="1" si="159"/>
        <v>-4681808844318.1494</v>
      </c>
      <c r="M3931" s="471">
        <f t="shared" si="161"/>
        <v>0.05</v>
      </c>
      <c r="N3931" s="475">
        <f t="shared" si="162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60"/>
        <v>-4681808844318.1494</v>
      </c>
      <c r="J3932" s="455">
        <f t="array" ref="J3932">IFERROR(INDEX('Retirement Calculator'!K:K,MATCH('Lorri 401b'!N3932,'Retirement Calculator'!A:A,0),0),0)</f>
        <v>0</v>
      </c>
      <c r="K3932" s="455">
        <f t="shared" ca="1" si="158"/>
        <v>-19507536851.325623</v>
      </c>
      <c r="L3932" s="455">
        <f t="shared" ca="1" si="159"/>
        <v>-4701316381169.4746</v>
      </c>
      <c r="M3932" s="471">
        <f t="shared" si="161"/>
        <v>0.05</v>
      </c>
      <c r="N3932" s="475">
        <f t="shared" si="162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60"/>
        <v>-4701316381169.4746</v>
      </c>
      <c r="J3933" s="455">
        <f t="array" ref="J3933">IFERROR(INDEX('Retirement Calculator'!K:K,MATCH('Lorri 401b'!N3933,'Retirement Calculator'!A:A,0),0),0)</f>
        <v>0</v>
      </c>
      <c r="K3933" s="455">
        <f t="shared" ca="1" si="158"/>
        <v>-19588818254.87281</v>
      </c>
      <c r="L3933" s="455">
        <f t="shared" ca="1" si="159"/>
        <v>-4720905199424.3477</v>
      </c>
      <c r="M3933" s="471">
        <f t="shared" si="161"/>
        <v>0.05</v>
      </c>
      <c r="N3933" s="475">
        <f t="shared" si="162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60"/>
        <v>-4720905199424.3477</v>
      </c>
      <c r="J3934" s="455">
        <f t="array" ref="J3934">IFERROR(INDEX('Retirement Calculator'!K:K,MATCH('Lorri 401b'!N3934,'Retirement Calculator'!A:A,0),0),0)</f>
        <v>0</v>
      </c>
      <c r="K3934" s="455">
        <f t="shared" ca="1" si="158"/>
        <v>-19670438330.93478</v>
      </c>
      <c r="L3934" s="455">
        <f t="shared" ca="1" si="159"/>
        <v>-4740575637755.2822</v>
      </c>
      <c r="M3934" s="471">
        <f t="shared" si="161"/>
        <v>0.05</v>
      </c>
      <c r="N3934" s="475">
        <f t="shared" si="162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60"/>
        <v>-4740575637755.2822</v>
      </c>
      <c r="J3935" s="455">
        <f t="array" ref="J3935">IFERROR(INDEX('Retirement Calculator'!K:K,MATCH('Lorri 401b'!N3935,'Retirement Calculator'!A:A,0),0),0)</f>
        <v>0</v>
      </c>
      <c r="K3935" s="455">
        <f t="shared" ca="1" si="158"/>
        <v>-19752398490.647011</v>
      </c>
      <c r="L3935" s="455">
        <f t="shared" ca="1" si="159"/>
        <v>-4760328036245.9297</v>
      </c>
      <c r="M3935" s="471">
        <f t="shared" si="161"/>
        <v>0.05</v>
      </c>
      <c r="N3935" s="475">
        <f t="shared" si="162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60"/>
        <v>-4760328036245.9297</v>
      </c>
      <c r="J3936" s="455">
        <f t="array" ref="J3936">IFERROR(INDEX('Retirement Calculator'!K:K,MATCH('Lorri 401b'!N3936,'Retirement Calculator'!A:A,0),0),0)</f>
        <v>0</v>
      </c>
      <c r="K3936" s="455">
        <f t="shared" ca="1" si="158"/>
        <v>-19834700151.024708</v>
      </c>
      <c r="L3936" s="455">
        <f t="shared" ca="1" si="159"/>
        <v>-4780162736396.9541</v>
      </c>
      <c r="M3936" s="471">
        <f t="shared" si="161"/>
        <v>0.05</v>
      </c>
      <c r="N3936" s="475">
        <f t="shared" si="162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60"/>
        <v>-4780162736396.9541</v>
      </c>
      <c r="J3937" s="455">
        <f t="array" ref="J3937">IFERROR(INDEX('Retirement Calculator'!K:K,MATCH('Lorri 401b'!N3937,'Retirement Calculator'!A:A,0),0),0)</f>
        <v>0</v>
      </c>
      <c r="K3937" s="455">
        <f t="shared" ca="1" si="158"/>
        <v>-19917344734.987309</v>
      </c>
      <c r="L3937" s="455">
        <f t="shared" ca="1" si="159"/>
        <v>-4800080081131.9414</v>
      </c>
      <c r="M3937" s="471">
        <f t="shared" si="161"/>
        <v>0.05</v>
      </c>
      <c r="N3937" s="475">
        <f t="shared" si="162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60"/>
        <v>-4800080081131.9414</v>
      </c>
      <c r="J3938" s="455">
        <f t="array" ref="J3938">IFERROR(INDEX('Retirement Calculator'!K:K,MATCH('Lorri 401b'!N3938,'Retirement Calculator'!A:A,0),0),0)</f>
        <v>0</v>
      </c>
      <c r="K3938" s="455">
        <f t="shared" ca="1" si="158"/>
        <v>-20000333671.383087</v>
      </c>
      <c r="L3938" s="455">
        <f t="shared" ca="1" si="159"/>
        <v>-4820080414803.3242</v>
      </c>
      <c r="M3938" s="471">
        <f t="shared" si="161"/>
        <v>0.05</v>
      </c>
      <c r="N3938" s="475">
        <f t="shared" si="162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60"/>
        <v>-4820080414803.3242</v>
      </c>
      <c r="J3939" s="455">
        <f t="array" ref="J3939">IFERROR(INDEX('Retirement Calculator'!K:K,MATCH('Lorri 401b'!N3939,'Retirement Calculator'!A:A,0),0),0)</f>
        <v>0</v>
      </c>
      <c r="K3939" s="455">
        <f t="shared" ca="1" si="158"/>
        <v>-20083668395.013851</v>
      </c>
      <c r="L3939" s="455">
        <f t="shared" ca="1" si="159"/>
        <v>-4840164083198.3379</v>
      </c>
      <c r="M3939" s="471">
        <f t="shared" si="161"/>
        <v>0.05</v>
      </c>
      <c r="N3939" s="475">
        <f t="shared" si="162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60"/>
        <v>-4840164083198.3379</v>
      </c>
      <c r="J3940" s="455">
        <f t="array" ref="J3940">IFERROR(INDEX('Retirement Calculator'!K:K,MATCH('Lorri 401b'!N3940,'Retirement Calculator'!A:A,0),0),0)</f>
        <v>0</v>
      </c>
      <c r="K3940" s="455">
        <f t="shared" ca="1" si="158"/>
        <v>-20167350346.65974</v>
      </c>
      <c r="L3940" s="455">
        <f t="shared" ca="1" si="159"/>
        <v>-4860331433544.998</v>
      </c>
      <c r="M3940" s="471">
        <f t="shared" si="161"/>
        <v>0.05</v>
      </c>
      <c r="N3940" s="475">
        <f t="shared" si="162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60"/>
        <v>-4860331433544.998</v>
      </c>
      <c r="J3941" s="455">
        <f t="array" ref="J3941">IFERROR(INDEX('Retirement Calculator'!K:K,MATCH('Lorri 401b'!N3941,'Retirement Calculator'!A:A,0),0),0)</f>
        <v>0</v>
      </c>
      <c r="K3941" s="455">
        <f t="shared" ca="1" si="158"/>
        <v>-20251380973.104156</v>
      </c>
      <c r="L3941" s="455">
        <f t="shared" ca="1" si="159"/>
        <v>-4880582814518.1025</v>
      </c>
      <c r="M3941" s="471">
        <f t="shared" si="161"/>
        <v>0.05</v>
      </c>
      <c r="N3941" s="475">
        <f t="shared" si="162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60"/>
        <v>-4880582814518.1025</v>
      </c>
      <c r="J3942" s="455">
        <f t="array" ref="J3942">IFERROR(INDEX('Retirement Calculator'!K:K,MATCH('Lorri 401b'!N3942,'Retirement Calculator'!A:A,0),0),0)</f>
        <v>0</v>
      </c>
      <c r="K3942" s="455">
        <f t="shared" ca="1" si="158"/>
        <v>-20335761727.15876</v>
      </c>
      <c r="L3942" s="455">
        <f t="shared" ca="1" si="159"/>
        <v>-4900918576245.2617</v>
      </c>
      <c r="M3942" s="471">
        <f t="shared" si="161"/>
        <v>0.05</v>
      </c>
      <c r="N3942" s="475">
        <f t="shared" si="162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60"/>
        <v>-4900918576245.2617</v>
      </c>
      <c r="J3943" s="455">
        <f t="array" ref="J3943">IFERROR(INDEX('Retirement Calculator'!K:K,MATCH('Lorri 401b'!N3943,'Retirement Calculator'!A:A,0),0),0)</f>
        <v>0</v>
      </c>
      <c r="K3943" s="455">
        <f t="shared" ca="1" si="158"/>
        <v>-20420494067.688591</v>
      </c>
      <c r="L3943" s="455">
        <f t="shared" ca="1" si="159"/>
        <v>-4921339070312.9502</v>
      </c>
      <c r="M3943" s="471">
        <f t="shared" si="161"/>
        <v>0.05</v>
      </c>
      <c r="N3943" s="475">
        <f t="shared" si="162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60"/>
        <v>-4921339070312.9502</v>
      </c>
      <c r="J3944" s="455">
        <f t="array" ref="J3944">IFERROR(INDEX('Retirement Calculator'!K:K,MATCH('Lorri 401b'!N3944,'Retirement Calculator'!A:A,0),0),0)</f>
        <v>0</v>
      </c>
      <c r="K3944" s="455">
        <f t="shared" ca="1" si="158"/>
        <v>-20505579459.637291</v>
      </c>
      <c r="L3944" s="455">
        <f t="shared" ca="1" si="159"/>
        <v>-4941844649772.5879</v>
      </c>
      <c r="M3944" s="471">
        <f t="shared" si="161"/>
        <v>0.05</v>
      </c>
      <c r="N3944" s="475">
        <f t="shared" si="162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60"/>
        <v>-4941844649772.5879</v>
      </c>
      <c r="J3945" s="455">
        <f t="array" ref="J3945">IFERROR(INDEX('Retirement Calculator'!K:K,MATCH('Lorri 401b'!N3945,'Retirement Calculator'!A:A,0),0),0)</f>
        <v>0</v>
      </c>
      <c r="K3945" s="455">
        <f t="shared" ca="1" si="158"/>
        <v>-20591019374.052448</v>
      </c>
      <c r="L3945" s="455">
        <f t="shared" ca="1" si="159"/>
        <v>-4962435669146.6406</v>
      </c>
      <c r="M3945" s="471">
        <f t="shared" si="161"/>
        <v>0.05</v>
      </c>
      <c r="N3945" s="475">
        <f t="shared" si="162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60"/>
        <v>-4962435669146.6406</v>
      </c>
      <c r="J3946" s="455">
        <f t="array" ref="J3946">IFERROR(INDEX('Retirement Calculator'!K:K,MATCH('Lorri 401b'!N3946,'Retirement Calculator'!A:A,0),0),0)</f>
        <v>0</v>
      </c>
      <c r="K3946" s="455">
        <f t="shared" ca="1" si="158"/>
        <v>-20676815288.111004</v>
      </c>
      <c r="L3946" s="455">
        <f t="shared" ca="1" si="159"/>
        <v>-4983112484434.752</v>
      </c>
      <c r="M3946" s="471">
        <f t="shared" si="161"/>
        <v>0.05</v>
      </c>
      <c r="N3946" s="475">
        <f t="shared" si="162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60"/>
        <v>-4983112484434.752</v>
      </c>
      <c r="J3947" s="455">
        <f t="array" ref="J3947">IFERROR(INDEX('Retirement Calculator'!K:K,MATCH('Lorri 401b'!N3947,'Retirement Calculator'!A:A,0),0),0)</f>
        <v>0</v>
      </c>
      <c r="K3947" s="455">
        <f t="shared" ca="1" si="158"/>
        <v>-20762968685.144798</v>
      </c>
      <c r="L3947" s="455">
        <f t="shared" ca="1" si="159"/>
        <v>-5003875453119.8965</v>
      </c>
      <c r="M3947" s="471">
        <f t="shared" si="161"/>
        <v>0.05</v>
      </c>
      <c r="N3947" s="475">
        <f t="shared" si="162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60"/>
        <v>-5003875453119.8965</v>
      </c>
      <c r="J3948" s="455">
        <f t="array" ref="J3948">IFERROR(INDEX('Retirement Calculator'!K:K,MATCH('Lorri 401b'!N3948,'Retirement Calculator'!A:A,0),0),0)</f>
        <v>0</v>
      </c>
      <c r="K3948" s="455">
        <f t="shared" ca="1" si="158"/>
        <v>-20849481054.666237</v>
      </c>
      <c r="L3948" s="455">
        <f t="shared" ca="1" si="159"/>
        <v>-5024724934174.5625</v>
      </c>
      <c r="M3948" s="471">
        <f t="shared" si="161"/>
        <v>0.05</v>
      </c>
      <c r="N3948" s="475">
        <f t="shared" si="162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60"/>
        <v>-5024724934174.5625</v>
      </c>
      <c r="J3949" s="455">
        <f t="array" ref="J3949">IFERROR(INDEX('Retirement Calculator'!K:K,MATCH('Lorri 401b'!N3949,'Retirement Calculator'!A:A,0),0),0)</f>
        <v>0</v>
      </c>
      <c r="K3949" s="455">
        <f t="shared" ca="1" si="158"/>
        <v>-20936353892.394009</v>
      </c>
      <c r="L3949" s="455">
        <f t="shared" ca="1" si="159"/>
        <v>-5045661288066.9561</v>
      </c>
      <c r="M3949" s="471">
        <f t="shared" si="161"/>
        <v>0.05</v>
      </c>
      <c r="N3949" s="475">
        <f t="shared" si="162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60"/>
        <v>-5045661288066.9561</v>
      </c>
      <c r="J3950" s="455">
        <f t="array" ref="J3950">IFERROR(INDEX('Retirement Calculator'!K:K,MATCH('Lorri 401b'!N3950,'Retirement Calculator'!A:A,0),0),0)</f>
        <v>0</v>
      </c>
      <c r="K3950" s="455">
        <f t="shared" ca="1" si="158"/>
        <v>-21023588700.278984</v>
      </c>
      <c r="L3950" s="455">
        <f t="shared" ca="1" si="159"/>
        <v>-5066684876767.2354</v>
      </c>
      <c r="M3950" s="471">
        <f t="shared" si="161"/>
        <v>0.05</v>
      </c>
      <c r="N3950" s="475">
        <f t="shared" si="162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60"/>
        <v>-5066684876767.2354</v>
      </c>
      <c r="J3951" s="455">
        <f t="array" ref="J3951">IFERROR(INDEX('Retirement Calculator'!K:K,MATCH('Lorri 401b'!N3951,'Retirement Calculator'!A:A,0),0),0)</f>
        <v>0</v>
      </c>
      <c r="K3951" s="455">
        <f t="shared" ca="1" si="158"/>
        <v>-21111186986.530148</v>
      </c>
      <c r="L3951" s="455">
        <f t="shared" ca="1" si="159"/>
        <v>-5087796063753.7656</v>
      </c>
      <c r="M3951" s="471">
        <f t="shared" si="161"/>
        <v>0.05</v>
      </c>
      <c r="N3951" s="475">
        <f t="shared" si="162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60"/>
        <v>-5087796063753.7656</v>
      </c>
      <c r="J3952" s="455">
        <f t="array" ref="J3952">IFERROR(INDEX('Retirement Calculator'!K:K,MATCH('Lorri 401b'!N3952,'Retirement Calculator'!A:A,0),0),0)</f>
        <v>0</v>
      </c>
      <c r="K3952" s="455">
        <f t="shared" ca="1" si="158"/>
        <v>-21199150265.64069</v>
      </c>
      <c r="L3952" s="455">
        <f t="shared" ca="1" si="159"/>
        <v>-5108995214019.4063</v>
      </c>
      <c r="M3952" s="471">
        <f t="shared" si="161"/>
        <v>0.05</v>
      </c>
      <c r="N3952" s="475">
        <f t="shared" si="162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60"/>
        <v>-5108995214019.4063</v>
      </c>
      <c r="J3953" s="455">
        <f t="array" ref="J3953">IFERROR(INDEX('Retirement Calculator'!K:K,MATCH('Lorri 401b'!N3953,'Retirement Calculator'!A:A,0),0),0)</f>
        <v>0</v>
      </c>
      <c r="K3953" s="455">
        <f t="shared" ca="1" si="158"/>
        <v>-21287480058.414192</v>
      </c>
      <c r="L3953" s="455">
        <f t="shared" ca="1" si="159"/>
        <v>-5130282694077.8203</v>
      </c>
      <c r="M3953" s="471">
        <f t="shared" si="161"/>
        <v>0.05</v>
      </c>
      <c r="N3953" s="475">
        <f t="shared" si="162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60"/>
        <v>-5130282694077.8203</v>
      </c>
      <c r="J3954" s="455">
        <f t="array" ref="J3954">IFERROR(INDEX('Retirement Calculator'!K:K,MATCH('Lorri 401b'!N3954,'Retirement Calculator'!A:A,0),0),0)</f>
        <v>0</v>
      </c>
      <c r="K3954" s="455">
        <f t="shared" ca="1" si="158"/>
        <v>-21376177891.990917</v>
      </c>
      <c r="L3954" s="455">
        <f t="shared" ca="1" si="159"/>
        <v>-5151658871969.8115</v>
      </c>
      <c r="M3954" s="471">
        <f t="shared" si="161"/>
        <v>0.05</v>
      </c>
      <c r="N3954" s="475">
        <f t="shared" si="162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60"/>
        <v>-5151658871969.8115</v>
      </c>
      <c r="J3955" s="455">
        <f t="array" ref="J3955">IFERROR(INDEX('Retirement Calculator'!K:K,MATCH('Lorri 401b'!N3955,'Retirement Calculator'!A:A,0),0),0)</f>
        <v>0</v>
      </c>
      <c r="K3955" s="455">
        <f t="shared" ca="1" si="158"/>
        <v>-21465245299.874214</v>
      </c>
      <c r="L3955" s="455">
        <f t="shared" ca="1" si="159"/>
        <v>-5173124117269.6855</v>
      </c>
      <c r="M3955" s="471">
        <f t="shared" si="161"/>
        <v>0.05</v>
      </c>
      <c r="N3955" s="475">
        <f t="shared" si="162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60"/>
        <v>-5173124117269.6855</v>
      </c>
      <c r="J3956" s="455">
        <f t="array" ref="J3956">IFERROR(INDEX('Retirement Calculator'!K:K,MATCH('Lorri 401b'!N3956,'Retirement Calculator'!A:A,0),0),0)</f>
        <v>0</v>
      </c>
      <c r="K3956" s="455">
        <f t="shared" ca="1" si="158"/>
        <v>-21554683821.957024</v>
      </c>
      <c r="L3956" s="455">
        <f t="shared" ca="1" si="159"/>
        <v>-5194678801091.6426</v>
      </c>
      <c r="M3956" s="471">
        <f t="shared" si="161"/>
        <v>0.05</v>
      </c>
      <c r="N3956" s="475">
        <f t="shared" si="162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60"/>
        <v>-5194678801091.6426</v>
      </c>
      <c r="J3957" s="455">
        <f t="array" ref="J3957">IFERROR(INDEX('Retirement Calculator'!K:K,MATCH('Lorri 401b'!N3957,'Retirement Calculator'!A:A,0),0),0)</f>
        <v>0</v>
      </c>
      <c r="K3957" s="455">
        <f t="shared" ca="1" si="158"/>
        <v>-21644495004.548512</v>
      </c>
      <c r="L3957" s="455">
        <f t="shared" ca="1" si="159"/>
        <v>-5216323296096.1914</v>
      </c>
      <c r="M3957" s="471">
        <f t="shared" si="161"/>
        <v>0.05</v>
      </c>
      <c r="N3957" s="475">
        <f t="shared" si="162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60"/>
        <v>-5216323296096.1914</v>
      </c>
      <c r="J3958" s="455">
        <f t="array" ref="J3958">IFERROR(INDEX('Retirement Calculator'!K:K,MATCH('Lorri 401b'!N3958,'Retirement Calculator'!A:A,0),0),0)</f>
        <v>0</v>
      </c>
      <c r="K3958" s="455">
        <f t="shared" ca="1" si="158"/>
        <v>-21734680400.400799</v>
      </c>
      <c r="L3958" s="455">
        <f t="shared" ca="1" si="159"/>
        <v>-5238057976496.5918</v>
      </c>
      <c r="M3958" s="471">
        <f t="shared" si="161"/>
        <v>0.05</v>
      </c>
      <c r="N3958" s="475">
        <f t="shared" si="162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60"/>
        <v>-5238057976496.5918</v>
      </c>
      <c r="J3959" s="455">
        <f t="array" ref="J3959">IFERROR(INDEX('Retirement Calculator'!K:K,MATCH('Lorri 401b'!N3959,'Retirement Calculator'!A:A,0),0),0)</f>
        <v>0</v>
      </c>
      <c r="K3959" s="455">
        <f t="shared" ca="1" si="158"/>
        <v>-21825241568.735798</v>
      </c>
      <c r="L3959" s="455">
        <f t="shared" ca="1" si="159"/>
        <v>-5259883218065.3271</v>
      </c>
      <c r="M3959" s="471">
        <f t="shared" si="161"/>
        <v>0.05</v>
      </c>
      <c r="N3959" s="475">
        <f t="shared" si="162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60"/>
        <v>-5259883218065.3271</v>
      </c>
      <c r="J3960" s="455">
        <f t="array" ref="J3960">IFERROR(INDEX('Retirement Calculator'!K:K,MATCH('Lorri 401b'!N3960,'Retirement Calculator'!A:A,0),0),0)</f>
        <v>0</v>
      </c>
      <c r="K3960" s="455">
        <f t="shared" ca="1" si="158"/>
        <v>-21916180075.272198</v>
      </c>
      <c r="L3960" s="455">
        <f t="shared" ca="1" si="159"/>
        <v>-5281799398140.5996</v>
      </c>
      <c r="M3960" s="471">
        <f t="shared" si="161"/>
        <v>0.05</v>
      </c>
      <c r="N3960" s="475">
        <f t="shared" si="162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60"/>
        <v>-5281799398140.5996</v>
      </c>
      <c r="J3961" s="455">
        <f t="array" ref="J3961">IFERROR(INDEX('Retirement Calculator'!K:K,MATCH('Lorri 401b'!N3961,'Retirement Calculator'!A:A,0),0),0)</f>
        <v>0</v>
      </c>
      <c r="K3961" s="455">
        <f t="shared" ca="1" si="158"/>
        <v>-22007497492.252499</v>
      </c>
      <c r="L3961" s="455">
        <f t="shared" ca="1" si="159"/>
        <v>-5303806895632.8525</v>
      </c>
      <c r="M3961" s="471">
        <f t="shared" si="161"/>
        <v>0.05</v>
      </c>
      <c r="N3961" s="475">
        <f t="shared" si="162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60"/>
        <v>-5303806895632.8525</v>
      </c>
      <c r="J3962" s="455">
        <f t="array" ref="J3962">IFERROR(INDEX('Retirement Calculator'!K:K,MATCH('Lorri 401b'!N3962,'Retirement Calculator'!A:A,0),0),0)</f>
        <v>0</v>
      </c>
      <c r="K3962" s="455">
        <f t="shared" ca="1" si="158"/>
        <v>-22099195398.470219</v>
      </c>
      <c r="L3962" s="455">
        <f t="shared" ca="1" si="159"/>
        <v>-5325906091031.3232</v>
      </c>
      <c r="M3962" s="471">
        <f t="shared" si="161"/>
        <v>0.05</v>
      </c>
      <c r="N3962" s="475">
        <f t="shared" si="162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60"/>
        <v>-5325906091031.3232</v>
      </c>
      <c r="J3963" s="455">
        <f t="array" ref="J3963">IFERROR(INDEX('Retirement Calculator'!K:K,MATCH('Lorri 401b'!N3963,'Retirement Calculator'!A:A,0),0),0)</f>
        <v>0</v>
      </c>
      <c r="K3963" s="455">
        <f t="shared" ca="1" si="158"/>
        <v>-22191275379.29718</v>
      </c>
      <c r="L3963" s="455">
        <f t="shared" ca="1" si="159"/>
        <v>-5348097366410.6201</v>
      </c>
      <c r="M3963" s="471">
        <f t="shared" si="161"/>
        <v>0.05</v>
      </c>
      <c r="N3963" s="475">
        <f t="shared" si="162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60"/>
        <v>-5348097366410.6201</v>
      </c>
      <c r="J3964" s="455">
        <f t="array" ref="J3964">IFERROR(INDEX('Retirement Calculator'!K:K,MATCH('Lorri 401b'!N3964,'Retirement Calculator'!A:A,0),0),0)</f>
        <v>0</v>
      </c>
      <c r="K3964" s="455">
        <f t="shared" ca="1" si="158"/>
        <v>-22283739026.710918</v>
      </c>
      <c r="L3964" s="455">
        <f t="shared" ca="1" si="159"/>
        <v>-5370381105437.3311</v>
      </c>
      <c r="M3964" s="471">
        <f t="shared" si="161"/>
        <v>0.05</v>
      </c>
      <c r="N3964" s="475">
        <f t="shared" si="162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60"/>
        <v>-5370381105437.3311</v>
      </c>
      <c r="J3965" s="455">
        <f t="array" ref="J3965">IFERROR(INDEX('Retirement Calculator'!K:K,MATCH('Lorri 401b'!N3965,'Retirement Calculator'!A:A,0),0),0)</f>
        <v>0</v>
      </c>
      <c r="K3965" s="455">
        <f t="shared" ca="1" si="158"/>
        <v>-22376587939.322212</v>
      </c>
      <c r="L3965" s="455">
        <f t="shared" ca="1" si="159"/>
        <v>-5392757693376.6533</v>
      </c>
      <c r="M3965" s="471">
        <f t="shared" si="161"/>
        <v>0.05</v>
      </c>
      <c r="N3965" s="475">
        <f t="shared" si="162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60"/>
        <v>-5392757693376.6533</v>
      </c>
      <c r="J3966" s="455">
        <f t="array" ref="J3966">IFERROR(INDEX('Retirement Calculator'!K:K,MATCH('Lorri 401b'!N3966,'Retirement Calculator'!A:A,0),0),0)</f>
        <v>0</v>
      </c>
      <c r="K3966" s="455">
        <f t="shared" ca="1" si="158"/>
        <v>-22469823722.402721</v>
      </c>
      <c r="L3966" s="455">
        <f t="shared" ca="1" si="159"/>
        <v>-5415227517099.0557</v>
      </c>
      <c r="M3966" s="471">
        <f t="shared" si="161"/>
        <v>0.05</v>
      </c>
      <c r="N3966" s="475">
        <f t="shared" si="162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60"/>
        <v>-5415227517099.0557</v>
      </c>
      <c r="J3967" s="455">
        <f t="array" ref="J3967">IFERROR(INDEX('Retirement Calculator'!K:K,MATCH('Lorri 401b'!N3967,'Retirement Calculator'!A:A,0),0),0)</f>
        <v>0</v>
      </c>
      <c r="K3967" s="455">
        <f t="shared" ca="1" si="158"/>
        <v>-22563447987.912731</v>
      </c>
      <c r="L3967" s="455">
        <f t="shared" ca="1" si="159"/>
        <v>-5437790965086.9688</v>
      </c>
      <c r="M3967" s="471">
        <f t="shared" si="161"/>
        <v>0.05</v>
      </c>
      <c r="N3967" s="475">
        <f t="shared" si="162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60"/>
        <v>-5437790965086.9688</v>
      </c>
      <c r="J3968" s="455">
        <f t="array" ref="J3968">IFERROR(INDEX('Retirement Calculator'!K:K,MATCH('Lorri 401b'!N3968,'Retirement Calculator'!A:A,0),0),0)</f>
        <v>0</v>
      </c>
      <c r="K3968" s="455">
        <f t="shared" ca="1" si="158"/>
        <v>-22657462354.529037</v>
      </c>
      <c r="L3968" s="455">
        <f t="shared" ca="1" si="159"/>
        <v>-5460448427441.498</v>
      </c>
      <c r="M3968" s="471">
        <f t="shared" si="161"/>
        <v>0.05</v>
      </c>
      <c r="N3968" s="475">
        <f t="shared" si="162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60"/>
        <v>-5460448427441.498</v>
      </c>
      <c r="J3969" s="455">
        <f t="array" ref="J3969">IFERROR(INDEX('Retirement Calculator'!K:K,MATCH('Lorri 401b'!N3969,'Retirement Calculator'!A:A,0),0),0)</f>
        <v>0</v>
      </c>
      <c r="K3969" s="455">
        <f t="shared" ca="1" si="158"/>
        <v>-22751868447.672909</v>
      </c>
      <c r="L3969" s="455">
        <f t="shared" ca="1" si="159"/>
        <v>-5483200295889.1709</v>
      </c>
      <c r="M3969" s="471">
        <f t="shared" si="161"/>
        <v>0.05</v>
      </c>
      <c r="N3969" s="475">
        <f t="shared" si="162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60"/>
        <v>-5483200295889.1709</v>
      </c>
      <c r="J3970" s="455">
        <f t="array" ref="J3970">IFERROR(INDEX('Retirement Calculator'!K:K,MATCH('Lorri 401b'!N3970,'Retirement Calculator'!A:A,0),0),0)</f>
        <v>0</v>
      </c>
      <c r="K3970" s="455">
        <f t="shared" ca="1" si="158"/>
        <v>-22846667899.538212</v>
      </c>
      <c r="L3970" s="455">
        <f t="shared" ca="1" si="159"/>
        <v>-5506046963788.709</v>
      </c>
      <c r="M3970" s="471">
        <f t="shared" si="161"/>
        <v>0.05</v>
      </c>
      <c r="N3970" s="475">
        <f t="shared" si="162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60"/>
        <v>-5506046963788.709</v>
      </c>
      <c r="J3971" s="455">
        <f t="array" ref="J3971">IFERROR(INDEX('Retirement Calculator'!K:K,MATCH('Lorri 401b'!N3971,'Retirement Calculator'!A:A,0),0),0)</f>
        <v>0</v>
      </c>
      <c r="K3971" s="455">
        <f t="shared" ca="1" si="158"/>
        <v>-22941862349.119621</v>
      </c>
      <c r="L3971" s="455">
        <f t="shared" ca="1" si="159"/>
        <v>-5528988826137.8281</v>
      </c>
      <c r="M3971" s="471">
        <f t="shared" si="161"/>
        <v>0.05</v>
      </c>
      <c r="N3971" s="475">
        <f t="shared" si="162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60"/>
        <v>-5528988826137.8281</v>
      </c>
      <c r="J3972" s="455">
        <f t="array" ref="J3972">IFERROR(INDEX('Retirement Calculator'!K:K,MATCH('Lorri 401b'!N3972,'Retirement Calculator'!A:A,0),0),0)</f>
        <v>0</v>
      </c>
      <c r="K3972" s="455">
        <f t="shared" ca="1" si="158"/>
        <v>-23037453442.240952</v>
      </c>
      <c r="L3972" s="455">
        <f t="shared" ca="1" si="159"/>
        <v>-5552026279580.0693</v>
      </c>
      <c r="M3972" s="471">
        <f t="shared" si="161"/>
        <v>0.05</v>
      </c>
      <c r="N3972" s="475">
        <f t="shared" si="162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60"/>
        <v>-5552026279580.0693</v>
      </c>
      <c r="J3973" s="455">
        <f t="array" ref="J3973">IFERROR(INDEX('Retirement Calculator'!K:K,MATCH('Lorri 401b'!N3973,'Retirement Calculator'!A:A,0),0),0)</f>
        <v>0</v>
      </c>
      <c r="K3973" s="455">
        <f t="shared" ca="1" si="158"/>
        <v>-23133442831.583622</v>
      </c>
      <c r="L3973" s="455">
        <f t="shared" ca="1" si="159"/>
        <v>-5575159722411.6533</v>
      </c>
      <c r="M3973" s="471">
        <f t="shared" si="161"/>
        <v>0.05</v>
      </c>
      <c r="N3973" s="475">
        <f t="shared" si="162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60"/>
        <v>-5575159722411.6533</v>
      </c>
      <c r="J3974" s="455">
        <f t="array" ref="J3974">IFERROR(INDEX('Retirement Calculator'!K:K,MATCH('Lorri 401b'!N3974,'Retirement Calculator'!A:A,0),0),0)</f>
        <v>0</v>
      </c>
      <c r="K3974" s="455">
        <f t="shared" ca="1" si="158"/>
        <v>-23229832176.715221</v>
      </c>
      <c r="L3974" s="455">
        <f t="shared" ca="1" si="159"/>
        <v>-5598389554588.3682</v>
      </c>
      <c r="M3974" s="471">
        <f t="shared" si="161"/>
        <v>0.05</v>
      </c>
      <c r="N3974" s="475">
        <f t="shared" si="162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60"/>
        <v>-5598389554588.3682</v>
      </c>
      <c r="J3975" s="455">
        <f t="array" ref="J3975">IFERROR(INDEX('Retirement Calculator'!K:K,MATCH('Lorri 401b'!N3975,'Retirement Calculator'!A:A,0),0),0)</f>
        <v>0</v>
      </c>
      <c r="K3975" s="455">
        <f t="shared" ca="1" si="158"/>
        <v>-23326623144.118202</v>
      </c>
      <c r="L3975" s="455">
        <f t="shared" ca="1" si="159"/>
        <v>-5621716177732.4863</v>
      </c>
      <c r="M3975" s="471">
        <f t="shared" si="161"/>
        <v>0.05</v>
      </c>
      <c r="N3975" s="475">
        <f t="shared" si="162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60"/>
        <v>-5621716177732.4863</v>
      </c>
      <c r="J3976" s="455">
        <f t="array" ref="J3976">IFERROR(INDEX('Retirement Calculator'!K:K,MATCH('Lorri 401b'!N3976,'Retirement Calculator'!A:A,0),0),0)</f>
        <v>0</v>
      </c>
      <c r="K3976" s="455">
        <f t="shared" ca="1" si="158"/>
        <v>-23423817407.218693</v>
      </c>
      <c r="L3976" s="455">
        <f t="shared" ca="1" si="159"/>
        <v>-5645139995139.7051</v>
      </c>
      <c r="M3976" s="471">
        <f t="shared" si="161"/>
        <v>0.05</v>
      </c>
      <c r="N3976" s="475">
        <f t="shared" si="162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60"/>
        <v>-5645139995139.7051</v>
      </c>
      <c r="J3977" s="455">
        <f t="array" ref="J3977">IFERROR(INDEX('Retirement Calculator'!K:K,MATCH('Lorri 401b'!N3977,'Retirement Calculator'!A:A,0),0),0)</f>
        <v>0</v>
      </c>
      <c r="K3977" s="455">
        <f t="shared" ca="1" si="158"/>
        <v>-23521416646.415436</v>
      </c>
      <c r="L3977" s="455">
        <f t="shared" ca="1" si="159"/>
        <v>-5668661411786.1201</v>
      </c>
      <c r="M3977" s="471">
        <f t="shared" si="161"/>
        <v>0.05</v>
      </c>
      <c r="N3977" s="475">
        <f t="shared" si="162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60"/>
        <v>-5668661411786.1201</v>
      </c>
      <c r="J3978" s="455">
        <f t="array" ref="J3978">IFERROR(INDEX('Retirement Calculator'!K:K,MATCH('Lorri 401b'!N3978,'Retirement Calculator'!A:A,0),0),0)</f>
        <v>0</v>
      </c>
      <c r="K3978" s="455">
        <f t="shared" ca="1" si="158"/>
        <v>-23619422549.108833</v>
      </c>
      <c r="L3978" s="455">
        <f t="shared" ca="1" si="159"/>
        <v>-5692280834335.2285</v>
      </c>
      <c r="M3978" s="471">
        <f t="shared" si="161"/>
        <v>0.05</v>
      </c>
      <c r="N3978" s="475">
        <f t="shared" si="162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60"/>
        <v>-5692280834335.2285</v>
      </c>
      <c r="J3979" s="455">
        <f t="array" ref="J3979">IFERROR(INDEX('Retirement Calculator'!K:K,MATCH('Lorri 401b'!N3979,'Retirement Calculator'!A:A,0),0),0)</f>
        <v>0</v>
      </c>
      <c r="K3979" s="455">
        <f t="shared" ca="1" si="158"/>
        <v>-23717836809.730118</v>
      </c>
      <c r="L3979" s="455">
        <f t="shared" ca="1" si="159"/>
        <v>-5715998671144.959</v>
      </c>
      <c r="M3979" s="471">
        <f t="shared" si="161"/>
        <v>0.05</v>
      </c>
      <c r="N3979" s="475">
        <f t="shared" si="162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60"/>
        <v>-5715998671144.959</v>
      </c>
      <c r="J3980" s="455">
        <f t="array" ref="J3980">IFERROR(INDEX('Retirement Calculator'!K:K,MATCH('Lorri 401b'!N3980,'Retirement Calculator'!A:A,0),0),0)</f>
        <v>0</v>
      </c>
      <c r="K3980" s="455">
        <f t="shared" ca="1" si="158"/>
        <v>-23816661129.77066</v>
      </c>
      <c r="L3980" s="455">
        <f t="shared" ca="1" si="159"/>
        <v>-5739815332274.7295</v>
      </c>
      <c r="M3980" s="471">
        <f t="shared" si="161"/>
        <v>0.05</v>
      </c>
      <c r="N3980" s="475">
        <f t="shared" si="162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60"/>
        <v>-5739815332274.7295</v>
      </c>
      <c r="J3981" s="455">
        <f t="array" ref="J3981">IFERROR(INDEX('Retirement Calculator'!K:K,MATCH('Lorri 401b'!N3981,'Retirement Calculator'!A:A,0),0),0)</f>
        <v>0</v>
      </c>
      <c r="K3981" s="455">
        <f t="shared" ca="1" si="158"/>
        <v>-23915897217.811371</v>
      </c>
      <c r="L3981" s="455">
        <f t="shared" ca="1" si="159"/>
        <v>-5763731229492.541</v>
      </c>
      <c r="M3981" s="471">
        <f t="shared" si="161"/>
        <v>0.05</v>
      </c>
      <c r="N3981" s="475">
        <f t="shared" si="162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60"/>
        <v>-5763731229492.541</v>
      </c>
      <c r="J3982" s="455">
        <f t="array" ref="J3982">IFERROR(INDEX('Retirement Calculator'!K:K,MATCH('Lorri 401b'!N3982,'Retirement Calculator'!A:A,0),0),0)</f>
        <v>0</v>
      </c>
      <c r="K3982" s="455">
        <f t="shared" ca="1" si="158"/>
        <v>-24015546789.552254</v>
      </c>
      <c r="L3982" s="455">
        <f t="shared" ca="1" si="159"/>
        <v>-5787746776282.0938</v>
      </c>
      <c r="M3982" s="471">
        <f t="shared" si="161"/>
        <v>0.05</v>
      </c>
      <c r="N3982" s="475">
        <f t="shared" si="162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60"/>
        <v>-5787746776282.0938</v>
      </c>
      <c r="J3983" s="455">
        <f t="array" ref="J3983">IFERROR(INDEX('Retirement Calculator'!K:K,MATCH('Lorri 401b'!N3983,'Retirement Calculator'!A:A,0),0),0)</f>
        <v>0</v>
      </c>
      <c r="K3983" s="455">
        <f t="shared" ca="1" si="158"/>
        <v>-24115611567.842056</v>
      </c>
      <c r="L3983" s="455">
        <f t="shared" ca="1" si="159"/>
        <v>-5811862387849.9355</v>
      </c>
      <c r="M3983" s="471">
        <f t="shared" si="161"/>
        <v>0.05</v>
      </c>
      <c r="N3983" s="475">
        <f t="shared" si="162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60"/>
        <v>-5811862387849.9355</v>
      </c>
      <c r="J3984" s="455">
        <f t="array" ref="J3984">IFERROR(INDEX('Retirement Calculator'!K:K,MATCH('Lorri 401b'!N3984,'Retirement Calculator'!A:A,0),0),0)</f>
        <v>0</v>
      </c>
      <c r="K3984" s="455">
        <f t="shared" ca="1" si="158"/>
        <v>-24216093282.708065</v>
      </c>
      <c r="L3984" s="455">
        <f t="shared" ca="1" si="159"/>
        <v>-5836078481132.6436</v>
      </c>
      <c r="M3984" s="471">
        <f t="shared" si="161"/>
        <v>0.05</v>
      </c>
      <c r="N3984" s="475">
        <f t="shared" si="162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60"/>
        <v>-5836078481132.6436</v>
      </c>
      <c r="J3985" s="455">
        <f t="array" ref="J3985">IFERROR(INDEX('Retirement Calculator'!K:K,MATCH('Lorri 401b'!N3985,'Retirement Calculator'!A:A,0),0),0)</f>
        <v>0</v>
      </c>
      <c r="K3985" s="455">
        <f t="shared" ca="1" si="158"/>
        <v>-24316993671.386013</v>
      </c>
      <c r="L3985" s="455">
        <f t="shared" ca="1" si="159"/>
        <v>-5860395474804.0293</v>
      </c>
      <c r="M3985" s="471">
        <f t="shared" si="161"/>
        <v>0.05</v>
      </c>
      <c r="N3985" s="475">
        <f t="shared" si="162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60"/>
        <v>-5860395474804.0293</v>
      </c>
      <c r="J3986" s="455">
        <f t="array" ref="J3986">IFERROR(INDEX('Retirement Calculator'!K:K,MATCH('Lorri 401b'!N3986,'Retirement Calculator'!A:A,0),0),0)</f>
        <v>0</v>
      </c>
      <c r="K3986" s="455">
        <f t="shared" ca="1" si="158"/>
        <v>-24418314478.350121</v>
      </c>
      <c r="L3986" s="455">
        <f t="shared" ca="1" si="159"/>
        <v>-5884813789282.3799</v>
      </c>
      <c r="M3986" s="471">
        <f t="shared" si="161"/>
        <v>0.05</v>
      </c>
      <c r="N3986" s="475">
        <f t="shared" si="162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60"/>
        <v>-5884813789282.3799</v>
      </c>
      <c r="J3987" s="455">
        <f t="array" ref="J3987">IFERROR(INDEX('Retirement Calculator'!K:K,MATCH('Lorri 401b'!N3987,'Retirement Calculator'!A:A,0),0),0)</f>
        <v>0</v>
      </c>
      <c r="K3987" s="455">
        <f t="shared" ca="1" si="158"/>
        <v>-24520057455.34325</v>
      </c>
      <c r="L3987" s="455">
        <f t="shared" ca="1" si="159"/>
        <v>-5909333846737.7227</v>
      </c>
      <c r="M3987" s="471">
        <f t="shared" si="161"/>
        <v>0.05</v>
      </c>
      <c r="N3987" s="475">
        <f t="shared" si="162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60"/>
        <v>-5909333846737.7227</v>
      </c>
      <c r="J3988" s="455">
        <f t="array" ref="J3988">IFERROR(INDEX('Retirement Calculator'!K:K,MATCH('Lorri 401b'!N3988,'Retirement Calculator'!A:A,0),0),0)</f>
        <v>0</v>
      </c>
      <c r="K3988" s="455">
        <f t="shared" ca="1" si="158"/>
        <v>-24622224361.407177</v>
      </c>
      <c r="L3988" s="455">
        <f t="shared" ca="1" si="159"/>
        <v>-5933956071099.1299</v>
      </c>
      <c r="M3988" s="471">
        <f t="shared" si="161"/>
        <v>0.05</v>
      </c>
      <c r="N3988" s="475">
        <f t="shared" si="162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60"/>
        <v>-5933956071099.1299</v>
      </c>
      <c r="J3989" s="455">
        <f t="array" ref="J3989">IFERROR(INDEX('Retirement Calculator'!K:K,MATCH('Lorri 401b'!N3989,'Retirement Calculator'!A:A,0),0),0)</f>
        <v>0</v>
      </c>
      <c r="K3989" s="455">
        <f t="shared" ca="1" si="158"/>
        <v>-24724816962.91304</v>
      </c>
      <c r="L3989" s="455">
        <f t="shared" ca="1" si="159"/>
        <v>-5958680888062.043</v>
      </c>
      <c r="M3989" s="471">
        <f t="shared" si="161"/>
        <v>0.05</v>
      </c>
      <c r="N3989" s="475">
        <f t="shared" si="162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60"/>
        <v>-5958680888062.043</v>
      </c>
      <c r="J3990" s="455">
        <f t="array" ref="J3990">IFERROR(INDEX('Retirement Calculator'!K:K,MATCH('Lorri 401b'!N3990,'Retirement Calculator'!A:A,0),0),0)</f>
        <v>0</v>
      </c>
      <c r="K3990" s="455">
        <f t="shared" ca="1" si="158"/>
        <v>-24827837033.591846</v>
      </c>
      <c r="L3990" s="455">
        <f t="shared" ca="1" si="159"/>
        <v>-5983508725095.6348</v>
      </c>
      <c r="M3990" s="471">
        <f t="shared" si="161"/>
        <v>0.05</v>
      </c>
      <c r="N3990" s="475">
        <f t="shared" si="162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60"/>
        <v>-5983508725095.6348</v>
      </c>
      <c r="J3991" s="455">
        <f t="array" ref="J3991">IFERROR(INDEX('Retirement Calculator'!K:K,MATCH('Lorri 401b'!N3991,'Retirement Calculator'!A:A,0),0),0)</f>
        <v>0</v>
      </c>
      <c r="K3991" s="455">
        <f t="shared" ca="1" si="158"/>
        <v>-24931286354.565144</v>
      </c>
      <c r="L3991" s="455">
        <f t="shared" ca="1" si="159"/>
        <v>-6008440011450.2002</v>
      </c>
      <c r="M3991" s="471">
        <f t="shared" si="161"/>
        <v>0.05</v>
      </c>
      <c r="N3991" s="475">
        <f t="shared" si="162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60"/>
        <v>-6008440011450.2002</v>
      </c>
      <c r="J3992" s="455">
        <f t="array" ref="J3992">IFERROR(INDEX('Retirement Calculator'!K:K,MATCH('Lorri 401b'!N3992,'Retirement Calculator'!A:A,0),0),0)</f>
        <v>0</v>
      </c>
      <c r="K3992" s="455">
        <f t="shared" ca="1" si="158"/>
        <v>-25035166714.375835</v>
      </c>
      <c r="L3992" s="455">
        <f t="shared" ca="1" si="159"/>
        <v>-6033475178164.5762</v>
      </c>
      <c r="M3992" s="471">
        <f t="shared" si="161"/>
        <v>0.05</v>
      </c>
      <c r="N3992" s="475">
        <f t="shared" si="162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60"/>
        <v>-6033475178164.5762</v>
      </c>
      <c r="J3993" s="455">
        <f t="array" ref="J3993">IFERROR(INDEX('Retirement Calculator'!K:K,MATCH('Lorri 401b'!N3993,'Retirement Calculator'!A:A,0),0),0)</f>
        <v>0</v>
      </c>
      <c r="K3993" s="455">
        <f t="shared" ca="1" si="158"/>
        <v>-25139479909.019066</v>
      </c>
      <c r="L3993" s="455">
        <f t="shared" ca="1" si="159"/>
        <v>-6058614658073.5957</v>
      </c>
      <c r="M3993" s="471">
        <f t="shared" si="161"/>
        <v>0.05</v>
      </c>
      <c r="N3993" s="475">
        <f t="shared" si="162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60"/>
        <v>-6058614658073.5957</v>
      </c>
      <c r="J3994" s="455">
        <f t="array" ref="J3994">IFERROR(INDEX('Retirement Calculator'!K:K,MATCH('Lorri 401b'!N3994,'Retirement Calculator'!A:A,0),0),0)</f>
        <v>0</v>
      </c>
      <c r="K3994" s="455">
        <f t="shared" ca="1" si="158"/>
        <v>-25244227741.973316</v>
      </c>
      <c r="L3994" s="455">
        <f t="shared" ca="1" si="159"/>
        <v>-6083858885815.5693</v>
      </c>
      <c r="M3994" s="471">
        <f t="shared" si="161"/>
        <v>0.05</v>
      </c>
      <c r="N3994" s="475">
        <f t="shared" si="162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60"/>
        <v>-6083858885815.5693</v>
      </c>
      <c r="J3995" s="455">
        <f t="array" ref="J3995">IFERROR(INDEX('Retirement Calculator'!K:K,MATCH('Lorri 401b'!N3995,'Retirement Calculator'!A:A,0),0),0)</f>
        <v>0</v>
      </c>
      <c r="K3995" s="455">
        <f t="shared" ca="1" si="158"/>
        <v>-25349412024.231537</v>
      </c>
      <c r="L3995" s="455">
        <f t="shared" ca="1" si="159"/>
        <v>-6109208297839.8008</v>
      </c>
      <c r="M3995" s="471">
        <f t="shared" si="161"/>
        <v>0.05</v>
      </c>
      <c r="N3995" s="475">
        <f t="shared" si="162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60"/>
        <v>-6109208297839.8008</v>
      </c>
      <c r="J3996" s="455">
        <f t="array" ref="J3996">IFERROR(INDEX('Retirement Calculator'!K:K,MATCH('Lorri 401b'!N3996,'Retirement Calculator'!A:A,0),0),0)</f>
        <v>0</v>
      </c>
      <c r="K3996" s="455">
        <f t="shared" ca="1" si="158"/>
        <v>-25455034574.332504</v>
      </c>
      <c r="L3996" s="455">
        <f t="shared" ca="1" si="159"/>
        <v>-6134663332414.1328</v>
      </c>
      <c r="M3996" s="471">
        <f t="shared" si="161"/>
        <v>0.05</v>
      </c>
      <c r="N3996" s="475">
        <f t="shared" si="162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60"/>
        <v>-6134663332414.1328</v>
      </c>
      <c r="J3997" s="455">
        <f t="array" ref="J3997">IFERROR(INDEX('Retirement Calculator'!K:K,MATCH('Lorri 401b'!N3997,'Retirement Calculator'!A:A,0),0),0)</f>
        <v>0</v>
      </c>
      <c r="K3997" s="455">
        <f t="shared" ca="1" si="158"/>
        <v>-25561097218.39222</v>
      </c>
      <c r="L3997" s="455">
        <f t="shared" ca="1" si="159"/>
        <v>-6160224429632.5254</v>
      </c>
      <c r="M3997" s="471">
        <f t="shared" si="161"/>
        <v>0.05</v>
      </c>
      <c r="N3997" s="475">
        <f t="shared" si="162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60"/>
        <v>-6160224429632.5254</v>
      </c>
      <c r="J3998" s="455">
        <f t="array" ref="J3998">IFERROR(INDEX('Retirement Calculator'!K:K,MATCH('Lorri 401b'!N3998,'Retirement Calculator'!A:A,0),0),0)</f>
        <v>0</v>
      </c>
      <c r="K3998" s="455">
        <f t="shared" ca="1" si="158"/>
        <v>-25667601790.135521</v>
      </c>
      <c r="L3998" s="455">
        <f t="shared" ca="1" si="159"/>
        <v>-6185892031422.6611</v>
      </c>
      <c r="M3998" s="471">
        <f t="shared" si="161"/>
        <v>0.05</v>
      </c>
      <c r="N3998" s="475">
        <f t="shared" si="162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60"/>
        <v>-6185892031422.6611</v>
      </c>
      <c r="J3999" s="455">
        <f t="array" ref="J3999">IFERROR(INDEX('Retirement Calculator'!K:K,MATCH('Lorri 401b'!N3999,'Retirement Calculator'!A:A,0),0),0)</f>
        <v>0</v>
      </c>
      <c r="K3999" s="455">
        <f t="shared" ca="1" si="158"/>
        <v>-25774550130.927753</v>
      </c>
      <c r="L3999" s="455">
        <f t="shared" ca="1" si="159"/>
        <v>-6211666581553.5889</v>
      </c>
      <c r="M3999" s="471">
        <f t="shared" si="161"/>
        <v>0.05</v>
      </c>
      <c r="N3999" s="475">
        <f t="shared" si="162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60"/>
        <v>-6211666581553.5889</v>
      </c>
      <c r="J4000" s="455">
        <f t="array" ref="J4000">IFERROR(INDEX('Retirement Calculator'!K:K,MATCH('Lorri 401b'!N4000,'Retirement Calculator'!A:A,0),0),0)</f>
        <v>0</v>
      </c>
      <c r="K4000" s="455">
        <f t="shared" ca="1" si="158"/>
        <v>-25881944089.806622</v>
      </c>
      <c r="L4000" s="455">
        <f t="shared" ca="1" si="159"/>
        <v>-6237548525643.3955</v>
      </c>
      <c r="M4000" s="471">
        <f t="shared" si="161"/>
        <v>0.05</v>
      </c>
      <c r="N4000" s="475">
        <f t="shared" si="162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60"/>
        <v>-6237548525643.3955</v>
      </c>
      <c r="J4001" s="455">
        <f t="array" ref="J4001">IFERROR(INDEX('Retirement Calculator'!K:K,MATCH('Lorri 401b'!N4001,'Retirement Calculator'!A:A,0),0),0)</f>
        <v>0</v>
      </c>
      <c r="K4001" s="455">
        <f t="shared" ca="1" si="158"/>
        <v>-25989785523.514149</v>
      </c>
      <c r="L4001" s="455">
        <f t="shared" ca="1" si="159"/>
        <v>-6263538311166.9092</v>
      </c>
      <c r="M4001" s="471">
        <f t="shared" si="161"/>
        <v>0.05</v>
      </c>
      <c r="N4001" s="475">
        <f t="shared" si="162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60"/>
        <v>-6263538311166.9092</v>
      </c>
      <c r="J4002" s="455">
        <f t="array" ref="J4002">IFERROR(INDEX('Retirement Calculator'!K:K,MATCH('Lorri 401b'!N4002,'Retirement Calculator'!A:A,0),0),0)</f>
        <v>0</v>
      </c>
      <c r="K4002" s="455">
        <f t="shared" ca="1" si="158"/>
        <v>-26098076296.52879</v>
      </c>
      <c r="L4002" s="455">
        <f t="shared" ca="1" si="159"/>
        <v>-6289636387463.4375</v>
      </c>
      <c r="M4002" s="471">
        <f t="shared" si="161"/>
        <v>0.05</v>
      </c>
      <c r="N4002" s="475">
        <f t="shared" si="162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60"/>
        <v>-6289636387463.4375</v>
      </c>
      <c r="J4003" s="455">
        <f t="array" ref="J4003">IFERROR(INDEX('Retirement Calculator'!K:K,MATCH('Lorri 401b'!N4003,'Retirement Calculator'!A:A,0),0),0)</f>
        <v>0</v>
      </c>
      <c r="K4003" s="455">
        <f t="shared" ca="1" si="158"/>
        <v>-26206818281.097656</v>
      </c>
      <c r="L4003" s="455">
        <f t="shared" ca="1" si="159"/>
        <v>-6315843205744.5352</v>
      </c>
      <c r="M4003" s="471">
        <f t="shared" si="161"/>
        <v>0.05</v>
      </c>
      <c r="N4003" s="475">
        <f t="shared" si="162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60"/>
        <v>-6315843205744.5352</v>
      </c>
      <c r="J4004" s="455">
        <f t="array" ref="J4004">IFERROR(INDEX('Retirement Calculator'!K:K,MATCH('Lorri 401b'!N4004,'Retirement Calculator'!A:A,0),0),0)</f>
        <v>0</v>
      </c>
      <c r="K4004" s="455">
        <f t="shared" ca="1" si="158"/>
        <v>-26316013357.268898</v>
      </c>
      <c r="L4004" s="455">
        <f t="shared" ca="1" si="159"/>
        <v>-6342159219101.8037</v>
      </c>
      <c r="M4004" s="471">
        <f t="shared" si="161"/>
        <v>0.05</v>
      </c>
      <c r="N4004" s="475">
        <f t="shared" si="162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60"/>
        <v>-6342159219101.8037</v>
      </c>
      <c r="J4005" s="455">
        <f t="array" ref="J4005">IFERROR(INDEX('Retirement Calculator'!K:K,MATCH('Lorri 401b'!N4005,'Retirement Calculator'!A:A,0),0),0)</f>
        <v>0</v>
      </c>
      <c r="K4005" s="455">
        <f t="shared" ca="1" si="158"/>
        <v>-26425663412.924183</v>
      </c>
      <c r="L4005" s="455">
        <f t="shared" ca="1" si="159"/>
        <v>-6368584882514.7275</v>
      </c>
      <c r="M4005" s="471">
        <f t="shared" si="161"/>
        <v>0.05</v>
      </c>
      <c r="N4005" s="475">
        <f t="shared" si="162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60"/>
        <v>-6368584882514.7275</v>
      </c>
      <c r="J4006" s="455">
        <f t="array" ref="J4006">IFERROR(INDEX('Retirement Calculator'!K:K,MATCH('Lorri 401b'!N4006,'Retirement Calculator'!A:A,0),0),0)</f>
        <v>0</v>
      </c>
      <c r="K4006" s="455">
        <f t="shared" ca="1" si="158"/>
        <v>-26535770343.811363</v>
      </c>
      <c r="L4006" s="455">
        <f t="shared" ca="1" si="159"/>
        <v>-6395120652858.5391</v>
      </c>
      <c r="M4006" s="471">
        <f t="shared" si="161"/>
        <v>0.05</v>
      </c>
      <c r="N4006" s="475">
        <f t="shared" si="162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60"/>
        <v>-6395120652858.5391</v>
      </c>
      <c r="J4007" s="455">
        <f t="array" ref="J4007">IFERROR(INDEX('Retirement Calculator'!K:K,MATCH('Lorri 401b'!N4007,'Retirement Calculator'!A:A,0),0),0)</f>
        <v>0</v>
      </c>
      <c r="K4007" s="455">
        <f t="shared" ca="1" si="158"/>
        <v>-26646336053.577248</v>
      </c>
      <c r="L4007" s="455">
        <f t="shared" ca="1" si="159"/>
        <v>-6421766988912.1162</v>
      </c>
      <c r="M4007" s="471">
        <f t="shared" si="161"/>
        <v>0.05</v>
      </c>
      <c r="N4007" s="475">
        <f t="shared" si="162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60"/>
        <v>-6421766988912.1162</v>
      </c>
      <c r="J4008" s="455">
        <f t="array" ref="J4008">IFERROR(INDEX('Retirement Calculator'!K:K,MATCH('Lorri 401b'!N4008,'Retirement Calculator'!A:A,0),0),0)</f>
        <v>0</v>
      </c>
      <c r="K4008" s="455">
        <f t="shared" ca="1" si="158"/>
        <v>-26757362453.800484</v>
      </c>
      <c r="L4008" s="455">
        <f t="shared" ca="1" si="159"/>
        <v>-6448524351365.917</v>
      </c>
      <c r="M4008" s="471">
        <f t="shared" si="161"/>
        <v>0.05</v>
      </c>
      <c r="N4008" s="475">
        <f t="shared" si="162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60"/>
        <v>-6448524351365.917</v>
      </c>
      <c r="J4009" s="455">
        <f t="array" ref="J4009">IFERROR(INDEX('Retirement Calculator'!K:K,MATCH('Lorri 401b'!N4009,'Retirement Calculator'!A:A,0),0),0)</f>
        <v>0</v>
      </c>
      <c r="K4009" s="455">
        <f t="shared" ca="1" si="158"/>
        <v>-26868851464.024654</v>
      </c>
      <c r="L4009" s="455">
        <f t="shared" ca="1" si="159"/>
        <v>-6475393202829.9414</v>
      </c>
      <c r="M4009" s="471">
        <f t="shared" si="161"/>
        <v>0.05</v>
      </c>
      <c r="N4009" s="475">
        <f t="shared" si="162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60"/>
        <v>-6475393202829.9414</v>
      </c>
      <c r="J4010" s="455">
        <f t="array" ref="J4010">IFERROR(INDEX('Retirement Calculator'!K:K,MATCH('Lorri 401b'!N4010,'Retirement Calculator'!A:A,0),0),0)</f>
        <v>0</v>
      </c>
      <c r="K4010" s="455">
        <f t="shared" ca="1" si="158"/>
        <v>-26980805011.791424</v>
      </c>
      <c r="L4010" s="455">
        <f t="shared" ca="1" si="159"/>
        <v>-6502374007841.7324</v>
      </c>
      <c r="M4010" s="471">
        <f t="shared" si="161"/>
        <v>0.05</v>
      </c>
      <c r="N4010" s="475">
        <f t="shared" si="162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60"/>
        <v>-6502374007841.7324</v>
      </c>
      <c r="J4011" s="455">
        <f t="array" ref="J4011">IFERROR(INDEX('Retirement Calculator'!K:K,MATCH('Lorri 401b'!N4011,'Retirement Calculator'!A:A,0),0),0)</f>
        <v>0</v>
      </c>
      <c r="K4011" s="455">
        <f t="shared" ca="1" si="158"/>
        <v>-27093225032.673885</v>
      </c>
      <c r="L4011" s="455">
        <f t="shared" ca="1" si="159"/>
        <v>-6529467232874.4063</v>
      </c>
      <c r="M4011" s="471">
        <f t="shared" si="161"/>
        <v>0.05</v>
      </c>
      <c r="N4011" s="475">
        <f t="shared" si="162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60"/>
        <v>-6529467232874.4063</v>
      </c>
      <c r="J4012" s="455">
        <f t="array" ref="J4012">IFERROR(INDEX('Retirement Calculator'!K:K,MATCH('Lorri 401b'!N4012,'Retirement Calculator'!A:A,0),0),0)</f>
        <v>0</v>
      </c>
      <c r="K4012" s="455">
        <f t="shared" ca="1" si="158"/>
        <v>-27206113470.310024</v>
      </c>
      <c r="L4012" s="455">
        <f t="shared" ca="1" si="159"/>
        <v>-6556673346344.7158</v>
      </c>
      <c r="M4012" s="471">
        <f t="shared" si="161"/>
        <v>0.05</v>
      </c>
      <c r="N4012" s="475">
        <f t="shared" si="162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60"/>
        <v>-6556673346344.7158</v>
      </c>
      <c r="J4013" s="455">
        <f t="array" ref="J4013">IFERROR(INDEX('Retirement Calculator'!K:K,MATCH('Lorri 401b'!N4013,'Retirement Calculator'!A:A,0),0),0)</f>
        <v>0</v>
      </c>
      <c r="K4013" s="455">
        <f t="shared" ca="1" si="158"/>
        <v>-27319472276.436317</v>
      </c>
      <c r="L4013" s="455">
        <f t="shared" ca="1" si="159"/>
        <v>-6583992818621.1523</v>
      </c>
      <c r="M4013" s="471">
        <f t="shared" si="161"/>
        <v>0.05</v>
      </c>
      <c r="N4013" s="475">
        <f t="shared" si="162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60"/>
        <v>-6583992818621.1523</v>
      </c>
      <c r="J4014" s="455">
        <f t="array" ref="J4014">IFERROR(INDEX('Retirement Calculator'!K:K,MATCH('Lorri 401b'!N4014,'Retirement Calculator'!A:A,0),0),0)</f>
        <v>0</v>
      </c>
      <c r="K4014" s="455">
        <f t="shared" ca="1" si="158"/>
        <v>-27433303410.921467</v>
      </c>
      <c r="L4014" s="455">
        <f t="shared" ca="1" si="159"/>
        <v>-6611426122032.0742</v>
      </c>
      <c r="M4014" s="471">
        <f t="shared" si="161"/>
        <v>0.05</v>
      </c>
      <c r="N4014" s="475">
        <f t="shared" si="162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60"/>
        <v>-6611426122032.0742</v>
      </c>
      <c r="J4015" s="455">
        <f t="array" ref="J4015">IFERROR(INDEX('Retirement Calculator'!K:K,MATCH('Lorri 401b'!N4015,'Retirement Calculator'!A:A,0),0),0)</f>
        <v>0</v>
      </c>
      <c r="K4015" s="455">
        <f t="shared" ca="1" si="158"/>
        <v>-27547608841.800308</v>
      </c>
      <c r="L4015" s="455">
        <f t="shared" ca="1" si="159"/>
        <v>-6638973730873.875</v>
      </c>
      <c r="M4015" s="471">
        <f t="shared" si="161"/>
        <v>0.05</v>
      </c>
      <c r="N4015" s="475">
        <f t="shared" si="162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60"/>
        <v>-6638973730873.875</v>
      </c>
      <c r="J4016" s="455">
        <f t="array" ref="J4016">IFERROR(INDEX('Retirement Calculator'!K:K,MATCH('Lorri 401b'!N4016,'Retirement Calculator'!A:A,0),0),0)</f>
        <v>0</v>
      </c>
      <c r="K4016" s="455">
        <f t="shared" ca="1" si="158"/>
        <v>-27662390545.307812</v>
      </c>
      <c r="L4016" s="455">
        <f t="shared" ca="1" si="159"/>
        <v>-6666636121419.1826</v>
      </c>
      <c r="M4016" s="471">
        <f t="shared" si="161"/>
        <v>0.05</v>
      </c>
      <c r="N4016" s="475">
        <f t="shared" si="162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60"/>
        <v>-6666636121419.1826</v>
      </c>
      <c r="J4017" s="455">
        <f t="array" ref="J4017">IFERROR(INDEX('Retirement Calculator'!K:K,MATCH('Lorri 401b'!N4017,'Retirement Calculator'!A:A,0),0),0)</f>
        <v>0</v>
      </c>
      <c r="K4017" s="455">
        <f t="shared" ca="1" si="158"/>
        <v>-27777650505.913261</v>
      </c>
      <c r="L4017" s="455">
        <f t="shared" ca="1" si="159"/>
        <v>-6694413771925.0957</v>
      </c>
      <c r="M4017" s="471">
        <f t="shared" si="161"/>
        <v>0.05</v>
      </c>
      <c r="N4017" s="475">
        <f t="shared" si="162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60"/>
        <v>-6694413771925.0957</v>
      </c>
      <c r="J4018" s="455">
        <f t="array" ref="J4018">IFERROR(INDEX('Retirement Calculator'!K:K,MATCH('Lorri 401b'!N4018,'Retirement Calculator'!A:A,0),0),0)</f>
        <v>0</v>
      </c>
      <c r="K4018" s="455">
        <f t="shared" ca="1" si="158"/>
        <v>-27893390716.354565</v>
      </c>
      <c r="L4018" s="455">
        <f t="shared" ca="1" si="159"/>
        <v>-6722307162641.4502</v>
      </c>
      <c r="M4018" s="471">
        <f t="shared" si="161"/>
        <v>0.05</v>
      </c>
      <c r="N4018" s="475">
        <f t="shared" si="162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60"/>
        <v>-6722307162641.4502</v>
      </c>
      <c r="J4019" s="455">
        <f t="array" ref="J4019">IFERROR(INDEX('Retirement Calculator'!K:K,MATCH('Lorri 401b'!N4019,'Retirement Calculator'!A:A,0),0),0)</f>
        <v>0</v>
      </c>
      <c r="K4019" s="455">
        <f t="shared" ca="1" si="158"/>
        <v>-28009613177.67271</v>
      </c>
      <c r="L4019" s="455">
        <f t="shared" ca="1" si="159"/>
        <v>-6750316775819.123</v>
      </c>
      <c r="M4019" s="471">
        <f t="shared" si="161"/>
        <v>0.05</v>
      </c>
      <c r="N4019" s="475">
        <f t="shared" si="162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60"/>
        <v>-6750316775819.123</v>
      </c>
      <c r="J4020" s="455">
        <f t="array" ref="J4020">IFERROR(INDEX('Retirement Calculator'!K:K,MATCH('Lorri 401b'!N4020,'Retirement Calculator'!A:A,0),0),0)</f>
        <v>0</v>
      </c>
      <c r="K4020" s="455">
        <f t="shared" ca="1" si="158"/>
        <v>-28126319899.246346</v>
      </c>
      <c r="L4020" s="455">
        <f t="shared" ca="1" si="159"/>
        <v>-6778443095718.3691</v>
      </c>
      <c r="M4020" s="471">
        <f t="shared" si="161"/>
        <v>0.05</v>
      </c>
      <c r="N4020" s="475">
        <f t="shared" si="162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60"/>
        <v>-6778443095718.3691</v>
      </c>
      <c r="J4021" s="455">
        <f t="array" ref="J4021">IFERROR(INDEX('Retirement Calculator'!K:K,MATCH('Lorri 401b'!N4021,'Retirement Calculator'!A:A,0),0),0)</f>
        <v>0</v>
      </c>
      <c r="K4021" s="455">
        <f t="shared" ca="1" si="158"/>
        <v>-28243512898.826538</v>
      </c>
      <c r="L4021" s="455">
        <f t="shared" ca="1" si="159"/>
        <v>-6806686608617.1953</v>
      </c>
      <c r="M4021" s="471">
        <f t="shared" si="161"/>
        <v>0.05</v>
      </c>
      <c r="N4021" s="475">
        <f t="shared" si="162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60"/>
        <v>-6806686608617.1953</v>
      </c>
      <c r="J4022" s="455">
        <f t="array" ref="J4022">IFERROR(INDEX('Retirement Calculator'!K:K,MATCH('Lorri 401b'!N4022,'Retirement Calculator'!A:A,0),0),0)</f>
        <v>0</v>
      </c>
      <c r="K4022" s="455">
        <f t="shared" ca="1" si="158"/>
        <v>-28361194202.571648</v>
      </c>
      <c r="L4022" s="455">
        <f t="shared" ca="1" si="159"/>
        <v>-6835047802819.7666</v>
      </c>
      <c r="M4022" s="471">
        <f t="shared" si="161"/>
        <v>0.05</v>
      </c>
      <c r="N4022" s="475">
        <f t="shared" si="162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60"/>
        <v>-6835047802819.7666</v>
      </c>
      <c r="J4023" s="455">
        <f t="array" ref="J4023">IFERROR(INDEX('Retirement Calculator'!K:K,MATCH('Lorri 401b'!N4023,'Retirement Calculator'!A:A,0),0),0)</f>
        <v>0</v>
      </c>
      <c r="K4023" s="455">
        <f t="shared" ca="1" si="158"/>
        <v>-28479365845.082359</v>
      </c>
      <c r="L4023" s="455">
        <f t="shared" ca="1" si="159"/>
        <v>-6863527168664.8486</v>
      </c>
      <c r="M4023" s="471">
        <f t="shared" si="161"/>
        <v>0.05</v>
      </c>
      <c r="N4023" s="475">
        <f t="shared" si="162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60"/>
        <v>-6863527168664.8486</v>
      </c>
      <c r="J4024" s="455">
        <f t="array" ref="J4024">IFERROR(INDEX('Retirement Calculator'!K:K,MATCH('Lorri 401b'!N4024,'Retirement Calculator'!A:A,0),0),0)</f>
        <v>0</v>
      </c>
      <c r="K4024" s="455">
        <f t="shared" ca="1" si="158"/>
        <v>-28598029869.436871</v>
      </c>
      <c r="L4024" s="455">
        <f t="shared" ca="1" si="159"/>
        <v>-6892125198534.2852</v>
      </c>
      <c r="M4024" s="471">
        <f t="shared" si="161"/>
        <v>0.05</v>
      </c>
      <c r="N4024" s="475">
        <f t="shared" si="162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60"/>
        <v>-6892125198534.2852</v>
      </c>
      <c r="J4025" s="455">
        <f t="array" ref="J4025">IFERROR(INDEX('Retirement Calculator'!K:K,MATCH('Lorri 401b'!N4025,'Retirement Calculator'!A:A,0),0),0)</f>
        <v>0</v>
      </c>
      <c r="K4025" s="455">
        <f t="shared" ca="1" si="158"/>
        <v>-28717188327.226189</v>
      </c>
      <c r="L4025" s="455">
        <f t="shared" ca="1" si="159"/>
        <v>-6920842386861.5117</v>
      </c>
      <c r="M4025" s="471">
        <f t="shared" si="161"/>
        <v>0.05</v>
      </c>
      <c r="N4025" s="475">
        <f t="shared" si="162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60"/>
        <v>-6920842386861.5117</v>
      </c>
      <c r="J4026" s="455">
        <f t="array" ref="J4026">IFERROR(INDEX('Retirement Calculator'!K:K,MATCH('Lorri 401b'!N4026,'Retirement Calculator'!A:A,0),0),0)</f>
        <v>0</v>
      </c>
      <c r="K4026" s="455">
        <f t="shared" ca="1" si="158"/>
        <v>-28836843278.589634</v>
      </c>
      <c r="L4026" s="455">
        <f t="shared" ca="1" si="159"/>
        <v>-6949679230140.1016</v>
      </c>
      <c r="M4026" s="471">
        <f t="shared" si="161"/>
        <v>0.05</v>
      </c>
      <c r="N4026" s="475">
        <f t="shared" si="162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60"/>
        <v>-6949679230140.1016</v>
      </c>
      <c r="J4027" s="455">
        <f t="array" ref="J4027">IFERROR(INDEX('Retirement Calculator'!K:K,MATCH('Lorri 401b'!N4027,'Retirement Calculator'!A:A,0),0),0)</f>
        <v>0</v>
      </c>
      <c r="K4027" s="455">
        <f t="shared" ca="1" si="158"/>
        <v>-28956996792.250423</v>
      </c>
      <c r="L4027" s="455">
        <f t="shared" ca="1" si="159"/>
        <v>-6978636226932.3516</v>
      </c>
      <c r="M4027" s="471">
        <f t="shared" si="161"/>
        <v>0.05</v>
      </c>
      <c r="N4027" s="475">
        <f t="shared" si="162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60"/>
        <v>-6978636226932.3516</v>
      </c>
      <c r="J4028" s="455">
        <f t="array" ref="J4028">IFERROR(INDEX('Retirement Calculator'!K:K,MATCH('Lorri 401b'!N4028,'Retirement Calculator'!A:A,0),0),0)</f>
        <v>0</v>
      </c>
      <c r="K4028" s="455">
        <f t="shared" ca="1" si="158"/>
        <v>-29077650945.551468</v>
      </c>
      <c r="L4028" s="455">
        <f t="shared" ca="1" si="159"/>
        <v>-7007713877877.9033</v>
      </c>
      <c r="M4028" s="471">
        <f t="shared" si="161"/>
        <v>0.05</v>
      </c>
      <c r="N4028" s="475">
        <f t="shared" si="162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60"/>
        <v>-7007713877877.9033</v>
      </c>
      <c r="J4029" s="455">
        <f t="array" ref="J4029">IFERROR(INDEX('Retirement Calculator'!K:K,MATCH('Lorri 401b'!N4029,'Retirement Calculator'!A:A,0),0),0)</f>
        <v>0</v>
      </c>
      <c r="K4029" s="455">
        <f t="shared" ca="1" si="158"/>
        <v>-29198807824.491264</v>
      </c>
      <c r="L4029" s="455">
        <f t="shared" ca="1" si="159"/>
        <v>-7036912685702.3945</v>
      </c>
      <c r="M4029" s="471">
        <f t="shared" si="161"/>
        <v>0.05</v>
      </c>
      <c r="N4029" s="475">
        <f t="shared" si="162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60"/>
        <v>-7036912685702.3945</v>
      </c>
      <c r="J4030" s="455">
        <f t="array" ref="J4030">IFERROR(INDEX('Retirement Calculator'!K:K,MATCH('Lorri 401b'!N4030,'Retirement Calculator'!A:A,0),0),0)</f>
        <v>0</v>
      </c>
      <c r="K4030" s="455">
        <f t="shared" ca="1" si="158"/>
        <v>-29320469523.759975</v>
      </c>
      <c r="L4030" s="455">
        <f t="shared" ca="1" si="159"/>
        <v>-7066233155226.1543</v>
      </c>
      <c r="M4030" s="471">
        <f t="shared" si="161"/>
        <v>0.05</v>
      </c>
      <c r="N4030" s="475">
        <f t="shared" si="162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60"/>
        <v>-7066233155226.1543</v>
      </c>
      <c r="J4031" s="455">
        <f t="array" ref="J4031">IFERROR(INDEX('Retirement Calculator'!K:K,MATCH('Lorri 401b'!N4031,'Retirement Calculator'!A:A,0),0),0)</f>
        <v>0</v>
      </c>
      <c r="K4031" s="455">
        <f t="shared" ca="1" si="158"/>
        <v>-29442638146.775646</v>
      </c>
      <c r="L4031" s="455">
        <f t="shared" ca="1" si="159"/>
        <v>-7095675793372.9297</v>
      </c>
      <c r="M4031" s="471">
        <f t="shared" si="161"/>
        <v>0.05</v>
      </c>
      <c r="N4031" s="475">
        <f t="shared" si="162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60"/>
        <v>-7095675793372.9297</v>
      </c>
      <c r="J4032" s="455">
        <f t="array" ref="J4032">IFERROR(INDEX('Retirement Calculator'!K:K,MATCH('Lorri 401b'!N4032,'Retirement Calculator'!A:A,0),0),0)</f>
        <v>0</v>
      </c>
      <c r="K4032" s="455">
        <f t="shared" ca="1" si="158"/>
        <v>-29565315805.720539</v>
      </c>
      <c r="L4032" s="455">
        <f t="shared" ca="1" si="159"/>
        <v>-7125241109178.6504</v>
      </c>
      <c r="M4032" s="471">
        <f t="shared" si="161"/>
        <v>0.05</v>
      </c>
      <c r="N4032" s="475">
        <f t="shared" si="162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60"/>
        <v>-7125241109178.6504</v>
      </c>
      <c r="J4033" s="455">
        <f t="array" ref="J4033">IFERROR(INDEX('Retirement Calculator'!K:K,MATCH('Lorri 401b'!N4033,'Retirement Calculator'!A:A,0),0),0)</f>
        <v>0</v>
      </c>
      <c r="K4033" s="455">
        <f t="shared" ca="1" si="158"/>
        <v>-29688504621.577713</v>
      </c>
      <c r="L4033" s="455">
        <f t="shared" ca="1" si="159"/>
        <v>-7154929613800.2285</v>
      </c>
      <c r="M4033" s="471">
        <f t="shared" si="161"/>
        <v>0.05</v>
      </c>
      <c r="N4033" s="475">
        <f t="shared" si="162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60"/>
        <v>-7154929613800.2285</v>
      </c>
      <c r="J4034" s="455">
        <f t="array" ref="J4034">IFERROR(INDEX('Retirement Calculator'!K:K,MATCH('Lorri 401b'!N4034,'Retirement Calculator'!A:A,0),0),0)</f>
        <v>0</v>
      </c>
      <c r="K4034" s="455">
        <f t="shared" ca="1" si="158"/>
        <v>-29812206724.167618</v>
      </c>
      <c r="L4034" s="455">
        <f t="shared" ca="1" si="159"/>
        <v>-7184741820524.3965</v>
      </c>
      <c r="M4034" s="471">
        <f t="shared" si="161"/>
        <v>0.05</v>
      </c>
      <c r="N4034" s="475">
        <f t="shared" si="162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60"/>
        <v>-7184741820524.3965</v>
      </c>
      <c r="J4035" s="455">
        <f t="array" ref="J4035">IFERROR(INDEX('Retirement Calculator'!K:K,MATCH('Lorri 401b'!N4035,'Retirement Calculator'!A:A,0),0),0)</f>
        <v>0</v>
      </c>
      <c r="K4035" s="455">
        <f t="shared" ca="1" si="158"/>
        <v>-29936424252.184986</v>
      </c>
      <c r="L4035" s="455">
        <f t="shared" ca="1" si="159"/>
        <v>-7214678244776.5811</v>
      </c>
      <c r="M4035" s="471">
        <f t="shared" si="161"/>
        <v>0.05</v>
      </c>
      <c r="N4035" s="475">
        <f t="shared" si="162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60"/>
        <v>-7214678244776.5811</v>
      </c>
      <c r="J4036" s="455">
        <f t="array" ref="J4036">IFERROR(INDEX('Retirement Calculator'!K:K,MATCH('Lorri 401b'!N4036,'Retirement Calculator'!A:A,0),0),0)</f>
        <v>0</v>
      </c>
      <c r="K4036" s="455">
        <f t="shared" ca="1" si="158"/>
        <v>-30061159353.235752</v>
      </c>
      <c r="L4036" s="455">
        <f t="shared" ca="1" si="159"/>
        <v>-7244739404129.8164</v>
      </c>
      <c r="M4036" s="471">
        <f t="shared" si="161"/>
        <v>0.05</v>
      </c>
      <c r="N4036" s="475">
        <f t="shared" si="162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60"/>
        <v>-7244739404129.8164</v>
      </c>
      <c r="J4037" s="455">
        <f t="array" ref="J4037">IFERROR(INDEX('Retirement Calculator'!K:K,MATCH('Lorri 401b'!N4037,'Retirement Calculator'!A:A,0),0),0)</f>
        <v>0</v>
      </c>
      <c r="K4037" s="455">
        <f t="shared" ca="1" si="158"/>
        <v>-30186414183.874233</v>
      </c>
      <c r="L4037" s="455">
        <f t="shared" ca="1" si="159"/>
        <v>-7274925818313.6904</v>
      </c>
      <c r="M4037" s="471">
        <f t="shared" si="161"/>
        <v>0.05</v>
      </c>
      <c r="N4037" s="475">
        <f t="shared" si="162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60"/>
        <v>-7274925818313.6904</v>
      </c>
      <c r="J4038" s="455">
        <f t="array" ref="J4038">IFERROR(INDEX('Retirement Calculator'!K:K,MATCH('Lorri 401b'!N4038,'Retirement Calculator'!A:A,0),0),0)</f>
        <v>0</v>
      </c>
      <c r="K4038" s="455">
        <f t="shared" ca="1" si="158"/>
        <v>-30312190909.640377</v>
      </c>
      <c r="L4038" s="455">
        <f t="shared" ca="1" si="159"/>
        <v>-7305238009223.3311</v>
      </c>
      <c r="M4038" s="471">
        <f t="shared" si="161"/>
        <v>0.05</v>
      </c>
      <c r="N4038" s="475">
        <f t="shared" si="162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60"/>
        <v>-7305238009223.3311</v>
      </c>
      <c r="J4039" s="455">
        <f t="array" ref="J4039">IFERROR(INDEX('Retirement Calculator'!K:K,MATCH('Lorri 401b'!N4039,'Retirement Calculator'!A:A,0),0),0)</f>
        <v>0</v>
      </c>
      <c r="K4039" s="455">
        <f t="shared" ca="1" si="158"/>
        <v>-30438491705.097214</v>
      </c>
      <c r="L4039" s="455">
        <f t="shared" ca="1" si="159"/>
        <v>-7335676500928.4287</v>
      </c>
      <c r="M4039" s="471">
        <f t="shared" si="161"/>
        <v>0.05</v>
      </c>
      <c r="N4039" s="475">
        <f t="shared" si="162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60"/>
        <v>-7335676500928.4287</v>
      </c>
      <c r="J4040" s="455">
        <f t="array" ref="J4040">IFERROR(INDEX('Retirement Calculator'!K:K,MATCH('Lorri 401b'!N4040,'Retirement Calculator'!A:A,0),0),0)</f>
        <v>0</v>
      </c>
      <c r="K4040" s="455">
        <f t="shared" ca="1" si="158"/>
        <v>-30565318753.868458</v>
      </c>
      <c r="L4040" s="455">
        <f t="shared" ca="1" si="159"/>
        <v>-7366241819682.2969</v>
      </c>
      <c r="M4040" s="471">
        <f t="shared" si="161"/>
        <v>0.05</v>
      </c>
      <c r="N4040" s="475">
        <f t="shared" si="162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60"/>
        <v>-7366241819682.2969</v>
      </c>
      <c r="J4041" s="455">
        <f t="array" ref="J4041">IFERROR(INDEX('Retirement Calculator'!K:K,MATCH('Lorri 401b'!N4041,'Retirement Calculator'!A:A,0),0),0)</f>
        <v>0</v>
      </c>
      <c r="K4041" s="455">
        <f t="shared" ca="1" si="158"/>
        <v>-30692674248.676231</v>
      </c>
      <c r="L4041" s="455">
        <f t="shared" ca="1" si="159"/>
        <v>-7396934493930.9727</v>
      </c>
      <c r="M4041" s="471">
        <f t="shared" si="161"/>
        <v>0.05</v>
      </c>
      <c r="N4041" s="475">
        <f t="shared" si="162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60"/>
        <v>-7396934493930.9727</v>
      </c>
      <c r="J4042" s="455">
        <f t="array" ref="J4042">IFERROR(INDEX('Retirement Calculator'!K:K,MATCH('Lorri 401b'!N4042,'Retirement Calculator'!A:A,0),0),0)</f>
        <v>0</v>
      </c>
      <c r="K4042" s="455">
        <f t="shared" ca="1" si="158"/>
        <v>-30820560391.379051</v>
      </c>
      <c r="L4042" s="455">
        <f t="shared" ca="1" si="159"/>
        <v>-7427755054322.3516</v>
      </c>
      <c r="M4042" s="471">
        <f t="shared" si="161"/>
        <v>0.05</v>
      </c>
      <c r="N4042" s="475">
        <f t="shared" si="162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60"/>
        <v>-7427755054322.3516</v>
      </c>
      <c r="J4043" s="455">
        <f t="array" ref="J4043">IFERROR(INDEX('Retirement Calculator'!K:K,MATCH('Lorri 401b'!N4043,'Retirement Calculator'!A:A,0),0),0)</f>
        <v>0</v>
      </c>
      <c r="K4043" s="455">
        <f t="shared" ca="1" si="158"/>
        <v>-30948979393.0098</v>
      </c>
      <c r="L4043" s="455">
        <f t="shared" ca="1" si="159"/>
        <v>-7458704033715.3613</v>
      </c>
      <c r="M4043" s="471">
        <f t="shared" si="161"/>
        <v>0.05</v>
      </c>
      <c r="N4043" s="475">
        <f t="shared" si="162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60"/>
        <v>-7458704033715.3613</v>
      </c>
      <c r="J4044" s="455">
        <f t="array" ref="J4044">IFERROR(INDEX('Retirement Calculator'!K:K,MATCH('Lorri 401b'!N4044,'Retirement Calculator'!A:A,0),0),0)</f>
        <v>0</v>
      </c>
      <c r="K4044" s="455">
        <f t="shared" ca="1" si="158"/>
        <v>-31077933473.814011</v>
      </c>
      <c r="L4044" s="455">
        <f t="shared" ca="1" si="159"/>
        <v>-7489781967189.1758</v>
      </c>
      <c r="M4044" s="471">
        <f t="shared" si="161"/>
        <v>0.05</v>
      </c>
      <c r="N4044" s="475">
        <f t="shared" si="162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60"/>
        <v>-7489781967189.1758</v>
      </c>
      <c r="J4045" s="455">
        <f t="array" ref="J4045">IFERROR(INDEX('Retirement Calculator'!K:K,MATCH('Lorri 401b'!N4045,'Retirement Calculator'!A:A,0),0),0)</f>
        <v>0</v>
      </c>
      <c r="K4045" s="455">
        <f t="shared" ca="1" si="158"/>
        <v>-31207424863.288231</v>
      </c>
      <c r="L4045" s="455">
        <f t="shared" ca="1" si="159"/>
        <v>-7520989392052.4639</v>
      </c>
      <c r="M4045" s="471">
        <f t="shared" si="161"/>
        <v>0.05</v>
      </c>
      <c r="N4045" s="475">
        <f t="shared" si="162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60"/>
        <v>-7520989392052.4639</v>
      </c>
      <c r="J4046" s="455">
        <f t="array" ref="J4046">IFERROR(INDEX('Retirement Calculator'!K:K,MATCH('Lorri 401b'!N4046,'Retirement Calculator'!A:A,0),0),0)</f>
        <v>0</v>
      </c>
      <c r="K4046" s="455">
        <f t="shared" ca="1" si="158"/>
        <v>-31337455800.218597</v>
      </c>
      <c r="L4046" s="455">
        <f t="shared" ca="1" si="159"/>
        <v>-7552326847852.6826</v>
      </c>
      <c r="M4046" s="471">
        <f t="shared" si="161"/>
        <v>0.05</v>
      </c>
      <c r="N4046" s="475">
        <f t="shared" si="162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60"/>
        <v>-7552326847852.6826</v>
      </c>
      <c r="J4047" s="455">
        <f t="array" ref="J4047">IFERROR(INDEX('Retirement Calculator'!K:K,MATCH('Lorri 401b'!N4047,'Retirement Calculator'!A:A,0),0),0)</f>
        <v>0</v>
      </c>
      <c r="K4047" s="455">
        <f t="shared" ca="1" si="158"/>
        <v>-31468028532.719509</v>
      </c>
      <c r="L4047" s="455">
        <f t="shared" ca="1" si="159"/>
        <v>-7583794876385.4023</v>
      </c>
      <c r="M4047" s="471">
        <f t="shared" si="161"/>
        <v>0.05</v>
      </c>
      <c r="N4047" s="475">
        <f t="shared" si="162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60"/>
        <v>-7583794876385.4023</v>
      </c>
      <c r="J4048" s="455">
        <f t="array" ref="J4048">IFERROR(INDEX('Retirement Calculator'!K:K,MATCH('Lorri 401b'!N4048,'Retirement Calculator'!A:A,0),0),0)</f>
        <v>0</v>
      </c>
      <c r="K4048" s="455">
        <f t="shared" ca="1" si="158"/>
        <v>-31599145318.272507</v>
      </c>
      <c r="L4048" s="455">
        <f t="shared" ca="1" si="159"/>
        <v>-7615394021703.6748</v>
      </c>
      <c r="M4048" s="471">
        <f t="shared" si="161"/>
        <v>0.05</v>
      </c>
      <c r="N4048" s="475">
        <f t="shared" si="162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60"/>
        <v>-7615394021703.6748</v>
      </c>
      <c r="J4049" s="455">
        <f t="array" ref="J4049">IFERROR(INDEX('Retirement Calculator'!K:K,MATCH('Lorri 401b'!N4049,'Retirement Calculator'!A:A,0),0),0)</f>
        <v>0</v>
      </c>
      <c r="K4049" s="455">
        <f t="shared" ca="1" si="158"/>
        <v>-31730808423.765312</v>
      </c>
      <c r="L4049" s="455">
        <f t="shared" ca="1" si="159"/>
        <v>-7647124830127.4404</v>
      </c>
      <c r="M4049" s="471">
        <f t="shared" si="161"/>
        <v>0.05</v>
      </c>
      <c r="N4049" s="475">
        <f t="shared" si="162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60"/>
        <v>-7647124830127.4404</v>
      </c>
      <c r="J4050" s="455">
        <f t="array" ref="J4050">IFERROR(INDEX('Retirement Calculator'!K:K,MATCH('Lorri 401b'!N4050,'Retirement Calculator'!A:A,0),0),0)</f>
        <v>0</v>
      </c>
      <c r="K4050" s="455">
        <f t="shared" ca="1" si="158"/>
        <v>-31863020125.531002</v>
      </c>
      <c r="L4050" s="455">
        <f t="shared" ca="1" si="159"/>
        <v>-7678987850252.9717</v>
      </c>
      <c r="M4050" s="471">
        <f t="shared" si="161"/>
        <v>0.05</v>
      </c>
      <c r="N4050" s="475">
        <f t="shared" si="162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60"/>
        <v>-7678987850252.9717</v>
      </c>
      <c r="J4051" s="455">
        <f t="array" ref="J4051">IFERROR(INDEX('Retirement Calculator'!K:K,MATCH('Lorri 401b'!N4051,'Retirement Calculator'!A:A,0),0),0)</f>
        <v>0</v>
      </c>
      <c r="K4051" s="455">
        <f t="shared" ca="1" si="158"/>
        <v>-31995782709.387383</v>
      </c>
      <c r="L4051" s="455">
        <f t="shared" ca="1" si="159"/>
        <v>-7710983632962.3594</v>
      </c>
      <c r="M4051" s="471">
        <f t="shared" si="161"/>
        <v>0.05</v>
      </c>
      <c r="N4051" s="475">
        <f t="shared" si="162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60"/>
        <v>-7710983632962.3594</v>
      </c>
      <c r="J4052" s="455">
        <f t="array" ref="J4052">IFERROR(INDEX('Retirement Calculator'!K:K,MATCH('Lorri 401b'!N4052,'Retirement Calculator'!A:A,0),0),0)</f>
        <v>0</v>
      </c>
      <c r="K4052" s="455">
        <f t="shared" ca="1" si="158"/>
        <v>-32129098470.676495</v>
      </c>
      <c r="L4052" s="455">
        <f t="shared" ca="1" si="159"/>
        <v>-7743112731433.0361</v>
      </c>
      <c r="M4052" s="471">
        <f t="shared" si="161"/>
        <v>0.05</v>
      </c>
      <c r="N4052" s="475">
        <f t="shared" si="162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60"/>
        <v>-7743112731433.0361</v>
      </c>
      <c r="J4053" s="455">
        <f t="array" ref="J4053">IFERROR(INDEX('Retirement Calculator'!K:K,MATCH('Lorri 401b'!N4053,'Retirement Calculator'!A:A,0),0),0)</f>
        <v>0</v>
      </c>
      <c r="K4053" s="455">
        <f t="shared" ca="1" si="158"/>
        <v>-32262969714.304314</v>
      </c>
      <c r="L4053" s="455">
        <f t="shared" ca="1" si="159"/>
        <v>-7775375701147.3408</v>
      </c>
      <c r="M4053" s="471">
        <f t="shared" si="161"/>
        <v>0.05</v>
      </c>
      <c r="N4053" s="475">
        <f t="shared" si="162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60"/>
        <v>-7775375701147.3408</v>
      </c>
      <c r="J4054" s="455">
        <f t="array" ref="J4054">IFERROR(INDEX('Retirement Calculator'!K:K,MATCH('Lorri 401b'!N4054,'Retirement Calculator'!A:A,0),0),0)</f>
        <v>0</v>
      </c>
      <c r="K4054" s="455">
        <f t="shared" ca="1" si="158"/>
        <v>-32397398754.780586</v>
      </c>
      <c r="L4054" s="455">
        <f t="shared" ca="1" si="159"/>
        <v>-7807773099902.1211</v>
      </c>
      <c r="M4054" s="471">
        <f t="shared" si="161"/>
        <v>0.05</v>
      </c>
      <c r="N4054" s="475">
        <f t="shared" si="162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60"/>
        <v>-7807773099902.1211</v>
      </c>
      <c r="J4055" s="455">
        <f t="array" ref="J4055">IFERROR(INDEX('Retirement Calculator'!K:K,MATCH('Lorri 401b'!N4055,'Retirement Calculator'!A:A,0),0),0)</f>
        <v>0</v>
      </c>
      <c r="K4055" s="455">
        <f t="shared" ca="1" si="158"/>
        <v>-32532387916.258842</v>
      </c>
      <c r="L4055" s="455">
        <f t="shared" ca="1" si="159"/>
        <v>-7840305487818.3799</v>
      </c>
      <c r="M4055" s="471">
        <f t="shared" si="161"/>
        <v>0.05</v>
      </c>
      <c r="N4055" s="475">
        <f t="shared" si="162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60"/>
        <v>-7840305487818.3799</v>
      </c>
      <c r="J4056" s="455">
        <f t="array" ref="J4056">IFERROR(INDEX('Retirement Calculator'!K:K,MATCH('Lorri 401b'!N4056,'Retirement Calculator'!A:A,0),0),0)</f>
        <v>0</v>
      </c>
      <c r="K4056" s="455">
        <f t="shared" ca="1" si="158"/>
        <v>-32667939532.576584</v>
      </c>
      <c r="L4056" s="455">
        <f t="shared" ca="1" si="159"/>
        <v>-7872973427350.9561</v>
      </c>
      <c r="M4056" s="471">
        <f t="shared" si="161"/>
        <v>0.05</v>
      </c>
      <c r="N4056" s="475">
        <f t="shared" si="162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60"/>
        <v>-7872973427350.9561</v>
      </c>
      <c r="J4057" s="455">
        <f t="array" ref="J4057">IFERROR(INDEX('Retirement Calculator'!K:K,MATCH('Lorri 401b'!N4057,'Retirement Calculator'!A:A,0),0),0)</f>
        <v>0</v>
      </c>
      <c r="K4057" s="455">
        <f t="shared" ca="1" si="158"/>
        <v>-32804055947.295647</v>
      </c>
      <c r="L4057" s="455">
        <f t="shared" ca="1" si="159"/>
        <v>-7905777483298.252</v>
      </c>
      <c r="M4057" s="471">
        <f t="shared" si="161"/>
        <v>0.05</v>
      </c>
      <c r="N4057" s="475">
        <f t="shared" si="162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60"/>
        <v>-7905777483298.252</v>
      </c>
      <c r="J4058" s="455">
        <f t="array" ref="J4058">IFERROR(INDEX('Retirement Calculator'!K:K,MATCH('Lorri 401b'!N4058,'Retirement Calculator'!A:A,0),0),0)</f>
        <v>0</v>
      </c>
      <c r="K4058" s="455">
        <f t="shared" ca="1" si="158"/>
        <v>-32940739513.742722</v>
      </c>
      <c r="L4058" s="455">
        <f t="shared" ca="1" si="159"/>
        <v>-7938718222811.9951</v>
      </c>
      <c r="M4058" s="471">
        <f t="shared" si="161"/>
        <v>0.05</v>
      </c>
      <c r="N4058" s="475">
        <f t="shared" si="162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60"/>
        <v>-7938718222811.9951</v>
      </c>
      <c r="J4059" s="455">
        <f t="array" ref="J4059">IFERROR(INDEX('Retirement Calculator'!K:K,MATCH('Lorri 401b'!N4059,'Retirement Calculator'!A:A,0),0),0)</f>
        <v>0</v>
      </c>
      <c r="K4059" s="455">
        <f t="shared" ca="1" si="158"/>
        <v>-33077992595.04998</v>
      </c>
      <c r="L4059" s="455">
        <f t="shared" ca="1" si="159"/>
        <v>-7971796215407.0449</v>
      </c>
      <c r="M4059" s="471">
        <f t="shared" si="161"/>
        <v>0.05</v>
      </c>
      <c r="N4059" s="475">
        <f t="shared" si="162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60"/>
        <v>-7971796215407.0449</v>
      </c>
      <c r="J4060" s="455">
        <f t="array" ref="J4060">IFERROR(INDEX('Retirement Calculator'!K:K,MATCH('Lorri 401b'!N4060,'Retirement Calculator'!A:A,0),0),0)</f>
        <v>0</v>
      </c>
      <c r="K4060" s="455">
        <f t="shared" ca="1" si="158"/>
        <v>-33215817564.196018</v>
      </c>
      <c r="L4060" s="455">
        <f t="shared" ca="1" si="159"/>
        <v>-8005012032971.2412</v>
      </c>
      <c r="M4060" s="471">
        <f t="shared" si="161"/>
        <v>0.05</v>
      </c>
      <c r="N4060" s="475">
        <f t="shared" si="162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60"/>
        <v>-8005012032971.2412</v>
      </c>
      <c r="J4061" s="455">
        <f t="array" ref="J4061">IFERROR(INDEX('Retirement Calculator'!K:K,MATCH('Lorri 401b'!N4061,'Retirement Calculator'!A:A,0),0),0)</f>
        <v>0</v>
      </c>
      <c r="K4061" s="455">
        <f t="shared" ca="1" si="158"/>
        <v>-33354216804.046833</v>
      </c>
      <c r="L4061" s="455">
        <f t="shared" ca="1" si="159"/>
        <v>-8038366249775.2881</v>
      </c>
      <c r="M4061" s="471">
        <f t="shared" si="161"/>
        <v>0.05</v>
      </c>
      <c r="N4061" s="475">
        <f t="shared" si="162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60"/>
        <v>-8038366249775.2881</v>
      </c>
      <c r="J4062" s="455">
        <f t="array" ref="J4062">IFERROR(INDEX('Retirement Calculator'!K:K,MATCH('Lorri 401b'!N4062,'Retirement Calculator'!A:A,0),0),0)</f>
        <v>0</v>
      </c>
      <c r="K4062" s="455">
        <f t="shared" ca="1" si="158"/>
        <v>-33493192707.397034</v>
      </c>
      <c r="L4062" s="455">
        <f t="shared" ca="1" si="159"/>
        <v>-8071859442482.6855</v>
      </c>
      <c r="M4062" s="471">
        <f t="shared" si="161"/>
        <v>0.05</v>
      </c>
      <c r="N4062" s="475">
        <f t="shared" si="162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60"/>
        <v>-8071859442482.6855</v>
      </c>
      <c r="J4063" s="455">
        <f t="array" ref="J4063">IFERROR(INDEX('Retirement Calculator'!K:K,MATCH('Lorri 401b'!N4063,'Retirement Calculator'!A:A,0),0),0)</f>
        <v>0</v>
      </c>
      <c r="K4063" s="455">
        <f t="shared" ca="1" si="158"/>
        <v>-33632747677.011192</v>
      </c>
      <c r="L4063" s="455">
        <f t="shared" ca="1" si="159"/>
        <v>-8105492190159.6963</v>
      </c>
      <c r="M4063" s="471">
        <f t="shared" si="161"/>
        <v>0.05</v>
      </c>
      <c r="N4063" s="475">
        <f t="shared" si="162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60"/>
        <v>-8105492190159.6963</v>
      </c>
      <c r="J4064" s="455">
        <f t="array" ref="J4064">IFERROR(INDEX('Retirement Calculator'!K:K,MATCH('Lorri 401b'!N4064,'Retirement Calculator'!A:A,0),0),0)</f>
        <v>0</v>
      </c>
      <c r="K4064" s="455">
        <f t="shared" ca="1" si="158"/>
        <v>-33772884125.665401</v>
      </c>
      <c r="L4064" s="455">
        <f t="shared" ca="1" si="159"/>
        <v>-8139265074285.3613</v>
      </c>
      <c r="M4064" s="471">
        <f t="shared" si="161"/>
        <v>0.05</v>
      </c>
      <c r="N4064" s="475">
        <f t="shared" si="162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60"/>
        <v>-8139265074285.3613</v>
      </c>
      <c r="J4065" s="455">
        <f t="array" ref="J4065">IFERROR(INDEX('Retirement Calculator'!K:K,MATCH('Lorri 401b'!N4065,'Retirement Calculator'!A:A,0),0),0)</f>
        <v>0</v>
      </c>
      <c r="K4065" s="455">
        <f t="shared" ca="1" si="158"/>
        <v>-33913604476.189007</v>
      </c>
      <c r="L4065" s="455">
        <f t="shared" ca="1" si="159"/>
        <v>-8173178678761.5508</v>
      </c>
      <c r="M4065" s="471">
        <f t="shared" si="161"/>
        <v>0.05</v>
      </c>
      <c r="N4065" s="475">
        <f t="shared" si="162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60"/>
        <v>-8173178678761.5508</v>
      </c>
      <c r="J4066" s="455">
        <f t="array" ref="J4066">IFERROR(INDEX('Retirement Calculator'!K:K,MATCH('Lorri 401b'!N4066,'Retirement Calculator'!A:A,0),0),0)</f>
        <v>0</v>
      </c>
      <c r="K4066" s="455">
        <f t="shared" ca="1" si="158"/>
        <v>-34054911161.506462</v>
      </c>
      <c r="L4066" s="455">
        <f t="shared" ca="1" si="159"/>
        <v>-8207233589923.0576</v>
      </c>
      <c r="M4066" s="471">
        <f t="shared" si="161"/>
        <v>0.05</v>
      </c>
      <c r="N4066" s="475">
        <f t="shared" si="162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60"/>
        <v>-8207233589923.0576</v>
      </c>
      <c r="J4067" s="455">
        <f t="array" ref="J4067">IFERROR(INDEX('Retirement Calculator'!K:K,MATCH('Lorri 401b'!N4067,'Retirement Calculator'!A:A,0),0),0)</f>
        <v>0</v>
      </c>
      <c r="K4067" s="455">
        <f t="shared" ca="1" si="158"/>
        <v>-34196806624.679405</v>
      </c>
      <c r="L4067" s="455">
        <f t="shared" ca="1" si="159"/>
        <v>-8241430396547.7373</v>
      </c>
      <c r="M4067" s="471">
        <f t="shared" si="161"/>
        <v>0.05</v>
      </c>
      <c r="N4067" s="475">
        <f t="shared" si="162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60"/>
        <v>-8241430396547.7373</v>
      </c>
      <c r="J4068" s="455">
        <f t="array" ref="J4068">IFERROR(INDEX('Retirement Calculator'!K:K,MATCH('Lorri 401b'!N4068,'Retirement Calculator'!A:A,0),0),0)</f>
        <v>0</v>
      </c>
      <c r="K4068" s="455">
        <f t="shared" ca="1" si="158"/>
        <v>-34339293318.948906</v>
      </c>
      <c r="L4068" s="455">
        <f t="shared" ca="1" si="159"/>
        <v>-8275769689866.6865</v>
      </c>
      <c r="M4068" s="471">
        <f t="shared" si="161"/>
        <v>0.05</v>
      </c>
      <c r="N4068" s="475">
        <f t="shared" si="162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60"/>
        <v>-8275769689866.6865</v>
      </c>
      <c r="J4069" s="455">
        <f t="array" ref="J4069">IFERROR(INDEX('Retirement Calculator'!K:K,MATCH('Lorri 401b'!N4069,'Retirement Calculator'!A:A,0),0),0)</f>
        <v>0</v>
      </c>
      <c r="K4069" s="455">
        <f t="shared" ca="1" si="158"/>
        <v>-34482373707.777863</v>
      </c>
      <c r="L4069" s="455">
        <f t="shared" ca="1" si="159"/>
        <v>-8310252063574.4648</v>
      </c>
      <c r="M4069" s="471">
        <f t="shared" si="161"/>
        <v>0.05</v>
      </c>
      <c r="N4069" s="475">
        <f t="shared" si="162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60"/>
        <v>-8310252063574.4648</v>
      </c>
      <c r="J4070" s="455">
        <f t="array" ref="J4070">IFERROR(INDEX('Retirement Calculator'!K:K,MATCH('Lorri 401b'!N4070,'Retirement Calculator'!A:A,0),0),0)</f>
        <v>0</v>
      </c>
      <c r="K4070" s="455">
        <f t="shared" ca="1" si="158"/>
        <v>-34626050264.8936</v>
      </c>
      <c r="L4070" s="455">
        <f t="shared" ca="1" si="159"/>
        <v>-8344878113839.3584</v>
      </c>
      <c r="M4070" s="471">
        <f t="shared" si="161"/>
        <v>0.05</v>
      </c>
      <c r="N4070" s="475">
        <f t="shared" si="162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60"/>
        <v>-8344878113839.3584</v>
      </c>
      <c r="J4071" s="455">
        <f t="array" ref="J4071">IFERROR(INDEX('Retirement Calculator'!K:K,MATCH('Lorri 401b'!N4071,'Retirement Calculator'!A:A,0),0),0)</f>
        <v>0</v>
      </c>
      <c r="K4071" s="455">
        <f t="shared" ca="1" si="158"/>
        <v>-34770325474.330666</v>
      </c>
      <c r="L4071" s="455">
        <f t="shared" ca="1" si="159"/>
        <v>-8379648439313.6895</v>
      </c>
      <c r="M4071" s="471">
        <f t="shared" si="161"/>
        <v>0.05</v>
      </c>
      <c r="N4071" s="475">
        <f t="shared" si="162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60"/>
        <v>-8379648439313.6895</v>
      </c>
      <c r="J4072" s="455">
        <f t="array" ref="J4072">IFERROR(INDEX('Retirement Calculator'!K:K,MATCH('Lorri 401b'!N4072,'Retirement Calculator'!A:A,0),0),0)</f>
        <v>0</v>
      </c>
      <c r="K4072" s="455">
        <f t="shared" ca="1" si="158"/>
        <v>-34915201830.473709</v>
      </c>
      <c r="L4072" s="455">
        <f t="shared" ca="1" si="159"/>
        <v>-8414563641144.1631</v>
      </c>
      <c r="M4072" s="471">
        <f t="shared" si="161"/>
        <v>0.05</v>
      </c>
      <c r="N4072" s="475">
        <f t="shared" si="162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60"/>
        <v>-8414563641144.1631</v>
      </c>
      <c r="J4073" s="455">
        <f t="array" ref="J4073">IFERROR(INDEX('Retirement Calculator'!K:K,MATCH('Lorri 401b'!N4073,'Retirement Calculator'!A:A,0),0),0)</f>
        <v>0</v>
      </c>
      <c r="K4073" s="455">
        <f t="shared" ca="1" si="158"/>
        <v>-35060681838.100677</v>
      </c>
      <c r="L4073" s="455">
        <f t="shared" ca="1" si="159"/>
        <v>-8449624322982.2637</v>
      </c>
      <c r="M4073" s="471">
        <f t="shared" si="161"/>
        <v>0.05</v>
      </c>
      <c r="N4073" s="475">
        <f t="shared" si="162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60"/>
        <v>-8449624322982.2637</v>
      </c>
      <c r="J4074" s="455">
        <f t="array" ref="J4074">IFERROR(INDEX('Retirement Calculator'!K:K,MATCH('Lorri 401b'!N4074,'Retirement Calculator'!A:A,0),0),0)</f>
        <v>0</v>
      </c>
      <c r="K4074" s="455">
        <f t="shared" ca="1" si="158"/>
        <v>-35206768012.426102</v>
      </c>
      <c r="L4074" s="455">
        <f t="shared" ca="1" si="159"/>
        <v>-8484831090994.6895</v>
      </c>
      <c r="M4074" s="471">
        <f t="shared" si="161"/>
        <v>0.05</v>
      </c>
      <c r="N4074" s="475">
        <f t="shared" si="162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60"/>
        <v>-8484831090994.6895</v>
      </c>
      <c r="J4075" s="455">
        <f t="array" ref="J4075">IFERROR(INDEX('Retirement Calculator'!K:K,MATCH('Lorri 401b'!N4075,'Retirement Calculator'!A:A,0),0),0)</f>
        <v>0</v>
      </c>
      <c r="K4075" s="455">
        <f t="shared" ca="1" si="158"/>
        <v>-35353462879.144539</v>
      </c>
      <c r="L4075" s="455">
        <f t="shared" ca="1" si="159"/>
        <v>-8520184553873.834</v>
      </c>
      <c r="M4075" s="471">
        <f t="shared" si="161"/>
        <v>0.05</v>
      </c>
      <c r="N4075" s="475">
        <f t="shared" si="162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60"/>
        <v>-8520184553873.834</v>
      </c>
      <c r="J4076" s="455">
        <f t="array" ref="J4076">IFERROR(INDEX('Retirement Calculator'!K:K,MATCH('Lorri 401b'!N4076,'Retirement Calculator'!A:A,0),0),0)</f>
        <v>0</v>
      </c>
      <c r="K4076" s="455">
        <f t="shared" ca="1" si="158"/>
        <v>-35500768974.474304</v>
      </c>
      <c r="L4076" s="455">
        <f t="shared" ca="1" si="159"/>
        <v>-8555685322848.3086</v>
      </c>
      <c r="M4076" s="471">
        <f t="shared" si="161"/>
        <v>0.05</v>
      </c>
      <c r="N4076" s="475">
        <f t="shared" si="162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60"/>
        <v>-8555685322848.3086</v>
      </c>
      <c r="J4077" s="455">
        <f t="array" ref="J4077">IFERROR(INDEX('Retirement Calculator'!K:K,MATCH('Lorri 401b'!N4077,'Retirement Calculator'!A:A,0),0),0)</f>
        <v>0</v>
      </c>
      <c r="K4077" s="455">
        <f t="shared" ca="1" si="158"/>
        <v>-35648688845.201286</v>
      </c>
      <c r="L4077" s="455">
        <f t="shared" ca="1" si="159"/>
        <v>-8591334011693.5098</v>
      </c>
      <c r="M4077" s="471">
        <f t="shared" si="161"/>
        <v>0.05</v>
      </c>
      <c r="N4077" s="475">
        <f t="shared" si="162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60"/>
        <v>-8591334011693.5098</v>
      </c>
      <c r="J4078" s="455">
        <f t="array" ref="J4078">IFERROR(INDEX('Retirement Calculator'!K:K,MATCH('Lorri 401b'!N4078,'Retirement Calculator'!A:A,0),0),0)</f>
        <v>0</v>
      </c>
      <c r="K4078" s="455">
        <f t="shared" ca="1" si="158"/>
        <v>-35797225048.722954</v>
      </c>
      <c r="L4078" s="455">
        <f t="shared" ca="1" si="159"/>
        <v>-8627131236742.2324</v>
      </c>
      <c r="M4078" s="471">
        <f t="shared" si="161"/>
        <v>0.05</v>
      </c>
      <c r="N4078" s="475">
        <f t="shared" si="162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60"/>
        <v>-8627131236742.2324</v>
      </c>
      <c r="J4079" s="455">
        <f t="array" ref="J4079">IFERROR(INDEX('Retirement Calculator'!K:K,MATCH('Lorri 401b'!N4079,'Retirement Calculator'!A:A,0),0),0)</f>
        <v>0</v>
      </c>
      <c r="K4079" s="455">
        <f t="shared" ca="1" si="158"/>
        <v>-35946380153.092636</v>
      </c>
      <c r="L4079" s="455">
        <f t="shared" ca="1" si="159"/>
        <v>-8663077616895.3252</v>
      </c>
      <c r="M4079" s="471">
        <f t="shared" si="161"/>
        <v>0.05</v>
      </c>
      <c r="N4079" s="475">
        <f t="shared" si="162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60"/>
        <v>-8663077616895.3252</v>
      </c>
      <c r="J4080" s="455">
        <f t="array" ref="J4080">IFERROR(INDEX('Retirement Calculator'!K:K,MATCH('Lorri 401b'!N4080,'Retirement Calculator'!A:A,0),0),0)</f>
        <v>0</v>
      </c>
      <c r="K4080" s="455">
        <f t="shared" ca="1" si="158"/>
        <v>-36096156737.063858</v>
      </c>
      <c r="L4080" s="455">
        <f t="shared" ca="1" si="159"/>
        <v>-8699173773632.3887</v>
      </c>
      <c r="M4080" s="471">
        <f t="shared" si="161"/>
        <v>0.05</v>
      </c>
      <c r="N4080" s="475">
        <f t="shared" si="162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60"/>
        <v>-8699173773632.3887</v>
      </c>
      <c r="J4081" s="455">
        <f t="array" ref="J4081">IFERROR(INDEX('Retirement Calculator'!K:K,MATCH('Lorri 401b'!N4081,'Retirement Calculator'!A:A,0),0),0)</f>
        <v>0</v>
      </c>
      <c r="K4081" s="455">
        <f t="shared" ca="1" si="158"/>
        <v>-36246557390.134949</v>
      </c>
      <c r="L4081" s="455">
        <f t="shared" ca="1" si="159"/>
        <v>-8735420331022.5234</v>
      </c>
      <c r="M4081" s="471">
        <f t="shared" si="161"/>
        <v>0.05</v>
      </c>
      <c r="N4081" s="475">
        <f t="shared" si="162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60"/>
        <v>-8735420331022.5234</v>
      </c>
      <c r="J4082" s="455">
        <f t="array" ref="J4082">IFERROR(INDEX('Retirement Calculator'!K:K,MATCH('Lorri 401b'!N4082,'Retirement Calculator'!A:A,0),0),0)</f>
        <v>0</v>
      </c>
      <c r="K4082" s="455">
        <f t="shared" ca="1" si="158"/>
        <v>-36397584712.593849</v>
      </c>
      <c r="L4082" s="455">
        <f t="shared" ca="1" si="159"/>
        <v>-8771817915735.1172</v>
      </c>
      <c r="M4082" s="471">
        <f t="shared" si="161"/>
        <v>0.05</v>
      </c>
      <c r="N4082" s="475">
        <f t="shared" si="162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60"/>
        <v>-8771817915735.1172</v>
      </c>
      <c r="J4083" s="455">
        <f t="array" ref="J4083">IFERROR(INDEX('Retirement Calculator'!K:K,MATCH('Lorri 401b'!N4083,'Retirement Calculator'!A:A,0),0),0)</f>
        <v>0</v>
      </c>
      <c r="K4083" s="455">
        <f t="shared" ca="1" si="158"/>
        <v>-36549241315.562988</v>
      </c>
      <c r="L4083" s="455">
        <f t="shared" ca="1" si="159"/>
        <v>-8808367157050.6797</v>
      </c>
      <c r="M4083" s="471">
        <f t="shared" si="161"/>
        <v>0.05</v>
      </c>
      <c r="N4083" s="475">
        <f t="shared" si="162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60"/>
        <v>-8808367157050.6797</v>
      </c>
      <c r="J4084" s="455">
        <f t="array" ref="J4084">IFERROR(INDEX('Retirement Calculator'!K:K,MATCH('Lorri 401b'!N4084,'Retirement Calculator'!A:A,0),0),0)</f>
        <v>0</v>
      </c>
      <c r="K4084" s="455">
        <f t="shared" ca="1" si="158"/>
        <v>-36701529821.044495</v>
      </c>
      <c r="L4084" s="455">
        <f t="shared" ca="1" si="159"/>
        <v>-8845068686871.7246</v>
      </c>
      <c r="M4084" s="471">
        <f t="shared" si="161"/>
        <v>0.05</v>
      </c>
      <c r="N4084" s="475">
        <f t="shared" si="162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60"/>
        <v>-8845068686871.7246</v>
      </c>
      <c r="J4085" s="455">
        <f t="array" ref="J4085">IFERROR(INDEX('Retirement Calculator'!K:K,MATCH('Lorri 401b'!N4085,'Retirement Calculator'!A:A,0),0),0)</f>
        <v>0</v>
      </c>
      <c r="K4085" s="455">
        <f t="shared" ca="1" si="158"/>
        <v>-36854452861.965515</v>
      </c>
      <c r="L4085" s="455">
        <f t="shared" ca="1" si="159"/>
        <v>-8881923139733.6895</v>
      </c>
      <c r="M4085" s="471">
        <f t="shared" si="161"/>
        <v>0.05</v>
      </c>
      <c r="N4085" s="475">
        <f t="shared" si="162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60"/>
        <v>-8881923139733.6895</v>
      </c>
      <c r="J4086" s="455">
        <f t="array" ref="J4086">IFERROR(INDEX('Retirement Calculator'!K:K,MATCH('Lorri 401b'!N4086,'Retirement Calculator'!A:A,0),0),0)</f>
        <v>0</v>
      </c>
      <c r="K4086" s="455">
        <f t="shared" ca="1" si="158"/>
        <v>-37008013082.223709</v>
      </c>
      <c r="L4086" s="455">
        <f t="shared" ca="1" si="159"/>
        <v>-8918931152815.9141</v>
      </c>
      <c r="M4086" s="471">
        <f t="shared" si="161"/>
        <v>0.05</v>
      </c>
      <c r="N4086" s="475">
        <f t="shared" si="162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60"/>
        <v>-8918931152815.9141</v>
      </c>
      <c r="J4087" s="455">
        <f t="array" ref="J4087">IFERROR(INDEX('Retirement Calculator'!K:K,MATCH('Lorri 401b'!N4087,'Retirement Calculator'!A:A,0),0),0)</f>
        <v>0</v>
      </c>
      <c r="K4087" s="455">
        <f t="shared" ca="1" si="158"/>
        <v>-37162213136.732971</v>
      </c>
      <c r="L4087" s="455">
        <f t="shared" ca="1" si="159"/>
        <v>-8956093365952.6465</v>
      </c>
      <c r="M4087" s="471">
        <f t="shared" si="161"/>
        <v>0.05</v>
      </c>
      <c r="N4087" s="475">
        <f t="shared" si="162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60"/>
        <v>-8956093365952.6465</v>
      </c>
      <c r="J4088" s="455">
        <f t="array" ref="J4088">IFERROR(INDEX('Retirement Calculator'!K:K,MATCH('Lorri 401b'!N4088,'Retirement Calculator'!A:A,0),0),0)</f>
        <v>0</v>
      </c>
      <c r="K4088" s="455">
        <f t="shared" ref="K4088:K4342" ca="1" si="163">IPMT(M4088/12,1,12,-I4088+J4088,,0)</f>
        <v>-37317055691.46936</v>
      </c>
      <c r="L4088" s="455">
        <f t="shared" ref="L4088:L4342" ca="1" si="164">I4088-J4088+K4088</f>
        <v>-8993410421644.1152</v>
      </c>
      <c r="M4088" s="471">
        <f t="shared" si="161"/>
        <v>0.05</v>
      </c>
      <c r="N4088" s="475">
        <f t="shared" si="162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65">L4088</f>
        <v>-8993410421644.1152</v>
      </c>
      <c r="J4089" s="455">
        <f t="array" ref="J4089">IFERROR(INDEX('Retirement Calculator'!K:K,MATCH('Lorri 401b'!N4089,'Retirement Calculator'!A:A,0),0),0)</f>
        <v>0</v>
      </c>
      <c r="K4089" s="455">
        <f t="shared" ca="1" si="163"/>
        <v>-37472543423.517143</v>
      </c>
      <c r="L4089" s="455">
        <f t="shared" ca="1" si="164"/>
        <v>-9030882965067.6328</v>
      </c>
      <c r="M4089" s="471">
        <f t="shared" ref="M4089:M4343" si="166">M4088</f>
        <v>0.05</v>
      </c>
      <c r="N4089" s="475">
        <f t="shared" ref="N4089:N4343" si="167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65"/>
        <v>-9030882965067.6328</v>
      </c>
      <c r="J4090" s="455">
        <f t="array" ref="J4090">IFERROR(INDEX('Retirement Calculator'!K:K,MATCH('Lorri 401b'!N4090,'Retirement Calculator'!A:A,0),0),0)</f>
        <v>0</v>
      </c>
      <c r="K4090" s="455">
        <f t="shared" ca="1" si="163"/>
        <v>-37628679021.115135</v>
      </c>
      <c r="L4090" s="455">
        <f t="shared" ca="1" si="164"/>
        <v>-9068511644088.748</v>
      </c>
      <c r="M4090" s="471">
        <f t="shared" si="166"/>
        <v>0.05</v>
      </c>
      <c r="N4090" s="475">
        <f t="shared" si="167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65"/>
        <v>-9068511644088.748</v>
      </c>
      <c r="J4091" s="455">
        <f t="array" ref="J4091">IFERROR(INDEX('Retirement Calculator'!K:K,MATCH('Lorri 401b'!N4091,'Retirement Calculator'!A:A,0),0),0)</f>
        <v>0</v>
      </c>
      <c r="K4091" s="455">
        <f t="shared" ca="1" si="163"/>
        <v>-37785465183.703117</v>
      </c>
      <c r="L4091" s="455">
        <f t="shared" ca="1" si="164"/>
        <v>-9106297109272.4512</v>
      </c>
      <c r="M4091" s="471">
        <f t="shared" si="166"/>
        <v>0.05</v>
      </c>
      <c r="N4091" s="475">
        <f t="shared" si="167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65"/>
        <v>-9106297109272.4512</v>
      </c>
      <c r="J4092" s="455">
        <f t="array" ref="J4092">IFERROR(INDEX('Retirement Calculator'!K:K,MATCH('Lorri 401b'!N4092,'Retirement Calculator'!A:A,0),0),0)</f>
        <v>0</v>
      </c>
      <c r="K4092" s="455">
        <f t="shared" ca="1" si="163"/>
        <v>-37942904621.968544</v>
      </c>
      <c r="L4092" s="455">
        <f t="shared" ca="1" si="164"/>
        <v>-9144240013894.4199</v>
      </c>
      <c r="M4092" s="471">
        <f t="shared" si="166"/>
        <v>0.05</v>
      </c>
      <c r="N4092" s="475">
        <f t="shared" si="167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65"/>
        <v>-9144240013894.4199</v>
      </c>
      <c r="J4093" s="455">
        <f t="array" ref="J4093">IFERROR(INDEX('Retirement Calculator'!K:K,MATCH('Lorri 401b'!N4093,'Retirement Calculator'!A:A,0),0),0)</f>
        <v>0</v>
      </c>
      <c r="K4093" s="455">
        <f t="shared" ca="1" si="163"/>
        <v>-38101000057.893417</v>
      </c>
      <c r="L4093" s="455">
        <f t="shared" ca="1" si="164"/>
        <v>-9182341013952.3125</v>
      </c>
      <c r="M4093" s="471">
        <f t="shared" si="166"/>
        <v>0.05</v>
      </c>
      <c r="N4093" s="475">
        <f t="shared" si="167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65"/>
        <v>-9182341013952.3125</v>
      </c>
      <c r="J4094" s="455">
        <f t="array" ref="J4094">IFERROR(INDEX('Retirement Calculator'!K:K,MATCH('Lorri 401b'!N4094,'Retirement Calculator'!A:A,0),0),0)</f>
        <v>0</v>
      </c>
      <c r="K4094" s="455">
        <f t="shared" ca="1" si="163"/>
        <v>-38259754224.8013</v>
      </c>
      <c r="L4094" s="455">
        <f t="shared" ca="1" si="164"/>
        <v>-9220600768177.1133</v>
      </c>
      <c r="M4094" s="471">
        <f t="shared" si="166"/>
        <v>0.05</v>
      </c>
      <c r="N4094" s="475">
        <f t="shared" si="167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65"/>
        <v>-9220600768177.1133</v>
      </c>
      <c r="J4095" s="455">
        <f t="array" ref="J4095">IFERROR(INDEX('Retirement Calculator'!K:K,MATCH('Lorri 401b'!N4095,'Retirement Calculator'!A:A,0),0),0)</f>
        <v>0</v>
      </c>
      <c r="K4095" s="455">
        <f t="shared" ca="1" si="163"/>
        <v>-38419169867.40464</v>
      </c>
      <c r="L4095" s="455">
        <f t="shared" ca="1" si="164"/>
        <v>-9259019938044.5176</v>
      </c>
      <c r="M4095" s="471">
        <f t="shared" si="166"/>
        <v>0.05</v>
      </c>
      <c r="N4095" s="475">
        <f t="shared" si="167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65"/>
        <v>-9259019938044.5176</v>
      </c>
      <c r="J4096" s="455">
        <f t="array" ref="J4096">IFERROR(INDEX('Retirement Calculator'!K:K,MATCH('Lorri 401b'!N4096,'Retirement Calculator'!A:A,0),0),0)</f>
        <v>0</v>
      </c>
      <c r="K4096" s="455">
        <f t="shared" ca="1" si="163"/>
        <v>-38579249741.852158</v>
      </c>
      <c r="L4096" s="455">
        <f t="shared" ca="1" si="164"/>
        <v>-9297599187786.3691</v>
      </c>
      <c r="M4096" s="471">
        <f t="shared" si="166"/>
        <v>0.05</v>
      </c>
      <c r="N4096" s="475">
        <f t="shared" si="167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65"/>
        <v>-9297599187786.3691</v>
      </c>
      <c r="J4097" s="455">
        <f t="array" ref="J4097">IFERROR(INDEX('Retirement Calculator'!K:K,MATCH('Lorri 401b'!N4097,'Retirement Calculator'!A:A,0),0),0)</f>
        <v>0</v>
      </c>
      <c r="K4097" s="455">
        <f t="shared" ca="1" si="163"/>
        <v>-38739996615.776535</v>
      </c>
      <c r="L4097" s="455">
        <f t="shared" ca="1" si="164"/>
        <v>-9336339184402.1465</v>
      </c>
      <c r="M4097" s="471">
        <f t="shared" si="166"/>
        <v>0.05</v>
      </c>
      <c r="N4097" s="475">
        <f t="shared" si="167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65"/>
        <v>-9336339184402.1465</v>
      </c>
      <c r="J4098" s="455">
        <f t="array" ref="J4098">IFERROR(INDEX('Retirement Calculator'!K:K,MATCH('Lorri 401b'!N4098,'Retirement Calculator'!A:A,0),0),0)</f>
        <v>0</v>
      </c>
      <c r="K4098" s="455">
        <f t="shared" ca="1" si="163"/>
        <v>-38901413268.342278</v>
      </c>
      <c r="L4098" s="455">
        <f t="shared" ca="1" si="164"/>
        <v>-9375240597670.4883</v>
      </c>
      <c r="M4098" s="471">
        <f t="shared" si="166"/>
        <v>0.05</v>
      </c>
      <c r="N4098" s="475">
        <f t="shared" si="167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65"/>
        <v>-9375240597670.4883</v>
      </c>
      <c r="J4099" s="455">
        <f t="array" ref="J4099">IFERROR(INDEX('Retirement Calculator'!K:K,MATCH('Lorri 401b'!N4099,'Retirement Calculator'!A:A,0),0),0)</f>
        <v>0</v>
      </c>
      <c r="K4099" s="455">
        <f t="shared" ca="1" si="163"/>
        <v>-39063502490.293701</v>
      </c>
      <c r="L4099" s="455">
        <f t="shared" ca="1" si="164"/>
        <v>-9414304100160.7813</v>
      </c>
      <c r="M4099" s="471">
        <f t="shared" si="166"/>
        <v>0.05</v>
      </c>
      <c r="N4099" s="475">
        <f t="shared" si="167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65"/>
        <v>-9414304100160.7813</v>
      </c>
      <c r="J4100" s="455">
        <f t="array" ref="J4100">IFERROR(INDEX('Retirement Calculator'!K:K,MATCH('Lorri 401b'!N4100,'Retirement Calculator'!A:A,0),0),0)</f>
        <v>0</v>
      </c>
      <c r="K4100" s="455">
        <f t="shared" ca="1" si="163"/>
        <v>-39226267084.003258</v>
      </c>
      <c r="L4100" s="455">
        <f t="shared" ca="1" si="164"/>
        <v>-9453530367244.7852</v>
      </c>
      <c r="M4100" s="471">
        <f t="shared" si="166"/>
        <v>0.05</v>
      </c>
      <c r="N4100" s="475">
        <f t="shared" si="167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65"/>
        <v>-9453530367244.7852</v>
      </c>
      <c r="J4101" s="455">
        <f t="array" ref="J4101">IFERROR(INDEX('Retirement Calculator'!K:K,MATCH('Lorri 401b'!N4101,'Retirement Calculator'!A:A,0),0),0)</f>
        <v>0</v>
      </c>
      <c r="K4101" s="455">
        <f t="shared" ca="1" si="163"/>
        <v>-39389709863.519936</v>
      </c>
      <c r="L4101" s="455">
        <f t="shared" ca="1" si="164"/>
        <v>-9492920077108.3047</v>
      </c>
      <c r="M4101" s="471">
        <f t="shared" si="166"/>
        <v>0.05</v>
      </c>
      <c r="N4101" s="475">
        <f t="shared" si="167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65"/>
        <v>-9492920077108.3047</v>
      </c>
      <c r="J4102" s="455">
        <f t="array" ref="J4102">IFERROR(INDEX('Retirement Calculator'!K:K,MATCH('Lorri 401b'!N4102,'Retirement Calculator'!A:A,0),0),0)</f>
        <v>0</v>
      </c>
      <c r="K4102" s="455">
        <f t="shared" ca="1" si="163"/>
        <v>-39553833654.617935</v>
      </c>
      <c r="L4102" s="455">
        <f t="shared" ca="1" si="164"/>
        <v>-9532473910762.9219</v>
      </c>
      <c r="M4102" s="471">
        <f t="shared" si="166"/>
        <v>0.05</v>
      </c>
      <c r="N4102" s="475">
        <f t="shared" si="167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65"/>
        <v>-9532473910762.9219</v>
      </c>
      <c r="J4103" s="455">
        <f t="array" ref="J4103">IFERROR(INDEX('Retirement Calculator'!K:K,MATCH('Lorri 401b'!N4103,'Retirement Calculator'!A:A,0),0),0)</f>
        <v>0</v>
      </c>
      <c r="K4103" s="455">
        <f t="shared" ca="1" si="163"/>
        <v>-39718641294.845505</v>
      </c>
      <c r="L4103" s="455">
        <f t="shared" ca="1" si="164"/>
        <v>-9572192552057.7676</v>
      </c>
      <c r="M4103" s="471">
        <f t="shared" si="166"/>
        <v>0.05</v>
      </c>
      <c r="N4103" s="475">
        <f t="shared" si="167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65"/>
        <v>-9572192552057.7676</v>
      </c>
      <c r="J4104" s="455">
        <f t="array" ref="J4104">IFERROR(INDEX('Retirement Calculator'!K:K,MATCH('Lorri 401b'!N4104,'Retirement Calculator'!A:A,0),0),0)</f>
        <v>0</v>
      </c>
      <c r="K4104" s="455">
        <f t="shared" ca="1" si="163"/>
        <v>-39884135633.574028</v>
      </c>
      <c r="L4104" s="455">
        <f t="shared" ca="1" si="164"/>
        <v>-9612076687691.3418</v>
      </c>
      <c r="M4104" s="471">
        <f t="shared" si="166"/>
        <v>0.05</v>
      </c>
      <c r="N4104" s="475">
        <f t="shared" si="167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65"/>
        <v>-9612076687691.3418</v>
      </c>
      <c r="J4105" s="455">
        <f t="array" ref="J4105">IFERROR(INDEX('Retirement Calculator'!K:K,MATCH('Lorri 401b'!N4105,'Retirement Calculator'!A:A,0),0),0)</f>
        <v>0</v>
      </c>
      <c r="K4105" s="455">
        <f t="shared" ca="1" si="163"/>
        <v>-40050319532.047256</v>
      </c>
      <c r="L4105" s="455">
        <f t="shared" ca="1" si="164"/>
        <v>-9652127007223.3887</v>
      </c>
      <c r="M4105" s="471">
        <f t="shared" si="166"/>
        <v>0.05</v>
      </c>
      <c r="N4105" s="475">
        <f t="shared" si="167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65"/>
        <v>-9652127007223.3887</v>
      </c>
      <c r="J4106" s="455">
        <f t="array" ref="J4106">IFERROR(INDEX('Retirement Calculator'!K:K,MATCH('Lorri 401b'!N4106,'Retirement Calculator'!A:A,0),0),0)</f>
        <v>0</v>
      </c>
      <c r="K4106" s="455">
        <f t="shared" ca="1" si="163"/>
        <v>-40217195863.430786</v>
      </c>
      <c r="L4106" s="455">
        <f t="shared" ca="1" si="164"/>
        <v>-9692344203086.8203</v>
      </c>
      <c r="M4106" s="471">
        <f t="shared" si="166"/>
        <v>0.05</v>
      </c>
      <c r="N4106" s="475">
        <f t="shared" si="167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65"/>
        <v>-9692344203086.8203</v>
      </c>
      <c r="J4107" s="455">
        <f t="array" ref="J4107">IFERROR(INDEX('Retirement Calculator'!K:K,MATCH('Lorri 401b'!N4107,'Retirement Calculator'!A:A,0),0),0)</f>
        <v>0</v>
      </c>
      <c r="K4107" s="455">
        <f t="shared" ca="1" si="163"/>
        <v>-40384767512.861748</v>
      </c>
      <c r="L4107" s="455">
        <f t="shared" ca="1" si="164"/>
        <v>-9732728970599.6816</v>
      </c>
      <c r="M4107" s="471">
        <f t="shared" si="166"/>
        <v>0.05</v>
      </c>
      <c r="N4107" s="475">
        <f t="shared" si="167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65"/>
        <v>-9732728970599.6816</v>
      </c>
      <c r="J4108" s="455">
        <f t="array" ref="J4108">IFERROR(INDEX('Retirement Calculator'!K:K,MATCH('Lorri 401b'!N4108,'Retirement Calculator'!A:A,0),0),0)</f>
        <v>0</v>
      </c>
      <c r="K4108" s="455">
        <f t="shared" ca="1" si="163"/>
        <v>-40553037377.498672</v>
      </c>
      <c r="L4108" s="455">
        <f t="shared" ca="1" si="164"/>
        <v>-9773282007977.1797</v>
      </c>
      <c r="M4108" s="471">
        <f t="shared" si="166"/>
        <v>0.05</v>
      </c>
      <c r="N4108" s="475">
        <f t="shared" si="167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65"/>
        <v>-9773282007977.1797</v>
      </c>
      <c r="J4109" s="455">
        <f t="array" ref="J4109">IFERROR(INDEX('Retirement Calculator'!K:K,MATCH('Lorri 401b'!N4109,'Retirement Calculator'!A:A,0),0),0)</f>
        <v>0</v>
      </c>
      <c r="K4109" s="455">
        <f t="shared" ca="1" si="163"/>
        <v>-40722008366.571579</v>
      </c>
      <c r="L4109" s="455">
        <f t="shared" ca="1" si="164"/>
        <v>-9814004016343.752</v>
      </c>
      <c r="M4109" s="471">
        <f t="shared" si="166"/>
        <v>0.05</v>
      </c>
      <c r="N4109" s="475">
        <f t="shared" si="167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65"/>
        <v>-9814004016343.752</v>
      </c>
      <c r="J4110" s="455">
        <f t="array" ref="J4110">IFERROR(INDEX('Retirement Calculator'!K:K,MATCH('Lorri 401b'!N4110,'Retirement Calculator'!A:A,0),0),0)</f>
        <v>0</v>
      </c>
      <c r="K4110" s="455">
        <f t="shared" ca="1" si="163"/>
        <v>-40891683401.432297</v>
      </c>
      <c r="L4110" s="455">
        <f t="shared" ca="1" si="164"/>
        <v>-9854895699745.1836</v>
      </c>
      <c r="M4110" s="471">
        <f t="shared" si="166"/>
        <v>0.05</v>
      </c>
      <c r="N4110" s="475">
        <f t="shared" si="167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65"/>
        <v>-9854895699745.1836</v>
      </c>
      <c r="J4111" s="455">
        <f t="array" ref="J4111">IFERROR(INDEX('Retirement Calculator'!K:K,MATCH('Lorri 401b'!N4111,'Retirement Calculator'!A:A,0),0),0)</f>
        <v>0</v>
      </c>
      <c r="K4111" s="455">
        <f t="shared" ca="1" si="163"/>
        <v>-41062065415.604935</v>
      </c>
      <c r="L4111" s="455">
        <f t="shared" ca="1" si="164"/>
        <v>-9895957765160.7891</v>
      </c>
      <c r="M4111" s="471">
        <f t="shared" si="166"/>
        <v>0.05</v>
      </c>
      <c r="N4111" s="475">
        <f t="shared" si="167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65"/>
        <v>-9895957765160.7891</v>
      </c>
      <c r="J4112" s="455">
        <f t="array" ref="J4112">IFERROR(INDEX('Retirement Calculator'!K:K,MATCH('Lorri 401b'!N4112,'Retirement Calculator'!A:A,0),0),0)</f>
        <v>0</v>
      </c>
      <c r="K4112" s="455">
        <f t="shared" ca="1" si="163"/>
        <v>-41233157354.836624</v>
      </c>
      <c r="L4112" s="455">
        <f t="shared" ca="1" si="164"/>
        <v>-9937190922515.625</v>
      </c>
      <c r="M4112" s="471">
        <f t="shared" si="166"/>
        <v>0.05</v>
      </c>
      <c r="N4112" s="475">
        <f t="shared" si="167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65"/>
        <v>-9937190922515.625</v>
      </c>
      <c r="J4113" s="455">
        <f t="array" ref="J4113">IFERROR(INDEX('Retirement Calculator'!K:K,MATCH('Lorri 401b'!N4113,'Retirement Calculator'!A:A,0),0),0)</f>
        <v>0</v>
      </c>
      <c r="K4113" s="455">
        <f t="shared" ca="1" si="163"/>
        <v>-41404962177.148438</v>
      </c>
      <c r="L4113" s="455">
        <f t="shared" ca="1" si="164"/>
        <v>-9978595884692.7734</v>
      </c>
      <c r="M4113" s="471">
        <f t="shared" si="166"/>
        <v>0.05</v>
      </c>
      <c r="N4113" s="475">
        <f t="shared" si="167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65"/>
        <v>-9978595884692.7734</v>
      </c>
      <c r="J4114" s="455">
        <f t="array" ref="J4114">IFERROR(INDEX('Retirement Calculator'!K:K,MATCH('Lorri 401b'!N4114,'Retirement Calculator'!A:A,0),0),0)</f>
        <v>0</v>
      </c>
      <c r="K4114" s="455">
        <f t="shared" ca="1" si="163"/>
        <v>-41577482852.886559</v>
      </c>
      <c r="L4114" s="455">
        <f t="shared" ca="1" si="164"/>
        <v>-10020173367545.66</v>
      </c>
      <c r="M4114" s="471">
        <f t="shared" si="166"/>
        <v>0.05</v>
      </c>
      <c r="N4114" s="475">
        <f t="shared" si="167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65"/>
        <v>-10020173367545.66</v>
      </c>
      <c r="J4115" s="455">
        <f t="array" ref="J4115">IFERROR(INDEX('Retirement Calculator'!K:K,MATCH('Lorri 401b'!N4115,'Retirement Calculator'!A:A,0),0),0)</f>
        <v>0</v>
      </c>
      <c r="K4115" s="455">
        <f t="shared" ca="1" si="163"/>
        <v>-41750722364.773582</v>
      </c>
      <c r="L4115" s="455">
        <f t="shared" ca="1" si="164"/>
        <v>-10061924089910.434</v>
      </c>
      <c r="M4115" s="471">
        <f t="shared" si="166"/>
        <v>0.05</v>
      </c>
      <c r="N4115" s="475">
        <f t="shared" si="167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65"/>
        <v>-10061924089910.434</v>
      </c>
      <c r="J4116" s="455">
        <f t="array" ref="J4116">IFERROR(INDEX('Retirement Calculator'!K:K,MATCH('Lorri 401b'!N4116,'Retirement Calculator'!A:A,0),0),0)</f>
        <v>0</v>
      </c>
      <c r="K4116" s="455">
        <f t="shared" ca="1" si="163"/>
        <v>-41924683707.960136</v>
      </c>
      <c r="L4116" s="455">
        <f t="shared" ca="1" si="164"/>
        <v>-10103848773618.395</v>
      </c>
      <c r="M4116" s="471">
        <f t="shared" si="166"/>
        <v>0.05</v>
      </c>
      <c r="N4116" s="475">
        <f t="shared" si="167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65"/>
        <v>-10103848773618.395</v>
      </c>
      <c r="J4117" s="455">
        <f t="array" ref="J4117">IFERROR(INDEX('Retirement Calculator'!K:K,MATCH('Lorri 401b'!N4117,'Retirement Calculator'!A:A,0),0),0)</f>
        <v>0</v>
      </c>
      <c r="K4117" s="455">
        <f t="shared" ca="1" si="163"/>
        <v>-42099369890.076645</v>
      </c>
      <c r="L4117" s="455">
        <f t="shared" ca="1" si="164"/>
        <v>-10145948143508.471</v>
      </c>
      <c r="M4117" s="471">
        <f t="shared" si="166"/>
        <v>0.05</v>
      </c>
      <c r="N4117" s="475">
        <f t="shared" si="167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65"/>
        <v>-10145948143508.471</v>
      </c>
      <c r="J4118" s="455">
        <f t="array" ref="J4118">IFERROR(INDEX('Retirement Calculator'!K:K,MATCH('Lorri 401b'!N4118,'Retirement Calculator'!A:A,0),0),0)</f>
        <v>0</v>
      </c>
      <c r="K4118" s="455">
        <f t="shared" ca="1" si="163"/>
        <v>-42274783931.285294</v>
      </c>
      <c r="L4118" s="455">
        <f t="shared" ca="1" si="164"/>
        <v>-10188222927439.756</v>
      </c>
      <c r="M4118" s="471">
        <f t="shared" si="166"/>
        <v>0.05</v>
      </c>
      <c r="N4118" s="475">
        <f t="shared" si="167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65"/>
        <v>-10188222927439.756</v>
      </c>
      <c r="J4119" s="455">
        <f t="array" ref="J4119">IFERROR(INDEX('Retirement Calculator'!K:K,MATCH('Lorri 401b'!N4119,'Retirement Calculator'!A:A,0),0),0)</f>
        <v>0</v>
      </c>
      <c r="K4119" s="455">
        <f t="shared" ca="1" si="163"/>
        <v>-42450928864.332314</v>
      </c>
      <c r="L4119" s="455">
        <f t="shared" ca="1" si="164"/>
        <v>-10230673856304.088</v>
      </c>
      <c r="M4119" s="471">
        <f t="shared" si="166"/>
        <v>0.05</v>
      </c>
      <c r="N4119" s="475">
        <f t="shared" si="167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65"/>
        <v>-10230673856304.088</v>
      </c>
      <c r="J4120" s="455">
        <f t="array" ref="J4120">IFERROR(INDEX('Retirement Calculator'!K:K,MATCH('Lorri 401b'!N4120,'Retirement Calculator'!A:A,0),0),0)</f>
        <v>0</v>
      </c>
      <c r="K4120" s="455">
        <f t="shared" ca="1" si="163"/>
        <v>-42627807734.600365</v>
      </c>
      <c r="L4120" s="455">
        <f t="shared" ca="1" si="164"/>
        <v>-10273301664038.688</v>
      </c>
      <c r="M4120" s="471">
        <f t="shared" si="166"/>
        <v>0.05</v>
      </c>
      <c r="N4120" s="475">
        <f t="shared" si="167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65"/>
        <v>-10273301664038.688</v>
      </c>
      <c r="J4121" s="455">
        <f t="array" ref="J4121">IFERROR(INDEX('Retirement Calculator'!K:K,MATCH('Lorri 401b'!N4121,'Retirement Calculator'!A:A,0),0),0)</f>
        <v>0</v>
      </c>
      <c r="K4121" s="455">
        <f t="shared" ca="1" si="163"/>
        <v>-42805423600.161194</v>
      </c>
      <c r="L4121" s="455">
        <f t="shared" ca="1" si="164"/>
        <v>-10316107087638.85</v>
      </c>
      <c r="M4121" s="471">
        <f t="shared" si="166"/>
        <v>0.05</v>
      </c>
      <c r="N4121" s="475">
        <f t="shared" si="167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65"/>
        <v>-10316107087638.85</v>
      </c>
      <c r="J4122" s="455">
        <f t="array" ref="J4122">IFERROR(INDEX('Retirement Calculator'!K:K,MATCH('Lorri 401b'!N4122,'Retirement Calculator'!A:A,0),0),0)</f>
        <v>0</v>
      </c>
      <c r="K4122" s="455">
        <f t="shared" ca="1" si="163"/>
        <v>-42983779531.828537</v>
      </c>
      <c r="L4122" s="455">
        <f t="shared" ca="1" si="164"/>
        <v>-10359090867170.678</v>
      </c>
      <c r="M4122" s="471">
        <f t="shared" si="166"/>
        <v>0.05</v>
      </c>
      <c r="N4122" s="475">
        <f t="shared" si="167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65"/>
        <v>-10359090867170.678</v>
      </c>
      <c r="J4123" s="455">
        <f t="array" ref="J4123">IFERROR(INDEX('Retirement Calculator'!K:K,MATCH('Lorri 401b'!N4123,'Retirement Calculator'!A:A,0),0),0)</f>
        <v>0</v>
      </c>
      <c r="K4123" s="455">
        <f t="shared" ca="1" si="163"/>
        <v>-43162878613.211159</v>
      </c>
      <c r="L4123" s="455">
        <f t="shared" ca="1" si="164"/>
        <v>-10402253745783.889</v>
      </c>
      <c r="M4123" s="471">
        <f t="shared" si="166"/>
        <v>0.05</v>
      </c>
      <c r="N4123" s="475">
        <f t="shared" si="167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65"/>
        <v>-10402253745783.889</v>
      </c>
      <c r="J4124" s="455">
        <f t="array" ref="J4124">IFERROR(INDEX('Retirement Calculator'!K:K,MATCH('Lorri 401b'!N4124,'Retirement Calculator'!A:A,0),0),0)</f>
        <v>0</v>
      </c>
      <c r="K4124" s="455">
        <f t="shared" ca="1" si="163"/>
        <v>-43342723940.766205</v>
      </c>
      <c r="L4124" s="455">
        <f t="shared" ca="1" si="164"/>
        <v>-10445596469724.654</v>
      </c>
      <c r="M4124" s="471">
        <f t="shared" si="166"/>
        <v>0.05</v>
      </c>
      <c r="N4124" s="475">
        <f t="shared" si="167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65"/>
        <v>-10445596469724.654</v>
      </c>
      <c r="J4125" s="455">
        <f t="array" ref="J4125">IFERROR(INDEX('Retirement Calculator'!K:K,MATCH('Lorri 401b'!N4125,'Retirement Calculator'!A:A,0),0),0)</f>
        <v>0</v>
      </c>
      <c r="K4125" s="455">
        <f t="shared" ca="1" si="163"/>
        <v>-43523318623.852722</v>
      </c>
      <c r="L4125" s="455">
        <f t="shared" ca="1" si="164"/>
        <v>-10489119788348.508</v>
      </c>
      <c r="M4125" s="471">
        <f t="shared" si="166"/>
        <v>0.05</v>
      </c>
      <c r="N4125" s="475">
        <f t="shared" si="167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65"/>
        <v>-10489119788348.508</v>
      </c>
      <c r="J4126" s="455">
        <f t="array" ref="J4126">IFERROR(INDEX('Retirement Calculator'!K:K,MATCH('Lorri 401b'!N4126,'Retirement Calculator'!A:A,0),0),0)</f>
        <v>0</v>
      </c>
      <c r="K4126" s="455">
        <f t="shared" ca="1" si="163"/>
        <v>-43704665784.785446</v>
      </c>
      <c r="L4126" s="455">
        <f t="shared" ca="1" si="164"/>
        <v>-10532824454133.293</v>
      </c>
      <c r="M4126" s="471">
        <f t="shared" si="166"/>
        <v>0.05</v>
      </c>
      <c r="N4126" s="475">
        <f t="shared" si="167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65"/>
        <v>-10532824454133.293</v>
      </c>
      <c r="J4127" s="455">
        <f t="array" ref="J4127">IFERROR(INDEX('Retirement Calculator'!K:K,MATCH('Lorri 401b'!N4127,'Retirement Calculator'!A:A,0),0),0)</f>
        <v>0</v>
      </c>
      <c r="K4127" s="455">
        <f t="shared" ca="1" si="163"/>
        <v>-43886768558.888718</v>
      </c>
      <c r="L4127" s="455">
        <f t="shared" ca="1" si="164"/>
        <v>-10576711222692.182</v>
      </c>
      <c r="M4127" s="471">
        <f t="shared" si="166"/>
        <v>0.05</v>
      </c>
      <c r="N4127" s="475">
        <f t="shared" si="167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65"/>
        <v>-10576711222692.182</v>
      </c>
      <c r="J4128" s="455">
        <f t="array" ref="J4128">IFERROR(INDEX('Retirement Calculator'!K:K,MATCH('Lorri 401b'!N4128,'Retirement Calculator'!A:A,0),0),0)</f>
        <v>0</v>
      </c>
      <c r="K4128" s="455">
        <f t="shared" ca="1" si="163"/>
        <v>-44069630094.550758</v>
      </c>
      <c r="L4128" s="455">
        <f t="shared" ca="1" si="164"/>
        <v>-10620780852786.732</v>
      </c>
      <c r="M4128" s="471">
        <f t="shared" si="166"/>
        <v>0.05</v>
      </c>
      <c r="N4128" s="475">
        <f t="shared" si="167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65"/>
        <v>-10620780852786.732</v>
      </c>
      <c r="J4129" s="455">
        <f t="array" ref="J4129">IFERROR(INDEX('Retirement Calculator'!K:K,MATCH('Lorri 401b'!N4129,'Retirement Calculator'!A:A,0),0),0)</f>
        <v>0</v>
      </c>
      <c r="K4129" s="455">
        <f t="shared" ca="1" si="163"/>
        <v>-44253253553.278053</v>
      </c>
      <c r="L4129" s="455">
        <f t="shared" ca="1" si="164"/>
        <v>-10665034106340.01</v>
      </c>
      <c r="M4129" s="471">
        <f t="shared" si="166"/>
        <v>0.05</v>
      </c>
      <c r="N4129" s="475">
        <f t="shared" si="167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65"/>
        <v>-10665034106340.01</v>
      </c>
      <c r="J4130" s="455">
        <f t="array" ref="J4130">IFERROR(INDEX('Retirement Calculator'!K:K,MATCH('Lorri 401b'!N4130,'Retirement Calculator'!A:A,0),0),0)</f>
        <v>0</v>
      </c>
      <c r="K4130" s="455">
        <f t="shared" ca="1" si="163"/>
        <v>-44437642109.750038</v>
      </c>
      <c r="L4130" s="455">
        <f t="shared" ca="1" si="164"/>
        <v>-10709471748449.76</v>
      </c>
      <c r="M4130" s="471">
        <f t="shared" si="166"/>
        <v>0.05</v>
      </c>
      <c r="N4130" s="475">
        <f t="shared" si="167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65"/>
        <v>-10709471748449.76</v>
      </c>
      <c r="J4131" s="455">
        <f t="array" ref="J4131">IFERROR(INDEX('Retirement Calculator'!K:K,MATCH('Lorri 401b'!N4131,'Retirement Calculator'!A:A,0),0),0)</f>
        <v>0</v>
      </c>
      <c r="K4131" s="455">
        <f t="shared" ca="1" si="163"/>
        <v>-44622798951.874001</v>
      </c>
      <c r="L4131" s="455">
        <f t="shared" ca="1" si="164"/>
        <v>-10754094547401.633</v>
      </c>
      <c r="M4131" s="471">
        <f t="shared" si="166"/>
        <v>0.05</v>
      </c>
      <c r="N4131" s="475">
        <f t="shared" si="167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65"/>
        <v>-10754094547401.633</v>
      </c>
      <c r="J4132" s="455">
        <f t="array" ref="J4132">IFERROR(INDEX('Retirement Calculator'!K:K,MATCH('Lorri 401b'!N4132,'Retirement Calculator'!A:A,0),0),0)</f>
        <v>0</v>
      </c>
      <c r="K4132" s="455">
        <f t="shared" ca="1" si="163"/>
        <v>-44808727280.840134</v>
      </c>
      <c r="L4132" s="455">
        <f t="shared" ca="1" si="164"/>
        <v>-10798903274682.473</v>
      </c>
      <c r="M4132" s="471">
        <f t="shared" si="166"/>
        <v>0.05</v>
      </c>
      <c r="N4132" s="475">
        <f t="shared" si="167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65"/>
        <v>-10798903274682.473</v>
      </c>
      <c r="J4133" s="455">
        <f t="array" ref="J4133">IFERROR(INDEX('Retirement Calculator'!K:K,MATCH('Lorri 401b'!N4133,'Retirement Calculator'!A:A,0),0),0)</f>
        <v>0</v>
      </c>
      <c r="K4133" s="455">
        <f t="shared" ca="1" si="163"/>
        <v>-44995430311.176971</v>
      </c>
      <c r="L4133" s="455">
        <f t="shared" ca="1" si="164"/>
        <v>-10843898704993.65</v>
      </c>
      <c r="M4133" s="471">
        <f t="shared" si="166"/>
        <v>0.05</v>
      </c>
      <c r="N4133" s="475">
        <f t="shared" si="167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65"/>
        <v>-10843898704993.65</v>
      </c>
      <c r="J4134" s="455">
        <f t="array" ref="J4134">IFERROR(INDEX('Retirement Calculator'!K:K,MATCH('Lorri 401b'!N4134,'Retirement Calculator'!A:A,0),0),0)</f>
        <v>0</v>
      </c>
      <c r="K4134" s="455">
        <f t="shared" ca="1" si="163"/>
        <v>-45182911270.806877</v>
      </c>
      <c r="L4134" s="455">
        <f t="shared" ca="1" si="164"/>
        <v>-10889081616264.457</v>
      </c>
      <c r="M4134" s="471">
        <f t="shared" si="166"/>
        <v>0.05</v>
      </c>
      <c r="N4134" s="475">
        <f t="shared" si="167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65"/>
        <v>-10889081616264.457</v>
      </c>
      <c r="J4135" s="455">
        <f t="array" ref="J4135">IFERROR(INDEX('Retirement Calculator'!K:K,MATCH('Lorri 401b'!N4135,'Retirement Calculator'!A:A,0),0),0)</f>
        <v>0</v>
      </c>
      <c r="K4135" s="455">
        <f t="shared" ca="1" si="163"/>
        <v>-45371173401.101906</v>
      </c>
      <c r="L4135" s="455">
        <f t="shared" ca="1" si="164"/>
        <v>-10934452789665.559</v>
      </c>
      <c r="M4135" s="471">
        <f t="shared" si="166"/>
        <v>0.05</v>
      </c>
      <c r="N4135" s="475">
        <f t="shared" si="167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65"/>
        <v>-10934452789665.559</v>
      </c>
      <c r="J4136" s="455">
        <f t="array" ref="J4136">IFERROR(INDEX('Retirement Calculator'!K:K,MATCH('Lorri 401b'!N4136,'Retirement Calculator'!A:A,0),0),0)</f>
        <v>0</v>
      </c>
      <c r="K4136" s="455">
        <f t="shared" ca="1" si="163"/>
        <v>-45560219956.939827</v>
      </c>
      <c r="L4136" s="455">
        <f t="shared" ca="1" si="164"/>
        <v>-10980013009622.498</v>
      </c>
      <c r="M4136" s="471">
        <f t="shared" si="166"/>
        <v>0.05</v>
      </c>
      <c r="N4136" s="475">
        <f t="shared" si="167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65"/>
        <v>-10980013009622.498</v>
      </c>
      <c r="J4137" s="455">
        <f t="array" ref="J4137">IFERROR(INDEX('Retirement Calculator'!K:K,MATCH('Lorri 401b'!N4137,'Retirement Calculator'!A:A,0),0),0)</f>
        <v>0</v>
      </c>
      <c r="K4137" s="455">
        <f t="shared" ca="1" si="163"/>
        <v>-45750054206.760406</v>
      </c>
      <c r="L4137" s="455">
        <f t="shared" ca="1" si="164"/>
        <v>-11025763063829.258</v>
      </c>
      <c r="M4137" s="471">
        <f t="shared" si="166"/>
        <v>0.05</v>
      </c>
      <c r="N4137" s="475">
        <f t="shared" si="167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65"/>
        <v>-11025763063829.258</v>
      </c>
      <c r="J4138" s="455">
        <f t="array" ref="J4138">IFERROR(INDEX('Retirement Calculator'!K:K,MATCH('Lorri 401b'!N4138,'Retirement Calculator'!A:A,0),0),0)</f>
        <v>0</v>
      </c>
      <c r="K4138" s="455">
        <f t="shared" ca="1" si="163"/>
        <v>-45940679432.62191</v>
      </c>
      <c r="L4138" s="455">
        <f t="shared" ca="1" si="164"/>
        <v>-11071703743261.879</v>
      </c>
      <c r="M4138" s="471">
        <f t="shared" si="166"/>
        <v>0.05</v>
      </c>
      <c r="N4138" s="475">
        <f t="shared" si="167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65"/>
        <v>-11071703743261.879</v>
      </c>
      <c r="J4139" s="455">
        <f t="array" ref="J4139">IFERROR(INDEX('Retirement Calculator'!K:K,MATCH('Lorri 401b'!N4139,'Retirement Calculator'!A:A,0),0),0)</f>
        <v>0</v>
      </c>
      <c r="K4139" s="455">
        <f t="shared" ca="1" si="163"/>
        <v>-46132098930.257828</v>
      </c>
      <c r="L4139" s="455">
        <f t="shared" ca="1" si="164"/>
        <v>-11117835842192.137</v>
      </c>
      <c r="M4139" s="471">
        <f t="shared" si="166"/>
        <v>0.05</v>
      </c>
      <c r="N4139" s="475">
        <f t="shared" si="167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65"/>
        <v>-11117835842192.137</v>
      </c>
      <c r="J4140" s="455">
        <f t="array" ref="J4140">IFERROR(INDEX('Retirement Calculator'!K:K,MATCH('Lorri 401b'!N4140,'Retirement Calculator'!A:A,0),0),0)</f>
        <v>0</v>
      </c>
      <c r="K4140" s="455">
        <f t="shared" ca="1" si="163"/>
        <v>-46324316009.133904</v>
      </c>
      <c r="L4140" s="455">
        <f t="shared" ca="1" si="164"/>
        <v>-11164160158201.271</v>
      </c>
      <c r="M4140" s="471">
        <f t="shared" si="166"/>
        <v>0.05</v>
      </c>
      <c r="N4140" s="475">
        <f t="shared" si="167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65"/>
        <v>-11164160158201.271</v>
      </c>
      <c r="J4141" s="455">
        <f t="array" ref="J4141">IFERROR(INDEX('Retirement Calculator'!K:K,MATCH('Lorri 401b'!N4141,'Retirement Calculator'!A:A,0),0),0)</f>
        <v>0</v>
      </c>
      <c r="K4141" s="455">
        <f t="shared" ca="1" si="163"/>
        <v>-46517333992.505295</v>
      </c>
      <c r="L4141" s="455">
        <f t="shared" ca="1" si="164"/>
        <v>-11210677492193.777</v>
      </c>
      <c r="M4141" s="471">
        <f t="shared" si="166"/>
        <v>0.05</v>
      </c>
      <c r="N4141" s="475">
        <f t="shared" si="167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65"/>
        <v>-11210677492193.777</v>
      </c>
      <c r="J4142" s="455">
        <f t="array" ref="J4142">IFERROR(INDEX('Retirement Calculator'!K:K,MATCH('Lorri 401b'!N4142,'Retirement Calculator'!A:A,0),0),0)</f>
        <v>0</v>
      </c>
      <c r="K4142" s="455">
        <f t="shared" ca="1" si="163"/>
        <v>-46711156217.474075</v>
      </c>
      <c r="L4142" s="455">
        <f t="shared" ca="1" si="164"/>
        <v>-11257388648411.252</v>
      </c>
      <c r="M4142" s="471">
        <f t="shared" si="166"/>
        <v>0.05</v>
      </c>
      <c r="N4142" s="475">
        <f t="shared" si="167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65"/>
        <v>-11257388648411.252</v>
      </c>
      <c r="J4143" s="455">
        <f t="array" ref="J4143">IFERROR(INDEX('Retirement Calculator'!K:K,MATCH('Lorri 401b'!N4143,'Retirement Calculator'!A:A,0),0),0)</f>
        <v>0</v>
      </c>
      <c r="K4143" s="455">
        <f t="shared" ca="1" si="163"/>
        <v>-46905786035.046883</v>
      </c>
      <c r="L4143" s="455">
        <f t="shared" ca="1" si="164"/>
        <v>-11304294434446.299</v>
      </c>
      <c r="M4143" s="471">
        <f t="shared" si="166"/>
        <v>0.05</v>
      </c>
      <c r="N4143" s="475">
        <f t="shared" si="167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65"/>
        <v>-11304294434446.299</v>
      </c>
      <c r="J4144" s="455">
        <f t="array" ref="J4144">IFERROR(INDEX('Retirement Calculator'!K:K,MATCH('Lorri 401b'!N4144,'Retirement Calculator'!A:A,0),0),0)</f>
        <v>0</v>
      </c>
      <c r="K4144" s="455">
        <f t="shared" ca="1" si="163"/>
        <v>-47101226810.192909</v>
      </c>
      <c r="L4144" s="455">
        <f t="shared" ca="1" si="164"/>
        <v>-11351395661256.492</v>
      </c>
      <c r="M4144" s="471">
        <f t="shared" si="166"/>
        <v>0.05</v>
      </c>
      <c r="N4144" s="475">
        <f t="shared" si="167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65"/>
        <v>-11351395661256.492</v>
      </c>
      <c r="J4145" s="455">
        <f t="array" ref="J4145">IFERROR(INDEX('Retirement Calculator'!K:K,MATCH('Lorri 401b'!N4145,'Retirement Calculator'!A:A,0),0),0)</f>
        <v>0</v>
      </c>
      <c r="K4145" s="455">
        <f t="shared" ca="1" si="163"/>
        <v>-47297481921.902054</v>
      </c>
      <c r="L4145" s="455">
        <f t="shared" ca="1" si="164"/>
        <v>-11398693143178.395</v>
      </c>
      <c r="M4145" s="471">
        <f t="shared" si="166"/>
        <v>0.05</v>
      </c>
      <c r="N4145" s="475">
        <f t="shared" si="167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65"/>
        <v>-11398693143178.395</v>
      </c>
      <c r="J4146" s="455">
        <f t="array" ref="J4146">IFERROR(INDEX('Retirement Calculator'!K:K,MATCH('Lorri 401b'!N4146,'Retirement Calculator'!A:A,0),0),0)</f>
        <v>0</v>
      </c>
      <c r="K4146" s="455">
        <f t="shared" ca="1" si="163"/>
        <v>-47494554763.243309</v>
      </c>
      <c r="L4146" s="455">
        <f t="shared" ca="1" si="164"/>
        <v>-11446187697941.639</v>
      </c>
      <c r="M4146" s="471">
        <f t="shared" si="166"/>
        <v>0.05</v>
      </c>
      <c r="N4146" s="475">
        <f t="shared" si="167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65"/>
        <v>-11446187697941.639</v>
      </c>
      <c r="J4147" s="455">
        <f t="array" ref="J4147">IFERROR(INDEX('Retirement Calculator'!K:K,MATCH('Lorri 401b'!N4147,'Retirement Calculator'!A:A,0),0),0)</f>
        <v>0</v>
      </c>
      <c r="K4147" s="455">
        <f t="shared" ca="1" si="163"/>
        <v>-47692448741.423492</v>
      </c>
      <c r="L4147" s="455">
        <f t="shared" ca="1" si="164"/>
        <v>-11493880146683.063</v>
      </c>
      <c r="M4147" s="471">
        <f t="shared" si="166"/>
        <v>0.05</v>
      </c>
      <c r="N4147" s="475">
        <f t="shared" si="167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65"/>
        <v>-11493880146683.063</v>
      </c>
      <c r="J4148" s="455">
        <f t="array" ref="J4148">IFERROR(INDEX('Retirement Calculator'!K:K,MATCH('Lorri 401b'!N4148,'Retirement Calculator'!A:A,0),0),0)</f>
        <v>0</v>
      </c>
      <c r="K4148" s="455">
        <f t="shared" ca="1" si="163"/>
        <v>-47891167277.846092</v>
      </c>
      <c r="L4148" s="455">
        <f t="shared" ca="1" si="164"/>
        <v>-11541771313960.908</v>
      </c>
      <c r="M4148" s="471">
        <f t="shared" si="166"/>
        <v>0.05</v>
      </c>
      <c r="N4148" s="475">
        <f t="shared" si="167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65"/>
        <v>-11541771313960.908</v>
      </c>
      <c r="J4149" s="455">
        <f t="array" ref="J4149">IFERROR(INDEX('Retirement Calculator'!K:K,MATCH('Lorri 401b'!N4149,'Retirement Calculator'!A:A,0),0),0)</f>
        <v>0</v>
      </c>
      <c r="K4149" s="455">
        <f t="shared" ca="1" si="163"/>
        <v>-48090713808.170448</v>
      </c>
      <c r="L4149" s="455">
        <f t="shared" ca="1" si="164"/>
        <v>-11589862027769.078</v>
      </c>
      <c r="M4149" s="471">
        <f t="shared" si="166"/>
        <v>0.05</v>
      </c>
      <c r="N4149" s="475">
        <f t="shared" si="167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65"/>
        <v>-11589862027769.078</v>
      </c>
      <c r="J4150" s="455">
        <f t="array" ref="J4150">IFERROR(INDEX('Retirement Calculator'!K:K,MATCH('Lorri 401b'!N4150,'Retirement Calculator'!A:A,0),0),0)</f>
        <v>0</v>
      </c>
      <c r="K4150" s="455">
        <f t="shared" ca="1" si="163"/>
        <v>-48291091782.371155</v>
      </c>
      <c r="L4150" s="455">
        <f t="shared" ca="1" si="164"/>
        <v>-11638153119551.449</v>
      </c>
      <c r="M4150" s="471">
        <f t="shared" si="166"/>
        <v>0.05</v>
      </c>
      <c r="N4150" s="475">
        <f t="shared" si="167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65"/>
        <v>-11638153119551.449</v>
      </c>
      <c r="J4151" s="455">
        <f t="array" ref="J4151">IFERROR(INDEX('Retirement Calculator'!K:K,MATCH('Lorri 401b'!N4151,'Retirement Calculator'!A:A,0),0),0)</f>
        <v>0</v>
      </c>
      <c r="K4151" s="455">
        <f t="shared" ca="1" si="163"/>
        <v>-48492304664.797707</v>
      </c>
      <c r="L4151" s="455">
        <f t="shared" ca="1" si="164"/>
        <v>-11686645424216.246</v>
      </c>
      <c r="M4151" s="471">
        <f t="shared" si="166"/>
        <v>0.05</v>
      </c>
      <c r="N4151" s="475">
        <f t="shared" si="167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65"/>
        <v>-11686645424216.246</v>
      </c>
      <c r="J4152" s="455">
        <f t="array" ref="J4152">IFERROR(INDEX('Retirement Calculator'!K:K,MATCH('Lorri 401b'!N4152,'Retirement Calculator'!A:A,0),0),0)</f>
        <v>0</v>
      </c>
      <c r="K4152" s="455">
        <f t="shared" ca="1" si="163"/>
        <v>-48694355934.23436</v>
      </c>
      <c r="L4152" s="455">
        <f t="shared" ca="1" si="164"/>
        <v>-11735339780150.48</v>
      </c>
      <c r="M4152" s="471">
        <f t="shared" si="166"/>
        <v>0.05</v>
      </c>
      <c r="N4152" s="475">
        <f t="shared" si="167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65"/>
        <v>-11735339780150.48</v>
      </c>
      <c r="J4153" s="455">
        <f t="array" ref="J4153">IFERROR(INDEX('Retirement Calculator'!K:K,MATCH('Lorri 401b'!N4153,'Retirement Calculator'!A:A,0),0),0)</f>
        <v>0</v>
      </c>
      <c r="K4153" s="455">
        <f t="shared" ca="1" si="163"/>
        <v>-48897249083.960335</v>
      </c>
      <c r="L4153" s="455">
        <f t="shared" ca="1" si="164"/>
        <v>-11784237029234.441</v>
      </c>
      <c r="M4153" s="471">
        <f t="shared" si="166"/>
        <v>0.05</v>
      </c>
      <c r="N4153" s="475">
        <f t="shared" si="167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65"/>
        <v>-11784237029234.441</v>
      </c>
      <c r="J4154" s="455">
        <f t="array" ref="J4154">IFERROR(INDEX('Retirement Calculator'!K:K,MATCH('Lorri 401b'!N4154,'Retirement Calculator'!A:A,0),0),0)</f>
        <v>0</v>
      </c>
      <c r="K4154" s="455">
        <f t="shared" ca="1" si="163"/>
        <v>-49100987621.810173</v>
      </c>
      <c r="L4154" s="455">
        <f t="shared" ca="1" si="164"/>
        <v>-11833338016856.252</v>
      </c>
      <c r="M4154" s="471">
        <f t="shared" si="166"/>
        <v>0.05</v>
      </c>
      <c r="N4154" s="475">
        <f t="shared" si="167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65"/>
        <v>-11833338016856.252</v>
      </c>
      <c r="J4155" s="455">
        <f t="array" ref="J4155">IFERROR(INDEX('Retirement Calculator'!K:K,MATCH('Lorri 401b'!N4155,'Retirement Calculator'!A:A,0),0),0)</f>
        <v>0</v>
      </c>
      <c r="K4155" s="455">
        <f t="shared" ca="1" si="163"/>
        <v>-49305575070.234383</v>
      </c>
      <c r="L4155" s="455">
        <f t="shared" ca="1" si="164"/>
        <v>-11882643591926.486</v>
      </c>
      <c r="M4155" s="471">
        <f t="shared" si="166"/>
        <v>0.05</v>
      </c>
      <c r="N4155" s="475">
        <f t="shared" si="167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65"/>
        <v>-11882643591926.486</v>
      </c>
      <c r="J4156" s="455">
        <f t="array" ref="J4156">IFERROR(INDEX('Retirement Calculator'!K:K,MATCH('Lorri 401b'!N4156,'Retirement Calculator'!A:A,0),0),0)</f>
        <v>0</v>
      </c>
      <c r="K4156" s="455">
        <f t="shared" ca="1" si="163"/>
        <v>-49511014966.360359</v>
      </c>
      <c r="L4156" s="455">
        <f t="shared" ca="1" si="164"/>
        <v>-11932154606892.848</v>
      </c>
      <c r="M4156" s="471">
        <f t="shared" si="166"/>
        <v>0.05</v>
      </c>
      <c r="N4156" s="475">
        <f t="shared" si="167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65"/>
        <v>-11932154606892.848</v>
      </c>
      <c r="J4157" s="455">
        <f t="array" ref="J4157">IFERROR(INDEX('Retirement Calculator'!K:K,MATCH('Lorri 401b'!N4157,'Retirement Calculator'!A:A,0),0),0)</f>
        <v>0</v>
      </c>
      <c r="K4157" s="455">
        <f t="shared" ca="1" si="163"/>
        <v>-49717310862.053528</v>
      </c>
      <c r="L4157" s="455">
        <f t="shared" ca="1" si="164"/>
        <v>-11981871917754.9</v>
      </c>
      <c r="M4157" s="471">
        <f t="shared" si="166"/>
        <v>0.05</v>
      </c>
      <c r="N4157" s="475">
        <f t="shared" si="167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65"/>
        <v>-11981871917754.9</v>
      </c>
      <c r="J4158" s="455">
        <f t="array" ref="J4158">IFERROR(INDEX('Retirement Calculator'!K:K,MATCH('Lorri 401b'!N4158,'Retirement Calculator'!A:A,0),0),0)</f>
        <v>0</v>
      </c>
      <c r="K4158" s="455">
        <f t="shared" ca="1" si="163"/>
        <v>-49924466323.978752</v>
      </c>
      <c r="L4158" s="455">
        <f t="shared" ca="1" si="164"/>
        <v>-12031796384078.879</v>
      </c>
      <c r="M4158" s="471">
        <f t="shared" si="166"/>
        <v>0.05</v>
      </c>
      <c r="N4158" s="475">
        <f t="shared" si="167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65"/>
        <v>-12031796384078.879</v>
      </c>
      <c r="J4159" s="455">
        <f t="array" ref="J4159">IFERROR(INDEX('Retirement Calculator'!K:K,MATCH('Lorri 401b'!N4159,'Retirement Calculator'!A:A,0),0),0)</f>
        <v>0</v>
      </c>
      <c r="K4159" s="455">
        <f t="shared" ca="1" si="163"/>
        <v>-50132484933.661995</v>
      </c>
      <c r="L4159" s="455">
        <f t="shared" ca="1" si="164"/>
        <v>-12081928869012.541</v>
      </c>
      <c r="M4159" s="471">
        <f t="shared" si="166"/>
        <v>0.05</v>
      </c>
      <c r="N4159" s="475">
        <f t="shared" si="167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65"/>
        <v>-12081928869012.541</v>
      </c>
      <c r="J4160" s="455">
        <f t="array" ref="J4160">IFERROR(INDEX('Retirement Calculator'!K:K,MATCH('Lorri 401b'!N4160,'Retirement Calculator'!A:A,0),0),0)</f>
        <v>0</v>
      </c>
      <c r="K4160" s="455">
        <f t="shared" ca="1" si="163"/>
        <v>-50341370287.552254</v>
      </c>
      <c r="L4160" s="455">
        <f t="shared" ca="1" si="164"/>
        <v>-12132270239300.094</v>
      </c>
      <c r="M4160" s="471">
        <f t="shared" si="166"/>
        <v>0.05</v>
      </c>
      <c r="N4160" s="475">
        <f t="shared" si="167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65"/>
        <v>-12132270239300.094</v>
      </c>
      <c r="J4161" s="455">
        <f t="array" ref="J4161">IFERROR(INDEX('Retirement Calculator'!K:K,MATCH('Lorri 401b'!N4161,'Retirement Calculator'!A:A,0),0),0)</f>
        <v>0</v>
      </c>
      <c r="K4161" s="455">
        <f t="shared" ca="1" si="163"/>
        <v>-50551125997.083725</v>
      </c>
      <c r="L4161" s="455">
        <f t="shared" ca="1" si="164"/>
        <v>-12182821365297.178</v>
      </c>
      <c r="M4161" s="471">
        <f t="shared" si="166"/>
        <v>0.05</v>
      </c>
      <c r="N4161" s="475">
        <f t="shared" si="167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65"/>
        <v>-12182821365297.178</v>
      </c>
      <c r="J4162" s="455">
        <f t="array" ref="J4162">IFERROR(INDEX('Retirement Calculator'!K:K,MATCH('Lorri 401b'!N4162,'Retirement Calculator'!A:A,0),0),0)</f>
        <v>0</v>
      </c>
      <c r="K4162" s="455">
        <f t="shared" ca="1" si="163"/>
        <v>-50761755688.738243</v>
      </c>
      <c r="L4162" s="455">
        <f t="shared" ca="1" si="164"/>
        <v>-12233583120985.916</v>
      </c>
      <c r="M4162" s="471">
        <f t="shared" si="166"/>
        <v>0.05</v>
      </c>
      <c r="N4162" s="475">
        <f t="shared" si="167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65"/>
        <v>-12233583120985.916</v>
      </c>
      <c r="J4163" s="455">
        <f t="array" ref="J4163">IFERROR(INDEX('Retirement Calculator'!K:K,MATCH('Lorri 401b'!N4163,'Retirement Calculator'!A:A,0),0),0)</f>
        <v>0</v>
      </c>
      <c r="K4163" s="455">
        <f t="shared" ca="1" si="163"/>
        <v>-50973263004.107986</v>
      </c>
      <c r="L4163" s="455">
        <f t="shared" ca="1" si="164"/>
        <v>-12284556383990.023</v>
      </c>
      <c r="M4163" s="471">
        <f t="shared" si="166"/>
        <v>0.05</v>
      </c>
      <c r="N4163" s="475">
        <f t="shared" si="167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65"/>
        <v>-12284556383990.023</v>
      </c>
      <c r="J4164" s="455">
        <f t="array" ref="J4164">IFERROR(INDEX('Retirement Calculator'!K:K,MATCH('Lorri 401b'!N4164,'Retirement Calculator'!A:A,0),0),0)</f>
        <v>0</v>
      </c>
      <c r="K4164" s="455">
        <f t="shared" ca="1" si="163"/>
        <v>-51185651599.958427</v>
      </c>
      <c r="L4164" s="455">
        <f t="shared" ca="1" si="164"/>
        <v>-12335742035589.982</v>
      </c>
      <c r="M4164" s="471">
        <f t="shared" si="166"/>
        <v>0.05</v>
      </c>
      <c r="N4164" s="475">
        <f t="shared" si="167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65"/>
        <v>-12335742035589.982</v>
      </c>
      <c r="J4165" s="455">
        <f t="array" ref="J4165">IFERROR(INDEX('Retirement Calculator'!K:K,MATCH('Lorri 401b'!N4165,'Retirement Calculator'!A:A,0),0),0)</f>
        <v>0</v>
      </c>
      <c r="K4165" s="455">
        <f t="shared" ca="1" si="163"/>
        <v>-51398925148.291595</v>
      </c>
      <c r="L4165" s="455">
        <f t="shared" ca="1" si="164"/>
        <v>-12387140960738.273</v>
      </c>
      <c r="M4165" s="471">
        <f t="shared" si="166"/>
        <v>0.05</v>
      </c>
      <c r="N4165" s="475">
        <f t="shared" si="167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65"/>
        <v>-12387140960738.273</v>
      </c>
      <c r="J4166" s="455">
        <f t="array" ref="J4166">IFERROR(INDEX('Retirement Calculator'!K:K,MATCH('Lorri 401b'!N4166,'Retirement Calculator'!A:A,0),0),0)</f>
        <v>0</v>
      </c>
      <c r="K4166" s="455">
        <f t="shared" ca="1" si="163"/>
        <v>-51613087336.40947</v>
      </c>
      <c r="L4166" s="455">
        <f t="shared" ca="1" si="164"/>
        <v>-12438754048074.684</v>
      </c>
      <c r="M4166" s="471">
        <f t="shared" si="166"/>
        <v>0.05</v>
      </c>
      <c r="N4166" s="475">
        <f t="shared" si="167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65"/>
        <v>-12438754048074.684</v>
      </c>
      <c r="J4167" s="455">
        <f t="array" ref="J4167">IFERROR(INDEX('Retirement Calculator'!K:K,MATCH('Lorri 401b'!N4167,'Retirement Calculator'!A:A,0),0),0)</f>
        <v>0</v>
      </c>
      <c r="K4167" s="455">
        <f t="shared" ca="1" si="163"/>
        <v>-51828141866.977844</v>
      </c>
      <c r="L4167" s="455">
        <f t="shared" ca="1" si="164"/>
        <v>-12490582189941.662</v>
      </c>
      <c r="M4167" s="471">
        <f t="shared" si="166"/>
        <v>0.05</v>
      </c>
      <c r="N4167" s="475">
        <f t="shared" si="167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65"/>
        <v>-12490582189941.662</v>
      </c>
      <c r="J4168" s="455">
        <f t="array" ref="J4168">IFERROR(INDEX('Retirement Calculator'!K:K,MATCH('Lorri 401b'!N4168,'Retirement Calculator'!A:A,0),0),0)</f>
        <v>0</v>
      </c>
      <c r="K4168" s="455">
        <f t="shared" ca="1" si="163"/>
        <v>-52044092458.090256</v>
      </c>
      <c r="L4168" s="455">
        <f t="shared" ca="1" si="164"/>
        <v>-12542626282399.752</v>
      </c>
      <c r="M4168" s="471">
        <f t="shared" si="166"/>
        <v>0.05</v>
      </c>
      <c r="N4168" s="475">
        <f t="shared" si="167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65"/>
        <v>-12542626282399.752</v>
      </c>
      <c r="J4169" s="455">
        <f t="array" ref="J4169">IFERROR(INDEX('Retirement Calculator'!K:K,MATCH('Lorri 401b'!N4169,'Retirement Calculator'!A:A,0),0),0)</f>
        <v>0</v>
      </c>
      <c r="K4169" s="455">
        <f t="shared" ca="1" si="163"/>
        <v>-52260942843.332298</v>
      </c>
      <c r="L4169" s="455">
        <f t="shared" ca="1" si="164"/>
        <v>-12594887225243.084</v>
      </c>
      <c r="M4169" s="471">
        <f t="shared" si="166"/>
        <v>0.05</v>
      </c>
      <c r="N4169" s="475">
        <f t="shared" si="167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65"/>
        <v>-12594887225243.084</v>
      </c>
      <c r="J4170" s="455">
        <f t="array" ref="J4170">IFERROR(INDEX('Retirement Calculator'!K:K,MATCH('Lorri 401b'!N4170,'Retirement Calculator'!A:A,0),0),0)</f>
        <v>0</v>
      </c>
      <c r="K4170" s="455">
        <f t="shared" ca="1" si="163"/>
        <v>-52478696771.846184</v>
      </c>
      <c r="L4170" s="455">
        <f t="shared" ca="1" si="164"/>
        <v>-12647365922014.93</v>
      </c>
      <c r="M4170" s="471">
        <f t="shared" si="166"/>
        <v>0.05</v>
      </c>
      <c r="N4170" s="475">
        <f t="shared" si="167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65"/>
        <v>-12647365922014.93</v>
      </c>
      <c r="J4171" s="455">
        <f t="array" ref="J4171">IFERROR(INDEX('Retirement Calculator'!K:K,MATCH('Lorri 401b'!N4171,'Retirement Calculator'!A:A,0),0),0)</f>
        <v>0</v>
      </c>
      <c r="K4171" s="455">
        <f t="shared" ca="1" si="163"/>
        <v>-52697358008.395538</v>
      </c>
      <c r="L4171" s="455">
        <f t="shared" ca="1" si="164"/>
        <v>-12700063280023.326</v>
      </c>
      <c r="M4171" s="471">
        <f t="shared" si="166"/>
        <v>0.05</v>
      </c>
      <c r="N4171" s="475">
        <f t="shared" si="167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65"/>
        <v>-12700063280023.326</v>
      </c>
      <c r="J4172" s="455">
        <f t="array" ref="J4172">IFERROR(INDEX('Retirement Calculator'!K:K,MATCH('Lorri 401b'!N4172,'Retirement Calculator'!A:A,0),0),0)</f>
        <v>0</v>
      </c>
      <c r="K4172" s="455">
        <f t="shared" ca="1" si="163"/>
        <v>-52916930333.430527</v>
      </c>
      <c r="L4172" s="455">
        <f t="shared" ca="1" si="164"/>
        <v>-12752980210356.756</v>
      </c>
      <c r="M4172" s="471">
        <f t="shared" si="166"/>
        <v>0.05</v>
      </c>
      <c r="N4172" s="475">
        <f t="shared" si="167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65"/>
        <v>-12752980210356.756</v>
      </c>
      <c r="J4173" s="455">
        <f t="array" ref="J4173">IFERROR(INDEX('Retirement Calculator'!K:K,MATCH('Lorri 401b'!N4173,'Retirement Calculator'!A:A,0),0),0)</f>
        <v>0</v>
      </c>
      <c r="K4173" s="455">
        <f t="shared" ca="1" si="163"/>
        <v>-53137417543.153152</v>
      </c>
      <c r="L4173" s="455">
        <f t="shared" ca="1" si="164"/>
        <v>-12806117627899.908</v>
      </c>
      <c r="M4173" s="471">
        <f t="shared" si="166"/>
        <v>0.05</v>
      </c>
      <c r="N4173" s="475">
        <f t="shared" si="167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65"/>
        <v>-12806117627899.908</v>
      </c>
      <c r="J4174" s="455">
        <f t="array" ref="J4174">IFERROR(INDEX('Retirement Calculator'!K:K,MATCH('Lorri 401b'!N4174,'Retirement Calculator'!A:A,0),0),0)</f>
        <v>0</v>
      </c>
      <c r="K4174" s="455">
        <f t="shared" ca="1" si="163"/>
        <v>-53358823449.582947</v>
      </c>
      <c r="L4174" s="455">
        <f t="shared" ca="1" si="164"/>
        <v>-12859476451349.49</v>
      </c>
      <c r="M4174" s="471">
        <f t="shared" si="166"/>
        <v>0.05</v>
      </c>
      <c r="N4174" s="475">
        <f t="shared" si="167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65"/>
        <v>-12859476451349.49</v>
      </c>
      <c r="J4175" s="455">
        <f t="array" ref="J4175">IFERROR(INDEX('Retirement Calculator'!K:K,MATCH('Lorri 401b'!N4175,'Retirement Calculator'!A:A,0),0),0)</f>
        <v>0</v>
      </c>
      <c r="K4175" s="455">
        <f t="shared" ca="1" si="163"/>
        <v>-53581151880.622879</v>
      </c>
      <c r="L4175" s="455">
        <f t="shared" ca="1" si="164"/>
        <v>-12913057603230.113</v>
      </c>
      <c r="M4175" s="471">
        <f t="shared" si="166"/>
        <v>0.05</v>
      </c>
      <c r="N4175" s="475">
        <f t="shared" si="167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65"/>
        <v>-12913057603230.113</v>
      </c>
      <c r="J4176" s="455">
        <f t="array" ref="J4176">IFERROR(INDEX('Retirement Calculator'!K:K,MATCH('Lorri 401b'!N4176,'Retirement Calculator'!A:A,0),0),0)</f>
        <v>0</v>
      </c>
      <c r="K4176" s="455">
        <f t="shared" ca="1" si="163"/>
        <v>-53804406680.125473</v>
      </c>
      <c r="L4176" s="455">
        <f t="shared" ca="1" si="164"/>
        <v>-12966862009910.238</v>
      </c>
      <c r="M4176" s="471">
        <f t="shared" si="166"/>
        <v>0.05</v>
      </c>
      <c r="N4176" s="475">
        <f t="shared" si="167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65"/>
        <v>-12966862009910.238</v>
      </c>
      <c r="J4177" s="455">
        <f t="array" ref="J4177">IFERROR(INDEX('Retirement Calculator'!K:K,MATCH('Lorri 401b'!N4177,'Retirement Calculator'!A:A,0),0),0)</f>
        <v>0</v>
      </c>
      <c r="K4177" s="455">
        <f t="shared" ca="1" si="163"/>
        <v>-54028591707.959328</v>
      </c>
      <c r="L4177" s="455">
        <f t="shared" ca="1" si="164"/>
        <v>-13020890601618.197</v>
      </c>
      <c r="M4177" s="471">
        <f t="shared" si="166"/>
        <v>0.05</v>
      </c>
      <c r="N4177" s="475">
        <f t="shared" si="167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65"/>
        <v>-13020890601618.197</v>
      </c>
      <c r="J4178" s="455">
        <f t="array" ref="J4178">IFERROR(INDEX('Retirement Calculator'!K:K,MATCH('Lorri 401b'!N4178,'Retirement Calculator'!A:A,0),0),0)</f>
        <v>0</v>
      </c>
      <c r="K4178" s="455">
        <f t="shared" ca="1" si="163"/>
        <v>-54253710840.075821</v>
      </c>
      <c r="L4178" s="455">
        <f t="shared" ca="1" si="164"/>
        <v>-13075144312458.273</v>
      </c>
      <c r="M4178" s="471">
        <f t="shared" si="166"/>
        <v>0.05</v>
      </c>
      <c r="N4178" s="475">
        <f t="shared" si="167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65"/>
        <v>-13075144312458.273</v>
      </c>
      <c r="J4179" s="455">
        <f t="array" ref="J4179">IFERROR(INDEX('Retirement Calculator'!K:K,MATCH('Lorri 401b'!N4179,'Retirement Calculator'!A:A,0),0),0)</f>
        <v>0</v>
      </c>
      <c r="K4179" s="455">
        <f t="shared" ca="1" si="163"/>
        <v>-54479767968.576141</v>
      </c>
      <c r="L4179" s="455">
        <f t="shared" ca="1" si="164"/>
        <v>-13129624080426.85</v>
      </c>
      <c r="M4179" s="471">
        <f t="shared" si="166"/>
        <v>0.05</v>
      </c>
      <c r="N4179" s="475">
        <f t="shared" si="167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65"/>
        <v>-13129624080426.85</v>
      </c>
      <c r="J4180" s="455">
        <f t="array" ref="J4180">IFERROR(INDEX('Retirement Calculator'!K:K,MATCH('Lorri 401b'!N4180,'Retirement Calculator'!A:A,0),0),0)</f>
        <v>0</v>
      </c>
      <c r="K4180" s="455">
        <f t="shared" ca="1" si="163"/>
        <v>-54706767001.778542</v>
      </c>
      <c r="L4180" s="455">
        <f t="shared" ca="1" si="164"/>
        <v>-13184330847428.629</v>
      </c>
      <c r="M4180" s="471">
        <f t="shared" si="166"/>
        <v>0.05</v>
      </c>
      <c r="N4180" s="475">
        <f t="shared" si="167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65"/>
        <v>-13184330847428.629</v>
      </c>
      <c r="J4181" s="455">
        <f t="array" ref="J4181">IFERROR(INDEX('Retirement Calculator'!K:K,MATCH('Lorri 401b'!N4181,'Retirement Calculator'!A:A,0),0),0)</f>
        <v>0</v>
      </c>
      <c r="K4181" s="455">
        <f t="shared" ca="1" si="163"/>
        <v>-54934711864.28595</v>
      </c>
      <c r="L4181" s="455">
        <f t="shared" ca="1" si="164"/>
        <v>-13239265559292.914</v>
      </c>
      <c r="M4181" s="471">
        <f t="shared" si="166"/>
        <v>0.05</v>
      </c>
      <c r="N4181" s="475">
        <f t="shared" si="167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65"/>
        <v>-13239265559292.914</v>
      </c>
      <c r="J4182" s="455">
        <f t="array" ref="J4182">IFERROR(INDEX('Retirement Calculator'!K:K,MATCH('Lorri 401b'!N4182,'Retirement Calculator'!A:A,0),0),0)</f>
        <v>0</v>
      </c>
      <c r="K4182" s="455">
        <f t="shared" ca="1" si="163"/>
        <v>-55163606497.05381</v>
      </c>
      <c r="L4182" s="455">
        <f t="shared" ca="1" si="164"/>
        <v>-13294429165789.969</v>
      </c>
      <c r="M4182" s="471">
        <f t="shared" si="166"/>
        <v>0.05</v>
      </c>
      <c r="N4182" s="475">
        <f t="shared" si="167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65"/>
        <v>-13294429165789.969</v>
      </c>
      <c r="J4183" s="455">
        <f t="array" ref="J4183">IFERROR(INDEX('Retirement Calculator'!K:K,MATCH('Lorri 401b'!N4183,'Retirement Calculator'!A:A,0),0),0)</f>
        <v>0</v>
      </c>
      <c r="K4183" s="455">
        <f t="shared" ca="1" si="163"/>
        <v>-55393454857.458199</v>
      </c>
      <c r="L4183" s="455">
        <f t="shared" ca="1" si="164"/>
        <v>-13349822620647.428</v>
      </c>
      <c r="M4183" s="471">
        <f t="shared" si="166"/>
        <v>0.05</v>
      </c>
      <c r="N4183" s="475">
        <f t="shared" si="167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65"/>
        <v>-13349822620647.428</v>
      </c>
      <c r="J4184" s="455">
        <f t="array" ref="J4184">IFERROR(INDEX('Retirement Calculator'!K:K,MATCH('Lorri 401b'!N4184,'Retirement Calculator'!A:A,0),0),0)</f>
        <v>0</v>
      </c>
      <c r="K4184" s="455">
        <f t="shared" ca="1" si="163"/>
        <v>-55624260919.364281</v>
      </c>
      <c r="L4184" s="455">
        <f t="shared" ca="1" si="164"/>
        <v>-13405446881566.793</v>
      </c>
      <c r="M4184" s="471">
        <f t="shared" si="166"/>
        <v>0.05</v>
      </c>
      <c r="N4184" s="475">
        <f t="shared" si="167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65"/>
        <v>-13405446881566.793</v>
      </c>
      <c r="J4185" s="455">
        <f t="array" ref="J4185">IFERROR(INDEX('Retirement Calculator'!K:K,MATCH('Lorri 401b'!N4185,'Retirement Calculator'!A:A,0),0),0)</f>
        <v>0</v>
      </c>
      <c r="K4185" s="455">
        <f t="shared" ca="1" si="163"/>
        <v>-55856028673.194969</v>
      </c>
      <c r="L4185" s="455">
        <f t="shared" ca="1" si="164"/>
        <v>-13461302910239.988</v>
      </c>
      <c r="M4185" s="471">
        <f t="shared" si="166"/>
        <v>0.05</v>
      </c>
      <c r="N4185" s="475">
        <f t="shared" si="167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65"/>
        <v>-13461302910239.988</v>
      </c>
      <c r="J4186" s="455">
        <f t="array" ref="J4186">IFERROR(INDEX('Retirement Calculator'!K:K,MATCH('Lorri 401b'!N4186,'Retirement Calculator'!A:A,0),0),0)</f>
        <v>0</v>
      </c>
      <c r="K4186" s="455">
        <f t="shared" ca="1" si="163"/>
        <v>-56088762125.999947</v>
      </c>
      <c r="L4186" s="455">
        <f t="shared" ca="1" si="164"/>
        <v>-13517391672365.988</v>
      </c>
      <c r="M4186" s="471">
        <f t="shared" si="166"/>
        <v>0.05</v>
      </c>
      <c r="N4186" s="475">
        <f t="shared" si="167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65"/>
        <v>-13517391672365.988</v>
      </c>
      <c r="J4187" s="455">
        <f t="array" ref="J4187">IFERROR(INDEX('Retirement Calculator'!K:K,MATCH('Lorri 401b'!N4187,'Retirement Calculator'!A:A,0),0),0)</f>
        <v>0</v>
      </c>
      <c r="K4187" s="455">
        <f t="shared" ca="1" si="163"/>
        <v>-56322465301.524948</v>
      </c>
      <c r="L4187" s="455">
        <f t="shared" ca="1" si="164"/>
        <v>-13573714137667.514</v>
      </c>
      <c r="M4187" s="471">
        <f t="shared" si="166"/>
        <v>0.05</v>
      </c>
      <c r="N4187" s="475">
        <f t="shared" si="167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65"/>
        <v>-13573714137667.514</v>
      </c>
      <c r="J4188" s="455">
        <f t="array" ref="J4188">IFERROR(INDEX('Retirement Calculator'!K:K,MATCH('Lorri 401b'!N4188,'Retirement Calculator'!A:A,0),0),0)</f>
        <v>0</v>
      </c>
      <c r="K4188" s="455">
        <f t="shared" ca="1" si="163"/>
        <v>-56557142240.281303</v>
      </c>
      <c r="L4188" s="455">
        <f t="shared" ca="1" si="164"/>
        <v>-13630271279907.795</v>
      </c>
      <c r="M4188" s="471">
        <f t="shared" si="166"/>
        <v>0.05</v>
      </c>
      <c r="N4188" s="475">
        <f t="shared" si="167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65"/>
        <v>-13630271279907.795</v>
      </c>
      <c r="J4189" s="455">
        <f t="array" ref="J4189">IFERROR(INDEX('Retirement Calculator'!K:K,MATCH('Lorri 401b'!N4189,'Retirement Calculator'!A:A,0),0),0)</f>
        <v>0</v>
      </c>
      <c r="K4189" s="455">
        <f t="shared" ca="1" si="163"/>
        <v>-56792796999.615814</v>
      </c>
      <c r="L4189" s="455">
        <f t="shared" ca="1" si="164"/>
        <v>-13687064076907.41</v>
      </c>
      <c r="M4189" s="471">
        <f t="shared" si="166"/>
        <v>0.05</v>
      </c>
      <c r="N4189" s="475">
        <f t="shared" si="167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65"/>
        <v>-13687064076907.41</v>
      </c>
      <c r="J4190" s="455">
        <f t="array" ref="J4190">IFERROR(INDEX('Retirement Calculator'!K:K,MATCH('Lorri 401b'!N4190,'Retirement Calculator'!A:A,0),0),0)</f>
        <v>0</v>
      </c>
      <c r="K4190" s="455">
        <f t="shared" ca="1" si="163"/>
        <v>-57029433653.780876</v>
      </c>
      <c r="L4190" s="455">
        <f t="shared" ca="1" si="164"/>
        <v>-13744093510561.191</v>
      </c>
      <c r="M4190" s="471">
        <f t="shared" si="166"/>
        <v>0.05</v>
      </c>
      <c r="N4190" s="475">
        <f t="shared" si="167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65"/>
        <v>-13744093510561.191</v>
      </c>
      <c r="J4191" s="455">
        <f t="array" ref="J4191">IFERROR(INDEX('Retirement Calculator'!K:K,MATCH('Lorri 401b'!N4191,'Retirement Calculator'!A:A,0),0),0)</f>
        <v>0</v>
      </c>
      <c r="K4191" s="455">
        <f t="shared" ca="1" si="163"/>
        <v>-57267056294.004967</v>
      </c>
      <c r="L4191" s="455">
        <f t="shared" ca="1" si="164"/>
        <v>-13801360566855.197</v>
      </c>
      <c r="M4191" s="471">
        <f t="shared" si="166"/>
        <v>0.05</v>
      </c>
      <c r="N4191" s="475">
        <f t="shared" si="167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65"/>
        <v>-13801360566855.197</v>
      </c>
      <c r="J4192" s="455">
        <f t="array" ref="J4192">IFERROR(INDEX('Retirement Calculator'!K:K,MATCH('Lorri 401b'!N4192,'Retirement Calculator'!A:A,0),0),0)</f>
        <v>0</v>
      </c>
      <c r="K4192" s="455">
        <f t="shared" ca="1" si="163"/>
        <v>-57505669028.563324</v>
      </c>
      <c r="L4192" s="455">
        <f t="shared" ca="1" si="164"/>
        <v>-13858866235883.76</v>
      </c>
      <c r="M4192" s="471">
        <f t="shared" si="166"/>
        <v>0.05</v>
      </c>
      <c r="N4192" s="475">
        <f t="shared" si="167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65"/>
        <v>-13858866235883.76</v>
      </c>
      <c r="J4193" s="455">
        <f t="array" ref="J4193">IFERROR(INDEX('Retirement Calculator'!K:K,MATCH('Lorri 401b'!N4193,'Retirement Calculator'!A:A,0),0),0)</f>
        <v>0</v>
      </c>
      <c r="K4193" s="455">
        <f t="shared" ca="1" si="163"/>
        <v>-57745275982.848991</v>
      </c>
      <c r="L4193" s="455">
        <f t="shared" ca="1" si="164"/>
        <v>-13916611511866.609</v>
      </c>
      <c r="M4193" s="471">
        <f t="shared" si="166"/>
        <v>0.05</v>
      </c>
      <c r="N4193" s="475">
        <f t="shared" si="167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65"/>
        <v>-13916611511866.609</v>
      </c>
      <c r="J4194" s="455">
        <f t="array" ref="J4194">IFERROR(INDEX('Retirement Calculator'!K:K,MATCH('Lorri 401b'!N4194,'Retirement Calculator'!A:A,0),0),0)</f>
        <v>0</v>
      </c>
      <c r="K4194" s="455">
        <f t="shared" ca="1" si="163"/>
        <v>-57985881299.444206</v>
      </c>
      <c r="L4194" s="455">
        <f t="shared" ca="1" si="164"/>
        <v>-13974597393166.053</v>
      </c>
      <c r="M4194" s="471">
        <f t="shared" si="166"/>
        <v>0.05</v>
      </c>
      <c r="N4194" s="475">
        <f t="shared" si="167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65"/>
        <v>-13974597393166.053</v>
      </c>
      <c r="J4195" s="455">
        <f t="array" ref="J4195">IFERROR(INDEX('Retirement Calculator'!K:K,MATCH('Lorri 401b'!N4195,'Retirement Calculator'!A:A,0),0),0)</f>
        <v>0</v>
      </c>
      <c r="K4195" s="455">
        <f t="shared" ca="1" si="163"/>
        <v>-58227489138.191895</v>
      </c>
      <c r="L4195" s="455">
        <f t="shared" ca="1" si="164"/>
        <v>-14032824882304.244</v>
      </c>
      <c r="M4195" s="471">
        <f t="shared" si="166"/>
        <v>0.05</v>
      </c>
      <c r="N4195" s="475">
        <f t="shared" si="167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65"/>
        <v>-14032824882304.244</v>
      </c>
      <c r="J4196" s="455">
        <f t="array" ref="J4196">IFERROR(INDEX('Retirement Calculator'!K:K,MATCH('Lorri 401b'!N4196,'Retirement Calculator'!A:A,0),0),0)</f>
        <v>0</v>
      </c>
      <c r="K4196" s="455">
        <f t="shared" ca="1" si="163"/>
        <v>-58470103676.267677</v>
      </c>
      <c r="L4196" s="455">
        <f t="shared" ca="1" si="164"/>
        <v>-14091294985980.512</v>
      </c>
      <c r="M4196" s="471">
        <f t="shared" si="166"/>
        <v>0.05</v>
      </c>
      <c r="N4196" s="475">
        <f t="shared" si="167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65"/>
        <v>-14091294985980.512</v>
      </c>
      <c r="J4197" s="455">
        <f t="array" ref="J4197">IFERROR(INDEX('Retirement Calculator'!K:K,MATCH('Lorri 401b'!N4197,'Retirement Calculator'!A:A,0),0),0)</f>
        <v>0</v>
      </c>
      <c r="K4197" s="455">
        <f t="shared" ca="1" si="163"/>
        <v>-58713729108.252129</v>
      </c>
      <c r="L4197" s="455">
        <f t="shared" ca="1" si="164"/>
        <v>-14150008715088.764</v>
      </c>
      <c r="M4197" s="471">
        <f t="shared" si="166"/>
        <v>0.05</v>
      </c>
      <c r="N4197" s="475">
        <f t="shared" si="167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65"/>
        <v>-14150008715088.764</v>
      </c>
      <c r="J4198" s="455">
        <f t="array" ref="J4198">IFERROR(INDEX('Retirement Calculator'!K:K,MATCH('Lorri 401b'!N4198,'Retirement Calculator'!A:A,0),0),0)</f>
        <v>0</v>
      </c>
      <c r="K4198" s="455">
        <f t="shared" ca="1" si="163"/>
        <v>-58958369646.203178</v>
      </c>
      <c r="L4198" s="455">
        <f t="shared" ca="1" si="164"/>
        <v>-14208967084734.967</v>
      </c>
      <c r="M4198" s="471">
        <f t="shared" si="166"/>
        <v>0.05</v>
      </c>
      <c r="N4198" s="475">
        <f t="shared" si="167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65"/>
        <v>-14208967084734.967</v>
      </c>
      <c r="J4199" s="455">
        <f t="array" ref="J4199">IFERROR(INDEX('Retirement Calculator'!K:K,MATCH('Lorri 401b'!N4199,'Retirement Calculator'!A:A,0),0),0)</f>
        <v>0</v>
      </c>
      <c r="K4199" s="455">
        <f t="shared" ca="1" si="163"/>
        <v>-59204029519.729027</v>
      </c>
      <c r="L4199" s="455">
        <f t="shared" ca="1" si="164"/>
        <v>-14268171114254.695</v>
      </c>
      <c r="M4199" s="471">
        <f t="shared" si="166"/>
        <v>0.05</v>
      </c>
      <c r="N4199" s="475">
        <f t="shared" si="167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65"/>
        <v>-14268171114254.695</v>
      </c>
      <c r="J4200" s="455">
        <f t="array" ref="J4200">IFERROR(INDEX('Retirement Calculator'!K:K,MATCH('Lorri 401b'!N4200,'Retirement Calculator'!A:A,0),0),0)</f>
        <v>0</v>
      </c>
      <c r="K4200" s="455">
        <f t="shared" ca="1" si="163"/>
        <v>-59450712976.061241</v>
      </c>
      <c r="L4200" s="455">
        <f t="shared" ca="1" si="164"/>
        <v>-14327621827230.756</v>
      </c>
      <c r="M4200" s="471">
        <f t="shared" si="166"/>
        <v>0.05</v>
      </c>
      <c r="N4200" s="475">
        <f t="shared" si="167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65"/>
        <v>-14327621827230.756</v>
      </c>
      <c r="J4201" s="455">
        <f t="array" ref="J4201">IFERROR(INDEX('Retirement Calculator'!K:K,MATCH('Lorri 401b'!N4201,'Retirement Calculator'!A:A,0),0),0)</f>
        <v>0</v>
      </c>
      <c r="K4201" s="455">
        <f t="shared" ca="1" si="163"/>
        <v>-59698424280.128151</v>
      </c>
      <c r="L4201" s="455">
        <f t="shared" ca="1" si="164"/>
        <v>-14387320251510.885</v>
      </c>
      <c r="M4201" s="471">
        <f t="shared" si="166"/>
        <v>0.05</v>
      </c>
      <c r="N4201" s="475">
        <f t="shared" si="167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65"/>
        <v>-14387320251510.885</v>
      </c>
      <c r="J4202" s="455">
        <f t="array" ref="J4202">IFERROR(INDEX('Retirement Calculator'!K:K,MATCH('Lorri 401b'!N4202,'Retirement Calculator'!A:A,0),0),0)</f>
        <v>0</v>
      </c>
      <c r="K4202" s="455">
        <f t="shared" ca="1" si="163"/>
        <v>-59947167714.628693</v>
      </c>
      <c r="L4202" s="455">
        <f t="shared" ca="1" si="164"/>
        <v>-14447267419225.514</v>
      </c>
      <c r="M4202" s="471">
        <f t="shared" si="166"/>
        <v>0.05</v>
      </c>
      <c r="N4202" s="475">
        <f t="shared" si="167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65"/>
        <v>-14447267419225.514</v>
      </c>
      <c r="J4203" s="455">
        <f t="array" ref="J4203">IFERROR(INDEX('Retirement Calculator'!K:K,MATCH('Lorri 401b'!N4203,'Retirement Calculator'!A:A,0),0),0)</f>
        <v>0</v>
      </c>
      <c r="K4203" s="455">
        <f t="shared" ca="1" si="163"/>
        <v>-60196947580.106316</v>
      </c>
      <c r="L4203" s="455">
        <f t="shared" ca="1" si="164"/>
        <v>-14507464366805.619</v>
      </c>
      <c r="M4203" s="471">
        <f t="shared" si="166"/>
        <v>0.05</v>
      </c>
      <c r="N4203" s="475">
        <f t="shared" si="167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65"/>
        <v>-14507464366805.619</v>
      </c>
      <c r="J4204" s="455">
        <f t="array" ref="J4204">IFERROR(INDEX('Retirement Calculator'!K:K,MATCH('Lorri 401b'!N4204,'Retirement Calculator'!A:A,0),0),0)</f>
        <v>0</v>
      </c>
      <c r="K4204" s="455">
        <f t="shared" ca="1" si="163"/>
        <v>-60447768195.023415</v>
      </c>
      <c r="L4204" s="455">
        <f t="shared" ca="1" si="164"/>
        <v>-14567912135000.643</v>
      </c>
      <c r="M4204" s="471">
        <f t="shared" si="166"/>
        <v>0.05</v>
      </c>
      <c r="N4204" s="475">
        <f t="shared" si="167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65"/>
        <v>-14567912135000.643</v>
      </c>
      <c r="J4205" s="455">
        <f t="array" ref="J4205">IFERROR(INDEX('Retirement Calculator'!K:K,MATCH('Lorri 401b'!N4205,'Retirement Calculator'!A:A,0),0),0)</f>
        <v>0</v>
      </c>
      <c r="K4205" s="455">
        <f t="shared" ca="1" si="163"/>
        <v>-60699633895.836006</v>
      </c>
      <c r="L4205" s="455">
        <f t="shared" ca="1" si="164"/>
        <v>-14628611768896.479</v>
      </c>
      <c r="M4205" s="471">
        <f t="shared" si="166"/>
        <v>0.05</v>
      </c>
      <c r="N4205" s="475">
        <f t="shared" si="167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65"/>
        <v>-14628611768896.479</v>
      </c>
      <c r="J4206" s="455">
        <f t="array" ref="J4206">IFERROR(INDEX('Retirement Calculator'!K:K,MATCH('Lorri 401b'!N4206,'Retirement Calculator'!A:A,0),0),0)</f>
        <v>0</v>
      </c>
      <c r="K4206" s="455">
        <f t="shared" ca="1" si="163"/>
        <v>-60952549037.068657</v>
      </c>
      <c r="L4206" s="455">
        <f t="shared" ca="1" si="164"/>
        <v>-14689564317933.547</v>
      </c>
      <c r="M4206" s="471">
        <f t="shared" si="166"/>
        <v>0.05</v>
      </c>
      <c r="N4206" s="475">
        <f t="shared" si="167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65"/>
        <v>-14689564317933.547</v>
      </c>
      <c r="J4207" s="455">
        <f t="array" ref="J4207">IFERROR(INDEX('Retirement Calculator'!K:K,MATCH('Lorri 401b'!N4207,'Retirement Calculator'!A:A,0),0),0)</f>
        <v>0</v>
      </c>
      <c r="K4207" s="455">
        <f t="shared" ca="1" si="163"/>
        <v>-61206517991.389778</v>
      </c>
      <c r="L4207" s="455">
        <f t="shared" ca="1" si="164"/>
        <v>-14750770835924.938</v>
      </c>
      <c r="M4207" s="471">
        <f t="shared" si="166"/>
        <v>0.05</v>
      </c>
      <c r="N4207" s="475">
        <f t="shared" si="167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65"/>
        <v>-14750770835924.938</v>
      </c>
      <c r="J4208" s="455">
        <f t="array" ref="J4208">IFERROR(INDEX('Retirement Calculator'!K:K,MATCH('Lorri 401b'!N4208,'Retirement Calculator'!A:A,0),0),0)</f>
        <v>0</v>
      </c>
      <c r="K4208" s="455">
        <f t="shared" ca="1" si="163"/>
        <v>-61461545149.687241</v>
      </c>
      <c r="L4208" s="455">
        <f t="shared" ca="1" si="164"/>
        <v>-14812232381074.625</v>
      </c>
      <c r="M4208" s="471">
        <f t="shared" si="166"/>
        <v>0.05</v>
      </c>
      <c r="N4208" s="475">
        <f t="shared" si="167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65"/>
        <v>-14812232381074.625</v>
      </c>
      <c r="J4209" s="455">
        <f t="array" ref="J4209">IFERROR(INDEX('Retirement Calculator'!K:K,MATCH('Lorri 401b'!N4209,'Retirement Calculator'!A:A,0),0),0)</f>
        <v>0</v>
      </c>
      <c r="K4209" s="455">
        <f t="shared" ca="1" si="163"/>
        <v>-61717634921.144272</v>
      </c>
      <c r="L4209" s="455">
        <f t="shared" ca="1" si="164"/>
        <v>-14873950015995.77</v>
      </c>
      <c r="M4209" s="471">
        <f t="shared" si="166"/>
        <v>0.05</v>
      </c>
      <c r="N4209" s="475">
        <f t="shared" si="167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65"/>
        <v>-14873950015995.77</v>
      </c>
      <c r="J4210" s="455">
        <f t="array" ref="J4210">IFERROR(INDEX('Retirement Calculator'!K:K,MATCH('Lorri 401b'!N4210,'Retirement Calculator'!A:A,0),0),0)</f>
        <v>0</v>
      </c>
      <c r="K4210" s="455">
        <f t="shared" ca="1" si="163"/>
        <v>-61974791733.315704</v>
      </c>
      <c r="L4210" s="455">
        <f t="shared" ca="1" si="164"/>
        <v>-14935924807729.086</v>
      </c>
      <c r="M4210" s="471">
        <f t="shared" si="166"/>
        <v>0.05</v>
      </c>
      <c r="N4210" s="475">
        <f t="shared" si="167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65"/>
        <v>-14935924807729.086</v>
      </c>
      <c r="J4211" s="455">
        <f t="array" ref="J4211">IFERROR(INDEX('Retirement Calculator'!K:K,MATCH('Lorri 401b'!N4211,'Retirement Calculator'!A:A,0),0),0)</f>
        <v>0</v>
      </c>
      <c r="K4211" s="455">
        <f t="shared" ca="1" si="163"/>
        <v>-62233020032.204514</v>
      </c>
      <c r="L4211" s="455">
        <f t="shared" ca="1" si="164"/>
        <v>-14998157827761.291</v>
      </c>
      <c r="M4211" s="471">
        <f t="shared" si="166"/>
        <v>0.05</v>
      </c>
      <c r="N4211" s="475">
        <f t="shared" si="167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65"/>
        <v>-14998157827761.291</v>
      </c>
      <c r="J4212" s="455">
        <f t="array" ref="J4212">IFERROR(INDEX('Retirement Calculator'!K:K,MATCH('Lorri 401b'!N4212,'Retirement Calculator'!A:A,0),0),0)</f>
        <v>0</v>
      </c>
      <c r="K4212" s="455">
        <f t="shared" ca="1" si="163"/>
        <v>-62492324282.338715</v>
      </c>
      <c r="L4212" s="455">
        <f t="shared" ca="1" si="164"/>
        <v>-15060650152043.629</v>
      </c>
      <c r="M4212" s="471">
        <f t="shared" si="166"/>
        <v>0.05</v>
      </c>
      <c r="N4212" s="475">
        <f t="shared" si="167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65"/>
        <v>-15060650152043.629</v>
      </c>
      <c r="J4213" s="455">
        <f t="array" ref="J4213">IFERROR(INDEX('Retirement Calculator'!K:K,MATCH('Lorri 401b'!N4213,'Retirement Calculator'!A:A,0),0),0)</f>
        <v>0</v>
      </c>
      <c r="K4213" s="455">
        <f t="shared" ca="1" si="163"/>
        <v>-62752708966.84845</v>
      </c>
      <c r="L4213" s="455">
        <f t="shared" ca="1" si="164"/>
        <v>-15123402861010.477</v>
      </c>
      <c r="M4213" s="471">
        <f t="shared" si="166"/>
        <v>0.05</v>
      </c>
      <c r="N4213" s="475">
        <f t="shared" si="167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65"/>
        <v>-15123402861010.477</v>
      </c>
      <c r="J4214" s="455">
        <f t="array" ref="J4214">IFERROR(INDEX('Retirement Calculator'!K:K,MATCH('Lorri 401b'!N4214,'Retirement Calculator'!A:A,0),0),0)</f>
        <v>0</v>
      </c>
      <c r="K4214" s="455">
        <f t="shared" ca="1" si="163"/>
        <v>-63014178587.543648</v>
      </c>
      <c r="L4214" s="455">
        <f t="shared" ca="1" si="164"/>
        <v>-15186417039598.02</v>
      </c>
      <c r="M4214" s="471">
        <f t="shared" si="166"/>
        <v>0.05</v>
      </c>
      <c r="N4214" s="475">
        <f t="shared" si="167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65"/>
        <v>-15186417039598.02</v>
      </c>
      <c r="J4215" s="455">
        <f t="array" ref="J4215">IFERROR(INDEX('Retirement Calculator'!K:K,MATCH('Lorri 401b'!N4215,'Retirement Calculator'!A:A,0),0),0)</f>
        <v>0</v>
      </c>
      <c r="K4215" s="455">
        <f t="shared" ca="1" si="163"/>
        <v>-63276737664.991745</v>
      </c>
      <c r="L4215" s="455">
        <f t="shared" ca="1" si="164"/>
        <v>-15249693777263.012</v>
      </c>
      <c r="M4215" s="471">
        <f t="shared" si="166"/>
        <v>0.05</v>
      </c>
      <c r="N4215" s="475">
        <f t="shared" si="167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65"/>
        <v>-15249693777263.012</v>
      </c>
      <c r="J4216" s="455">
        <f t="array" ref="J4216">IFERROR(INDEX('Retirement Calculator'!K:K,MATCH('Lorri 401b'!N4216,'Retirement Calculator'!A:A,0),0),0)</f>
        <v>0</v>
      </c>
      <c r="K4216" s="455">
        <f t="shared" ca="1" si="163"/>
        <v>-63540390738.595879</v>
      </c>
      <c r="L4216" s="455">
        <f t="shared" ca="1" si="164"/>
        <v>-15313234168001.607</v>
      </c>
      <c r="M4216" s="471">
        <f t="shared" si="166"/>
        <v>0.05</v>
      </c>
      <c r="N4216" s="475">
        <f t="shared" si="167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65"/>
        <v>-15313234168001.607</v>
      </c>
      <c r="J4217" s="455">
        <f t="array" ref="J4217">IFERROR(INDEX('Retirement Calculator'!K:K,MATCH('Lorri 401b'!N4217,'Retirement Calculator'!A:A,0),0),0)</f>
        <v>0</v>
      </c>
      <c r="K4217" s="455">
        <f t="shared" ca="1" si="163"/>
        <v>-63805142366.673363</v>
      </c>
      <c r="L4217" s="455">
        <f t="shared" ca="1" si="164"/>
        <v>-15377039310368.281</v>
      </c>
      <c r="M4217" s="471">
        <f t="shared" si="166"/>
        <v>0.05</v>
      </c>
      <c r="N4217" s="475">
        <f t="shared" si="167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65"/>
        <v>-15377039310368.281</v>
      </c>
      <c r="J4218" s="455">
        <f t="array" ref="J4218">IFERROR(INDEX('Retirement Calculator'!K:K,MATCH('Lorri 401b'!N4218,'Retirement Calculator'!A:A,0),0),0)</f>
        <v>0</v>
      </c>
      <c r="K4218" s="455">
        <f t="shared" ca="1" si="163"/>
        <v>-64070997126.534508</v>
      </c>
      <c r="L4218" s="455">
        <f t="shared" ca="1" si="164"/>
        <v>-15441110307494.816</v>
      </c>
      <c r="M4218" s="471">
        <f t="shared" si="166"/>
        <v>0.05</v>
      </c>
      <c r="N4218" s="475">
        <f t="shared" si="167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65"/>
        <v>-15441110307494.816</v>
      </c>
      <c r="J4219" s="455">
        <f t="array" ref="J4219">IFERROR(INDEX('Retirement Calculator'!K:K,MATCH('Lorri 401b'!N4219,'Retirement Calculator'!A:A,0),0),0)</f>
        <v>0</v>
      </c>
      <c r="K4219" s="455">
        <f t="shared" ca="1" si="163"/>
        <v>-64337959614.561729</v>
      </c>
      <c r="L4219" s="455">
        <f t="shared" ca="1" si="164"/>
        <v>-15505448267109.379</v>
      </c>
      <c r="M4219" s="471">
        <f t="shared" si="166"/>
        <v>0.05</v>
      </c>
      <c r="N4219" s="475">
        <f t="shared" si="167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65"/>
        <v>-15505448267109.379</v>
      </c>
      <c r="J4220" s="455">
        <f t="array" ref="J4220">IFERROR(INDEX('Retirement Calculator'!K:K,MATCH('Lorri 401b'!N4220,'Retirement Calculator'!A:A,0),0),0)</f>
        <v>0</v>
      </c>
      <c r="K4220" s="455">
        <f t="shared" ca="1" si="163"/>
        <v>-64606034446.289078</v>
      </c>
      <c r="L4220" s="455">
        <f t="shared" ca="1" si="164"/>
        <v>-15570054301555.668</v>
      </c>
      <c r="M4220" s="471">
        <f t="shared" si="166"/>
        <v>0.05</v>
      </c>
      <c r="N4220" s="475">
        <f t="shared" si="167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65"/>
        <v>-15570054301555.668</v>
      </c>
      <c r="J4221" s="455">
        <f t="array" ref="J4221">IFERROR(INDEX('Retirement Calculator'!K:K,MATCH('Lorri 401b'!N4221,'Retirement Calculator'!A:A,0),0),0)</f>
        <v>0</v>
      </c>
      <c r="K4221" s="455">
        <f t="shared" ca="1" si="163"/>
        <v>-64875226256.481949</v>
      </c>
      <c r="L4221" s="455">
        <f t="shared" ca="1" si="164"/>
        <v>-15634929527812.15</v>
      </c>
      <c r="M4221" s="471">
        <f t="shared" si="166"/>
        <v>0.05</v>
      </c>
      <c r="N4221" s="475">
        <f t="shared" si="167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65"/>
        <v>-15634929527812.15</v>
      </c>
      <c r="J4222" s="455">
        <f t="array" ref="J4222">IFERROR(INDEX('Retirement Calculator'!K:K,MATCH('Lorri 401b'!N4222,'Retirement Calculator'!A:A,0),0),0)</f>
        <v>0</v>
      </c>
      <c r="K4222" s="455">
        <f t="shared" ca="1" si="163"/>
        <v>-65145539699.217293</v>
      </c>
      <c r="L4222" s="455">
        <f t="shared" ca="1" si="164"/>
        <v>-15700075067511.367</v>
      </c>
      <c r="M4222" s="471">
        <f t="shared" si="166"/>
        <v>0.05</v>
      </c>
      <c r="N4222" s="475">
        <f t="shared" si="167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65"/>
        <v>-15700075067511.367</v>
      </c>
      <c r="J4223" s="455">
        <f t="array" ref="J4223">IFERROR(INDEX('Retirement Calculator'!K:K,MATCH('Lorri 401b'!N4223,'Retirement Calculator'!A:A,0),0),0)</f>
        <v>0</v>
      </c>
      <c r="K4223" s="455">
        <f t="shared" ca="1" si="163"/>
        <v>-65416979447.96402</v>
      </c>
      <c r="L4223" s="455">
        <f t="shared" ca="1" si="164"/>
        <v>-15765492046959.332</v>
      </c>
      <c r="M4223" s="471">
        <f t="shared" si="166"/>
        <v>0.05</v>
      </c>
      <c r="N4223" s="475">
        <f t="shared" si="167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65"/>
        <v>-15765492046959.332</v>
      </c>
      <c r="J4224" s="455">
        <f t="array" ref="J4224">IFERROR(INDEX('Retirement Calculator'!K:K,MATCH('Lorri 401b'!N4224,'Retirement Calculator'!A:A,0),0),0)</f>
        <v>0</v>
      </c>
      <c r="K4224" s="455">
        <f t="shared" ca="1" si="163"/>
        <v>-65689550195.663872</v>
      </c>
      <c r="L4224" s="455">
        <f t="shared" ca="1" si="164"/>
        <v>-15831181597154.996</v>
      </c>
      <c r="M4224" s="471">
        <f t="shared" si="166"/>
        <v>0.05</v>
      </c>
      <c r="N4224" s="475">
        <f t="shared" si="167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65"/>
        <v>-15831181597154.996</v>
      </c>
      <c r="J4225" s="455">
        <f t="array" ref="J4225">IFERROR(INDEX('Retirement Calculator'!K:K,MATCH('Lorri 401b'!N4225,'Retirement Calculator'!A:A,0),0),0)</f>
        <v>0</v>
      </c>
      <c r="K4225" s="455">
        <f t="shared" ca="1" si="163"/>
        <v>-65963256654.812485</v>
      </c>
      <c r="L4225" s="455">
        <f t="shared" ca="1" si="164"/>
        <v>-15897144853809.809</v>
      </c>
      <c r="M4225" s="471">
        <f t="shared" si="166"/>
        <v>0.05</v>
      </c>
      <c r="N4225" s="475">
        <f t="shared" si="167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65"/>
        <v>-15897144853809.809</v>
      </c>
      <c r="J4226" s="455">
        <f t="array" ref="J4226">IFERROR(INDEX('Retirement Calculator'!K:K,MATCH('Lorri 401b'!N4226,'Retirement Calculator'!A:A,0),0),0)</f>
        <v>0</v>
      </c>
      <c r="K4226" s="455">
        <f t="shared" ca="1" si="163"/>
        <v>-66238103557.540871</v>
      </c>
      <c r="L4226" s="455">
        <f t="shared" ca="1" si="164"/>
        <v>-15963382957367.35</v>
      </c>
      <c r="M4226" s="471">
        <f t="shared" si="166"/>
        <v>0.05</v>
      </c>
      <c r="N4226" s="475">
        <f t="shared" si="167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65"/>
        <v>-15963382957367.35</v>
      </c>
      <c r="J4227" s="455">
        <f t="array" ref="J4227">IFERROR(INDEX('Retirement Calculator'!K:K,MATCH('Lorri 401b'!N4227,'Retirement Calculator'!A:A,0),0),0)</f>
        <v>0</v>
      </c>
      <c r="K4227" s="455">
        <f t="shared" ca="1" si="163"/>
        <v>-66514095655.697281</v>
      </c>
      <c r="L4227" s="455">
        <f t="shared" ca="1" si="164"/>
        <v>-16029897053023.047</v>
      </c>
      <c r="M4227" s="471">
        <f t="shared" si="166"/>
        <v>0.05</v>
      </c>
      <c r="N4227" s="475">
        <f t="shared" si="167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65"/>
        <v>-16029897053023.047</v>
      </c>
      <c r="J4228" s="455">
        <f t="array" ref="J4228">IFERROR(INDEX('Retirement Calculator'!K:K,MATCH('Lorri 401b'!N4228,'Retirement Calculator'!A:A,0),0),0)</f>
        <v>0</v>
      </c>
      <c r="K4228" s="455">
        <f t="shared" ca="1" si="163"/>
        <v>-66791237720.929359</v>
      </c>
      <c r="L4228" s="455">
        <f t="shared" ca="1" si="164"/>
        <v>-16096688290743.977</v>
      </c>
      <c r="M4228" s="471">
        <f t="shared" si="166"/>
        <v>0.05</v>
      </c>
      <c r="N4228" s="475">
        <f t="shared" si="167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65"/>
        <v>-16096688290743.977</v>
      </c>
      <c r="J4229" s="455">
        <f t="array" ref="J4229">IFERROR(INDEX('Retirement Calculator'!K:K,MATCH('Lorri 401b'!N4229,'Retirement Calculator'!A:A,0),0),0)</f>
        <v>0</v>
      </c>
      <c r="K4229" s="455">
        <f t="shared" ca="1" si="163"/>
        <v>-67069534544.766571</v>
      </c>
      <c r="L4229" s="455">
        <f t="shared" ca="1" si="164"/>
        <v>-16163757825288.742</v>
      </c>
      <c r="M4229" s="471">
        <f t="shared" si="166"/>
        <v>0.05</v>
      </c>
      <c r="N4229" s="475">
        <f t="shared" si="167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65"/>
        <v>-16163757825288.742</v>
      </c>
      <c r="J4230" s="455">
        <f t="array" ref="J4230">IFERROR(INDEX('Retirement Calculator'!K:K,MATCH('Lorri 401b'!N4230,'Retirement Calculator'!A:A,0),0),0)</f>
        <v>0</v>
      </c>
      <c r="K4230" s="455">
        <f t="shared" ca="1" si="163"/>
        <v>-67348990938.703087</v>
      </c>
      <c r="L4230" s="455">
        <f t="shared" ca="1" si="164"/>
        <v>-16231106816227.445</v>
      </c>
      <c r="M4230" s="471">
        <f t="shared" si="166"/>
        <v>0.05</v>
      </c>
      <c r="N4230" s="475">
        <f t="shared" si="167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65"/>
        <v>-16231106816227.445</v>
      </c>
      <c r="J4231" s="455">
        <f t="array" ref="J4231">IFERROR(INDEX('Retirement Calculator'!K:K,MATCH('Lorri 401b'!N4231,'Retirement Calculator'!A:A,0),0),0)</f>
        <v>0</v>
      </c>
      <c r="K4231" s="455">
        <f t="shared" ca="1" si="163"/>
        <v>-67629611734.281021</v>
      </c>
      <c r="L4231" s="455">
        <f t="shared" ca="1" si="164"/>
        <v>-16298736427961.727</v>
      </c>
      <c r="M4231" s="471">
        <f t="shared" si="166"/>
        <v>0.05</v>
      </c>
      <c r="N4231" s="475">
        <f t="shared" si="167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65"/>
        <v>-16298736427961.727</v>
      </c>
      <c r="J4232" s="455">
        <f t="array" ref="J4232">IFERROR(INDEX('Retirement Calculator'!K:K,MATCH('Lorri 401b'!N4232,'Retirement Calculator'!A:A,0),0),0)</f>
        <v>0</v>
      </c>
      <c r="K4232" s="455">
        <f t="shared" ca="1" si="163"/>
        <v>-67911401783.173859</v>
      </c>
      <c r="L4232" s="455">
        <f t="shared" ca="1" si="164"/>
        <v>-16366647829744.9</v>
      </c>
      <c r="M4232" s="471">
        <f t="shared" si="166"/>
        <v>0.05</v>
      </c>
      <c r="N4232" s="475">
        <f t="shared" si="167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65"/>
        <v>-16366647829744.9</v>
      </c>
      <c r="J4233" s="455">
        <f t="array" ref="J4233">IFERROR(INDEX('Retirement Calculator'!K:K,MATCH('Lorri 401b'!N4233,'Retirement Calculator'!A:A,0),0),0)</f>
        <v>0</v>
      </c>
      <c r="K4233" s="455">
        <f t="shared" ca="1" si="163"/>
        <v>-68194365957.270416</v>
      </c>
      <c r="L4233" s="455">
        <f t="shared" ca="1" si="164"/>
        <v>-16434842195702.17</v>
      </c>
      <c r="M4233" s="471">
        <f t="shared" si="166"/>
        <v>0.05</v>
      </c>
      <c r="N4233" s="475">
        <f t="shared" si="167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65"/>
        <v>-16434842195702.17</v>
      </c>
      <c r="J4234" s="455">
        <f t="array" ref="J4234">IFERROR(INDEX('Retirement Calculator'!K:K,MATCH('Lorri 401b'!N4234,'Retirement Calculator'!A:A,0),0),0)</f>
        <v>0</v>
      </c>
      <c r="K4234" s="455">
        <f t="shared" ca="1" si="163"/>
        <v>-68478509148.759041</v>
      </c>
      <c r="L4234" s="455">
        <f t="shared" ca="1" si="164"/>
        <v>-16503320704850.93</v>
      </c>
      <c r="M4234" s="471">
        <f t="shared" si="166"/>
        <v>0.05</v>
      </c>
      <c r="N4234" s="475">
        <f t="shared" si="167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65"/>
        <v>-16503320704850.93</v>
      </c>
      <c r="J4235" s="455">
        <f t="array" ref="J4235">IFERROR(INDEX('Retirement Calculator'!K:K,MATCH('Lorri 401b'!N4235,'Retirement Calculator'!A:A,0),0),0)</f>
        <v>0</v>
      </c>
      <c r="K4235" s="455">
        <f t="shared" ca="1" si="163"/>
        <v>-68763836270.212219</v>
      </c>
      <c r="L4235" s="455">
        <f t="shared" ca="1" si="164"/>
        <v>-16572084541121.143</v>
      </c>
      <c r="M4235" s="471">
        <f t="shared" si="166"/>
        <v>0.05</v>
      </c>
      <c r="N4235" s="475">
        <f t="shared" si="167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65"/>
        <v>-16572084541121.143</v>
      </c>
      <c r="J4236" s="455">
        <f t="array" ref="J4236">IFERROR(INDEX('Retirement Calculator'!K:K,MATCH('Lorri 401b'!N4236,'Retirement Calculator'!A:A,0),0),0)</f>
        <v>0</v>
      </c>
      <c r="K4236" s="455">
        <f t="shared" ca="1" si="163"/>
        <v>-69050352254.671432</v>
      </c>
      <c r="L4236" s="455">
        <f t="shared" ca="1" si="164"/>
        <v>-16641134893375.814</v>
      </c>
      <c r="M4236" s="471">
        <f t="shared" si="166"/>
        <v>0.05</v>
      </c>
      <c r="N4236" s="475">
        <f t="shared" si="167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65"/>
        <v>-16641134893375.814</v>
      </c>
      <c r="J4237" s="455">
        <f t="array" ref="J4237">IFERROR(INDEX('Retirement Calculator'!K:K,MATCH('Lorri 401b'!N4237,'Retirement Calculator'!A:A,0),0),0)</f>
        <v>0</v>
      </c>
      <c r="K4237" s="455">
        <f t="shared" ca="1" si="163"/>
        <v>-69338062055.732544</v>
      </c>
      <c r="L4237" s="455">
        <f t="shared" ca="1" si="164"/>
        <v>-16710472955431.547</v>
      </c>
      <c r="M4237" s="471">
        <f t="shared" si="166"/>
        <v>0.05</v>
      </c>
      <c r="N4237" s="475">
        <f t="shared" si="167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65"/>
        <v>-16710472955431.547</v>
      </c>
      <c r="J4238" s="455">
        <f t="array" ref="J4238">IFERROR(INDEX('Retirement Calculator'!K:K,MATCH('Lorri 401b'!N4238,'Retirement Calculator'!A:A,0),0),0)</f>
        <v>0</v>
      </c>
      <c r="K4238" s="455">
        <f t="shared" ca="1" si="163"/>
        <v>-69626970647.631439</v>
      </c>
      <c r="L4238" s="455">
        <f t="shared" ca="1" si="164"/>
        <v>-16780099926079.178</v>
      </c>
      <c r="M4238" s="471">
        <f t="shared" si="166"/>
        <v>0.05</v>
      </c>
      <c r="N4238" s="475">
        <f t="shared" si="167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65"/>
        <v>-16780099926079.178</v>
      </c>
      <c r="J4239" s="455">
        <f t="array" ref="J4239">IFERROR(INDEX('Retirement Calculator'!K:K,MATCH('Lorri 401b'!N4239,'Retirement Calculator'!A:A,0),0),0)</f>
        <v>0</v>
      </c>
      <c r="K4239" s="455">
        <f t="shared" ca="1" si="163"/>
        <v>-69917083025.32991</v>
      </c>
      <c r="L4239" s="455">
        <f t="shared" ca="1" si="164"/>
        <v>-16850017009104.508</v>
      </c>
      <c r="M4239" s="471">
        <f t="shared" si="166"/>
        <v>0.05</v>
      </c>
      <c r="N4239" s="475">
        <f t="shared" si="167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65"/>
        <v>-16850017009104.508</v>
      </c>
      <c r="J4240" s="455">
        <f t="array" ref="J4240">IFERROR(INDEX('Retirement Calculator'!K:K,MATCH('Lorri 401b'!N4240,'Retirement Calculator'!A:A,0),0),0)</f>
        <v>0</v>
      </c>
      <c r="K4240" s="455">
        <f t="shared" ca="1" si="163"/>
        <v>-70208404204.602112</v>
      </c>
      <c r="L4240" s="455">
        <f t="shared" ca="1" si="164"/>
        <v>-16920225413309.109</v>
      </c>
      <c r="M4240" s="471">
        <f t="shared" si="166"/>
        <v>0.05</v>
      </c>
      <c r="N4240" s="475">
        <f t="shared" si="167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65"/>
        <v>-16920225413309.109</v>
      </c>
      <c r="J4241" s="455">
        <f t="array" ref="J4241">IFERROR(INDEX('Retirement Calculator'!K:K,MATCH('Lorri 401b'!N4241,'Retirement Calculator'!A:A,0),0),0)</f>
        <v>0</v>
      </c>
      <c r="K4241" s="455">
        <f t="shared" ca="1" si="163"/>
        <v>-70500939222.121292</v>
      </c>
      <c r="L4241" s="455">
        <f t="shared" ca="1" si="164"/>
        <v>-16990726352531.23</v>
      </c>
      <c r="M4241" s="471">
        <f t="shared" si="166"/>
        <v>0.05</v>
      </c>
      <c r="N4241" s="475">
        <f t="shared" si="167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65"/>
        <v>-16990726352531.23</v>
      </c>
      <c r="J4242" s="455">
        <f t="array" ref="J4242">IFERROR(INDEX('Retirement Calculator'!K:K,MATCH('Lorri 401b'!N4242,'Retirement Calculator'!A:A,0),0),0)</f>
        <v>0</v>
      </c>
      <c r="K4242" s="455">
        <f t="shared" ca="1" si="163"/>
        <v>-70794693135.546799</v>
      </c>
      <c r="L4242" s="455">
        <f t="shared" ca="1" si="164"/>
        <v>-17061521045666.777</v>
      </c>
      <c r="M4242" s="471">
        <f t="shared" si="166"/>
        <v>0.05</v>
      </c>
      <c r="N4242" s="475">
        <f t="shared" si="167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65"/>
        <v>-17061521045666.777</v>
      </c>
      <c r="J4243" s="455">
        <f t="array" ref="J4243">IFERROR(INDEX('Retirement Calculator'!K:K,MATCH('Lorri 401b'!N4243,'Retirement Calculator'!A:A,0),0),0)</f>
        <v>0</v>
      </c>
      <c r="K4243" s="455">
        <f t="shared" ca="1" si="163"/>
        <v>-71089671023.611557</v>
      </c>
      <c r="L4243" s="455">
        <f t="shared" ca="1" si="164"/>
        <v>-17132610716690.389</v>
      </c>
      <c r="M4243" s="471">
        <f t="shared" si="166"/>
        <v>0.05</v>
      </c>
      <c r="N4243" s="475">
        <f t="shared" si="167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65"/>
        <v>-17132610716690.389</v>
      </c>
      <c r="J4244" s="455">
        <f t="array" ref="J4244">IFERROR(INDEX('Retirement Calculator'!K:K,MATCH('Lorri 401b'!N4244,'Retirement Calculator'!A:A,0),0),0)</f>
        <v>0</v>
      </c>
      <c r="K4244" s="455">
        <f t="shared" ca="1" si="163"/>
        <v>-71385877986.209946</v>
      </c>
      <c r="L4244" s="455">
        <f t="shared" ca="1" si="164"/>
        <v>-17203996594676.598</v>
      </c>
      <c r="M4244" s="471">
        <f t="shared" si="166"/>
        <v>0.05</v>
      </c>
      <c r="N4244" s="475">
        <f t="shared" si="167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65"/>
        <v>-17203996594676.598</v>
      </c>
      <c r="J4245" s="455">
        <f t="array" ref="J4245">IFERROR(INDEX('Retirement Calculator'!K:K,MATCH('Lorri 401b'!N4245,'Retirement Calculator'!A:A,0),0),0)</f>
        <v>0</v>
      </c>
      <c r="K4245" s="455">
        <f t="shared" ca="1" si="163"/>
        <v>-71683319144.485825</v>
      </c>
      <c r="L4245" s="455">
        <f t="shared" ca="1" si="164"/>
        <v>-17275679913821.084</v>
      </c>
      <c r="M4245" s="471">
        <f t="shared" si="166"/>
        <v>0.05</v>
      </c>
      <c r="N4245" s="475">
        <f t="shared" si="167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65"/>
        <v>-17275679913821.084</v>
      </c>
      <c r="J4246" s="455">
        <f t="array" ref="J4246">IFERROR(INDEX('Retirement Calculator'!K:K,MATCH('Lorri 401b'!N4246,'Retirement Calculator'!A:A,0),0),0)</f>
        <v>0</v>
      </c>
      <c r="K4246" s="455">
        <f t="shared" ca="1" si="163"/>
        <v>-71981999640.921188</v>
      </c>
      <c r="L4246" s="455">
        <f t="shared" ca="1" si="164"/>
        <v>-17347661913462.006</v>
      </c>
      <c r="M4246" s="471">
        <f t="shared" si="166"/>
        <v>0.05</v>
      </c>
      <c r="N4246" s="475">
        <f t="shared" si="167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65"/>
        <v>-17347661913462.006</v>
      </c>
      <c r="J4247" s="455">
        <f t="array" ref="J4247">IFERROR(INDEX('Retirement Calculator'!K:K,MATCH('Lorri 401b'!N4247,'Retirement Calculator'!A:A,0),0),0)</f>
        <v>0</v>
      </c>
      <c r="K4247" s="455">
        <f t="shared" ca="1" si="163"/>
        <v>-72281924639.425034</v>
      </c>
      <c r="L4247" s="455">
        <f t="shared" ca="1" si="164"/>
        <v>-17419943838101.432</v>
      </c>
      <c r="M4247" s="471">
        <f t="shared" si="166"/>
        <v>0.05</v>
      </c>
      <c r="N4247" s="475">
        <f t="shared" si="167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65"/>
        <v>-17419943838101.432</v>
      </c>
      <c r="J4248" s="455">
        <f t="array" ref="J4248">IFERROR(INDEX('Retirement Calculator'!K:K,MATCH('Lorri 401b'!N4248,'Retirement Calculator'!A:A,0),0),0)</f>
        <v>0</v>
      </c>
      <c r="K4248" s="455">
        <f t="shared" ca="1" si="163"/>
        <v>-72583099325.422638</v>
      </c>
      <c r="L4248" s="455">
        <f t="shared" ca="1" si="164"/>
        <v>-17492526937426.854</v>
      </c>
      <c r="M4248" s="471">
        <f t="shared" si="166"/>
        <v>0.05</v>
      </c>
      <c r="N4248" s="475">
        <f t="shared" si="167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65"/>
        <v>-17492526937426.854</v>
      </c>
      <c r="J4249" s="455">
        <f t="array" ref="J4249">IFERROR(INDEX('Retirement Calculator'!K:K,MATCH('Lorri 401b'!N4249,'Retirement Calculator'!A:A,0),0),0)</f>
        <v>0</v>
      </c>
      <c r="K4249" s="455">
        <f t="shared" ca="1" si="163"/>
        <v>-72885528905.945221</v>
      </c>
      <c r="L4249" s="455">
        <f t="shared" ca="1" si="164"/>
        <v>-17565412466332.799</v>
      </c>
      <c r="M4249" s="471">
        <f t="shared" si="166"/>
        <v>0.05</v>
      </c>
      <c r="N4249" s="475">
        <f t="shared" si="167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65"/>
        <v>-17565412466332.799</v>
      </c>
      <c r="J4250" s="455">
        <f t="array" ref="J4250">IFERROR(INDEX('Retirement Calculator'!K:K,MATCH('Lorri 401b'!N4250,'Retirement Calculator'!A:A,0),0),0)</f>
        <v>0</v>
      </c>
      <c r="K4250" s="455">
        <f t="shared" ca="1" si="163"/>
        <v>-73189218609.719986</v>
      </c>
      <c r="L4250" s="455">
        <f t="shared" ca="1" si="164"/>
        <v>-17638601684942.52</v>
      </c>
      <c r="M4250" s="471">
        <f t="shared" si="166"/>
        <v>0.05</v>
      </c>
      <c r="N4250" s="475">
        <f t="shared" si="167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65"/>
        <v>-17638601684942.52</v>
      </c>
      <c r="J4251" s="455">
        <f t="array" ref="J4251">IFERROR(INDEX('Retirement Calculator'!K:K,MATCH('Lorri 401b'!N4251,'Retirement Calculator'!A:A,0),0),0)</f>
        <v>0</v>
      </c>
      <c r="K4251" s="455">
        <f t="shared" ca="1" si="163"/>
        <v>-73494173687.260498</v>
      </c>
      <c r="L4251" s="455">
        <f t="shared" ca="1" si="164"/>
        <v>-17712095858629.781</v>
      </c>
      <c r="M4251" s="471">
        <f t="shared" si="166"/>
        <v>0.05</v>
      </c>
      <c r="N4251" s="475">
        <f t="shared" si="167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65"/>
        <v>-17712095858629.781</v>
      </c>
      <c r="J4252" s="455">
        <f t="array" ref="J4252">IFERROR(INDEX('Retirement Calculator'!K:K,MATCH('Lorri 401b'!N4252,'Retirement Calculator'!A:A,0),0),0)</f>
        <v>0</v>
      </c>
      <c r="K4252" s="455">
        <f t="shared" ca="1" si="163"/>
        <v>-73800399410.957428</v>
      </c>
      <c r="L4252" s="455">
        <f t="shared" ca="1" si="164"/>
        <v>-17785896258040.738</v>
      </c>
      <c r="M4252" s="471">
        <f t="shared" si="166"/>
        <v>0.05</v>
      </c>
      <c r="N4252" s="475">
        <f t="shared" si="167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65"/>
        <v>-17785896258040.738</v>
      </c>
      <c r="J4253" s="455">
        <f t="array" ref="J4253">IFERROR(INDEX('Retirement Calculator'!K:K,MATCH('Lorri 401b'!N4253,'Retirement Calculator'!A:A,0),0),0)</f>
        <v>0</v>
      </c>
      <c r="K4253" s="455">
        <f t="shared" ca="1" si="163"/>
        <v>-74107901075.169739</v>
      </c>
      <c r="L4253" s="455">
        <f t="shared" ca="1" si="164"/>
        <v>-17860004159115.906</v>
      </c>
      <c r="M4253" s="471">
        <f t="shared" si="166"/>
        <v>0.05</v>
      </c>
      <c r="N4253" s="475">
        <f t="shared" si="167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65"/>
        <v>-17860004159115.906</v>
      </c>
      <c r="J4254" s="455">
        <f t="array" ref="J4254">IFERROR(INDEX('Retirement Calculator'!K:K,MATCH('Lorri 401b'!N4254,'Retirement Calculator'!A:A,0),0),0)</f>
        <v>0</v>
      </c>
      <c r="K4254" s="455">
        <f t="shared" ca="1" si="163"/>
        <v>-74416683996.316269</v>
      </c>
      <c r="L4254" s="455">
        <f t="shared" ca="1" si="164"/>
        <v>-17934420843112.223</v>
      </c>
      <c r="M4254" s="471">
        <f t="shared" si="166"/>
        <v>0.05</v>
      </c>
      <c r="N4254" s="475">
        <f t="shared" si="167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65"/>
        <v>-17934420843112.223</v>
      </c>
      <c r="J4255" s="455">
        <f t="array" ref="J4255">IFERROR(INDEX('Retirement Calculator'!K:K,MATCH('Lorri 401b'!N4255,'Retirement Calculator'!A:A,0),0),0)</f>
        <v>0</v>
      </c>
      <c r="K4255" s="455">
        <f t="shared" ca="1" si="163"/>
        <v>-74726753512.96759</v>
      </c>
      <c r="L4255" s="455">
        <f t="shared" ca="1" si="164"/>
        <v>-18009147596625.191</v>
      </c>
      <c r="M4255" s="471">
        <f t="shared" si="166"/>
        <v>0.05</v>
      </c>
      <c r="N4255" s="475">
        <f t="shared" si="167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65"/>
        <v>-18009147596625.191</v>
      </c>
      <c r="J4256" s="455">
        <f t="array" ref="J4256">IFERROR(INDEX('Retirement Calculator'!K:K,MATCH('Lorri 401b'!N4256,'Retirement Calculator'!A:A,0),0),0)</f>
        <v>0</v>
      </c>
      <c r="K4256" s="455">
        <f t="shared" ca="1" si="163"/>
        <v>-75038114985.938293</v>
      </c>
      <c r="L4256" s="455">
        <f t="shared" ca="1" si="164"/>
        <v>-18084185711611.129</v>
      </c>
      <c r="M4256" s="471">
        <f t="shared" si="166"/>
        <v>0.05</v>
      </c>
      <c r="N4256" s="475">
        <f t="shared" si="167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65"/>
        <v>-18084185711611.129</v>
      </c>
      <c r="J4257" s="455">
        <f t="array" ref="J4257">IFERROR(INDEX('Retirement Calculator'!K:K,MATCH('Lorri 401b'!N4257,'Retirement Calculator'!A:A,0),0),0)</f>
        <v>0</v>
      </c>
      <c r="K4257" s="455">
        <f t="shared" ca="1" si="163"/>
        <v>-75350773798.3797</v>
      </c>
      <c r="L4257" s="455">
        <f t="shared" ca="1" si="164"/>
        <v>-18159536485409.508</v>
      </c>
      <c r="M4257" s="471">
        <f t="shared" si="166"/>
        <v>0.05</v>
      </c>
      <c r="N4257" s="475">
        <f t="shared" si="167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65"/>
        <v>-18159536485409.508</v>
      </c>
      <c r="J4258" s="455">
        <f t="array" ref="J4258">IFERROR(INDEX('Retirement Calculator'!K:K,MATCH('Lorri 401b'!N4258,'Retirement Calculator'!A:A,0),0),0)</f>
        <v>0</v>
      </c>
      <c r="K4258" s="455">
        <f t="shared" ca="1" si="163"/>
        <v>-75664735355.872955</v>
      </c>
      <c r="L4258" s="455">
        <f t="shared" ca="1" si="164"/>
        <v>-18235201220765.379</v>
      </c>
      <c r="M4258" s="471">
        <f t="shared" si="166"/>
        <v>0.05</v>
      </c>
      <c r="N4258" s="475">
        <f t="shared" si="167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65"/>
        <v>-18235201220765.379</v>
      </c>
      <c r="J4259" s="455">
        <f t="array" ref="J4259">IFERROR(INDEX('Retirement Calculator'!K:K,MATCH('Lorri 401b'!N4259,'Retirement Calculator'!A:A,0),0),0)</f>
        <v>0</v>
      </c>
      <c r="K4259" s="455">
        <f t="shared" ca="1" si="163"/>
        <v>-75980005086.522415</v>
      </c>
      <c r="L4259" s="455">
        <f t="shared" ca="1" si="164"/>
        <v>-18311181225851.902</v>
      </c>
      <c r="M4259" s="471">
        <f t="shared" si="166"/>
        <v>0.05</v>
      </c>
      <c r="N4259" s="475">
        <f t="shared" si="167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65"/>
        <v>-18311181225851.902</v>
      </c>
      <c r="J4260" s="455">
        <f t="array" ref="J4260">IFERROR(INDEX('Retirement Calculator'!K:K,MATCH('Lorri 401b'!N4260,'Retirement Calculator'!A:A,0),0),0)</f>
        <v>0</v>
      </c>
      <c r="K4260" s="455">
        <f t="shared" ca="1" si="163"/>
        <v>-76296588441.049591</v>
      </c>
      <c r="L4260" s="455">
        <f t="shared" ca="1" si="164"/>
        <v>-18387477814292.953</v>
      </c>
      <c r="M4260" s="471">
        <f t="shared" si="166"/>
        <v>0.05</v>
      </c>
      <c r="N4260" s="475">
        <f t="shared" si="167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65"/>
        <v>-18387477814292.953</v>
      </c>
      <c r="J4261" s="455">
        <f t="array" ref="J4261">IFERROR(INDEX('Retirement Calculator'!K:K,MATCH('Lorri 401b'!N4261,'Retirement Calculator'!A:A,0),0),0)</f>
        <v>0</v>
      </c>
      <c r="K4261" s="455">
        <f t="shared" ca="1" si="163"/>
        <v>-76614490892.887299</v>
      </c>
      <c r="L4261" s="455">
        <f t="shared" ca="1" si="164"/>
        <v>-18464092305185.84</v>
      </c>
      <c r="M4261" s="471">
        <f t="shared" si="166"/>
        <v>0.05</v>
      </c>
      <c r="N4261" s="475">
        <f t="shared" si="167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65"/>
        <v>-18464092305185.84</v>
      </c>
      <c r="J4262" s="455">
        <f t="array" ref="J4262">IFERROR(INDEX('Retirement Calculator'!K:K,MATCH('Lorri 401b'!N4262,'Retirement Calculator'!A:A,0),0),0)</f>
        <v>0</v>
      </c>
      <c r="K4262" s="455">
        <f t="shared" ca="1" si="163"/>
        <v>-76933717938.274338</v>
      </c>
      <c r="L4262" s="455">
        <f t="shared" ca="1" si="164"/>
        <v>-18541026023124.113</v>
      </c>
      <c r="M4262" s="471">
        <f t="shared" si="166"/>
        <v>0.05</v>
      </c>
      <c r="N4262" s="475">
        <f t="shared" si="167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65"/>
        <v>-18541026023124.113</v>
      </c>
      <c r="J4263" s="455">
        <f t="array" ref="J4263">IFERROR(INDEX('Retirement Calculator'!K:K,MATCH('Lorri 401b'!N4263,'Retirement Calculator'!A:A,0),0),0)</f>
        <v>0</v>
      </c>
      <c r="K4263" s="455">
        <f t="shared" ca="1" si="163"/>
        <v>-77254275096.350464</v>
      </c>
      <c r="L4263" s="455">
        <f t="shared" ca="1" si="164"/>
        <v>-18618280298220.465</v>
      </c>
      <c r="M4263" s="471">
        <f t="shared" si="166"/>
        <v>0.05</v>
      </c>
      <c r="N4263" s="475">
        <f t="shared" si="167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65"/>
        <v>-18618280298220.465</v>
      </c>
      <c r="J4264" s="455">
        <f t="array" ref="J4264">IFERROR(INDEX('Retirement Calculator'!K:K,MATCH('Lorri 401b'!N4264,'Retirement Calculator'!A:A,0),0),0)</f>
        <v>0</v>
      </c>
      <c r="K4264" s="455">
        <f t="shared" ca="1" si="163"/>
        <v>-77576167909.251938</v>
      </c>
      <c r="L4264" s="455">
        <f t="shared" ca="1" si="164"/>
        <v>-18695856466129.715</v>
      </c>
      <c r="M4264" s="471">
        <f t="shared" si="166"/>
        <v>0.05</v>
      </c>
      <c r="N4264" s="475">
        <f t="shared" si="167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65"/>
        <v>-18695856466129.715</v>
      </c>
      <c r="J4265" s="455">
        <f t="array" ref="J4265">IFERROR(INDEX('Retirement Calculator'!K:K,MATCH('Lorri 401b'!N4265,'Retirement Calculator'!A:A,0),0),0)</f>
        <v>0</v>
      </c>
      <c r="K4265" s="455">
        <f t="shared" ca="1" si="163"/>
        <v>-77899401942.207138</v>
      </c>
      <c r="L4265" s="455">
        <f t="shared" ca="1" si="164"/>
        <v>-18773755868071.922</v>
      </c>
      <c r="M4265" s="471">
        <f t="shared" si="166"/>
        <v>0.05</v>
      </c>
      <c r="N4265" s="475">
        <f t="shared" si="167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65"/>
        <v>-18773755868071.922</v>
      </c>
      <c r="J4266" s="455">
        <f t="array" ref="J4266">IFERROR(INDEX('Retirement Calculator'!K:K,MATCH('Lorri 401b'!N4266,'Retirement Calculator'!A:A,0),0),0)</f>
        <v>0</v>
      </c>
      <c r="K4266" s="455">
        <f t="shared" ca="1" si="163"/>
        <v>-78223982783.633011</v>
      </c>
      <c r="L4266" s="455">
        <f t="shared" ca="1" si="164"/>
        <v>-18851979850855.555</v>
      </c>
      <c r="M4266" s="471">
        <f t="shared" si="166"/>
        <v>0.05</v>
      </c>
      <c r="N4266" s="475">
        <f t="shared" si="167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65"/>
        <v>-18851979850855.555</v>
      </c>
      <c r="J4267" s="455">
        <f t="array" ref="J4267">IFERROR(INDEX('Retirement Calculator'!K:K,MATCH('Lorri 401b'!N4267,'Retirement Calculator'!A:A,0),0),0)</f>
        <v>0</v>
      </c>
      <c r="K4267" s="455">
        <f t="shared" ca="1" si="163"/>
        <v>-78549916045.231476</v>
      </c>
      <c r="L4267" s="455">
        <f t="shared" ca="1" si="164"/>
        <v>-18930529766900.785</v>
      </c>
      <c r="M4267" s="471">
        <f t="shared" si="166"/>
        <v>0.05</v>
      </c>
      <c r="N4267" s="475">
        <f t="shared" si="167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65"/>
        <v>-18930529766900.785</v>
      </c>
      <c r="J4268" s="455">
        <f t="array" ref="J4268">IFERROR(INDEX('Retirement Calculator'!K:K,MATCH('Lorri 401b'!N4268,'Retirement Calculator'!A:A,0),0),0)</f>
        <v>0</v>
      </c>
      <c r="K4268" s="455">
        <f t="shared" ca="1" si="163"/>
        <v>-78877207362.086609</v>
      </c>
      <c r="L4268" s="455">
        <f t="shared" ca="1" si="164"/>
        <v>-19009406974262.871</v>
      </c>
      <c r="M4268" s="471">
        <f t="shared" si="166"/>
        <v>0.05</v>
      </c>
      <c r="N4268" s="475">
        <f t="shared" si="167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65"/>
        <v>-19009406974262.871</v>
      </c>
      <c r="J4269" s="455">
        <f t="array" ref="J4269">IFERROR(INDEX('Retirement Calculator'!K:K,MATCH('Lorri 401b'!N4269,'Retirement Calculator'!A:A,0),0),0)</f>
        <v>0</v>
      </c>
      <c r="K4269" s="455">
        <f t="shared" ca="1" si="163"/>
        <v>-79205862392.761963</v>
      </c>
      <c r="L4269" s="455">
        <f t="shared" ca="1" si="164"/>
        <v>-19088612836655.633</v>
      </c>
      <c r="M4269" s="471">
        <f t="shared" si="166"/>
        <v>0.05</v>
      </c>
      <c r="N4269" s="475">
        <f t="shared" si="167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65"/>
        <v>-19088612836655.633</v>
      </c>
      <c r="J4270" s="455">
        <f t="array" ref="J4270">IFERROR(INDEX('Retirement Calculator'!K:K,MATCH('Lorri 401b'!N4270,'Retirement Calculator'!A:A,0),0),0)</f>
        <v>0</v>
      </c>
      <c r="K4270" s="455">
        <f t="shared" ca="1" si="163"/>
        <v>-79535886819.398468</v>
      </c>
      <c r="L4270" s="455">
        <f t="shared" ca="1" si="164"/>
        <v>-19168148723475.031</v>
      </c>
      <c r="M4270" s="471">
        <f t="shared" si="166"/>
        <v>0.05</v>
      </c>
      <c r="N4270" s="475">
        <f t="shared" si="167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65"/>
        <v>-19168148723475.031</v>
      </c>
      <c r="J4271" s="455">
        <f t="array" ref="J4271">IFERROR(INDEX('Retirement Calculator'!K:K,MATCH('Lorri 401b'!N4271,'Retirement Calculator'!A:A,0),0),0)</f>
        <v>0</v>
      </c>
      <c r="K4271" s="455">
        <f t="shared" ca="1" si="163"/>
        <v>-79867286347.812622</v>
      </c>
      <c r="L4271" s="455">
        <f t="shared" ca="1" si="164"/>
        <v>-19248016009822.844</v>
      </c>
      <c r="M4271" s="471">
        <f t="shared" si="166"/>
        <v>0.05</v>
      </c>
      <c r="N4271" s="475">
        <f t="shared" si="167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65"/>
        <v>-19248016009822.844</v>
      </c>
      <c r="J4272" s="455">
        <f t="array" ref="J4272">IFERROR(INDEX('Retirement Calculator'!K:K,MATCH('Lorri 401b'!N4272,'Retirement Calculator'!A:A,0),0),0)</f>
        <v>0</v>
      </c>
      <c r="K4272" s="455">
        <f t="shared" ca="1" si="163"/>
        <v>-80200066707.595184</v>
      </c>
      <c r="L4272" s="455">
        <f t="shared" ca="1" si="164"/>
        <v>-19328216076530.438</v>
      </c>
      <c r="M4272" s="471">
        <f t="shared" si="166"/>
        <v>0.05</v>
      </c>
      <c r="N4272" s="475">
        <f t="shared" si="167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65"/>
        <v>-19328216076530.438</v>
      </c>
      <c r="J4273" s="455">
        <f t="array" ref="J4273">IFERROR(INDEX('Retirement Calculator'!K:K,MATCH('Lorri 401b'!N4273,'Retirement Calculator'!A:A,0),0),0)</f>
        <v>0</v>
      </c>
      <c r="K4273" s="455">
        <f t="shared" ca="1" si="163"/>
        <v>-80534233652.210159</v>
      </c>
      <c r="L4273" s="455">
        <f t="shared" ca="1" si="164"/>
        <v>-19408750310182.648</v>
      </c>
      <c r="M4273" s="471">
        <f t="shared" si="166"/>
        <v>0.05</v>
      </c>
      <c r="N4273" s="475">
        <f t="shared" si="167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65"/>
        <v>-19408750310182.648</v>
      </c>
      <c r="J4274" s="455">
        <f t="array" ref="J4274">IFERROR(INDEX('Retirement Calculator'!K:K,MATCH('Lorri 401b'!N4274,'Retirement Calculator'!A:A,0),0),0)</f>
        <v>0</v>
      </c>
      <c r="K4274" s="455">
        <f t="shared" ca="1" si="163"/>
        <v>-80869792959.09436</v>
      </c>
      <c r="L4274" s="455">
        <f t="shared" ca="1" si="164"/>
        <v>-19489620103141.742</v>
      </c>
      <c r="M4274" s="471">
        <f t="shared" si="166"/>
        <v>0.05</v>
      </c>
      <c r="N4274" s="475">
        <f t="shared" si="167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65"/>
        <v>-19489620103141.742</v>
      </c>
      <c r="J4275" s="455">
        <f t="array" ref="J4275">IFERROR(INDEX('Retirement Calculator'!K:K,MATCH('Lorri 401b'!N4275,'Retirement Calculator'!A:A,0),0),0)</f>
        <v>0</v>
      </c>
      <c r="K4275" s="455">
        <f t="shared" ca="1" si="163"/>
        <v>-81206750429.757263</v>
      </c>
      <c r="L4275" s="455">
        <f t="shared" ca="1" si="164"/>
        <v>-19570826853571.5</v>
      </c>
      <c r="M4275" s="471">
        <f t="shared" si="166"/>
        <v>0.05</v>
      </c>
      <c r="N4275" s="475">
        <f t="shared" si="167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65"/>
        <v>-19570826853571.5</v>
      </c>
      <c r="J4276" s="455">
        <f t="array" ref="J4276">IFERROR(INDEX('Retirement Calculator'!K:K,MATCH('Lorri 401b'!N4276,'Retirement Calculator'!A:A,0),0),0)</f>
        <v>0</v>
      </c>
      <c r="K4276" s="455">
        <f t="shared" ca="1" si="163"/>
        <v>-81545111889.881256</v>
      </c>
      <c r="L4276" s="455">
        <f t="shared" ca="1" si="164"/>
        <v>-19652371965461.383</v>
      </c>
      <c r="M4276" s="471">
        <f t="shared" si="166"/>
        <v>0.05</v>
      </c>
      <c r="N4276" s="475">
        <f t="shared" si="167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65"/>
        <v>-19652371965461.383</v>
      </c>
      <c r="J4277" s="455">
        <f t="array" ref="J4277">IFERROR(INDEX('Retirement Calculator'!K:K,MATCH('Lorri 401b'!N4277,'Retirement Calculator'!A:A,0),0),0)</f>
        <v>0</v>
      </c>
      <c r="K4277" s="455">
        <f t="shared" ca="1" si="163"/>
        <v>-81884883189.422424</v>
      </c>
      <c r="L4277" s="455">
        <f t="shared" ca="1" si="164"/>
        <v>-19734256848650.805</v>
      </c>
      <c r="M4277" s="471">
        <f t="shared" si="166"/>
        <v>0.05</v>
      </c>
      <c r="N4277" s="475">
        <f t="shared" si="167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65"/>
        <v>-19734256848650.805</v>
      </c>
      <c r="J4278" s="455">
        <f t="array" ref="J4278">IFERROR(INDEX('Retirement Calculator'!K:K,MATCH('Lorri 401b'!N4278,'Retirement Calculator'!A:A,0),0),0)</f>
        <v>0</v>
      </c>
      <c r="K4278" s="455">
        <f t="shared" ca="1" si="163"/>
        <v>-82226070202.711685</v>
      </c>
      <c r="L4278" s="455">
        <f t="shared" ca="1" si="164"/>
        <v>-19816482918853.516</v>
      </c>
      <c r="M4278" s="471">
        <f t="shared" si="166"/>
        <v>0.05</v>
      </c>
      <c r="N4278" s="475">
        <f t="shared" si="167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65"/>
        <v>-19816482918853.516</v>
      </c>
      <c r="J4279" s="455">
        <f t="array" ref="J4279">IFERROR(INDEX('Retirement Calculator'!K:K,MATCH('Lorri 401b'!N4279,'Retirement Calculator'!A:A,0),0),0)</f>
        <v>0</v>
      </c>
      <c r="K4279" s="455">
        <f t="shared" ca="1" si="163"/>
        <v>-82568678828.55632</v>
      </c>
      <c r="L4279" s="455">
        <f t="shared" ca="1" si="164"/>
        <v>-19899051597682.07</v>
      </c>
      <c r="M4279" s="471">
        <f t="shared" si="166"/>
        <v>0.05</v>
      </c>
      <c r="N4279" s="475">
        <f t="shared" si="167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65"/>
        <v>-19899051597682.07</v>
      </c>
      <c r="J4280" s="455">
        <f t="array" ref="J4280">IFERROR(INDEX('Retirement Calculator'!K:K,MATCH('Lorri 401b'!N4280,'Retirement Calculator'!A:A,0),0),0)</f>
        <v>0</v>
      </c>
      <c r="K4280" s="455">
        <f t="shared" ca="1" si="163"/>
        <v>-82912714990.341965</v>
      </c>
      <c r="L4280" s="455">
        <f t="shared" ca="1" si="164"/>
        <v>-19981964312672.414</v>
      </c>
      <c r="M4280" s="471">
        <f t="shared" si="166"/>
        <v>0.05</v>
      </c>
      <c r="N4280" s="475">
        <f t="shared" si="167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65"/>
        <v>-19981964312672.414</v>
      </c>
      <c r="J4281" s="455">
        <f t="array" ref="J4281">IFERROR(INDEX('Retirement Calculator'!K:K,MATCH('Lorri 401b'!N4281,'Retirement Calculator'!A:A,0),0),0)</f>
        <v>0</v>
      </c>
      <c r="K4281" s="455">
        <f t="shared" ca="1" si="163"/>
        <v>-83258184636.135056</v>
      </c>
      <c r="L4281" s="455">
        <f t="shared" ca="1" si="164"/>
        <v>-20065222497308.551</v>
      </c>
      <c r="M4281" s="471">
        <f t="shared" si="166"/>
        <v>0.05</v>
      </c>
      <c r="N4281" s="475">
        <f t="shared" si="167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65"/>
        <v>-20065222497308.551</v>
      </c>
      <c r="J4282" s="455">
        <f t="array" ref="J4282">IFERROR(INDEX('Retirement Calculator'!K:K,MATCH('Lorri 401b'!N4282,'Retirement Calculator'!A:A,0),0),0)</f>
        <v>0</v>
      </c>
      <c r="K4282" s="455">
        <f t="shared" ca="1" si="163"/>
        <v>-83605093738.785629</v>
      </c>
      <c r="L4282" s="455">
        <f t="shared" ca="1" si="164"/>
        <v>-20148827591047.336</v>
      </c>
      <c r="M4282" s="471">
        <f t="shared" si="166"/>
        <v>0.05</v>
      </c>
      <c r="N4282" s="475">
        <f t="shared" si="167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65"/>
        <v>-20148827591047.336</v>
      </c>
      <c r="J4283" s="455">
        <f t="array" ref="J4283">IFERROR(INDEX('Retirement Calculator'!K:K,MATCH('Lorri 401b'!N4283,'Retirement Calculator'!A:A,0),0),0)</f>
        <v>0</v>
      </c>
      <c r="K4283" s="455">
        <f t="shared" ca="1" si="163"/>
        <v>-83953448296.030563</v>
      </c>
      <c r="L4283" s="455">
        <f t="shared" ca="1" si="164"/>
        <v>-20232781039343.367</v>
      </c>
      <c r="M4283" s="471">
        <f t="shared" si="166"/>
        <v>0.05</v>
      </c>
      <c r="N4283" s="475">
        <f t="shared" si="167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65"/>
        <v>-20232781039343.367</v>
      </c>
      <c r="J4284" s="455">
        <f t="array" ref="J4284">IFERROR(INDEX('Retirement Calculator'!K:K,MATCH('Lorri 401b'!N4284,'Retirement Calculator'!A:A,0),0),0)</f>
        <v>0</v>
      </c>
      <c r="K4284" s="455">
        <f t="shared" ca="1" si="163"/>
        <v>-84303254330.597366</v>
      </c>
      <c r="L4284" s="455">
        <f t="shared" ca="1" si="164"/>
        <v>-20317084293673.965</v>
      </c>
      <c r="M4284" s="471">
        <f t="shared" si="166"/>
        <v>0.05</v>
      </c>
      <c r="N4284" s="475">
        <f t="shared" si="167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65"/>
        <v>-20317084293673.965</v>
      </c>
      <c r="J4285" s="455">
        <f t="array" ref="J4285">IFERROR(INDEX('Retirement Calculator'!K:K,MATCH('Lorri 401b'!N4285,'Retirement Calculator'!A:A,0),0),0)</f>
        <v>0</v>
      </c>
      <c r="K4285" s="455">
        <f t="shared" ca="1" si="163"/>
        <v>-84654517890.308182</v>
      </c>
      <c r="L4285" s="455">
        <f t="shared" ca="1" si="164"/>
        <v>-20401738811564.273</v>
      </c>
      <c r="M4285" s="471">
        <f t="shared" si="166"/>
        <v>0.05</v>
      </c>
      <c r="N4285" s="475">
        <f t="shared" si="167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65"/>
        <v>-20401738811564.273</v>
      </c>
      <c r="J4286" s="455">
        <f t="array" ref="J4286">IFERROR(INDEX('Retirement Calculator'!K:K,MATCH('Lorri 401b'!N4286,'Retirement Calculator'!A:A,0),0),0)</f>
        <v>0</v>
      </c>
      <c r="K4286" s="455">
        <f t="shared" ca="1" si="163"/>
        <v>-85007245048.184479</v>
      </c>
      <c r="L4286" s="455">
        <f t="shared" ca="1" si="164"/>
        <v>-20486746056612.457</v>
      </c>
      <c r="M4286" s="471">
        <f t="shared" si="166"/>
        <v>0.05</v>
      </c>
      <c r="N4286" s="475">
        <f t="shared" si="167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65"/>
        <v>-20486746056612.457</v>
      </c>
      <c r="J4287" s="455">
        <f t="array" ref="J4287">IFERROR(INDEX('Retirement Calculator'!K:K,MATCH('Lorri 401b'!N4287,'Retirement Calculator'!A:A,0),0),0)</f>
        <v>0</v>
      </c>
      <c r="K4287" s="455">
        <f t="shared" ca="1" si="163"/>
        <v>-85361441902.55191</v>
      </c>
      <c r="L4287" s="455">
        <f t="shared" ca="1" si="164"/>
        <v>-20572107498515.008</v>
      </c>
      <c r="M4287" s="471">
        <f t="shared" si="166"/>
        <v>0.05</v>
      </c>
      <c r="N4287" s="475">
        <f t="shared" si="167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65"/>
        <v>-20572107498515.008</v>
      </c>
      <c r="J4288" s="455">
        <f t="array" ref="J4288">IFERROR(INDEX('Retirement Calculator'!K:K,MATCH('Lorri 401b'!N4288,'Retirement Calculator'!A:A,0),0),0)</f>
        <v>0</v>
      </c>
      <c r="K4288" s="455">
        <f t="shared" ca="1" si="163"/>
        <v>-85717114577.145859</v>
      </c>
      <c r="L4288" s="455">
        <f t="shared" ca="1" si="164"/>
        <v>-20657824613092.152</v>
      </c>
      <c r="M4288" s="471">
        <f t="shared" si="166"/>
        <v>0.05</v>
      </c>
      <c r="N4288" s="475">
        <f t="shared" si="167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65"/>
        <v>-20657824613092.152</v>
      </c>
      <c r="J4289" s="455">
        <f t="array" ref="J4289">IFERROR(INDEX('Retirement Calculator'!K:K,MATCH('Lorri 401b'!N4289,'Retirement Calculator'!A:A,0),0),0)</f>
        <v>0</v>
      </c>
      <c r="K4289" s="455">
        <f t="shared" ca="1" si="163"/>
        <v>-86074269221.2173</v>
      </c>
      <c r="L4289" s="455">
        <f t="shared" ca="1" si="164"/>
        <v>-20743898882313.371</v>
      </c>
      <c r="M4289" s="471">
        <f t="shared" si="166"/>
        <v>0.05</v>
      </c>
      <c r="N4289" s="475">
        <f t="shared" si="167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65"/>
        <v>-20743898882313.371</v>
      </c>
      <c r="J4290" s="455">
        <f t="array" ref="J4290">IFERROR(INDEX('Retirement Calculator'!K:K,MATCH('Lorri 401b'!N4290,'Retirement Calculator'!A:A,0),0),0)</f>
        <v>0</v>
      </c>
      <c r="K4290" s="455">
        <f t="shared" ca="1" si="163"/>
        <v>-86432912009.639038</v>
      </c>
      <c r="L4290" s="455">
        <f t="shared" ca="1" si="164"/>
        <v>-20830331794323.012</v>
      </c>
      <c r="M4290" s="471">
        <f t="shared" si="166"/>
        <v>0.05</v>
      </c>
      <c r="N4290" s="475">
        <f t="shared" si="167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65"/>
        <v>-20830331794323.012</v>
      </c>
      <c r="J4291" s="455">
        <f t="array" ref="J4291">IFERROR(INDEX('Retirement Calculator'!K:K,MATCH('Lorri 401b'!N4291,'Retirement Calculator'!A:A,0),0),0)</f>
        <v>0</v>
      </c>
      <c r="K4291" s="455">
        <f t="shared" ca="1" si="163"/>
        <v>-86793049143.012543</v>
      </c>
      <c r="L4291" s="455">
        <f t="shared" ca="1" si="164"/>
        <v>-20917124843466.023</v>
      </c>
      <c r="M4291" s="471">
        <f t="shared" si="166"/>
        <v>0.05</v>
      </c>
      <c r="N4291" s="475">
        <f t="shared" si="167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65"/>
        <v>-20917124843466.023</v>
      </c>
      <c r="J4292" s="455">
        <f t="array" ref="J4292">IFERROR(INDEX('Retirement Calculator'!K:K,MATCH('Lorri 401b'!N4292,'Retirement Calculator'!A:A,0),0),0)</f>
        <v>0</v>
      </c>
      <c r="K4292" s="455">
        <f t="shared" ca="1" si="163"/>
        <v>-87154686847.775101</v>
      </c>
      <c r="L4292" s="455">
        <f t="shared" ca="1" si="164"/>
        <v>-21004279530313.797</v>
      </c>
      <c r="M4292" s="471">
        <f t="shared" si="166"/>
        <v>0.05</v>
      </c>
      <c r="N4292" s="475">
        <f t="shared" si="167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65"/>
        <v>-21004279530313.797</v>
      </c>
      <c r="J4293" s="455">
        <f t="array" ref="J4293">IFERROR(INDEX('Retirement Calculator'!K:K,MATCH('Lorri 401b'!N4293,'Retirement Calculator'!A:A,0),0),0)</f>
        <v>0</v>
      </c>
      <c r="K4293" s="455">
        <f t="shared" ca="1" si="163"/>
        <v>-87517831376.30748</v>
      </c>
      <c r="L4293" s="455">
        <f t="shared" ca="1" si="164"/>
        <v>-21091797361690.105</v>
      </c>
      <c r="M4293" s="471">
        <f t="shared" si="166"/>
        <v>0.05</v>
      </c>
      <c r="N4293" s="475">
        <f t="shared" si="167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65"/>
        <v>-21091797361690.105</v>
      </c>
      <c r="J4294" s="455">
        <f t="array" ref="J4294">IFERROR(INDEX('Retirement Calculator'!K:K,MATCH('Lorri 401b'!N4294,'Retirement Calculator'!A:A,0),0),0)</f>
        <v>0</v>
      </c>
      <c r="K4294" s="455">
        <f t="shared" ca="1" si="163"/>
        <v>-87882489007.042099</v>
      </c>
      <c r="L4294" s="455">
        <f t="shared" ca="1" si="164"/>
        <v>-21179679850697.148</v>
      </c>
      <c r="M4294" s="471">
        <f t="shared" si="166"/>
        <v>0.05</v>
      </c>
      <c r="N4294" s="475">
        <f t="shared" si="167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65"/>
        <v>-21179679850697.148</v>
      </c>
      <c r="J4295" s="455">
        <f t="array" ref="J4295">IFERROR(INDEX('Retirement Calculator'!K:K,MATCH('Lorri 401b'!N4295,'Retirement Calculator'!A:A,0),0),0)</f>
        <v>0</v>
      </c>
      <c r="K4295" s="455">
        <f t="shared" ca="1" si="163"/>
        <v>-88248666044.571457</v>
      </c>
      <c r="L4295" s="455">
        <f t="shared" ca="1" si="164"/>
        <v>-21267928516741.719</v>
      </c>
      <c r="M4295" s="471">
        <f t="shared" si="166"/>
        <v>0.05</v>
      </c>
      <c r="N4295" s="475">
        <f t="shared" si="167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65"/>
        <v>-21267928516741.719</v>
      </c>
      <c r="J4296" s="455">
        <f t="array" ref="J4296">IFERROR(INDEX('Retirement Calculator'!K:K,MATCH('Lorri 401b'!N4296,'Retirement Calculator'!A:A,0),0),0)</f>
        <v>0</v>
      </c>
      <c r="K4296" s="455">
        <f t="shared" ca="1" si="163"/>
        <v>-88616368819.757156</v>
      </c>
      <c r="L4296" s="455">
        <f t="shared" ca="1" si="164"/>
        <v>-21356544885561.477</v>
      </c>
      <c r="M4296" s="471">
        <f t="shared" si="166"/>
        <v>0.05</v>
      </c>
      <c r="N4296" s="475">
        <f t="shared" si="167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65"/>
        <v>-21356544885561.477</v>
      </c>
      <c r="J4297" s="455">
        <f t="array" ref="J4297">IFERROR(INDEX('Retirement Calculator'!K:K,MATCH('Lorri 401b'!N4297,'Retirement Calculator'!A:A,0),0),0)</f>
        <v>0</v>
      </c>
      <c r="K4297" s="455">
        <f t="shared" ca="1" si="163"/>
        <v>-88985603689.839478</v>
      </c>
      <c r="L4297" s="455">
        <f t="shared" ca="1" si="164"/>
        <v>-21445530489251.316</v>
      </c>
      <c r="M4297" s="471">
        <f t="shared" si="166"/>
        <v>0.05</v>
      </c>
      <c r="N4297" s="475">
        <f t="shared" si="167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65"/>
        <v>-21445530489251.316</v>
      </c>
      <c r="J4298" s="455">
        <f t="array" ref="J4298">IFERROR(INDEX('Retirement Calculator'!K:K,MATCH('Lorri 401b'!N4298,'Retirement Calculator'!A:A,0),0),0)</f>
        <v>0</v>
      </c>
      <c r="K4298" s="455">
        <f t="shared" ca="1" si="163"/>
        <v>-89356377038.54715</v>
      </c>
      <c r="L4298" s="455">
        <f t="shared" ca="1" si="164"/>
        <v>-21534886866289.863</v>
      </c>
      <c r="M4298" s="471">
        <f t="shared" si="166"/>
        <v>0.05</v>
      </c>
      <c r="N4298" s="475">
        <f t="shared" si="167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65"/>
        <v>-21534886866289.863</v>
      </c>
      <c r="J4299" s="455">
        <f t="array" ref="J4299">IFERROR(INDEX('Retirement Calculator'!K:K,MATCH('Lorri 401b'!N4299,'Retirement Calculator'!A:A,0),0),0)</f>
        <v>0</v>
      </c>
      <c r="K4299" s="455">
        <f t="shared" ca="1" si="163"/>
        <v>-89728695276.207764</v>
      </c>
      <c r="L4299" s="455">
        <f t="shared" ca="1" si="164"/>
        <v>-21624615561566.07</v>
      </c>
      <c r="M4299" s="471">
        <f t="shared" si="166"/>
        <v>0.05</v>
      </c>
      <c r="N4299" s="475">
        <f t="shared" si="167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65"/>
        <v>-21624615561566.07</v>
      </c>
      <c r="J4300" s="455">
        <f t="array" ref="J4300">IFERROR(INDEX('Retirement Calculator'!K:K,MATCH('Lorri 401b'!N4300,'Retirement Calculator'!A:A,0),0),0)</f>
        <v>0</v>
      </c>
      <c r="K4300" s="455">
        <f t="shared" ca="1" si="163"/>
        <v>-90102564839.858627</v>
      </c>
      <c r="L4300" s="455">
        <f t="shared" ca="1" si="164"/>
        <v>-21714718126405.93</v>
      </c>
      <c r="M4300" s="471">
        <f t="shared" si="166"/>
        <v>0.05</v>
      </c>
      <c r="N4300" s="475">
        <f t="shared" si="167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65"/>
        <v>-21714718126405.93</v>
      </c>
      <c r="J4301" s="455">
        <f t="array" ref="J4301">IFERROR(INDEX('Retirement Calculator'!K:K,MATCH('Lorri 401b'!N4301,'Retirement Calculator'!A:A,0),0),0)</f>
        <v>0</v>
      </c>
      <c r="K4301" s="455">
        <f t="shared" ca="1" si="163"/>
        <v>-90477992193.358032</v>
      </c>
      <c r="L4301" s="455">
        <f t="shared" ca="1" si="164"/>
        <v>-21805196118599.289</v>
      </c>
      <c r="M4301" s="471">
        <f t="shared" si="166"/>
        <v>0.05</v>
      </c>
      <c r="N4301" s="475">
        <f t="shared" si="167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65"/>
        <v>-21805196118599.289</v>
      </c>
      <c r="J4302" s="455">
        <f t="array" ref="J4302">IFERROR(INDEX('Retirement Calculator'!K:K,MATCH('Lorri 401b'!N4302,'Retirement Calculator'!A:A,0),0),0)</f>
        <v>0</v>
      </c>
      <c r="K4302" s="455">
        <f t="shared" ca="1" si="163"/>
        <v>-90854983827.49704</v>
      </c>
      <c r="L4302" s="455">
        <f t="shared" ca="1" si="164"/>
        <v>-21896051102426.785</v>
      </c>
      <c r="M4302" s="471">
        <f t="shared" si="166"/>
        <v>0.05</v>
      </c>
      <c r="N4302" s="475">
        <f t="shared" si="167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65"/>
        <v>-21896051102426.785</v>
      </c>
      <c r="J4303" s="455">
        <f t="array" ref="J4303">IFERROR(INDEX('Retirement Calculator'!K:K,MATCH('Lorri 401b'!N4303,'Retirement Calculator'!A:A,0),0),0)</f>
        <v>0</v>
      </c>
      <c r="K4303" s="455">
        <f t="shared" ca="1" si="163"/>
        <v>-91233546260.111603</v>
      </c>
      <c r="L4303" s="455">
        <f t="shared" ca="1" si="164"/>
        <v>-21987284648686.898</v>
      </c>
      <c r="M4303" s="471">
        <f t="shared" si="166"/>
        <v>0.05</v>
      </c>
      <c r="N4303" s="475">
        <f t="shared" si="167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65"/>
        <v>-21987284648686.898</v>
      </c>
      <c r="J4304" s="455">
        <f t="array" ref="J4304">IFERROR(INDEX('Retirement Calculator'!K:K,MATCH('Lorri 401b'!N4304,'Retirement Calculator'!A:A,0),0),0)</f>
        <v>0</v>
      </c>
      <c r="K4304" s="455">
        <f t="shared" ca="1" si="163"/>
        <v>-91613686036.195404</v>
      </c>
      <c r="L4304" s="455">
        <f t="shared" ca="1" si="164"/>
        <v>-22078898334723.094</v>
      </c>
      <c r="M4304" s="471">
        <f t="shared" si="166"/>
        <v>0.05</v>
      </c>
      <c r="N4304" s="475">
        <f t="shared" si="167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65"/>
        <v>-22078898334723.094</v>
      </c>
      <c r="J4305" s="455">
        <f t="array" ref="J4305">IFERROR(INDEX('Retirement Calculator'!K:K,MATCH('Lorri 401b'!N4305,'Retirement Calculator'!A:A,0),0),0)</f>
        <v>0</v>
      </c>
      <c r="K4305" s="455">
        <f t="shared" ca="1" si="163"/>
        <v>-91995409728.012894</v>
      </c>
      <c r="L4305" s="455">
        <f t="shared" ca="1" si="164"/>
        <v>-22170893744451.105</v>
      </c>
      <c r="M4305" s="471">
        <f t="shared" si="166"/>
        <v>0.05</v>
      </c>
      <c r="N4305" s="475">
        <f t="shared" si="167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65"/>
        <v>-22170893744451.105</v>
      </c>
      <c r="J4306" s="455">
        <f t="array" ref="J4306">IFERROR(INDEX('Retirement Calculator'!K:K,MATCH('Lorri 401b'!N4306,'Retirement Calculator'!A:A,0),0),0)</f>
        <v>0</v>
      </c>
      <c r="K4306" s="455">
        <f t="shared" ca="1" si="163"/>
        <v>-92378723935.212936</v>
      </c>
      <c r="L4306" s="455">
        <f t="shared" ca="1" si="164"/>
        <v>-22263272468386.32</v>
      </c>
      <c r="M4306" s="471">
        <f t="shared" si="166"/>
        <v>0.05</v>
      </c>
      <c r="N4306" s="475">
        <f t="shared" si="167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65"/>
        <v>-22263272468386.32</v>
      </c>
      <c r="J4307" s="455">
        <f t="array" ref="J4307">IFERROR(INDEX('Retirement Calculator'!K:K,MATCH('Lorri 401b'!N4307,'Retirement Calculator'!A:A,0),0),0)</f>
        <v>0</v>
      </c>
      <c r="K4307" s="455">
        <f t="shared" ca="1" si="163"/>
        <v>-92763635284.942993</v>
      </c>
      <c r="L4307" s="455">
        <f t="shared" ca="1" si="164"/>
        <v>-22356036103671.262</v>
      </c>
      <c r="M4307" s="471">
        <f t="shared" si="166"/>
        <v>0.05</v>
      </c>
      <c r="N4307" s="475">
        <f t="shared" si="167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65"/>
        <v>-22356036103671.262</v>
      </c>
      <c r="J4308" s="455">
        <f t="array" ref="J4308">IFERROR(INDEX('Retirement Calculator'!K:K,MATCH('Lorri 401b'!N4308,'Retirement Calculator'!A:A,0),0),0)</f>
        <v>0</v>
      </c>
      <c r="K4308" s="455">
        <f t="shared" ca="1" si="163"/>
        <v>-93150150431.963593</v>
      </c>
      <c r="L4308" s="455">
        <f t="shared" ca="1" si="164"/>
        <v>-22449186254103.227</v>
      </c>
      <c r="M4308" s="471">
        <f t="shared" si="166"/>
        <v>0.05</v>
      </c>
      <c r="N4308" s="475">
        <f t="shared" si="167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65"/>
        <v>-22449186254103.227</v>
      </c>
      <c r="J4309" s="455">
        <f t="array" ref="J4309">IFERROR(INDEX('Retirement Calculator'!K:K,MATCH('Lorri 401b'!N4309,'Retirement Calculator'!A:A,0),0),0)</f>
        <v>0</v>
      </c>
      <c r="K4309" s="455">
        <f t="shared" ca="1" si="163"/>
        <v>-93538276058.763443</v>
      </c>
      <c r="L4309" s="455">
        <f t="shared" ca="1" si="164"/>
        <v>-22542724530161.988</v>
      </c>
      <c r="M4309" s="471">
        <f t="shared" si="166"/>
        <v>0.05</v>
      </c>
      <c r="N4309" s="475">
        <f t="shared" si="167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65"/>
        <v>-22542724530161.988</v>
      </c>
      <c r="J4310" s="455">
        <f t="array" ref="J4310">IFERROR(INDEX('Retirement Calculator'!K:K,MATCH('Lorri 401b'!N4310,'Retirement Calculator'!A:A,0),0),0)</f>
        <v>0</v>
      </c>
      <c r="K4310" s="455">
        <f t="shared" ca="1" si="163"/>
        <v>-93928018875.674957</v>
      </c>
      <c r="L4310" s="455">
        <f t="shared" ca="1" si="164"/>
        <v>-22636652549037.664</v>
      </c>
      <c r="M4310" s="471">
        <f t="shared" si="166"/>
        <v>0.05</v>
      </c>
      <c r="N4310" s="475">
        <f t="shared" si="167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65"/>
        <v>-22636652549037.664</v>
      </c>
      <c r="J4311" s="455">
        <f t="array" ref="J4311">IFERROR(INDEX('Retirement Calculator'!K:K,MATCH('Lorri 401b'!N4311,'Retirement Calculator'!A:A,0),0),0)</f>
        <v>0</v>
      </c>
      <c r="K4311" s="455">
        <f t="shared" ca="1" si="163"/>
        <v>-94319385620.990265</v>
      </c>
      <c r="L4311" s="455">
        <f t="shared" ca="1" si="164"/>
        <v>-22730971934658.656</v>
      </c>
      <c r="M4311" s="471">
        <f t="shared" si="166"/>
        <v>0.05</v>
      </c>
      <c r="N4311" s="475">
        <f t="shared" si="167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65"/>
        <v>-22730971934658.656</v>
      </c>
      <c r="J4312" s="455">
        <f t="array" ref="J4312">IFERROR(INDEX('Retirement Calculator'!K:K,MATCH('Lorri 401b'!N4312,'Retirement Calculator'!A:A,0),0),0)</f>
        <v>0</v>
      </c>
      <c r="K4312" s="455">
        <f t="shared" ca="1" si="163"/>
        <v>-94712383061.077728</v>
      </c>
      <c r="L4312" s="455">
        <f t="shared" ca="1" si="164"/>
        <v>-22825684317719.734</v>
      </c>
      <c r="M4312" s="471">
        <f t="shared" si="166"/>
        <v>0.05</v>
      </c>
      <c r="N4312" s="475">
        <f t="shared" si="167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65"/>
        <v>-22825684317719.734</v>
      </c>
      <c r="J4313" s="455">
        <f t="array" ref="J4313">IFERROR(INDEX('Retirement Calculator'!K:K,MATCH('Lorri 401b'!N4313,'Retirement Calculator'!A:A,0),0),0)</f>
        <v>0</v>
      </c>
      <c r="K4313" s="455">
        <f t="shared" ca="1" si="163"/>
        <v>-95107017990.498886</v>
      </c>
      <c r="L4313" s="455">
        <f t="shared" ca="1" si="164"/>
        <v>-22920791335710.234</v>
      </c>
      <c r="M4313" s="471">
        <f t="shared" si="166"/>
        <v>0.05</v>
      </c>
      <c r="N4313" s="475">
        <f t="shared" si="167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65"/>
        <v>-22920791335710.234</v>
      </c>
      <c r="J4314" s="455">
        <f t="array" ref="J4314">IFERROR(INDEX('Retirement Calculator'!K:K,MATCH('Lorri 401b'!N4314,'Retirement Calculator'!A:A,0),0),0)</f>
        <v>0</v>
      </c>
      <c r="K4314" s="455">
        <f t="shared" ca="1" si="163"/>
        <v>-95503297232.125977</v>
      </c>
      <c r="L4314" s="455">
        <f t="shared" ca="1" si="164"/>
        <v>-23016294632942.359</v>
      </c>
      <c r="M4314" s="471">
        <f t="shared" si="166"/>
        <v>0.05</v>
      </c>
      <c r="N4314" s="475">
        <f t="shared" si="167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65"/>
        <v>-23016294632942.359</v>
      </c>
      <c r="J4315" s="455">
        <f t="array" ref="J4315">IFERROR(INDEX('Retirement Calculator'!K:K,MATCH('Lorri 401b'!N4315,'Retirement Calculator'!A:A,0),0),0)</f>
        <v>0</v>
      </c>
      <c r="K4315" s="455">
        <f t="shared" ca="1" si="163"/>
        <v>-95901227637.259827</v>
      </c>
      <c r="L4315" s="455">
        <f t="shared" ca="1" si="164"/>
        <v>-23112195860579.621</v>
      </c>
      <c r="M4315" s="471">
        <f t="shared" si="166"/>
        <v>0.05</v>
      </c>
      <c r="N4315" s="475">
        <f t="shared" si="167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65"/>
        <v>-23112195860579.621</v>
      </c>
      <c r="J4316" s="455">
        <f t="array" ref="J4316">IFERROR(INDEX('Retirement Calculator'!K:K,MATCH('Lorri 401b'!N4316,'Retirement Calculator'!A:A,0),0),0)</f>
        <v>0</v>
      </c>
      <c r="K4316" s="455">
        <f t="shared" ca="1" si="163"/>
        <v>-96300816085.748413</v>
      </c>
      <c r="L4316" s="455">
        <f t="shared" ca="1" si="164"/>
        <v>-23208496676665.371</v>
      </c>
      <c r="M4316" s="471">
        <f t="shared" si="166"/>
        <v>0.05</v>
      </c>
      <c r="N4316" s="475">
        <f t="shared" si="167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65"/>
        <v>-23208496676665.371</v>
      </c>
      <c r="J4317" s="455">
        <f t="array" ref="J4317">IFERROR(INDEX('Retirement Calculator'!K:K,MATCH('Lorri 401b'!N4317,'Retirement Calculator'!A:A,0),0),0)</f>
        <v>0</v>
      </c>
      <c r="K4317" s="455">
        <f t="shared" ca="1" si="163"/>
        <v>-96702069486.105713</v>
      </c>
      <c r="L4317" s="455">
        <f t="shared" ca="1" si="164"/>
        <v>-23305198746151.477</v>
      </c>
      <c r="M4317" s="471">
        <f t="shared" si="166"/>
        <v>0.05</v>
      </c>
      <c r="N4317" s="475">
        <f t="shared" si="167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65"/>
        <v>-23305198746151.477</v>
      </c>
      <c r="J4318" s="455">
        <f t="array" ref="J4318">IFERROR(INDEX('Retirement Calculator'!K:K,MATCH('Lorri 401b'!N4318,'Retirement Calculator'!A:A,0),0),0)</f>
        <v>0</v>
      </c>
      <c r="K4318" s="455">
        <f t="shared" ca="1" si="163"/>
        <v>-97104994775.631149</v>
      </c>
      <c r="L4318" s="455">
        <f t="shared" ca="1" si="164"/>
        <v>-23402303740927.109</v>
      </c>
      <c r="M4318" s="471">
        <f t="shared" si="166"/>
        <v>0.05</v>
      </c>
      <c r="N4318" s="475">
        <f t="shared" si="167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65"/>
        <v>-23402303740927.109</v>
      </c>
      <c r="J4319" s="455">
        <f t="array" ref="J4319">IFERROR(INDEX('Retirement Calculator'!K:K,MATCH('Lorri 401b'!N4319,'Retirement Calculator'!A:A,0),0),0)</f>
        <v>0</v>
      </c>
      <c r="K4319" s="455">
        <f t="shared" ca="1" si="163"/>
        <v>-97509598920.529617</v>
      </c>
      <c r="L4319" s="455">
        <f t="shared" ca="1" si="164"/>
        <v>-23499813339847.641</v>
      </c>
      <c r="M4319" s="471">
        <f t="shared" si="166"/>
        <v>0.05</v>
      </c>
      <c r="N4319" s="475">
        <f t="shared" si="167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65"/>
        <v>-23499813339847.641</v>
      </c>
      <c r="J4320" s="455">
        <f t="array" ref="J4320">IFERROR(INDEX('Retirement Calculator'!K:K,MATCH('Lorri 401b'!N4320,'Retirement Calculator'!A:A,0),0),0)</f>
        <v>0</v>
      </c>
      <c r="K4320" s="455">
        <f t="shared" ca="1" si="163"/>
        <v>-97915888916.03183</v>
      </c>
      <c r="L4320" s="455">
        <f t="shared" ca="1" si="164"/>
        <v>-23597729228763.672</v>
      </c>
      <c r="M4320" s="471">
        <f t="shared" si="166"/>
        <v>0.05</v>
      </c>
      <c r="N4320" s="475">
        <f t="shared" si="167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65"/>
        <v>-23597729228763.672</v>
      </c>
      <c r="J4321" s="455">
        <f t="array" ref="J4321">IFERROR(INDEX('Retirement Calculator'!K:K,MATCH('Lorri 401b'!N4321,'Retirement Calculator'!A:A,0),0),0)</f>
        <v>0</v>
      </c>
      <c r="K4321" s="455">
        <f t="shared" ca="1" si="163"/>
        <v>-98323871786.515305</v>
      </c>
      <c r="L4321" s="455">
        <f t="shared" ca="1" si="164"/>
        <v>-23696053100550.188</v>
      </c>
      <c r="M4321" s="471">
        <f t="shared" si="166"/>
        <v>0.05</v>
      </c>
      <c r="N4321" s="475">
        <f t="shared" si="167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65"/>
        <v>-23696053100550.188</v>
      </c>
      <c r="J4322" s="455">
        <f t="array" ref="J4322">IFERROR(INDEX('Retirement Calculator'!K:K,MATCH('Lorri 401b'!N4322,'Retirement Calculator'!A:A,0),0),0)</f>
        <v>0</v>
      </c>
      <c r="K4322" s="455">
        <f t="shared" ca="1" si="163"/>
        <v>-98733554585.625778</v>
      </c>
      <c r="L4322" s="455">
        <f t="shared" ca="1" si="164"/>
        <v>-23794786655135.813</v>
      </c>
      <c r="M4322" s="471">
        <f t="shared" si="166"/>
        <v>0.05</v>
      </c>
      <c r="N4322" s="475">
        <f t="shared" si="167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65"/>
        <v>-23794786655135.813</v>
      </c>
      <c r="J4323" s="455">
        <f t="array" ref="J4323">IFERROR(INDEX('Retirement Calculator'!K:K,MATCH('Lorri 401b'!N4323,'Retirement Calculator'!A:A,0),0),0)</f>
        <v>0</v>
      </c>
      <c r="K4323" s="455">
        <f t="shared" ca="1" si="163"/>
        <v>-99144944396.399216</v>
      </c>
      <c r="L4323" s="455">
        <f t="shared" ca="1" si="164"/>
        <v>-23893931599532.211</v>
      </c>
      <c r="M4323" s="471">
        <f t="shared" si="166"/>
        <v>0.05</v>
      </c>
      <c r="N4323" s="475">
        <f t="shared" si="167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65"/>
        <v>-23893931599532.211</v>
      </c>
      <c r="J4324" s="455">
        <f t="array" ref="J4324">IFERROR(INDEX('Retirement Calculator'!K:K,MATCH('Lorri 401b'!N4324,'Retirement Calculator'!A:A,0),0),0)</f>
        <v>0</v>
      </c>
      <c r="K4324" s="455">
        <f t="shared" ca="1" si="163"/>
        <v>-99558048331.384216</v>
      </c>
      <c r="L4324" s="455">
        <f t="shared" ca="1" si="164"/>
        <v>-23993489647863.594</v>
      </c>
      <c r="M4324" s="471">
        <f t="shared" si="166"/>
        <v>0.05</v>
      </c>
      <c r="N4324" s="475">
        <f t="shared" si="167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65"/>
        <v>-23993489647863.594</v>
      </c>
      <c r="J4325" s="455">
        <f t="array" ref="J4325">IFERROR(INDEX('Retirement Calculator'!K:K,MATCH('Lorri 401b'!N4325,'Retirement Calculator'!A:A,0),0),0)</f>
        <v>0</v>
      </c>
      <c r="K4325" s="455">
        <f t="shared" ca="1" si="163"/>
        <v>-99972873532.764969</v>
      </c>
      <c r="L4325" s="455">
        <f t="shared" ca="1" si="164"/>
        <v>-24093462521396.359</v>
      </c>
      <c r="M4325" s="471">
        <f t="shared" si="166"/>
        <v>0.05</v>
      </c>
      <c r="N4325" s="475">
        <f t="shared" si="167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65"/>
        <v>-24093462521396.359</v>
      </c>
      <c r="J4326" s="455">
        <f t="array" ref="J4326">IFERROR(INDEX('Retirement Calculator'!K:K,MATCH('Lorri 401b'!N4326,'Retirement Calculator'!A:A,0),0),0)</f>
        <v>0</v>
      </c>
      <c r="K4326" s="455">
        <f t="shared" ca="1" si="163"/>
        <v>-100389427172.48483</v>
      </c>
      <c r="L4326" s="455">
        <f t="shared" ca="1" si="164"/>
        <v>-24193851948568.844</v>
      </c>
      <c r="M4326" s="471">
        <f t="shared" si="166"/>
        <v>0.05</v>
      </c>
      <c r="N4326" s="475">
        <f t="shared" si="167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65"/>
        <v>-24193851948568.844</v>
      </c>
      <c r="J4327" s="455">
        <f t="array" ref="J4327">IFERROR(INDEX('Retirement Calculator'!K:K,MATCH('Lorri 401b'!N4327,'Retirement Calculator'!A:A,0),0),0)</f>
        <v>0</v>
      </c>
      <c r="K4327" s="455">
        <f t="shared" ca="1" si="163"/>
        <v>-100807716452.37018</v>
      </c>
      <c r="L4327" s="455">
        <f t="shared" ca="1" si="164"/>
        <v>-24294659665021.215</v>
      </c>
      <c r="M4327" s="471">
        <f t="shared" si="166"/>
        <v>0.05</v>
      </c>
      <c r="N4327" s="475">
        <f t="shared" si="167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65"/>
        <v>-24294659665021.215</v>
      </c>
      <c r="J4328" s="455">
        <f t="array" ref="J4328">IFERROR(INDEX('Retirement Calculator'!K:K,MATCH('Lorri 401b'!N4328,'Retirement Calculator'!A:A,0),0),0)</f>
        <v>0</v>
      </c>
      <c r="K4328" s="455">
        <f t="shared" ca="1" si="163"/>
        <v>-101227748604.25507</v>
      </c>
      <c r="L4328" s="455">
        <f t="shared" ca="1" si="164"/>
        <v>-24395887413625.469</v>
      </c>
      <c r="M4328" s="471">
        <f t="shared" si="166"/>
        <v>0.05</v>
      </c>
      <c r="N4328" s="475">
        <f t="shared" si="167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65"/>
        <v>-24395887413625.469</v>
      </c>
      <c r="J4329" s="455">
        <f t="array" ref="J4329">IFERROR(INDEX('Retirement Calculator'!K:K,MATCH('Lorri 401b'!N4329,'Retirement Calculator'!A:A,0),0),0)</f>
        <v>0</v>
      </c>
      <c r="K4329" s="455">
        <f t="shared" ca="1" si="163"/>
        <v>-101649530890.10612</v>
      </c>
      <c r="L4329" s="455">
        <f t="shared" ca="1" si="164"/>
        <v>-24497536944515.574</v>
      </c>
      <c r="M4329" s="471">
        <f t="shared" si="166"/>
        <v>0.05</v>
      </c>
      <c r="N4329" s="475">
        <f t="shared" si="167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65"/>
        <v>-24497536944515.574</v>
      </c>
      <c r="J4330" s="455">
        <f t="array" ref="J4330">IFERROR(INDEX('Retirement Calculator'!K:K,MATCH('Lorri 401b'!N4330,'Retirement Calculator'!A:A,0),0),0)</f>
        <v>0</v>
      </c>
      <c r="K4330" s="455">
        <f t="shared" ca="1" si="163"/>
        <v>-102073070602.14822</v>
      </c>
      <c r="L4330" s="455">
        <f t="shared" ca="1" si="164"/>
        <v>-24599610015117.723</v>
      </c>
      <c r="M4330" s="471">
        <f t="shared" si="166"/>
        <v>0.05</v>
      </c>
      <c r="N4330" s="475">
        <f t="shared" si="167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65"/>
        <v>-24599610015117.723</v>
      </c>
      <c r="J4331" s="455">
        <f t="array" ref="J4331">IFERROR(INDEX('Retirement Calculator'!K:K,MATCH('Lorri 401b'!N4331,'Retirement Calculator'!A:A,0),0),0)</f>
        <v>0</v>
      </c>
      <c r="K4331" s="455">
        <f t="shared" ca="1" si="163"/>
        <v>-102498375062.99051</v>
      </c>
      <c r="L4331" s="455">
        <f t="shared" ca="1" si="164"/>
        <v>-24702108390180.715</v>
      </c>
      <c r="M4331" s="471">
        <f t="shared" si="166"/>
        <v>0.05</v>
      </c>
      <c r="N4331" s="475">
        <f t="shared" si="167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65"/>
        <v>-24702108390180.715</v>
      </c>
      <c r="J4332" s="455">
        <f t="array" ref="J4332">IFERROR(INDEX('Retirement Calculator'!K:K,MATCH('Lorri 401b'!N4332,'Retirement Calculator'!A:A,0),0),0)</f>
        <v>0</v>
      </c>
      <c r="K4332" s="455">
        <f t="shared" ca="1" si="163"/>
        <v>-102925451625.75298</v>
      </c>
      <c r="L4332" s="455">
        <f t="shared" ca="1" si="164"/>
        <v>-24805033841806.469</v>
      </c>
      <c r="M4332" s="471">
        <f t="shared" si="166"/>
        <v>0.05</v>
      </c>
      <c r="N4332" s="475">
        <f t="shared" si="167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65"/>
        <v>-24805033841806.469</v>
      </c>
      <c r="J4333" s="455">
        <f t="array" ref="J4333">IFERROR(INDEX('Retirement Calculator'!K:K,MATCH('Lorri 401b'!N4333,'Retirement Calculator'!A:A,0),0),0)</f>
        <v>0</v>
      </c>
      <c r="K4333" s="455">
        <f t="shared" ca="1" si="163"/>
        <v>-103354307674.19362</v>
      </c>
      <c r="L4333" s="455">
        <f t="shared" ca="1" si="164"/>
        <v>-24908388149480.664</v>
      </c>
      <c r="M4333" s="471">
        <f t="shared" si="166"/>
        <v>0.05</v>
      </c>
      <c r="N4333" s="475">
        <f t="shared" si="167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65"/>
        <v>-24908388149480.664</v>
      </c>
      <c r="J4334" s="455">
        <f t="array" ref="J4334">IFERROR(INDEX('Retirement Calculator'!K:K,MATCH('Lorri 401b'!N4334,'Retirement Calculator'!A:A,0),0),0)</f>
        <v>0</v>
      </c>
      <c r="K4334" s="455">
        <f t="shared" ca="1" si="163"/>
        <v>-103784950622.83611</v>
      </c>
      <c r="L4334" s="455">
        <f t="shared" ca="1" si="164"/>
        <v>-25012173100103.5</v>
      </c>
      <c r="M4334" s="471">
        <f t="shared" si="166"/>
        <v>0.05</v>
      </c>
      <c r="N4334" s="475">
        <f t="shared" si="167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65"/>
        <v>-25012173100103.5</v>
      </c>
      <c r="J4335" s="455">
        <f t="array" ref="J4335">IFERROR(INDEX('Retirement Calculator'!K:K,MATCH('Lorri 401b'!N4335,'Retirement Calculator'!A:A,0),0),0)</f>
        <v>0</v>
      </c>
      <c r="K4335" s="455">
        <f t="shared" ca="1" si="163"/>
        <v>-104217387917.09792</v>
      </c>
      <c r="L4335" s="455">
        <f t="shared" ca="1" si="164"/>
        <v>-25116390488020.598</v>
      </c>
      <c r="M4335" s="471">
        <f t="shared" si="166"/>
        <v>0.05</v>
      </c>
      <c r="N4335" s="475">
        <f t="shared" si="167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65"/>
        <v>-25116390488020.598</v>
      </c>
      <c r="J4336" s="455">
        <f t="array" ref="J4336">IFERROR(INDEX('Retirement Calculator'!K:K,MATCH('Lorri 401b'!N4336,'Retirement Calculator'!A:A,0),0),0)</f>
        <v>0</v>
      </c>
      <c r="K4336" s="455">
        <f t="shared" ca="1" si="163"/>
        <v>-104651627033.41916</v>
      </c>
      <c r="L4336" s="455">
        <f t="shared" ca="1" si="164"/>
        <v>-25221042115054.016</v>
      </c>
      <c r="M4336" s="471">
        <f t="shared" si="166"/>
        <v>0.05</v>
      </c>
      <c r="N4336" s="475">
        <f t="shared" si="167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65"/>
        <v>-25221042115054.016</v>
      </c>
      <c r="J4337" s="455">
        <f t="array" ref="J4337">IFERROR(INDEX('Retirement Calculator'!K:K,MATCH('Lorri 401b'!N4337,'Retirement Calculator'!A:A,0),0),0)</f>
        <v>0</v>
      </c>
      <c r="K4337" s="455">
        <f t="shared" ca="1" si="163"/>
        <v>-105087675479.39172</v>
      </c>
      <c r="L4337" s="455">
        <f t="shared" ca="1" si="164"/>
        <v>-25326129790533.406</v>
      </c>
      <c r="M4337" s="471">
        <f t="shared" si="166"/>
        <v>0.05</v>
      </c>
      <c r="N4337" s="475">
        <f t="shared" si="167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65"/>
        <v>-25326129790533.406</v>
      </c>
      <c r="J4338" s="455">
        <f t="array" ref="J4338">IFERROR(INDEX('Retirement Calculator'!K:K,MATCH('Lorri 401b'!N4338,'Retirement Calculator'!A:A,0),0),0)</f>
        <v>0</v>
      </c>
      <c r="K4338" s="455">
        <f t="shared" ca="1" si="163"/>
        <v>-105525540793.88919</v>
      </c>
      <c r="L4338" s="455">
        <f t="shared" ca="1" si="164"/>
        <v>-25431655331327.297</v>
      </c>
      <c r="M4338" s="471">
        <f t="shared" si="166"/>
        <v>0.05</v>
      </c>
      <c r="N4338" s="475">
        <f t="shared" si="167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65"/>
        <v>-25431655331327.297</v>
      </c>
      <c r="J4339" s="455">
        <f t="array" ref="J4339">IFERROR(INDEX('Retirement Calculator'!K:K,MATCH('Lorri 401b'!N4339,'Retirement Calculator'!A:A,0),0),0)</f>
        <v>0</v>
      </c>
      <c r="K4339" s="455">
        <f t="shared" ca="1" si="163"/>
        <v>-105965230547.19707</v>
      </c>
      <c r="L4339" s="455">
        <f t="shared" ca="1" si="164"/>
        <v>-25537620561874.492</v>
      </c>
      <c r="M4339" s="471">
        <f t="shared" si="166"/>
        <v>0.05</v>
      </c>
      <c r="N4339" s="475">
        <f t="shared" si="167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65"/>
        <v>-25537620561874.492</v>
      </c>
      <c r="J4340" s="455">
        <f t="array" ref="J4340">IFERROR(INDEX('Retirement Calculator'!K:K,MATCH('Lorri 401b'!N4340,'Retirement Calculator'!A:A,0),0),0)</f>
        <v>0</v>
      </c>
      <c r="K4340" s="455">
        <f t="shared" ca="1" si="163"/>
        <v>-106406752341.14372</v>
      </c>
      <c r="L4340" s="455">
        <f t="shared" ca="1" si="164"/>
        <v>-25644027314215.637</v>
      </c>
      <c r="M4340" s="471">
        <f t="shared" si="166"/>
        <v>0.05</v>
      </c>
      <c r="N4340" s="475">
        <f t="shared" si="167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65"/>
        <v>-25644027314215.637</v>
      </c>
      <c r="J4341" s="455">
        <f t="array" ref="J4341">IFERROR(INDEX('Retirement Calculator'!K:K,MATCH('Lorri 401b'!N4341,'Retirement Calculator'!A:A,0),0),0)</f>
        <v>0</v>
      </c>
      <c r="K4341" s="455">
        <f t="shared" ca="1" si="163"/>
        <v>-106850113809.23181</v>
      </c>
      <c r="L4341" s="455">
        <f t="shared" ca="1" si="164"/>
        <v>-25750877428024.867</v>
      </c>
      <c r="M4341" s="471">
        <f t="shared" si="166"/>
        <v>0.05</v>
      </c>
      <c r="N4341" s="475">
        <f t="shared" si="167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65"/>
        <v>-25750877428024.867</v>
      </c>
      <c r="J4342" s="455">
        <f t="array" ref="J4342">IFERROR(INDEX('Retirement Calculator'!K:K,MATCH('Lorri 401b'!N4342,'Retirement Calculator'!A:A,0),0),0)</f>
        <v>0</v>
      </c>
      <c r="K4342" s="455">
        <f t="shared" ca="1" si="163"/>
        <v>-107295322616.77028</v>
      </c>
      <c r="L4342" s="455">
        <f t="shared" ca="1" si="164"/>
        <v>-25858172750641.637</v>
      </c>
      <c r="M4342" s="471">
        <f t="shared" si="166"/>
        <v>0.05</v>
      </c>
      <c r="N4342" s="475">
        <f t="shared" si="167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65"/>
        <v>-25858172750641.637</v>
      </c>
      <c r="J4343" s="455">
        <f t="array" ref="J4343">IFERROR(INDEX('Retirement Calculator'!K:K,MATCH('Lorri 401b'!N4343,'Retirement Calculator'!A:A,0),0),0)</f>
        <v>0</v>
      </c>
      <c r="K4343" s="455">
        <f t="shared" ref="K4343:K4597" ca="1" si="168">IPMT(M4343/12,1,12,-I4343+J4343,,0)</f>
        <v>-107742386461.00682</v>
      </c>
      <c r="L4343" s="455">
        <f t="shared" ref="L4343:L4597" ca="1" si="169">I4343-J4343+K4343</f>
        <v>-25965915137102.645</v>
      </c>
      <c r="M4343" s="471">
        <f t="shared" si="166"/>
        <v>0.05</v>
      </c>
      <c r="N4343" s="475">
        <f t="shared" si="167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70">L4343</f>
        <v>-25965915137102.645</v>
      </c>
      <c r="J4344" s="455">
        <f t="array" ref="J4344">IFERROR(INDEX('Retirement Calculator'!K:K,MATCH('Lorri 401b'!N4344,'Retirement Calculator'!A:A,0),0),0)</f>
        <v>0</v>
      </c>
      <c r="K4344" s="455">
        <f t="shared" ca="1" si="168"/>
        <v>-108191313071.26102</v>
      </c>
      <c r="L4344" s="455">
        <f t="shared" ca="1" si="169"/>
        <v>-26074106450173.906</v>
      </c>
      <c r="M4344" s="471">
        <f t="shared" ref="M4344:M4598" si="171">M4343</f>
        <v>0.05</v>
      </c>
      <c r="N4344" s="475">
        <f t="shared" ref="N4344:N4598" si="172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70"/>
        <v>-26074106450173.906</v>
      </c>
      <c r="J4345" s="455">
        <f t="array" ref="J4345">IFERROR(INDEX('Retirement Calculator'!K:K,MATCH('Lorri 401b'!N4345,'Retirement Calculator'!A:A,0),0),0)</f>
        <v>0</v>
      </c>
      <c r="K4345" s="455">
        <f t="shared" ca="1" si="168"/>
        <v>-108642110209.05794</v>
      </c>
      <c r="L4345" s="455">
        <f t="shared" ca="1" si="169"/>
        <v>-26182748560382.965</v>
      </c>
      <c r="M4345" s="471">
        <f t="shared" si="171"/>
        <v>0.05</v>
      </c>
      <c r="N4345" s="475">
        <f t="shared" si="172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70"/>
        <v>-26182748560382.965</v>
      </c>
      <c r="J4346" s="455">
        <f t="array" ref="J4346">IFERROR(INDEX('Retirement Calculator'!K:K,MATCH('Lorri 401b'!N4346,'Retirement Calculator'!A:A,0),0),0)</f>
        <v>0</v>
      </c>
      <c r="K4346" s="455">
        <f t="shared" ca="1" si="168"/>
        <v>-109094785668.26236</v>
      </c>
      <c r="L4346" s="455">
        <f t="shared" ca="1" si="169"/>
        <v>-26291843346051.227</v>
      </c>
      <c r="M4346" s="471">
        <f t="shared" si="171"/>
        <v>0.05</v>
      </c>
      <c r="N4346" s="475">
        <f t="shared" si="172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70"/>
        <v>-26291843346051.227</v>
      </c>
      <c r="J4347" s="455">
        <f t="array" ref="J4347">IFERROR(INDEX('Retirement Calculator'!K:K,MATCH('Lorri 401b'!N4347,'Retirement Calculator'!A:A,0),0),0)</f>
        <v>0</v>
      </c>
      <c r="K4347" s="455">
        <f t="shared" ca="1" si="168"/>
        <v>-109549347275.21344</v>
      </c>
      <c r="L4347" s="455">
        <f t="shared" ca="1" si="169"/>
        <v>-26401392693326.441</v>
      </c>
      <c r="M4347" s="471">
        <f t="shared" si="171"/>
        <v>0.05</v>
      </c>
      <c r="N4347" s="475">
        <f t="shared" si="172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70"/>
        <v>-26401392693326.441</v>
      </c>
      <c r="J4348" s="455">
        <f t="array" ref="J4348">IFERROR(INDEX('Retirement Calculator'!K:K,MATCH('Lorri 401b'!N4348,'Retirement Calculator'!A:A,0),0),0)</f>
        <v>0</v>
      </c>
      <c r="K4348" s="455">
        <f t="shared" ca="1" si="168"/>
        <v>-110005802888.86017</v>
      </c>
      <c r="L4348" s="455">
        <f t="shared" ca="1" si="169"/>
        <v>-26511398496215.301</v>
      </c>
      <c r="M4348" s="471">
        <f t="shared" si="171"/>
        <v>0.05</v>
      </c>
      <c r="N4348" s="475">
        <f t="shared" si="172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70"/>
        <v>-26511398496215.301</v>
      </c>
      <c r="J4349" s="455">
        <f t="array" ref="J4349">IFERROR(INDEX('Retirement Calculator'!K:K,MATCH('Lorri 401b'!N4349,'Retirement Calculator'!A:A,0),0),0)</f>
        <v>0</v>
      </c>
      <c r="K4349" s="455">
        <f t="shared" ca="1" si="168"/>
        <v>-110464160400.89708</v>
      </c>
      <c r="L4349" s="455">
        <f t="shared" ca="1" si="169"/>
        <v>-26621862656616.199</v>
      </c>
      <c r="M4349" s="471">
        <f t="shared" si="171"/>
        <v>0.05</v>
      </c>
      <c r="N4349" s="475">
        <f t="shared" si="172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70"/>
        <v>-26621862656616.199</v>
      </c>
      <c r="J4350" s="455">
        <f t="array" ref="J4350">IFERROR(INDEX('Retirement Calculator'!K:K,MATCH('Lorri 401b'!N4350,'Retirement Calculator'!A:A,0),0),0)</f>
        <v>0</v>
      </c>
      <c r="K4350" s="455">
        <f t="shared" ca="1" si="168"/>
        <v>-110924427735.90083</v>
      </c>
      <c r="L4350" s="455">
        <f t="shared" ca="1" si="169"/>
        <v>-26732787084352.102</v>
      </c>
      <c r="M4350" s="471">
        <f t="shared" si="171"/>
        <v>0.05</v>
      </c>
      <c r="N4350" s="475">
        <f t="shared" si="172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70"/>
        <v>-26732787084352.102</v>
      </c>
      <c r="J4351" s="455">
        <f t="array" ref="J4351">IFERROR(INDEX('Retirement Calculator'!K:K,MATCH('Lorri 401b'!N4351,'Retirement Calculator'!A:A,0),0),0)</f>
        <v>0</v>
      </c>
      <c r="K4351" s="455">
        <f t="shared" ca="1" si="168"/>
        <v>-111386612851.46709</v>
      </c>
      <c r="L4351" s="455">
        <f t="shared" ca="1" si="169"/>
        <v>-26844173697203.57</v>
      </c>
      <c r="M4351" s="471">
        <f t="shared" si="171"/>
        <v>0.05</v>
      </c>
      <c r="N4351" s="475">
        <f t="shared" si="172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70"/>
        <v>-26844173697203.57</v>
      </c>
      <c r="J4352" s="455">
        <f t="array" ref="J4352">IFERROR(INDEX('Retirement Calculator'!K:K,MATCH('Lorri 401b'!N4352,'Retirement Calculator'!A:A,0),0),0)</f>
        <v>0</v>
      </c>
      <c r="K4352" s="455">
        <f t="shared" ca="1" si="168"/>
        <v>-111850723738.34821</v>
      </c>
      <c r="L4352" s="455">
        <f t="shared" ca="1" si="169"/>
        <v>-26956024420941.918</v>
      </c>
      <c r="M4352" s="471">
        <f t="shared" si="171"/>
        <v>0.05</v>
      </c>
      <c r="N4352" s="475">
        <f t="shared" si="172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70"/>
        <v>-26956024420941.918</v>
      </c>
      <c r="J4353" s="455">
        <f t="array" ref="J4353">IFERROR(INDEX('Retirement Calculator'!K:K,MATCH('Lorri 401b'!N4353,'Retirement Calculator'!A:A,0),0),0)</f>
        <v>0</v>
      </c>
      <c r="K4353" s="455">
        <f t="shared" ca="1" si="168"/>
        <v>-112316768420.59132</v>
      </c>
      <c r="L4353" s="455">
        <f t="shared" ca="1" si="169"/>
        <v>-27068341189362.508</v>
      </c>
      <c r="M4353" s="471">
        <f t="shared" si="171"/>
        <v>0.05</v>
      </c>
      <c r="N4353" s="475">
        <f t="shared" si="172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70"/>
        <v>-27068341189362.508</v>
      </c>
      <c r="J4354" s="455">
        <f t="array" ref="J4354">IFERROR(INDEX('Retirement Calculator'!K:K,MATCH('Lorri 401b'!N4354,'Retirement Calculator'!A:A,0),0),0)</f>
        <v>0</v>
      </c>
      <c r="K4354" s="455">
        <f t="shared" ca="1" si="168"/>
        <v>-112784754955.67711</v>
      </c>
      <c r="L4354" s="455">
        <f t="shared" ca="1" si="169"/>
        <v>-27181125944318.184</v>
      </c>
      <c r="M4354" s="471">
        <f t="shared" si="171"/>
        <v>0.05</v>
      </c>
      <c r="N4354" s="475">
        <f t="shared" si="172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70"/>
        <v>-27181125944318.184</v>
      </c>
      <c r="J4355" s="455">
        <f t="array" ref="J4355">IFERROR(INDEX('Retirement Calculator'!K:K,MATCH('Lorri 401b'!N4355,'Retirement Calculator'!A:A,0),0),0)</f>
        <v>0</v>
      </c>
      <c r="K4355" s="455">
        <f t="shared" ca="1" si="168"/>
        <v>-113254691434.6591</v>
      </c>
      <c r="L4355" s="455">
        <f t="shared" ca="1" si="169"/>
        <v>-27294380635752.844</v>
      </c>
      <c r="M4355" s="471">
        <f t="shared" si="171"/>
        <v>0.05</v>
      </c>
      <c r="N4355" s="475">
        <f t="shared" si="172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70"/>
        <v>-27294380635752.844</v>
      </c>
      <c r="J4356" s="455">
        <f t="array" ref="J4356">IFERROR(INDEX('Retirement Calculator'!K:K,MATCH('Lorri 401b'!N4356,'Retirement Calculator'!A:A,0),0),0)</f>
        <v>0</v>
      </c>
      <c r="K4356" s="455">
        <f t="shared" ca="1" si="168"/>
        <v>-113726585982.30351</v>
      </c>
      <c r="L4356" s="455">
        <f t="shared" ca="1" si="169"/>
        <v>-27408107221735.148</v>
      </c>
      <c r="M4356" s="471">
        <f t="shared" si="171"/>
        <v>0.05</v>
      </c>
      <c r="N4356" s="475">
        <f t="shared" si="172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70"/>
        <v>-27408107221735.148</v>
      </c>
      <c r="J4357" s="455">
        <f t="array" ref="J4357">IFERROR(INDEX('Retirement Calculator'!K:K,MATCH('Lorri 401b'!N4357,'Retirement Calculator'!A:A,0),0),0)</f>
        <v>0</v>
      </c>
      <c r="K4357" s="455">
        <f t="shared" ca="1" si="168"/>
        <v>-114200446757.2298</v>
      </c>
      <c r="L4357" s="455">
        <f t="shared" ca="1" si="169"/>
        <v>-27522307668492.379</v>
      </c>
      <c r="M4357" s="471">
        <f t="shared" si="171"/>
        <v>0.05</v>
      </c>
      <c r="N4357" s="475">
        <f t="shared" si="172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70"/>
        <v>-27522307668492.379</v>
      </c>
      <c r="J4358" s="455">
        <f t="array" ref="J4358">IFERROR(INDEX('Retirement Calculator'!K:K,MATCH('Lorri 401b'!N4358,'Retirement Calculator'!A:A,0),0),0)</f>
        <v>0</v>
      </c>
      <c r="K4358" s="455">
        <f t="shared" ca="1" si="168"/>
        <v>-114676281952.05157</v>
      </c>
      <c r="L4358" s="455">
        <f t="shared" ca="1" si="169"/>
        <v>-27636983950444.43</v>
      </c>
      <c r="M4358" s="471">
        <f t="shared" si="171"/>
        <v>0.05</v>
      </c>
      <c r="N4358" s="475">
        <f t="shared" si="172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70"/>
        <v>-27636983950444.43</v>
      </c>
      <c r="J4359" s="455">
        <f t="array" ref="J4359">IFERROR(INDEX('Retirement Calculator'!K:K,MATCH('Lorri 401b'!N4359,'Retirement Calculator'!A:A,0),0),0)</f>
        <v>0</v>
      </c>
      <c r="K4359" s="455">
        <f t="shared" ca="1" si="168"/>
        <v>-115154099793.51843</v>
      </c>
      <c r="L4359" s="455">
        <f t="shared" ca="1" si="169"/>
        <v>-27752138050237.949</v>
      </c>
      <c r="M4359" s="471">
        <f t="shared" si="171"/>
        <v>0.05</v>
      </c>
      <c r="N4359" s="475">
        <f t="shared" si="172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70"/>
        <v>-27752138050237.949</v>
      </c>
      <c r="J4360" s="455">
        <f t="array" ref="J4360">IFERROR(INDEX('Retirement Calculator'!K:K,MATCH('Lorri 401b'!N4360,'Retirement Calculator'!A:A,0),0),0)</f>
        <v>0</v>
      </c>
      <c r="K4360" s="455">
        <f t="shared" ca="1" si="168"/>
        <v>-115633908542.65813</v>
      </c>
      <c r="L4360" s="455">
        <f t="shared" ca="1" si="169"/>
        <v>-27867771958780.605</v>
      </c>
      <c r="M4360" s="471">
        <f t="shared" si="171"/>
        <v>0.05</v>
      </c>
      <c r="N4360" s="475">
        <f t="shared" si="172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70"/>
        <v>-27867771958780.605</v>
      </c>
      <c r="J4361" s="455">
        <f t="array" ref="J4361">IFERROR(INDEX('Retirement Calculator'!K:K,MATCH('Lorri 401b'!N4361,'Retirement Calculator'!A:A,0),0),0)</f>
        <v>0</v>
      </c>
      <c r="K4361" s="455">
        <f t="shared" ca="1" si="168"/>
        <v>-116115716494.91919</v>
      </c>
      <c r="L4361" s="455">
        <f t="shared" ca="1" si="169"/>
        <v>-27983887675275.523</v>
      </c>
      <c r="M4361" s="471">
        <f t="shared" si="171"/>
        <v>0.05</v>
      </c>
      <c r="N4361" s="475">
        <f t="shared" si="172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70"/>
        <v>-27983887675275.523</v>
      </c>
      <c r="J4362" s="455">
        <f t="array" ref="J4362">IFERROR(INDEX('Retirement Calculator'!K:K,MATCH('Lorri 401b'!N4362,'Retirement Calculator'!A:A,0),0),0)</f>
        <v>0</v>
      </c>
      <c r="K4362" s="455">
        <f t="shared" ca="1" si="168"/>
        <v>-116599531980.3147</v>
      </c>
      <c r="L4362" s="455">
        <f t="shared" ca="1" si="169"/>
        <v>-28100487207255.84</v>
      </c>
      <c r="M4362" s="471">
        <f t="shared" si="171"/>
        <v>0.05</v>
      </c>
      <c r="N4362" s="475">
        <f t="shared" si="172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70"/>
        <v>-28100487207255.84</v>
      </c>
      <c r="J4363" s="455">
        <f t="array" ref="J4363">IFERROR(INDEX('Retirement Calculator'!K:K,MATCH('Lorri 401b'!N4363,'Retirement Calculator'!A:A,0),0),0)</f>
        <v>0</v>
      </c>
      <c r="K4363" s="455">
        <f t="shared" ca="1" si="168"/>
        <v>-117085363363.56599</v>
      </c>
      <c r="L4363" s="455">
        <f t="shared" ca="1" si="169"/>
        <v>-28217572570619.406</v>
      </c>
      <c r="M4363" s="471">
        <f t="shared" si="171"/>
        <v>0.05</v>
      </c>
      <c r="N4363" s="475">
        <f t="shared" si="172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70"/>
        <v>-28217572570619.406</v>
      </c>
      <c r="J4364" s="455">
        <f t="array" ref="J4364">IFERROR(INDEX('Retirement Calculator'!K:K,MATCH('Lorri 401b'!N4364,'Retirement Calculator'!A:A,0),0),0)</f>
        <v>0</v>
      </c>
      <c r="K4364" s="455">
        <f t="shared" ca="1" si="168"/>
        <v>-117573219044.24753</v>
      </c>
      <c r="L4364" s="455">
        <f t="shared" ca="1" si="169"/>
        <v>-28335145789663.652</v>
      </c>
      <c r="M4364" s="471">
        <f t="shared" si="171"/>
        <v>0.05</v>
      </c>
      <c r="N4364" s="475">
        <f t="shared" si="172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70"/>
        <v>-28335145789663.652</v>
      </c>
      <c r="J4365" s="455">
        <f t="array" ref="J4365">IFERROR(INDEX('Retirement Calculator'!K:K,MATCH('Lorri 401b'!N4365,'Retirement Calculator'!A:A,0),0),0)</f>
        <v>0</v>
      </c>
      <c r="K4365" s="455">
        <f t="shared" ca="1" si="168"/>
        <v>-118063107456.93188</v>
      </c>
      <c r="L4365" s="455">
        <f t="shared" ca="1" si="169"/>
        <v>-28453208897120.586</v>
      </c>
      <c r="M4365" s="471">
        <f t="shared" si="171"/>
        <v>0.05</v>
      </c>
      <c r="N4365" s="475">
        <f t="shared" si="172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70"/>
        <v>-28453208897120.586</v>
      </c>
      <c r="J4366" s="455">
        <f t="array" ref="J4366">IFERROR(INDEX('Retirement Calculator'!K:K,MATCH('Lorri 401b'!N4366,'Retirement Calculator'!A:A,0),0),0)</f>
        <v>0</v>
      </c>
      <c r="K4366" s="455">
        <f t="shared" ca="1" si="168"/>
        <v>-118555037071.33577</v>
      </c>
      <c r="L4366" s="455">
        <f t="shared" ca="1" si="169"/>
        <v>-28571763934191.922</v>
      </c>
      <c r="M4366" s="471">
        <f t="shared" si="171"/>
        <v>0.05</v>
      </c>
      <c r="N4366" s="475">
        <f t="shared" si="172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70"/>
        <v>-28571763934191.922</v>
      </c>
      <c r="J4367" s="455">
        <f t="array" ref="J4367">IFERROR(INDEX('Retirement Calculator'!K:K,MATCH('Lorri 401b'!N4367,'Retirement Calculator'!A:A,0),0),0)</f>
        <v>0</v>
      </c>
      <c r="K4367" s="455">
        <f t="shared" ca="1" si="168"/>
        <v>-119049016392.46632</v>
      </c>
      <c r="L4367" s="455">
        <f t="shared" ca="1" si="169"/>
        <v>-28690812950584.387</v>
      </c>
      <c r="M4367" s="471">
        <f t="shared" si="171"/>
        <v>0.05</v>
      </c>
      <c r="N4367" s="475">
        <f t="shared" si="172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70"/>
        <v>-28690812950584.387</v>
      </c>
      <c r="J4368" s="455">
        <f t="array" ref="J4368">IFERROR(INDEX('Retirement Calculator'!K:K,MATCH('Lorri 401b'!N4368,'Retirement Calculator'!A:A,0),0),0)</f>
        <v>0</v>
      </c>
      <c r="K4368" s="455">
        <f t="shared" ca="1" si="168"/>
        <v>-119545053960.76828</v>
      </c>
      <c r="L4368" s="455">
        <f t="shared" ca="1" si="169"/>
        <v>-28810358004545.156</v>
      </c>
      <c r="M4368" s="471">
        <f t="shared" si="171"/>
        <v>0.05</v>
      </c>
      <c r="N4368" s="475">
        <f t="shared" si="172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70"/>
        <v>-28810358004545.156</v>
      </c>
      <c r="J4369" s="455">
        <f t="array" ref="J4369">IFERROR(INDEX('Retirement Calculator'!K:K,MATCH('Lorri 401b'!N4369,'Retirement Calculator'!A:A,0),0),0)</f>
        <v>0</v>
      </c>
      <c r="K4369" s="455">
        <f t="shared" ca="1" si="168"/>
        <v>-120043158352.27148</v>
      </c>
      <c r="L4369" s="455">
        <f t="shared" ca="1" si="169"/>
        <v>-28930401162897.43</v>
      </c>
      <c r="M4369" s="471">
        <f t="shared" si="171"/>
        <v>0.05</v>
      </c>
      <c r="N4369" s="475">
        <f t="shared" si="172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70"/>
        <v>-28930401162897.43</v>
      </c>
      <c r="J4370" s="455">
        <f t="array" ref="J4370">IFERROR(INDEX('Retirement Calculator'!K:K,MATCH('Lorri 401b'!N4370,'Retirement Calculator'!A:A,0),0),0)</f>
        <v>0</v>
      </c>
      <c r="K4370" s="455">
        <f t="shared" ca="1" si="168"/>
        <v>-120543338178.73929</v>
      </c>
      <c r="L4370" s="455">
        <f t="shared" ca="1" si="169"/>
        <v>-29050944501076.168</v>
      </c>
      <c r="M4370" s="471">
        <f t="shared" si="171"/>
        <v>0.05</v>
      </c>
      <c r="N4370" s="475">
        <f t="shared" si="172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70"/>
        <v>-29050944501076.168</v>
      </c>
      <c r="J4371" s="455">
        <f t="array" ref="J4371">IFERROR(INDEX('Retirement Calculator'!K:K,MATCH('Lorri 401b'!N4371,'Retirement Calculator'!A:A,0),0),0)</f>
        <v>0</v>
      </c>
      <c r="K4371" s="455">
        <f t="shared" ca="1" si="168"/>
        <v>-121045602087.81737</v>
      </c>
      <c r="L4371" s="455">
        <f t="shared" ca="1" si="169"/>
        <v>-29171990103163.984</v>
      </c>
      <c r="M4371" s="471">
        <f t="shared" si="171"/>
        <v>0.05</v>
      </c>
      <c r="N4371" s="475">
        <f t="shared" si="172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70"/>
        <v>-29171990103163.984</v>
      </c>
      <c r="J4372" s="455">
        <f t="array" ref="J4372">IFERROR(INDEX('Retirement Calculator'!K:K,MATCH('Lorri 401b'!N4372,'Retirement Calculator'!A:A,0),0),0)</f>
        <v>0</v>
      </c>
      <c r="K4372" s="455">
        <f t="shared" ca="1" si="168"/>
        <v>-121549958763.18327</v>
      </c>
      <c r="L4372" s="455">
        <f t="shared" ca="1" si="169"/>
        <v>-29293540061927.168</v>
      </c>
      <c r="M4372" s="471">
        <f t="shared" si="171"/>
        <v>0.05</v>
      </c>
      <c r="N4372" s="475">
        <f t="shared" si="172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70"/>
        <v>-29293540061927.168</v>
      </c>
      <c r="J4373" s="455">
        <f t="array" ref="J4373">IFERROR(INDEX('Retirement Calculator'!K:K,MATCH('Lorri 401b'!N4373,'Retirement Calculator'!A:A,0),0),0)</f>
        <v>0</v>
      </c>
      <c r="K4373" s="455">
        <f t="shared" ca="1" si="168"/>
        <v>-122056416924.69655</v>
      </c>
      <c r="L4373" s="455">
        <f t="shared" ca="1" si="169"/>
        <v>-29415596478851.863</v>
      </c>
      <c r="M4373" s="471">
        <f t="shared" si="171"/>
        <v>0.05</v>
      </c>
      <c r="N4373" s="475">
        <f t="shared" si="172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70"/>
        <v>-29415596478851.863</v>
      </c>
      <c r="J4374" s="455">
        <f t="array" ref="J4374">IFERROR(INDEX('Retirement Calculator'!K:K,MATCH('Lorri 401b'!N4374,'Retirement Calculator'!A:A,0),0),0)</f>
        <v>0</v>
      </c>
      <c r="K4374" s="455">
        <f t="shared" ca="1" si="168"/>
        <v>-122564985328.54942</v>
      </c>
      <c r="L4374" s="455">
        <f t="shared" ca="1" si="169"/>
        <v>-29538161464180.414</v>
      </c>
      <c r="M4374" s="471">
        <f t="shared" si="171"/>
        <v>0.05</v>
      </c>
      <c r="N4374" s="475">
        <f t="shared" si="172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70"/>
        <v>-29538161464180.414</v>
      </c>
      <c r="J4375" s="455">
        <f t="array" ref="J4375">IFERROR(INDEX('Retirement Calculator'!K:K,MATCH('Lorri 401b'!N4375,'Retirement Calculator'!A:A,0),0),0)</f>
        <v>0</v>
      </c>
      <c r="K4375" s="455">
        <f t="shared" ca="1" si="168"/>
        <v>-123075672767.41841</v>
      </c>
      <c r="L4375" s="455">
        <f t="shared" ca="1" si="169"/>
        <v>-29661237136947.832</v>
      </c>
      <c r="M4375" s="471">
        <f t="shared" si="171"/>
        <v>0.05</v>
      </c>
      <c r="N4375" s="475">
        <f t="shared" si="172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70"/>
        <v>-29661237136947.832</v>
      </c>
      <c r="J4376" s="455">
        <f t="array" ref="J4376">IFERROR(INDEX('Retirement Calculator'!K:K,MATCH('Lorri 401b'!N4376,'Retirement Calculator'!A:A,0),0),0)</f>
        <v>0</v>
      </c>
      <c r="K4376" s="455">
        <f t="shared" ca="1" si="168"/>
        <v>-123588488070.61598</v>
      </c>
      <c r="L4376" s="455">
        <f t="shared" ca="1" si="169"/>
        <v>-29784825625018.449</v>
      </c>
      <c r="M4376" s="471">
        <f t="shared" si="171"/>
        <v>0.05</v>
      </c>
      <c r="N4376" s="475">
        <f t="shared" si="172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70"/>
        <v>-29784825625018.449</v>
      </c>
      <c r="J4377" s="455">
        <f t="array" ref="J4377">IFERROR(INDEX('Retirement Calculator'!K:K,MATCH('Lorri 401b'!N4377,'Retirement Calculator'!A:A,0),0),0)</f>
        <v>0</v>
      </c>
      <c r="K4377" s="455">
        <f t="shared" ca="1" si="168"/>
        <v>-124103440104.24353</v>
      </c>
      <c r="L4377" s="455">
        <f t="shared" ca="1" si="169"/>
        <v>-29908929065122.691</v>
      </c>
      <c r="M4377" s="471">
        <f t="shared" si="171"/>
        <v>0.05</v>
      </c>
      <c r="N4377" s="475">
        <f t="shared" si="172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70"/>
        <v>-29908929065122.691</v>
      </c>
      <c r="J4378" s="455">
        <f t="array" ref="J4378">IFERROR(INDEX('Retirement Calculator'!K:K,MATCH('Lorri 401b'!N4378,'Retirement Calculator'!A:A,0),0),0)</f>
        <v>0</v>
      </c>
      <c r="K4378" s="455">
        <f t="shared" ca="1" si="168"/>
        <v>-124620537771.34453</v>
      </c>
      <c r="L4378" s="455">
        <f t="shared" ca="1" si="169"/>
        <v>-30033549602894.035</v>
      </c>
      <c r="M4378" s="471">
        <f t="shared" si="171"/>
        <v>0.05</v>
      </c>
      <c r="N4378" s="475">
        <f t="shared" si="172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70"/>
        <v>-30033549602894.035</v>
      </c>
      <c r="J4379" s="455">
        <f t="array" ref="J4379">IFERROR(INDEX('Retirement Calculator'!K:K,MATCH('Lorri 401b'!N4379,'Retirement Calculator'!A:A,0),0),0)</f>
        <v>0</v>
      </c>
      <c r="K4379" s="455">
        <f t="shared" ca="1" si="168"/>
        <v>-125139790012.05849</v>
      </c>
      <c r="L4379" s="455">
        <f t="shared" ca="1" si="169"/>
        <v>-30158689392906.094</v>
      </c>
      <c r="M4379" s="471">
        <f t="shared" si="171"/>
        <v>0.05</v>
      </c>
      <c r="N4379" s="475">
        <f t="shared" si="172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70"/>
        <v>-30158689392906.094</v>
      </c>
      <c r="J4380" s="455">
        <f t="array" ref="J4380">IFERROR(INDEX('Retirement Calculator'!K:K,MATCH('Lorri 401b'!N4380,'Retirement Calculator'!A:A,0),0),0)</f>
        <v>0</v>
      </c>
      <c r="K4380" s="455">
        <f t="shared" ca="1" si="168"/>
        <v>-125661205803.77539</v>
      </c>
      <c r="L4380" s="455">
        <f t="shared" ca="1" si="169"/>
        <v>-30284350598709.867</v>
      </c>
      <c r="M4380" s="471">
        <f t="shared" si="171"/>
        <v>0.05</v>
      </c>
      <c r="N4380" s="475">
        <f t="shared" si="172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70"/>
        <v>-30284350598709.867</v>
      </c>
      <c r="J4381" s="455">
        <f t="array" ref="J4381">IFERROR(INDEX('Retirement Calculator'!K:K,MATCH('Lorri 401b'!N4381,'Retirement Calculator'!A:A,0),0),0)</f>
        <v>0</v>
      </c>
      <c r="K4381" s="455">
        <f t="shared" ca="1" si="168"/>
        <v>-126184794161.29109</v>
      </c>
      <c r="L4381" s="455">
        <f t="shared" ca="1" si="169"/>
        <v>-30410535392871.16</v>
      </c>
      <c r="M4381" s="471">
        <f t="shared" si="171"/>
        <v>0.05</v>
      </c>
      <c r="N4381" s="475">
        <f t="shared" si="172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70"/>
        <v>-30410535392871.16</v>
      </c>
      <c r="J4382" s="455">
        <f t="array" ref="J4382">IFERROR(INDEX('Retirement Calculator'!K:K,MATCH('Lorri 401b'!N4382,'Retirement Calculator'!A:A,0),0),0)</f>
        <v>0</v>
      </c>
      <c r="K4382" s="455">
        <f t="shared" ca="1" si="168"/>
        <v>-126710564136.96318</v>
      </c>
      <c r="L4382" s="455">
        <f t="shared" ca="1" si="169"/>
        <v>-30537245957008.125</v>
      </c>
      <c r="M4382" s="471">
        <f t="shared" si="171"/>
        <v>0.05</v>
      </c>
      <c r="N4382" s="475">
        <f t="shared" si="172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70"/>
        <v>-30537245957008.125</v>
      </c>
      <c r="J4383" s="455">
        <f t="array" ref="J4383">IFERROR(INDEX('Retirement Calculator'!K:K,MATCH('Lorri 401b'!N4383,'Retirement Calculator'!A:A,0),0),0)</f>
        <v>0</v>
      </c>
      <c r="K4383" s="455">
        <f t="shared" ca="1" si="168"/>
        <v>-127238524820.86719</v>
      </c>
      <c r="L4383" s="455">
        <f t="shared" ca="1" si="169"/>
        <v>-30664484481828.992</v>
      </c>
      <c r="M4383" s="471">
        <f t="shared" si="171"/>
        <v>0.05</v>
      </c>
      <c r="N4383" s="475">
        <f t="shared" si="172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70"/>
        <v>-30664484481828.992</v>
      </c>
      <c r="J4384" s="455">
        <f t="array" ref="J4384">IFERROR(INDEX('Retirement Calculator'!K:K,MATCH('Lorri 401b'!N4384,'Retirement Calculator'!A:A,0),0),0)</f>
        <v>0</v>
      </c>
      <c r="K4384" s="455">
        <f t="shared" ca="1" si="168"/>
        <v>-127768685340.95413</v>
      </c>
      <c r="L4384" s="455">
        <f t="shared" ca="1" si="169"/>
        <v>-30792253167169.945</v>
      </c>
      <c r="M4384" s="471">
        <f t="shared" si="171"/>
        <v>0.05</v>
      </c>
      <c r="N4384" s="475">
        <f t="shared" si="172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70"/>
        <v>-30792253167169.945</v>
      </c>
      <c r="J4385" s="455">
        <f t="array" ref="J4385">IFERROR(INDEX('Retirement Calculator'!K:K,MATCH('Lorri 401b'!N4385,'Retirement Calculator'!A:A,0),0),0)</f>
        <v>0</v>
      </c>
      <c r="K4385" s="455">
        <f t="shared" ca="1" si="168"/>
        <v>-128301054863.2081</v>
      </c>
      <c r="L4385" s="455">
        <f t="shared" ca="1" si="169"/>
        <v>-30920554222033.152</v>
      </c>
      <c r="M4385" s="471">
        <f t="shared" si="171"/>
        <v>0.05</v>
      </c>
      <c r="N4385" s="475">
        <f t="shared" si="172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70"/>
        <v>-30920554222033.152</v>
      </c>
      <c r="J4386" s="455">
        <f t="array" ref="J4386">IFERROR(INDEX('Retirement Calculator'!K:K,MATCH('Lorri 401b'!N4386,'Retirement Calculator'!A:A,0),0),0)</f>
        <v>0</v>
      </c>
      <c r="K4386" s="455">
        <f t="shared" ca="1" si="168"/>
        <v>-128835642591.80479</v>
      </c>
      <c r="L4386" s="455">
        <f t="shared" ca="1" si="169"/>
        <v>-31049389864624.957</v>
      </c>
      <c r="M4386" s="471">
        <f t="shared" si="171"/>
        <v>0.05</v>
      </c>
      <c r="N4386" s="475">
        <f t="shared" si="172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70"/>
        <v>-31049389864624.957</v>
      </c>
      <c r="J4387" s="455">
        <f t="array" ref="J4387">IFERROR(INDEX('Retirement Calculator'!K:K,MATCH('Lorri 401b'!N4387,'Retirement Calculator'!A:A,0),0),0)</f>
        <v>0</v>
      </c>
      <c r="K4387" s="455">
        <f t="shared" ca="1" si="168"/>
        <v>-129372457769.27065</v>
      </c>
      <c r="L4387" s="455">
        <f t="shared" ca="1" si="169"/>
        <v>-31178762322394.227</v>
      </c>
      <c r="M4387" s="471">
        <f t="shared" si="171"/>
        <v>0.05</v>
      </c>
      <c r="N4387" s="475">
        <f t="shared" si="172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70"/>
        <v>-31178762322394.227</v>
      </c>
      <c r="J4388" s="455">
        <f t="array" ref="J4388">IFERROR(INDEX('Retirement Calculator'!K:K,MATCH('Lorri 401b'!N4388,'Retirement Calculator'!A:A,0),0),0)</f>
        <v>0</v>
      </c>
      <c r="K4388" s="455">
        <f t="shared" ca="1" si="168"/>
        <v>-129911509676.64261</v>
      </c>
      <c r="L4388" s="455">
        <f t="shared" ca="1" si="169"/>
        <v>-31308673832070.871</v>
      </c>
      <c r="M4388" s="471">
        <f t="shared" si="171"/>
        <v>0.05</v>
      </c>
      <c r="N4388" s="475">
        <f t="shared" si="172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70"/>
        <v>-31308673832070.871</v>
      </c>
      <c r="J4389" s="455">
        <f t="array" ref="J4389">IFERROR(INDEX('Retirement Calculator'!K:K,MATCH('Lorri 401b'!N4389,'Retirement Calculator'!A:A,0),0),0)</f>
        <v>0</v>
      </c>
      <c r="K4389" s="455">
        <f t="shared" ca="1" si="168"/>
        <v>-130452807633.62863</v>
      </c>
      <c r="L4389" s="455">
        <f t="shared" ca="1" si="169"/>
        <v>-31439126639704.5</v>
      </c>
      <c r="M4389" s="471">
        <f t="shared" si="171"/>
        <v>0.05</v>
      </c>
      <c r="N4389" s="475">
        <f t="shared" si="172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70"/>
        <v>-31439126639704.5</v>
      </c>
      <c r="J4390" s="455">
        <f t="array" ref="J4390">IFERROR(INDEX('Retirement Calculator'!K:K,MATCH('Lorri 401b'!N4390,'Retirement Calculator'!A:A,0),0),0)</f>
        <v>0</v>
      </c>
      <c r="K4390" s="455">
        <f t="shared" ca="1" si="168"/>
        <v>-130996360998.76874</v>
      </c>
      <c r="L4390" s="455">
        <f t="shared" ca="1" si="169"/>
        <v>-31570123000703.27</v>
      </c>
      <c r="M4390" s="471">
        <f t="shared" si="171"/>
        <v>0.05</v>
      </c>
      <c r="N4390" s="475">
        <f t="shared" si="172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70"/>
        <v>-31570123000703.27</v>
      </c>
      <c r="J4391" s="455">
        <f t="array" ref="J4391">IFERROR(INDEX('Retirement Calculator'!K:K,MATCH('Lorri 401b'!N4391,'Retirement Calculator'!A:A,0),0),0)</f>
        <v>0</v>
      </c>
      <c r="K4391" s="455">
        <f t="shared" ca="1" si="168"/>
        <v>-131542179169.59695</v>
      </c>
      <c r="L4391" s="455">
        <f t="shared" ca="1" si="169"/>
        <v>-31701665179872.867</v>
      </c>
      <c r="M4391" s="471">
        <f t="shared" si="171"/>
        <v>0.05</v>
      </c>
      <c r="N4391" s="475">
        <f t="shared" si="172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70"/>
        <v>-31701665179872.867</v>
      </c>
      <c r="J4392" s="455">
        <f t="array" ref="J4392">IFERROR(INDEX('Retirement Calculator'!K:K,MATCH('Lorri 401b'!N4392,'Retirement Calculator'!A:A,0),0),0)</f>
        <v>0</v>
      </c>
      <c r="K4392" s="455">
        <f t="shared" ca="1" si="168"/>
        <v>-132090271582.8036</v>
      </c>
      <c r="L4392" s="455">
        <f t="shared" ca="1" si="169"/>
        <v>-31833755451455.672</v>
      </c>
      <c r="M4392" s="471">
        <f t="shared" si="171"/>
        <v>0.05</v>
      </c>
      <c r="N4392" s="475">
        <f t="shared" si="172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70"/>
        <v>-31833755451455.672</v>
      </c>
      <c r="J4393" s="455">
        <f t="array" ref="J4393">IFERROR(INDEX('Retirement Calculator'!K:K,MATCH('Lorri 401b'!N4393,'Retirement Calculator'!A:A,0),0),0)</f>
        <v>0</v>
      </c>
      <c r="K4393" s="455">
        <f t="shared" ca="1" si="168"/>
        <v>-132640647714.39865</v>
      </c>
      <c r="L4393" s="455">
        <f t="shared" ca="1" si="169"/>
        <v>-31966396099170.07</v>
      </c>
      <c r="M4393" s="471">
        <f t="shared" si="171"/>
        <v>0.05</v>
      </c>
      <c r="N4393" s="475">
        <f t="shared" si="172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70"/>
        <v>-31966396099170.07</v>
      </c>
      <c r="J4394" s="455">
        <f t="array" ref="J4394">IFERROR(INDEX('Retirement Calculator'!K:K,MATCH('Lorri 401b'!N4394,'Retirement Calculator'!A:A,0),0),0)</f>
        <v>0</v>
      </c>
      <c r="K4394" s="455">
        <f t="shared" ca="1" si="168"/>
        <v>-133193317079.87529</v>
      </c>
      <c r="L4394" s="455">
        <f t="shared" ca="1" si="169"/>
        <v>-32099589416249.945</v>
      </c>
      <c r="M4394" s="471">
        <f t="shared" si="171"/>
        <v>0.05</v>
      </c>
      <c r="N4394" s="475">
        <f t="shared" si="172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70"/>
        <v>-32099589416249.945</v>
      </c>
      <c r="J4395" s="455">
        <f t="array" ref="J4395">IFERROR(INDEX('Retirement Calculator'!K:K,MATCH('Lorri 401b'!N4395,'Retirement Calculator'!A:A,0),0),0)</f>
        <v>0</v>
      </c>
      <c r="K4395" s="455">
        <f t="shared" ca="1" si="168"/>
        <v>-133748289234.37479</v>
      </c>
      <c r="L4395" s="455">
        <f t="shared" ca="1" si="169"/>
        <v>-32233337705484.32</v>
      </c>
      <c r="M4395" s="471">
        <f t="shared" si="171"/>
        <v>0.05</v>
      </c>
      <c r="N4395" s="475">
        <f t="shared" si="172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70"/>
        <v>-32233337705484.32</v>
      </c>
      <c r="J4396" s="455">
        <f t="array" ref="J4396">IFERROR(INDEX('Retirement Calculator'!K:K,MATCH('Lorri 401b'!N4396,'Retirement Calculator'!A:A,0),0),0)</f>
        <v>0</v>
      </c>
      <c r="K4396" s="455">
        <f t="shared" ca="1" si="168"/>
        <v>-134305573772.85133</v>
      </c>
      <c r="L4396" s="455">
        <f t="shared" ca="1" si="169"/>
        <v>-32367643279257.172</v>
      </c>
      <c r="M4396" s="471">
        <f t="shared" si="171"/>
        <v>0.05</v>
      </c>
      <c r="N4396" s="475">
        <f t="shared" si="172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70"/>
        <v>-32367643279257.172</v>
      </c>
      <c r="J4397" s="455">
        <f t="array" ref="J4397">IFERROR(INDEX('Retirement Calculator'!K:K,MATCH('Lorri 401b'!N4397,'Retirement Calculator'!A:A,0),0),0)</f>
        <v>0</v>
      </c>
      <c r="K4397" s="455">
        <f t="shared" ca="1" si="168"/>
        <v>-134865180330.23822</v>
      </c>
      <c r="L4397" s="455">
        <f t="shared" ca="1" si="169"/>
        <v>-32502508459587.41</v>
      </c>
      <c r="M4397" s="471">
        <f t="shared" si="171"/>
        <v>0.05</v>
      </c>
      <c r="N4397" s="475">
        <f t="shared" si="172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70"/>
        <v>-32502508459587.41</v>
      </c>
      <c r="J4398" s="455">
        <f t="array" ref="J4398">IFERROR(INDEX('Retirement Calculator'!K:K,MATCH('Lorri 401b'!N4398,'Retirement Calculator'!A:A,0),0),0)</f>
        <v>0</v>
      </c>
      <c r="K4398" s="455">
        <f t="shared" ca="1" si="168"/>
        <v>-135427118581.61421</v>
      </c>
      <c r="L4398" s="455">
        <f t="shared" ca="1" si="169"/>
        <v>-32637935578169.023</v>
      </c>
      <c r="M4398" s="471">
        <f t="shared" si="171"/>
        <v>0.05</v>
      </c>
      <c r="N4398" s="475">
        <f t="shared" si="172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70"/>
        <v>-32637935578169.023</v>
      </c>
      <c r="J4399" s="455">
        <f t="array" ref="J4399">IFERROR(INDEX('Retirement Calculator'!K:K,MATCH('Lorri 401b'!N4399,'Retirement Calculator'!A:A,0),0),0)</f>
        <v>0</v>
      </c>
      <c r="K4399" s="455">
        <f t="shared" ca="1" si="168"/>
        <v>-135991398242.37093</v>
      </c>
      <c r="L4399" s="455">
        <f t="shared" ca="1" si="169"/>
        <v>-32773926976411.395</v>
      </c>
      <c r="M4399" s="471">
        <f t="shared" si="171"/>
        <v>0.05</v>
      </c>
      <c r="N4399" s="475">
        <f t="shared" si="172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70"/>
        <v>-32773926976411.395</v>
      </c>
      <c r="J4400" s="455">
        <f t="array" ref="J4400">IFERROR(INDEX('Retirement Calculator'!K:K,MATCH('Lorri 401b'!N4400,'Retirement Calculator'!A:A,0),0),0)</f>
        <v>0</v>
      </c>
      <c r="K4400" s="455">
        <f t="shared" ca="1" si="168"/>
        <v>-136558029068.38081</v>
      </c>
      <c r="L4400" s="455">
        <f t="shared" ca="1" si="169"/>
        <v>-32910485005479.773</v>
      </c>
      <c r="M4400" s="471">
        <f t="shared" si="171"/>
        <v>0.05</v>
      </c>
      <c r="N4400" s="475">
        <f t="shared" si="172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70"/>
        <v>-32910485005479.773</v>
      </c>
      <c r="J4401" s="455">
        <f t="array" ref="J4401">IFERROR(INDEX('Retirement Calculator'!K:K,MATCH('Lorri 401b'!N4401,'Retirement Calculator'!A:A,0),0),0)</f>
        <v>0</v>
      </c>
      <c r="K4401" s="455">
        <f t="shared" ca="1" si="168"/>
        <v>-137127020856.16573</v>
      </c>
      <c r="L4401" s="455">
        <f t="shared" ca="1" si="169"/>
        <v>-33047612026335.938</v>
      </c>
      <c r="M4401" s="471">
        <f t="shared" si="171"/>
        <v>0.05</v>
      </c>
      <c r="N4401" s="475">
        <f t="shared" si="172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70"/>
        <v>-33047612026335.938</v>
      </c>
      <c r="J4402" s="455">
        <f t="array" ref="J4402">IFERROR(INDEX('Retirement Calculator'!K:K,MATCH('Lorri 401b'!N4402,'Retirement Calculator'!A:A,0),0),0)</f>
        <v>0</v>
      </c>
      <c r="K4402" s="455">
        <f t="shared" ca="1" si="168"/>
        <v>-137698383443.06641</v>
      </c>
      <c r="L4402" s="455">
        <f t="shared" ca="1" si="169"/>
        <v>-33185310409779.004</v>
      </c>
      <c r="M4402" s="471">
        <f t="shared" si="171"/>
        <v>0.05</v>
      </c>
      <c r="N4402" s="475">
        <f t="shared" si="172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70"/>
        <v>-33185310409779.004</v>
      </c>
      <c r="J4403" s="455">
        <f t="array" ref="J4403">IFERROR(INDEX('Retirement Calculator'!K:K,MATCH('Lorri 401b'!N4403,'Retirement Calculator'!A:A,0),0),0)</f>
        <v>0</v>
      </c>
      <c r="K4403" s="455">
        <f t="shared" ca="1" si="168"/>
        <v>-138272126707.41251</v>
      </c>
      <c r="L4403" s="455">
        <f t="shared" ca="1" si="169"/>
        <v>-33323582536486.418</v>
      </c>
      <c r="M4403" s="471">
        <f t="shared" si="171"/>
        <v>0.05</v>
      </c>
      <c r="N4403" s="475">
        <f t="shared" si="172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70"/>
        <v>-33323582536486.418</v>
      </c>
      <c r="J4404" s="455">
        <f t="array" ref="J4404">IFERROR(INDEX('Retirement Calculator'!K:K,MATCH('Lorri 401b'!N4404,'Retirement Calculator'!A:A,0),0),0)</f>
        <v>0</v>
      </c>
      <c r="K4404" s="455">
        <f t="shared" ca="1" si="168"/>
        <v>-138848260568.69342</v>
      </c>
      <c r="L4404" s="455">
        <f t="shared" ca="1" si="169"/>
        <v>-33462430797055.113</v>
      </c>
      <c r="M4404" s="471">
        <f t="shared" si="171"/>
        <v>0.05</v>
      </c>
      <c r="N4404" s="475">
        <f t="shared" si="172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70"/>
        <v>-33462430797055.113</v>
      </c>
      <c r="J4405" s="455">
        <f t="array" ref="J4405">IFERROR(INDEX('Retirement Calculator'!K:K,MATCH('Lorri 401b'!N4405,'Retirement Calculator'!A:A,0),0),0)</f>
        <v>0</v>
      </c>
      <c r="K4405" s="455">
        <f t="shared" ca="1" si="168"/>
        <v>-139426794987.72961</v>
      </c>
      <c r="L4405" s="455">
        <f t="shared" ca="1" si="169"/>
        <v>-33601857592042.844</v>
      </c>
      <c r="M4405" s="471">
        <f t="shared" si="171"/>
        <v>0.05</v>
      </c>
      <c r="N4405" s="475">
        <f t="shared" si="172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70"/>
        <v>-33601857592042.844</v>
      </c>
      <c r="J4406" s="455">
        <f t="array" ref="J4406">IFERROR(INDEX('Retirement Calculator'!K:K,MATCH('Lorri 401b'!N4406,'Retirement Calculator'!A:A,0),0),0)</f>
        <v>0</v>
      </c>
      <c r="K4406" s="455">
        <f t="shared" ca="1" si="168"/>
        <v>-140007739966.84515</v>
      </c>
      <c r="L4406" s="455">
        <f t="shared" ca="1" si="169"/>
        <v>-33741865332009.688</v>
      </c>
      <c r="M4406" s="471">
        <f t="shared" si="171"/>
        <v>0.05</v>
      </c>
      <c r="N4406" s="475">
        <f t="shared" si="172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70"/>
        <v>-33741865332009.688</v>
      </c>
      <c r="J4407" s="455">
        <f t="array" ref="J4407">IFERROR(INDEX('Retirement Calculator'!K:K,MATCH('Lorri 401b'!N4407,'Retirement Calculator'!A:A,0),0),0)</f>
        <v>0</v>
      </c>
      <c r="K4407" s="455">
        <f t="shared" ca="1" si="168"/>
        <v>-140591105550.04037</v>
      </c>
      <c r="L4407" s="455">
        <f t="shared" ca="1" si="169"/>
        <v>-33882456437559.727</v>
      </c>
      <c r="M4407" s="471">
        <f t="shared" si="171"/>
        <v>0.05</v>
      </c>
      <c r="N4407" s="475">
        <f t="shared" si="172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70"/>
        <v>-33882456437559.727</v>
      </c>
      <c r="J4408" s="455">
        <f t="array" ref="J4408">IFERROR(INDEX('Retirement Calculator'!K:K,MATCH('Lorri 401b'!N4408,'Retirement Calculator'!A:A,0),0),0)</f>
        <v>0</v>
      </c>
      <c r="K4408" s="455">
        <f t="shared" ca="1" si="168"/>
        <v>-141176901823.16553</v>
      </c>
      <c r="L4408" s="455">
        <f t="shared" ca="1" si="169"/>
        <v>-34023633339382.891</v>
      </c>
      <c r="M4408" s="471">
        <f t="shared" si="171"/>
        <v>0.05</v>
      </c>
      <c r="N4408" s="475">
        <f t="shared" si="172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70"/>
        <v>-34023633339382.891</v>
      </c>
      <c r="J4409" s="455">
        <f t="array" ref="J4409">IFERROR(INDEX('Retirement Calculator'!K:K,MATCH('Lorri 401b'!N4409,'Retirement Calculator'!A:A,0),0),0)</f>
        <v>0</v>
      </c>
      <c r="K4409" s="455">
        <f t="shared" ca="1" si="168"/>
        <v>-141765138914.09537</v>
      </c>
      <c r="L4409" s="455">
        <f t="shared" ca="1" si="169"/>
        <v>-34165398478296.984</v>
      </c>
      <c r="M4409" s="471">
        <f t="shared" si="171"/>
        <v>0.05</v>
      </c>
      <c r="N4409" s="475">
        <f t="shared" si="172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70"/>
        <v>-34165398478296.984</v>
      </c>
      <c r="J4410" s="455">
        <f t="array" ref="J4410">IFERROR(INDEX('Retirement Calculator'!K:K,MATCH('Lorri 401b'!N4410,'Retirement Calculator'!A:A,0),0),0)</f>
        <v>0</v>
      </c>
      <c r="K4410" s="455">
        <f t="shared" ca="1" si="168"/>
        <v>-142355826992.90411</v>
      </c>
      <c r="L4410" s="455">
        <f t="shared" ca="1" si="169"/>
        <v>-34307754305289.887</v>
      </c>
      <c r="M4410" s="471">
        <f t="shared" si="171"/>
        <v>0.05</v>
      </c>
      <c r="N4410" s="475">
        <f t="shared" si="172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70"/>
        <v>-34307754305289.887</v>
      </c>
      <c r="J4411" s="455">
        <f t="array" ref="J4411">IFERROR(INDEX('Retirement Calculator'!K:K,MATCH('Lorri 401b'!N4411,'Retirement Calculator'!A:A,0),0),0)</f>
        <v>0</v>
      </c>
      <c r="K4411" s="455">
        <f t="shared" ca="1" si="168"/>
        <v>-142948976272.0412</v>
      </c>
      <c r="L4411" s="455">
        <f t="shared" ca="1" si="169"/>
        <v>-34450703281561.93</v>
      </c>
      <c r="M4411" s="471">
        <f t="shared" si="171"/>
        <v>0.05</v>
      </c>
      <c r="N4411" s="475">
        <f t="shared" si="172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70"/>
        <v>-34450703281561.93</v>
      </c>
      <c r="J4412" s="455">
        <f t="array" ref="J4412">IFERROR(INDEX('Retirement Calculator'!K:K,MATCH('Lorri 401b'!N4412,'Retirement Calculator'!A:A,0),0),0)</f>
        <v>0</v>
      </c>
      <c r="K4412" s="455">
        <f t="shared" ca="1" si="168"/>
        <v>-143544597006.50806</v>
      </c>
      <c r="L4412" s="455">
        <f t="shared" ca="1" si="169"/>
        <v>-34594247878568.438</v>
      </c>
      <c r="M4412" s="471">
        <f t="shared" si="171"/>
        <v>0.05</v>
      </c>
      <c r="N4412" s="475">
        <f t="shared" si="172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70"/>
        <v>-34594247878568.438</v>
      </c>
      <c r="J4413" s="455">
        <f t="array" ref="J4413">IFERROR(INDEX('Retirement Calculator'!K:K,MATCH('Lorri 401b'!N4413,'Retirement Calculator'!A:A,0),0),0)</f>
        <v>0</v>
      </c>
      <c r="K4413" s="455">
        <f t="shared" ca="1" si="168"/>
        <v>-144142699494.03516</v>
      </c>
      <c r="L4413" s="455">
        <f t="shared" ca="1" si="169"/>
        <v>-34738390578062.473</v>
      </c>
      <c r="M4413" s="471">
        <f t="shared" si="171"/>
        <v>0.05</v>
      </c>
      <c r="N4413" s="475">
        <f t="shared" si="172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70"/>
        <v>-34738390578062.473</v>
      </c>
      <c r="J4414" s="455">
        <f t="array" ref="J4414">IFERROR(INDEX('Retirement Calculator'!K:K,MATCH('Lorri 401b'!N4414,'Retirement Calculator'!A:A,0),0),0)</f>
        <v>0</v>
      </c>
      <c r="K4414" s="455">
        <f t="shared" ca="1" si="168"/>
        <v>-144743294075.26031</v>
      </c>
      <c r="L4414" s="455">
        <f t="shared" ca="1" si="169"/>
        <v>-34883133872137.734</v>
      </c>
      <c r="M4414" s="471">
        <f t="shared" si="171"/>
        <v>0.05</v>
      </c>
      <c r="N4414" s="475">
        <f t="shared" si="172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70"/>
        <v>-34883133872137.734</v>
      </c>
      <c r="J4415" s="455">
        <f t="array" ref="J4415">IFERROR(INDEX('Retirement Calculator'!K:K,MATCH('Lorri 401b'!N4415,'Retirement Calculator'!A:A,0),0),0)</f>
        <v>0</v>
      </c>
      <c r="K4415" s="455">
        <f t="shared" ca="1" si="168"/>
        <v>-145346391133.90723</v>
      </c>
      <c r="L4415" s="455">
        <f t="shared" ca="1" si="169"/>
        <v>-35028480263271.641</v>
      </c>
      <c r="M4415" s="471">
        <f t="shared" si="171"/>
        <v>0.05</v>
      </c>
      <c r="N4415" s="475">
        <f t="shared" si="172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70"/>
        <v>-35028480263271.641</v>
      </c>
      <c r="J4416" s="455">
        <f t="array" ref="J4416">IFERROR(INDEX('Retirement Calculator'!K:K,MATCH('Lorri 401b'!N4416,'Retirement Calculator'!A:A,0),0),0)</f>
        <v>0</v>
      </c>
      <c r="K4416" s="455">
        <f t="shared" ca="1" si="168"/>
        <v>-145952001096.96518</v>
      </c>
      <c r="L4416" s="455">
        <f t="shared" ca="1" si="169"/>
        <v>-35174432264368.605</v>
      </c>
      <c r="M4416" s="471">
        <f t="shared" si="171"/>
        <v>0.05</v>
      </c>
      <c r="N4416" s="475">
        <f t="shared" si="172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70"/>
        <v>-35174432264368.605</v>
      </c>
      <c r="J4417" s="455">
        <f t="array" ref="J4417">IFERROR(INDEX('Retirement Calculator'!K:K,MATCH('Lorri 401b'!N4417,'Retirement Calculator'!A:A,0),0),0)</f>
        <v>0</v>
      </c>
      <c r="K4417" s="455">
        <f t="shared" ca="1" si="168"/>
        <v>-146560134434.8692</v>
      </c>
      <c r="L4417" s="455">
        <f t="shared" ca="1" si="169"/>
        <v>-35320992398803.477</v>
      </c>
      <c r="M4417" s="471">
        <f t="shared" si="171"/>
        <v>0.05</v>
      </c>
      <c r="N4417" s="475">
        <f t="shared" si="172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70"/>
        <v>-35320992398803.477</v>
      </c>
      <c r="J4418" s="455">
        <f t="array" ref="J4418">IFERROR(INDEX('Retirement Calculator'!K:K,MATCH('Lorri 401b'!N4418,'Retirement Calculator'!A:A,0),0),0)</f>
        <v>0</v>
      </c>
      <c r="K4418" s="455">
        <f t="shared" ca="1" si="168"/>
        <v>-147170801661.68115</v>
      </c>
      <c r="L4418" s="455">
        <f t="shared" ca="1" si="169"/>
        <v>-35468163200465.156</v>
      </c>
      <c r="M4418" s="471">
        <f t="shared" si="171"/>
        <v>0.05</v>
      </c>
      <c r="N4418" s="475">
        <f t="shared" si="172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70"/>
        <v>-35468163200465.156</v>
      </c>
      <c r="J4419" s="455">
        <f t="array" ref="J4419">IFERROR(INDEX('Retirement Calculator'!K:K,MATCH('Lorri 401b'!N4419,'Retirement Calculator'!A:A,0),0),0)</f>
        <v>0</v>
      </c>
      <c r="K4419" s="455">
        <f t="shared" ca="1" si="168"/>
        <v>-147784013335.27148</v>
      </c>
      <c r="L4419" s="455">
        <f t="shared" ca="1" si="169"/>
        <v>-35615947213800.43</v>
      </c>
      <c r="M4419" s="471">
        <f t="shared" si="171"/>
        <v>0.05</v>
      </c>
      <c r="N4419" s="475">
        <f t="shared" si="172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70"/>
        <v>-35615947213800.43</v>
      </c>
      <c r="J4420" s="455">
        <f t="array" ref="J4420">IFERROR(INDEX('Retirement Calculator'!K:K,MATCH('Lorri 401b'!N4420,'Retirement Calculator'!A:A,0),0),0)</f>
        <v>0</v>
      </c>
      <c r="K4420" s="455">
        <f t="shared" ca="1" si="168"/>
        <v>-148399780057.5018</v>
      </c>
      <c r="L4420" s="455">
        <f t="shared" ca="1" si="169"/>
        <v>-35764346993857.93</v>
      </c>
      <c r="M4420" s="471">
        <f t="shared" si="171"/>
        <v>0.05</v>
      </c>
      <c r="N4420" s="475">
        <f t="shared" si="172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70"/>
        <v>-35764346993857.93</v>
      </c>
      <c r="J4421" s="455">
        <f t="array" ref="J4421">IFERROR(INDEX('Retirement Calculator'!K:K,MATCH('Lorri 401b'!N4421,'Retirement Calculator'!A:A,0),0),0)</f>
        <v>0</v>
      </c>
      <c r="K4421" s="455">
        <f t="shared" ca="1" si="168"/>
        <v>-149018112474.40805</v>
      </c>
      <c r="L4421" s="455">
        <f t="shared" ca="1" si="169"/>
        <v>-35913365106332.336</v>
      </c>
      <c r="M4421" s="471">
        <f t="shared" si="171"/>
        <v>0.05</v>
      </c>
      <c r="N4421" s="475">
        <f t="shared" si="172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70"/>
        <v>-35913365106332.336</v>
      </c>
      <c r="J4422" s="455">
        <f t="array" ref="J4422">IFERROR(INDEX('Retirement Calculator'!K:K,MATCH('Lorri 401b'!N4422,'Retirement Calculator'!A:A,0),0),0)</f>
        <v>0</v>
      </c>
      <c r="K4422" s="455">
        <f t="shared" ca="1" si="168"/>
        <v>-149639021276.38474</v>
      </c>
      <c r="L4422" s="455">
        <f t="shared" ca="1" si="169"/>
        <v>-36063004127608.719</v>
      </c>
      <c r="M4422" s="471">
        <f t="shared" si="171"/>
        <v>0.05</v>
      </c>
      <c r="N4422" s="475">
        <f t="shared" si="172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70"/>
        <v>-36063004127608.719</v>
      </c>
      <c r="J4423" s="455">
        <f t="array" ref="J4423">IFERROR(INDEX('Retirement Calculator'!K:K,MATCH('Lorri 401b'!N4423,'Retirement Calculator'!A:A,0),0),0)</f>
        <v>0</v>
      </c>
      <c r="K4423" s="455">
        <f t="shared" ca="1" si="168"/>
        <v>-150262517198.36966</v>
      </c>
      <c r="L4423" s="455">
        <f t="shared" ca="1" si="169"/>
        <v>-36213266644807.086</v>
      </c>
      <c r="M4423" s="471">
        <f t="shared" si="171"/>
        <v>0.05</v>
      </c>
      <c r="N4423" s="475">
        <f t="shared" si="172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70"/>
        <v>-36213266644807.086</v>
      </c>
      <c r="J4424" s="455">
        <f t="array" ref="J4424">IFERROR(INDEX('Retirement Calculator'!K:K,MATCH('Lorri 401b'!N4424,'Retirement Calculator'!A:A,0),0),0)</f>
        <v>0</v>
      </c>
      <c r="K4424" s="455">
        <f t="shared" ca="1" si="168"/>
        <v>-150888611020.02951</v>
      </c>
      <c r="L4424" s="455">
        <f t="shared" ca="1" si="169"/>
        <v>-36364155255827.117</v>
      </c>
      <c r="M4424" s="471">
        <f t="shared" si="171"/>
        <v>0.05</v>
      </c>
      <c r="N4424" s="475">
        <f t="shared" si="172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70"/>
        <v>-36364155255827.117</v>
      </c>
      <c r="J4425" s="455">
        <f t="array" ref="J4425">IFERROR(INDEX('Retirement Calculator'!K:K,MATCH('Lorri 401b'!N4425,'Retirement Calculator'!A:A,0),0),0)</f>
        <v>0</v>
      </c>
      <c r="K4425" s="455">
        <f t="shared" ca="1" si="168"/>
        <v>-151517313565.94632</v>
      </c>
      <c r="L4425" s="455">
        <f t="shared" ca="1" si="169"/>
        <v>-36515672569393.063</v>
      </c>
      <c r="M4425" s="471">
        <f t="shared" si="171"/>
        <v>0.05</v>
      </c>
      <c r="N4425" s="475">
        <f t="shared" si="172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70"/>
        <v>-36515672569393.063</v>
      </c>
      <c r="J4426" s="455">
        <f t="array" ref="J4426">IFERROR(INDEX('Retirement Calculator'!K:K,MATCH('Lorri 401b'!N4426,'Retirement Calculator'!A:A,0),0),0)</f>
        <v>0</v>
      </c>
      <c r="K4426" s="455">
        <f t="shared" ca="1" si="168"/>
        <v>-152148635705.80441</v>
      </c>
      <c r="L4426" s="455">
        <f t="shared" ca="1" si="169"/>
        <v>-36667821205098.867</v>
      </c>
      <c r="M4426" s="471">
        <f t="shared" si="171"/>
        <v>0.05</v>
      </c>
      <c r="N4426" s="475">
        <f t="shared" si="172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70"/>
        <v>-36667821205098.867</v>
      </c>
      <c r="J4427" s="455">
        <f t="array" ref="J4427">IFERROR(INDEX('Retirement Calculator'!K:K,MATCH('Lorri 401b'!N4427,'Retirement Calculator'!A:A,0),0),0)</f>
        <v>0</v>
      </c>
      <c r="K4427" s="455">
        <f t="shared" ca="1" si="168"/>
        <v>-152782588354.57861</v>
      </c>
      <c r="L4427" s="455">
        <f t="shared" ca="1" si="169"/>
        <v>-36820603793453.445</v>
      </c>
      <c r="M4427" s="471">
        <f t="shared" si="171"/>
        <v>0.05</v>
      </c>
      <c r="N4427" s="475">
        <f t="shared" si="172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70"/>
        <v>-36820603793453.445</v>
      </c>
      <c r="J4428" s="455">
        <f t="array" ref="J4428">IFERROR(INDEX('Retirement Calculator'!K:K,MATCH('Lorri 401b'!N4428,'Retirement Calculator'!A:A,0),0),0)</f>
        <v>0</v>
      </c>
      <c r="K4428" s="455">
        <f t="shared" ca="1" si="168"/>
        <v>-153419182472.72269</v>
      </c>
      <c r="L4428" s="455">
        <f t="shared" ca="1" si="169"/>
        <v>-36974022975926.172</v>
      </c>
      <c r="M4428" s="471">
        <f t="shared" si="171"/>
        <v>0.05</v>
      </c>
      <c r="N4428" s="475">
        <f t="shared" si="172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70"/>
        <v>-36974022975926.172</v>
      </c>
      <c r="J4429" s="455">
        <f t="array" ref="J4429">IFERROR(INDEX('Retirement Calculator'!K:K,MATCH('Lorri 401b'!N4429,'Retirement Calculator'!A:A,0),0),0)</f>
        <v>0</v>
      </c>
      <c r="K4429" s="455">
        <f t="shared" ca="1" si="168"/>
        <v>-154058429066.35904</v>
      </c>
      <c r="L4429" s="455">
        <f t="shared" ca="1" si="169"/>
        <v>-37128081404992.531</v>
      </c>
      <c r="M4429" s="471">
        <f t="shared" si="171"/>
        <v>0.05</v>
      </c>
      <c r="N4429" s="475">
        <f t="shared" si="172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70"/>
        <v>-37128081404992.531</v>
      </c>
      <c r="J4430" s="455">
        <f t="array" ref="J4430">IFERROR(INDEX('Retirement Calculator'!K:K,MATCH('Lorri 401b'!N4430,'Retirement Calculator'!A:A,0),0),0)</f>
        <v>0</v>
      </c>
      <c r="K4430" s="455">
        <f t="shared" ca="1" si="168"/>
        <v>-154700339187.46887</v>
      </c>
      <c r="L4430" s="455">
        <f t="shared" ca="1" si="169"/>
        <v>-37282781744180</v>
      </c>
      <c r="M4430" s="471">
        <f t="shared" si="171"/>
        <v>0.05</v>
      </c>
      <c r="N4430" s="475">
        <f t="shared" si="172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70"/>
        <v>-37282781744180</v>
      </c>
      <c r="J4431" s="455">
        <f t="array" ref="J4431">IFERROR(INDEX('Retirement Calculator'!K:K,MATCH('Lorri 401b'!N4431,'Retirement Calculator'!A:A,0),0),0)</f>
        <v>0</v>
      </c>
      <c r="K4431" s="455">
        <f t="shared" ca="1" si="168"/>
        <v>-155344923934.08334</v>
      </c>
      <c r="L4431" s="455">
        <f t="shared" ca="1" si="169"/>
        <v>-37438126668114.086</v>
      </c>
      <c r="M4431" s="471">
        <f t="shared" si="171"/>
        <v>0.05</v>
      </c>
      <c r="N4431" s="475">
        <f t="shared" si="172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70"/>
        <v>-37438126668114.086</v>
      </c>
      <c r="J4432" s="455">
        <f t="array" ref="J4432">IFERROR(INDEX('Retirement Calculator'!K:K,MATCH('Lorri 401b'!N4432,'Retirement Calculator'!A:A,0),0),0)</f>
        <v>0</v>
      </c>
      <c r="K4432" s="455">
        <f t="shared" ca="1" si="168"/>
        <v>-155992194450.47534</v>
      </c>
      <c r="L4432" s="455">
        <f t="shared" ca="1" si="169"/>
        <v>-37594118862564.563</v>
      </c>
      <c r="M4432" s="471">
        <f t="shared" si="171"/>
        <v>0.05</v>
      </c>
      <c r="N4432" s="475">
        <f t="shared" si="172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70"/>
        <v>-37594118862564.563</v>
      </c>
      <c r="J4433" s="455">
        <f t="array" ref="J4433">IFERROR(INDEX('Retirement Calculator'!K:K,MATCH('Lorri 401b'!N4433,'Retirement Calculator'!A:A,0),0),0)</f>
        <v>0</v>
      </c>
      <c r="K4433" s="455">
        <f t="shared" ca="1" si="168"/>
        <v>-156642161927.35236</v>
      </c>
      <c r="L4433" s="455">
        <f t="shared" ca="1" si="169"/>
        <v>-37750761024491.914</v>
      </c>
      <c r="M4433" s="471">
        <f t="shared" si="171"/>
        <v>0.05</v>
      </c>
      <c r="N4433" s="475">
        <f t="shared" si="172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70"/>
        <v>-37750761024491.914</v>
      </c>
      <c r="J4434" s="455">
        <f t="array" ref="J4434">IFERROR(INDEX('Retirement Calculator'!K:K,MATCH('Lorri 401b'!N4434,'Retirement Calculator'!A:A,0),0),0)</f>
        <v>0</v>
      </c>
      <c r="K4434" s="455">
        <f t="shared" ca="1" si="168"/>
        <v>-157294837602.04965</v>
      </c>
      <c r="L4434" s="455">
        <f t="shared" ca="1" si="169"/>
        <v>-37908055862093.961</v>
      </c>
      <c r="M4434" s="471">
        <f t="shared" si="171"/>
        <v>0.05</v>
      </c>
      <c r="N4434" s="475">
        <f t="shared" si="172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70"/>
        <v>-37908055862093.961</v>
      </c>
      <c r="J4435" s="455">
        <f t="array" ref="J4435">IFERROR(INDEX('Retirement Calculator'!K:K,MATCH('Lorri 401b'!N4435,'Retirement Calculator'!A:A,0),0),0)</f>
        <v>0</v>
      </c>
      <c r="K4435" s="455">
        <f t="shared" ca="1" si="168"/>
        <v>-157950232758.72482</v>
      </c>
      <c r="L4435" s="455">
        <f t="shared" ca="1" si="169"/>
        <v>-38066006094852.688</v>
      </c>
      <c r="M4435" s="471">
        <f t="shared" si="171"/>
        <v>0.05</v>
      </c>
      <c r="N4435" s="475">
        <f t="shared" si="172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70"/>
        <v>-38066006094852.688</v>
      </c>
      <c r="J4436" s="455">
        <f t="array" ref="J4436">IFERROR(INDEX('Retirement Calculator'!K:K,MATCH('Lorri 401b'!N4436,'Retirement Calculator'!A:A,0),0),0)</f>
        <v>0</v>
      </c>
      <c r="K4436" s="455">
        <f t="shared" ca="1" si="168"/>
        <v>-158608358728.55286</v>
      </c>
      <c r="L4436" s="455">
        <f t="shared" ca="1" si="169"/>
        <v>-38224614453581.242</v>
      </c>
      <c r="M4436" s="471">
        <f t="shared" si="171"/>
        <v>0.05</v>
      </c>
      <c r="N4436" s="475">
        <f t="shared" si="172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70"/>
        <v>-38224614453581.242</v>
      </c>
      <c r="J4437" s="455">
        <f t="array" ref="J4437">IFERROR(INDEX('Retirement Calculator'!K:K,MATCH('Lorri 401b'!N4437,'Retirement Calculator'!A:A,0),0),0)</f>
        <v>0</v>
      </c>
      <c r="K4437" s="455">
        <f t="shared" ca="1" si="168"/>
        <v>-159269226889.92184</v>
      </c>
      <c r="L4437" s="455">
        <f t="shared" ca="1" si="169"/>
        <v>-38383883680471.164</v>
      </c>
      <c r="M4437" s="471">
        <f t="shared" si="171"/>
        <v>0.05</v>
      </c>
      <c r="N4437" s="475">
        <f t="shared" si="172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70"/>
        <v>-38383883680471.164</v>
      </c>
      <c r="J4438" s="455">
        <f t="array" ref="J4438">IFERROR(INDEX('Retirement Calculator'!K:K,MATCH('Lorri 401b'!N4438,'Retirement Calculator'!A:A,0),0),0)</f>
        <v>0</v>
      </c>
      <c r="K4438" s="455">
        <f t="shared" ca="1" si="168"/>
        <v>-159932848668.62985</v>
      </c>
      <c r="L4438" s="455">
        <f t="shared" ca="1" si="169"/>
        <v>-38543816529139.797</v>
      </c>
      <c r="M4438" s="471">
        <f t="shared" si="171"/>
        <v>0.05</v>
      </c>
      <c r="N4438" s="475">
        <f t="shared" si="172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70"/>
        <v>-38543816529139.797</v>
      </c>
      <c r="J4439" s="455">
        <f t="array" ref="J4439">IFERROR(INDEX('Retirement Calculator'!K:K,MATCH('Lorri 401b'!N4439,'Retirement Calculator'!A:A,0),0),0)</f>
        <v>0</v>
      </c>
      <c r="K4439" s="455">
        <f t="shared" ca="1" si="168"/>
        <v>-160599235538.08249</v>
      </c>
      <c r="L4439" s="455">
        <f t="shared" ca="1" si="169"/>
        <v>-38704415764677.883</v>
      </c>
      <c r="M4439" s="471">
        <f t="shared" si="171"/>
        <v>0.05</v>
      </c>
      <c r="N4439" s="475">
        <f t="shared" si="172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70"/>
        <v>-38704415764677.883</v>
      </c>
      <c r="J4440" s="455">
        <f t="array" ref="J4440">IFERROR(INDEX('Retirement Calculator'!K:K,MATCH('Lorri 401b'!N4440,'Retirement Calculator'!A:A,0),0),0)</f>
        <v>0</v>
      </c>
      <c r="K4440" s="455">
        <f t="shared" ca="1" si="168"/>
        <v>-161268399019.49118</v>
      </c>
      <c r="L4440" s="455">
        <f t="shared" ca="1" si="169"/>
        <v>-38865684163697.375</v>
      </c>
      <c r="M4440" s="471">
        <f t="shared" si="171"/>
        <v>0.05</v>
      </c>
      <c r="N4440" s="475">
        <f t="shared" si="172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70"/>
        <v>-38865684163697.375</v>
      </c>
      <c r="J4441" s="455">
        <f t="array" ref="J4441">IFERROR(INDEX('Retirement Calculator'!K:K,MATCH('Lorri 401b'!N4441,'Retirement Calculator'!A:A,0),0),0)</f>
        <v>0</v>
      </c>
      <c r="K4441" s="455">
        <f t="shared" ca="1" si="168"/>
        <v>-161940350682.07239</v>
      </c>
      <c r="L4441" s="455">
        <f t="shared" ca="1" si="169"/>
        <v>-39027624514379.445</v>
      </c>
      <c r="M4441" s="471">
        <f t="shared" si="171"/>
        <v>0.05</v>
      </c>
      <c r="N4441" s="475">
        <f t="shared" si="172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70"/>
        <v>-39027624514379.445</v>
      </c>
      <c r="J4442" s="455">
        <f t="array" ref="J4442">IFERROR(INDEX('Retirement Calculator'!K:K,MATCH('Lorri 401b'!N4442,'Retirement Calculator'!A:A,0),0),0)</f>
        <v>0</v>
      </c>
      <c r="K4442" s="455">
        <f t="shared" ca="1" si="168"/>
        <v>-162615102143.24768</v>
      </c>
      <c r="L4442" s="455">
        <f t="shared" ca="1" si="169"/>
        <v>-39190239616522.695</v>
      </c>
      <c r="M4442" s="471">
        <f t="shared" si="171"/>
        <v>0.05</v>
      </c>
      <c r="N4442" s="475">
        <f t="shared" si="172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70"/>
        <v>-39190239616522.695</v>
      </c>
      <c r="J4443" s="455">
        <f t="array" ref="J4443">IFERROR(INDEX('Retirement Calculator'!K:K,MATCH('Lorri 401b'!N4443,'Retirement Calculator'!A:A,0),0),0)</f>
        <v>0</v>
      </c>
      <c r="K4443" s="455">
        <f t="shared" ca="1" si="168"/>
        <v>-163292665068.84457</v>
      </c>
      <c r="L4443" s="455">
        <f t="shared" ca="1" si="169"/>
        <v>-39353532281591.539</v>
      </c>
      <c r="M4443" s="471">
        <f t="shared" si="171"/>
        <v>0.05</v>
      </c>
      <c r="N4443" s="475">
        <f t="shared" si="172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70"/>
        <v>-39353532281591.539</v>
      </c>
      <c r="J4444" s="455">
        <f t="array" ref="J4444">IFERROR(INDEX('Retirement Calculator'!K:K,MATCH('Lorri 401b'!N4444,'Retirement Calculator'!A:A,0),0),0)</f>
        <v>0</v>
      </c>
      <c r="K4444" s="455">
        <f t="shared" ca="1" si="168"/>
        <v>-163973051173.29807</v>
      </c>
      <c r="L4444" s="455">
        <f t="shared" ca="1" si="169"/>
        <v>-39517505332764.836</v>
      </c>
      <c r="M4444" s="471">
        <f t="shared" si="171"/>
        <v>0.05</v>
      </c>
      <c r="N4444" s="475">
        <f t="shared" si="172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70"/>
        <v>-39517505332764.836</v>
      </c>
      <c r="J4445" s="455">
        <f t="array" ref="J4445">IFERROR(INDEX('Retirement Calculator'!K:K,MATCH('Lorri 401b'!N4445,'Retirement Calculator'!A:A,0),0),0)</f>
        <v>0</v>
      </c>
      <c r="K4445" s="455">
        <f t="shared" ca="1" si="168"/>
        <v>-164656272219.85349</v>
      </c>
      <c r="L4445" s="455">
        <f t="shared" ca="1" si="169"/>
        <v>-39682161604984.688</v>
      </c>
      <c r="M4445" s="471">
        <f t="shared" si="171"/>
        <v>0.05</v>
      </c>
      <c r="N4445" s="475">
        <f t="shared" si="172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70"/>
        <v>-39682161604984.688</v>
      </c>
      <c r="J4446" s="455">
        <f t="array" ref="J4446">IFERROR(INDEX('Retirement Calculator'!K:K,MATCH('Lorri 401b'!N4446,'Retirement Calculator'!A:A,0),0),0)</f>
        <v>0</v>
      </c>
      <c r="K4446" s="455">
        <f t="shared" ca="1" si="168"/>
        <v>-165342340020.76953</v>
      </c>
      <c r="L4446" s="455">
        <f t="shared" ca="1" si="169"/>
        <v>-39847503945005.453</v>
      </c>
      <c r="M4446" s="471">
        <f t="shared" si="171"/>
        <v>0.05</v>
      </c>
      <c r="N4446" s="475">
        <f t="shared" si="172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70"/>
        <v>-39847503945005.453</v>
      </c>
      <c r="J4447" s="455">
        <f t="array" ref="J4447">IFERROR(INDEX('Retirement Calculator'!K:K,MATCH('Lorri 401b'!N4447,'Retirement Calculator'!A:A,0),0),0)</f>
        <v>0</v>
      </c>
      <c r="K4447" s="455">
        <f t="shared" ca="1" si="168"/>
        <v>-166031266437.52271</v>
      </c>
      <c r="L4447" s="455">
        <f t="shared" ca="1" si="169"/>
        <v>-40013535211442.977</v>
      </c>
      <c r="M4447" s="471">
        <f t="shared" si="171"/>
        <v>0.05</v>
      </c>
      <c r="N4447" s="475">
        <f t="shared" si="172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70"/>
        <v>-40013535211442.977</v>
      </c>
      <c r="J4448" s="455">
        <f t="array" ref="J4448">IFERROR(INDEX('Retirement Calculator'!K:K,MATCH('Lorri 401b'!N4448,'Retirement Calculator'!A:A,0),0),0)</f>
        <v>0</v>
      </c>
      <c r="K4448" s="455">
        <f t="shared" ca="1" si="168"/>
        <v>-166723063381.01239</v>
      </c>
      <c r="L4448" s="455">
        <f t="shared" ca="1" si="169"/>
        <v>-40180258274823.992</v>
      </c>
      <c r="M4448" s="471">
        <f t="shared" si="171"/>
        <v>0.05</v>
      </c>
      <c r="N4448" s="475">
        <f t="shared" si="172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70"/>
        <v>-40180258274823.992</v>
      </c>
      <c r="J4449" s="455">
        <f t="array" ref="J4449">IFERROR(INDEX('Retirement Calculator'!K:K,MATCH('Lorri 401b'!N4449,'Retirement Calculator'!A:A,0),0),0)</f>
        <v>0</v>
      </c>
      <c r="K4449" s="455">
        <f t="shared" ca="1" si="168"/>
        <v>-167417742811.76663</v>
      </c>
      <c r="L4449" s="455">
        <f t="shared" ca="1" si="169"/>
        <v>-40347676017635.758</v>
      </c>
      <c r="M4449" s="471">
        <f t="shared" si="171"/>
        <v>0.05</v>
      </c>
      <c r="N4449" s="475">
        <f t="shared" si="172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70"/>
        <v>-40347676017635.758</v>
      </c>
      <c r="J4450" s="455">
        <f t="array" ref="J4450">IFERROR(INDEX('Retirement Calculator'!K:K,MATCH('Lorri 401b'!N4450,'Retirement Calculator'!A:A,0),0),0)</f>
        <v>0</v>
      </c>
      <c r="K4450" s="455">
        <f t="shared" ca="1" si="168"/>
        <v>-168115316740.14899</v>
      </c>
      <c r="L4450" s="455">
        <f t="shared" ca="1" si="169"/>
        <v>-40515791334375.906</v>
      </c>
      <c r="M4450" s="471">
        <f t="shared" si="171"/>
        <v>0.05</v>
      </c>
      <c r="N4450" s="475">
        <f t="shared" si="172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70"/>
        <v>-40515791334375.906</v>
      </c>
      <c r="J4451" s="455">
        <f t="array" ref="J4451">IFERROR(INDEX('Retirement Calculator'!K:K,MATCH('Lorri 401b'!N4451,'Retirement Calculator'!A:A,0),0),0)</f>
        <v>0</v>
      </c>
      <c r="K4451" s="455">
        <f t="shared" ca="1" si="168"/>
        <v>-168815797226.56628</v>
      </c>
      <c r="L4451" s="455">
        <f t="shared" ca="1" si="169"/>
        <v>-40684607131602.469</v>
      </c>
      <c r="M4451" s="471">
        <f t="shared" si="171"/>
        <v>0.05</v>
      </c>
      <c r="N4451" s="475">
        <f t="shared" si="172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70"/>
        <v>-40684607131602.469</v>
      </c>
      <c r="J4452" s="455">
        <f t="array" ref="J4452">IFERROR(INDEX('Retirement Calculator'!K:K,MATCH('Lorri 401b'!N4452,'Retirement Calculator'!A:A,0),0),0)</f>
        <v>0</v>
      </c>
      <c r="K4452" s="455">
        <f t="shared" ca="1" si="168"/>
        <v>-169519196381.67694</v>
      </c>
      <c r="L4452" s="455">
        <f t="shared" ca="1" si="169"/>
        <v>-40854126327984.148</v>
      </c>
      <c r="M4452" s="471">
        <f t="shared" si="171"/>
        <v>0.05</v>
      </c>
      <c r="N4452" s="475">
        <f t="shared" si="172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70"/>
        <v>-40854126327984.148</v>
      </c>
      <c r="J4453" s="455">
        <f t="array" ref="J4453">IFERROR(INDEX('Retirement Calculator'!K:K,MATCH('Lorri 401b'!N4453,'Retirement Calculator'!A:A,0),0),0)</f>
        <v>0</v>
      </c>
      <c r="K4453" s="455">
        <f t="shared" ca="1" si="168"/>
        <v>-170225526366.60062</v>
      </c>
      <c r="L4453" s="455">
        <f t="shared" ca="1" si="169"/>
        <v>-41024351854350.75</v>
      </c>
      <c r="M4453" s="471">
        <f t="shared" si="171"/>
        <v>0.05</v>
      </c>
      <c r="N4453" s="475">
        <f t="shared" si="172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70"/>
        <v>-41024351854350.75</v>
      </c>
      <c r="J4454" s="455">
        <f t="array" ref="J4454">IFERROR(INDEX('Retirement Calculator'!K:K,MATCH('Lorri 401b'!N4454,'Retirement Calculator'!A:A,0),0),0)</f>
        <v>0</v>
      </c>
      <c r="K4454" s="455">
        <f t="shared" ca="1" si="168"/>
        <v>-170934799393.12811</v>
      </c>
      <c r="L4454" s="455">
        <f t="shared" ca="1" si="169"/>
        <v>-41195286653743.875</v>
      </c>
      <c r="M4454" s="471">
        <f t="shared" si="171"/>
        <v>0.05</v>
      </c>
      <c r="N4454" s="475">
        <f t="shared" si="172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70"/>
        <v>-41195286653743.875</v>
      </c>
      <c r="J4455" s="455">
        <f t="array" ref="J4455">IFERROR(INDEX('Retirement Calculator'!K:K,MATCH('Lorri 401b'!N4455,'Retirement Calculator'!A:A,0),0),0)</f>
        <v>0</v>
      </c>
      <c r="K4455" s="455">
        <f t="shared" ca="1" si="168"/>
        <v>-171647027723.9328</v>
      </c>
      <c r="L4455" s="455">
        <f t="shared" ca="1" si="169"/>
        <v>-41366933681467.805</v>
      </c>
      <c r="M4455" s="471">
        <f t="shared" si="171"/>
        <v>0.05</v>
      </c>
      <c r="N4455" s="475">
        <f t="shared" si="172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70"/>
        <v>-41366933681467.805</v>
      </c>
      <c r="J4456" s="455">
        <f t="array" ref="J4456">IFERROR(INDEX('Retirement Calculator'!K:K,MATCH('Lorri 401b'!N4456,'Retirement Calculator'!A:A,0),0),0)</f>
        <v>0</v>
      </c>
      <c r="K4456" s="455">
        <f t="shared" ca="1" si="168"/>
        <v>-172362223672.78253</v>
      </c>
      <c r="L4456" s="455">
        <f t="shared" ca="1" si="169"/>
        <v>-41539295905140.586</v>
      </c>
      <c r="M4456" s="471">
        <f t="shared" si="171"/>
        <v>0.05</v>
      </c>
      <c r="N4456" s="475">
        <f t="shared" si="172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70"/>
        <v>-41539295905140.586</v>
      </c>
      <c r="J4457" s="455">
        <f t="array" ref="J4457">IFERROR(INDEX('Retirement Calculator'!K:K,MATCH('Lorri 401b'!N4457,'Retirement Calculator'!A:A,0),0),0)</f>
        <v>0</v>
      </c>
      <c r="K4457" s="455">
        <f t="shared" ca="1" si="168"/>
        <v>-173080399604.75244</v>
      </c>
      <c r="L4457" s="455">
        <f t="shared" ca="1" si="169"/>
        <v>-41712376304745.336</v>
      </c>
      <c r="M4457" s="471">
        <f t="shared" si="171"/>
        <v>0.05</v>
      </c>
      <c r="N4457" s="475">
        <f t="shared" si="172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70"/>
        <v>-41712376304745.336</v>
      </c>
      <c r="J4458" s="455">
        <f t="array" ref="J4458">IFERROR(INDEX('Retirement Calculator'!K:K,MATCH('Lorri 401b'!N4458,'Retirement Calculator'!A:A,0),0),0)</f>
        <v>0</v>
      </c>
      <c r="K4458" s="455">
        <f t="shared" ca="1" si="168"/>
        <v>-173801567936.4389</v>
      </c>
      <c r="L4458" s="455">
        <f t="shared" ca="1" si="169"/>
        <v>-41886177872681.773</v>
      </c>
      <c r="M4458" s="471">
        <f t="shared" si="171"/>
        <v>0.05</v>
      </c>
      <c r="N4458" s="475">
        <f t="shared" si="172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70"/>
        <v>-41886177872681.773</v>
      </c>
      <c r="J4459" s="455">
        <f t="array" ref="J4459">IFERROR(INDEX('Retirement Calculator'!K:K,MATCH('Lorri 401b'!N4459,'Retirement Calculator'!A:A,0),0),0)</f>
        <v>0</v>
      </c>
      <c r="K4459" s="455">
        <f t="shared" ca="1" si="168"/>
        <v>-174525741136.17404</v>
      </c>
      <c r="L4459" s="455">
        <f t="shared" ca="1" si="169"/>
        <v>-42060703613817.945</v>
      </c>
      <c r="M4459" s="471">
        <f t="shared" si="171"/>
        <v>0.05</v>
      </c>
      <c r="N4459" s="475">
        <f t="shared" si="172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70"/>
        <v>-42060703613817.945</v>
      </c>
      <c r="J4460" s="455">
        <f t="array" ref="J4460">IFERROR(INDEX('Retirement Calculator'!K:K,MATCH('Lorri 401b'!N4460,'Retirement Calculator'!A:A,0),0),0)</f>
        <v>0</v>
      </c>
      <c r="K4460" s="455">
        <f t="shared" ca="1" si="168"/>
        <v>-175252931724.24142</v>
      </c>
      <c r="L4460" s="455">
        <f t="shared" ca="1" si="169"/>
        <v>-42235956545542.188</v>
      </c>
      <c r="M4460" s="471">
        <f t="shared" si="171"/>
        <v>0.05</v>
      </c>
      <c r="N4460" s="475">
        <f t="shared" si="172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70"/>
        <v>-42235956545542.188</v>
      </c>
      <c r="J4461" s="455">
        <f t="array" ref="J4461">IFERROR(INDEX('Retirement Calculator'!K:K,MATCH('Lorri 401b'!N4461,'Retirement Calculator'!A:A,0),0),0)</f>
        <v>0</v>
      </c>
      <c r="K4461" s="455">
        <f t="shared" ca="1" si="168"/>
        <v>-175983152273.09244</v>
      </c>
      <c r="L4461" s="455">
        <f t="shared" ca="1" si="169"/>
        <v>-42411939697815.281</v>
      </c>
      <c r="M4461" s="471">
        <f t="shared" si="171"/>
        <v>0.05</v>
      </c>
      <c r="N4461" s="475">
        <f t="shared" si="172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70"/>
        <v>-42411939697815.281</v>
      </c>
      <c r="J4462" s="455">
        <f t="array" ref="J4462">IFERROR(INDEX('Retirement Calculator'!K:K,MATCH('Lorri 401b'!N4462,'Retirement Calculator'!A:A,0),0),0)</f>
        <v>0</v>
      </c>
      <c r="K4462" s="455">
        <f t="shared" ca="1" si="168"/>
        <v>-176716415407.56366</v>
      </c>
      <c r="L4462" s="455">
        <f t="shared" ca="1" si="169"/>
        <v>-42588656113222.844</v>
      </c>
      <c r="M4462" s="471">
        <f t="shared" si="171"/>
        <v>0.05</v>
      </c>
      <c r="N4462" s="475">
        <f t="shared" si="172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70"/>
        <v>-42588656113222.844</v>
      </c>
      <c r="J4463" s="455">
        <f t="array" ref="J4463">IFERROR(INDEX('Retirement Calculator'!K:K,MATCH('Lorri 401b'!N4463,'Retirement Calculator'!A:A,0),0),0)</f>
        <v>0</v>
      </c>
      <c r="K4463" s="455">
        <f t="shared" ca="1" si="168"/>
        <v>-177452733805.09518</v>
      </c>
      <c r="L4463" s="455">
        <f t="shared" ca="1" si="169"/>
        <v>-42766108847027.938</v>
      </c>
      <c r="M4463" s="471">
        <f t="shared" si="171"/>
        <v>0.05</v>
      </c>
      <c r="N4463" s="475">
        <f t="shared" si="172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70"/>
        <v>-42766108847027.938</v>
      </c>
      <c r="J4464" s="455">
        <f t="array" ref="J4464">IFERROR(INDEX('Retirement Calculator'!K:K,MATCH('Lorri 401b'!N4464,'Retirement Calculator'!A:A,0),0),0)</f>
        <v>0</v>
      </c>
      <c r="K4464" s="455">
        <f t="shared" ca="1" si="168"/>
        <v>-178192120195.94974</v>
      </c>
      <c r="L4464" s="455">
        <f t="shared" ca="1" si="169"/>
        <v>-42944300967223.891</v>
      </c>
      <c r="M4464" s="471">
        <f t="shared" si="171"/>
        <v>0.05</v>
      </c>
      <c r="N4464" s="475">
        <f t="shared" si="172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70"/>
        <v>-42944300967223.891</v>
      </c>
      <c r="J4465" s="455">
        <f t="array" ref="J4465">IFERROR(INDEX('Retirement Calculator'!K:K,MATCH('Lorri 401b'!N4465,'Retirement Calculator'!A:A,0),0),0)</f>
        <v>0</v>
      </c>
      <c r="K4465" s="455">
        <f t="shared" ca="1" si="168"/>
        <v>-178934587363.43286</v>
      </c>
      <c r="L4465" s="455">
        <f t="shared" ca="1" si="169"/>
        <v>-43123235554587.32</v>
      </c>
      <c r="M4465" s="471">
        <f t="shared" si="171"/>
        <v>0.05</v>
      </c>
      <c r="N4465" s="475">
        <f t="shared" si="172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70"/>
        <v>-43123235554587.32</v>
      </c>
      <c r="J4466" s="455">
        <f t="array" ref="J4466">IFERROR(INDEX('Retirement Calculator'!K:K,MATCH('Lorri 401b'!N4466,'Retirement Calculator'!A:A,0),0),0)</f>
        <v>0</v>
      </c>
      <c r="K4466" s="455">
        <f t="shared" ca="1" si="168"/>
        <v>-179680148144.11383</v>
      </c>
      <c r="L4466" s="455">
        <f t="shared" ca="1" si="169"/>
        <v>-43302915702731.438</v>
      </c>
      <c r="M4466" s="471">
        <f t="shared" si="171"/>
        <v>0.05</v>
      </c>
      <c r="N4466" s="475">
        <f t="shared" si="172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70"/>
        <v>-43302915702731.438</v>
      </c>
      <c r="J4467" s="455">
        <f t="array" ref="J4467">IFERROR(INDEX('Retirement Calculator'!K:K,MATCH('Lorri 401b'!N4467,'Retirement Calculator'!A:A,0),0),0)</f>
        <v>0</v>
      </c>
      <c r="K4467" s="455">
        <f t="shared" ca="1" si="168"/>
        <v>-180428815428.04767</v>
      </c>
      <c r="L4467" s="455">
        <f t="shared" ca="1" si="169"/>
        <v>-43483344518159.484</v>
      </c>
      <c r="M4467" s="471">
        <f t="shared" si="171"/>
        <v>0.05</v>
      </c>
      <c r="N4467" s="475">
        <f t="shared" si="172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70"/>
        <v>-43483344518159.484</v>
      </c>
      <c r="J4468" s="455">
        <f t="array" ref="J4468">IFERROR(INDEX('Retirement Calculator'!K:K,MATCH('Lorri 401b'!N4468,'Retirement Calculator'!A:A,0),0),0)</f>
        <v>0</v>
      </c>
      <c r="K4468" s="455">
        <f t="shared" ca="1" si="168"/>
        <v>-181180602158.99786</v>
      </c>
      <c r="L4468" s="455">
        <f t="shared" ca="1" si="169"/>
        <v>-43664525120318.484</v>
      </c>
      <c r="M4468" s="471">
        <f t="shared" si="171"/>
        <v>0.05</v>
      </c>
      <c r="N4468" s="475">
        <f t="shared" si="172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70"/>
        <v>-43664525120318.484</v>
      </c>
      <c r="J4469" s="455">
        <f t="array" ref="J4469">IFERROR(INDEX('Retirement Calculator'!K:K,MATCH('Lorri 401b'!N4469,'Retirement Calculator'!A:A,0),0),0)</f>
        <v>0</v>
      </c>
      <c r="K4469" s="455">
        <f t="shared" ca="1" si="168"/>
        <v>-181935521334.66034</v>
      </c>
      <c r="L4469" s="455">
        <f t="shared" ca="1" si="169"/>
        <v>-43846460641653.148</v>
      </c>
      <c r="M4469" s="471">
        <f t="shared" si="171"/>
        <v>0.05</v>
      </c>
      <c r="N4469" s="475">
        <f t="shared" si="172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70"/>
        <v>-43846460641653.148</v>
      </c>
      <c r="J4470" s="455">
        <f t="array" ref="J4470">IFERROR(INDEX('Retirement Calculator'!K:K,MATCH('Lorri 401b'!N4470,'Retirement Calculator'!A:A,0),0),0)</f>
        <v>0</v>
      </c>
      <c r="K4470" s="455">
        <f t="shared" ca="1" si="168"/>
        <v>-182693586006.88812</v>
      </c>
      <c r="L4470" s="455">
        <f t="shared" ca="1" si="169"/>
        <v>-44029154227660.039</v>
      </c>
      <c r="M4470" s="471">
        <f t="shared" si="171"/>
        <v>0.05</v>
      </c>
      <c r="N4470" s="475">
        <f t="shared" si="172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70"/>
        <v>-44029154227660.039</v>
      </c>
      <c r="J4471" s="455">
        <f t="array" ref="J4471">IFERROR(INDEX('Retirement Calculator'!K:K,MATCH('Lorri 401b'!N4471,'Retirement Calculator'!A:A,0),0),0)</f>
        <v>0</v>
      </c>
      <c r="K4471" s="455">
        <f t="shared" ca="1" si="168"/>
        <v>-183454809281.91684</v>
      </c>
      <c r="L4471" s="455">
        <f t="shared" ca="1" si="169"/>
        <v>-44212609036941.953</v>
      </c>
      <c r="M4471" s="471">
        <f t="shared" si="171"/>
        <v>0.05</v>
      </c>
      <c r="N4471" s="475">
        <f t="shared" si="172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70"/>
        <v>-44212609036941.953</v>
      </c>
      <c r="J4472" s="455">
        <f t="array" ref="J4472">IFERROR(INDEX('Retirement Calculator'!K:K,MATCH('Lorri 401b'!N4472,'Retirement Calculator'!A:A,0),0),0)</f>
        <v>0</v>
      </c>
      <c r="K4472" s="455">
        <f t="shared" ca="1" si="168"/>
        <v>-184219204320.59146</v>
      </c>
      <c r="L4472" s="455">
        <f t="shared" ca="1" si="169"/>
        <v>-44396828241262.547</v>
      </c>
      <c r="M4472" s="471">
        <f t="shared" si="171"/>
        <v>0.05</v>
      </c>
      <c r="N4472" s="475">
        <f t="shared" si="172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70"/>
        <v>-44396828241262.547</v>
      </c>
      <c r="J4473" s="455">
        <f t="array" ref="J4473">IFERROR(INDEX('Retirement Calculator'!K:K,MATCH('Lorri 401b'!N4473,'Retirement Calculator'!A:A,0),0),0)</f>
        <v>0</v>
      </c>
      <c r="K4473" s="455">
        <f t="shared" ca="1" si="168"/>
        <v>-184986784338.59393</v>
      </c>
      <c r="L4473" s="455">
        <f t="shared" ca="1" si="169"/>
        <v>-44581815025601.141</v>
      </c>
      <c r="M4473" s="471">
        <f t="shared" si="171"/>
        <v>0.05</v>
      </c>
      <c r="N4473" s="475">
        <f t="shared" si="172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70"/>
        <v>-44581815025601.141</v>
      </c>
      <c r="J4474" s="455">
        <f t="array" ref="J4474">IFERROR(INDEX('Retirement Calculator'!K:K,MATCH('Lorri 401b'!N4474,'Retirement Calculator'!A:A,0),0),0)</f>
        <v>0</v>
      </c>
      <c r="K4474" s="455">
        <f t="shared" ca="1" si="168"/>
        <v>-185757562606.67142</v>
      </c>
      <c r="L4474" s="455">
        <f t="shared" ca="1" si="169"/>
        <v>-44767572588207.813</v>
      </c>
      <c r="M4474" s="471">
        <f t="shared" si="171"/>
        <v>0.05</v>
      </c>
      <c r="N4474" s="475">
        <f t="shared" si="172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70"/>
        <v>-44767572588207.813</v>
      </c>
      <c r="J4475" s="455">
        <f t="array" ref="J4475">IFERROR(INDEX('Retirement Calculator'!K:K,MATCH('Lorri 401b'!N4475,'Retirement Calculator'!A:A,0),0),0)</f>
        <v>0</v>
      </c>
      <c r="K4475" s="455">
        <f t="shared" ca="1" si="168"/>
        <v>-186531552450.86588</v>
      </c>
      <c r="L4475" s="455">
        <f t="shared" ca="1" si="169"/>
        <v>-44954104140658.68</v>
      </c>
      <c r="M4475" s="471">
        <f t="shared" si="171"/>
        <v>0.05</v>
      </c>
      <c r="N4475" s="475">
        <f t="shared" si="172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70"/>
        <v>-44954104140658.68</v>
      </c>
      <c r="J4476" s="455">
        <f t="array" ref="J4476">IFERROR(INDEX('Retirement Calculator'!K:K,MATCH('Lorri 401b'!N4476,'Retirement Calculator'!A:A,0),0),0)</f>
        <v>0</v>
      </c>
      <c r="K4476" s="455">
        <f t="shared" ca="1" si="168"/>
        <v>-187308767252.74451</v>
      </c>
      <c r="L4476" s="455">
        <f t="shared" ca="1" si="169"/>
        <v>-45141412907911.422</v>
      </c>
      <c r="M4476" s="471">
        <f t="shared" si="171"/>
        <v>0.05</v>
      </c>
      <c r="N4476" s="475">
        <f t="shared" si="172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70"/>
        <v>-45141412907911.422</v>
      </c>
      <c r="J4477" s="455">
        <f t="array" ref="J4477">IFERROR(INDEX('Retirement Calculator'!K:K,MATCH('Lorri 401b'!N4477,'Retirement Calculator'!A:A,0),0),0)</f>
        <v>0</v>
      </c>
      <c r="K4477" s="455">
        <f t="shared" ca="1" si="168"/>
        <v>-188089220449.63092</v>
      </c>
      <c r="L4477" s="455">
        <f t="shared" ca="1" si="169"/>
        <v>-45329502128361.055</v>
      </c>
      <c r="M4477" s="471">
        <f t="shared" si="171"/>
        <v>0.05</v>
      </c>
      <c r="N4477" s="475">
        <f t="shared" si="172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70"/>
        <v>-45329502128361.055</v>
      </c>
      <c r="J4478" s="455">
        <f t="array" ref="J4478">IFERROR(INDEX('Retirement Calculator'!K:K,MATCH('Lorri 401b'!N4478,'Retirement Calculator'!A:A,0),0),0)</f>
        <v>0</v>
      </c>
      <c r="K4478" s="455">
        <f t="shared" ca="1" si="168"/>
        <v>-188872925534.83774</v>
      </c>
      <c r="L4478" s="455">
        <f t="shared" ca="1" si="169"/>
        <v>-45518375053895.891</v>
      </c>
      <c r="M4478" s="471">
        <f t="shared" si="171"/>
        <v>0.05</v>
      </c>
      <c r="N4478" s="475">
        <f t="shared" si="172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70"/>
        <v>-45518375053895.891</v>
      </c>
      <c r="J4479" s="455">
        <f t="array" ref="J4479">IFERROR(INDEX('Retirement Calculator'!K:K,MATCH('Lorri 401b'!N4479,'Retirement Calculator'!A:A,0),0),0)</f>
        <v>0</v>
      </c>
      <c r="K4479" s="455">
        <f t="shared" ca="1" si="168"/>
        <v>-189659896057.89954</v>
      </c>
      <c r="L4479" s="455">
        <f t="shared" ca="1" si="169"/>
        <v>-45708034949953.789</v>
      </c>
      <c r="M4479" s="471">
        <f t="shared" si="171"/>
        <v>0.05</v>
      </c>
      <c r="N4479" s="475">
        <f t="shared" si="172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70"/>
        <v>-45708034949953.789</v>
      </c>
      <c r="J4480" s="455">
        <f t="array" ref="J4480">IFERROR(INDEX('Retirement Calculator'!K:K,MATCH('Lorri 401b'!N4480,'Retirement Calculator'!A:A,0),0),0)</f>
        <v>0</v>
      </c>
      <c r="K4480" s="455">
        <f t="shared" ca="1" si="168"/>
        <v>-190450145624.80746</v>
      </c>
      <c r="L4480" s="455">
        <f t="shared" ca="1" si="169"/>
        <v>-45898485095578.594</v>
      </c>
      <c r="M4480" s="471">
        <f t="shared" si="171"/>
        <v>0.05</v>
      </c>
      <c r="N4480" s="475">
        <f t="shared" si="172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70"/>
        <v>-45898485095578.594</v>
      </c>
      <c r="J4481" s="455">
        <f t="array" ref="J4481">IFERROR(INDEX('Retirement Calculator'!K:K,MATCH('Lorri 401b'!N4481,'Retirement Calculator'!A:A,0),0),0)</f>
        <v>0</v>
      </c>
      <c r="K4481" s="455">
        <f t="shared" ca="1" si="168"/>
        <v>-191243687898.24414</v>
      </c>
      <c r="L4481" s="455">
        <f t="shared" ca="1" si="169"/>
        <v>-46089728783476.836</v>
      </c>
      <c r="M4481" s="471">
        <f t="shared" si="171"/>
        <v>0.05</v>
      </c>
      <c r="N4481" s="475">
        <f t="shared" si="172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70"/>
        <v>-46089728783476.836</v>
      </c>
      <c r="J4482" s="455">
        <f t="array" ref="J4482">IFERROR(INDEX('Retirement Calculator'!K:K,MATCH('Lorri 401b'!N4482,'Retirement Calculator'!A:A,0),0),0)</f>
        <v>0</v>
      </c>
      <c r="K4482" s="455">
        <f t="shared" ca="1" si="168"/>
        <v>-192040536597.82016</v>
      </c>
      <c r="L4482" s="455">
        <f t="shared" ca="1" si="169"/>
        <v>-46281769320074.656</v>
      </c>
      <c r="M4482" s="471">
        <f t="shared" si="171"/>
        <v>0.05</v>
      </c>
      <c r="N4482" s="475">
        <f t="shared" si="172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70"/>
        <v>-46281769320074.656</v>
      </c>
      <c r="J4483" s="455">
        <f t="array" ref="J4483">IFERROR(INDEX('Retirement Calculator'!K:K,MATCH('Lorri 401b'!N4483,'Retirement Calculator'!A:A,0),0),0)</f>
        <v>0</v>
      </c>
      <c r="K4483" s="455">
        <f t="shared" ca="1" si="168"/>
        <v>-192840705500.31107</v>
      </c>
      <c r="L4483" s="455">
        <f t="shared" ca="1" si="169"/>
        <v>-46474610025574.969</v>
      </c>
      <c r="M4483" s="471">
        <f t="shared" si="171"/>
        <v>0.05</v>
      </c>
      <c r="N4483" s="475">
        <f t="shared" si="172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70"/>
        <v>-46474610025574.969</v>
      </c>
      <c r="J4484" s="455">
        <f t="array" ref="J4484">IFERROR(INDEX('Retirement Calculator'!K:K,MATCH('Lorri 401b'!N4484,'Retirement Calculator'!A:A,0),0),0)</f>
        <v>0</v>
      </c>
      <c r="K4484" s="455">
        <f t="shared" ca="1" si="168"/>
        <v>-193644208439.89569</v>
      </c>
      <c r="L4484" s="455">
        <f t="shared" ca="1" si="169"/>
        <v>-46668254234014.867</v>
      </c>
      <c r="M4484" s="471">
        <f t="shared" si="171"/>
        <v>0.05</v>
      </c>
      <c r="N4484" s="475">
        <f t="shared" si="172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70"/>
        <v>-46668254234014.867</v>
      </c>
      <c r="J4485" s="455">
        <f t="array" ref="J4485">IFERROR(INDEX('Retirement Calculator'!K:K,MATCH('Lorri 401b'!N4485,'Retirement Calculator'!A:A,0),0),0)</f>
        <v>0</v>
      </c>
      <c r="K4485" s="455">
        <f t="shared" ca="1" si="168"/>
        <v>-194451059308.39526</v>
      </c>
      <c r="L4485" s="455">
        <f t="shared" ca="1" si="169"/>
        <v>-46862705293323.266</v>
      </c>
      <c r="M4485" s="471">
        <f t="shared" si="171"/>
        <v>0.05</v>
      </c>
      <c r="N4485" s="475">
        <f t="shared" si="172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70"/>
        <v>-46862705293323.266</v>
      </c>
      <c r="J4486" s="455">
        <f t="array" ref="J4486">IFERROR(INDEX('Retirement Calculator'!K:K,MATCH('Lorri 401b'!N4486,'Retirement Calculator'!A:A,0),0),0)</f>
        <v>0</v>
      </c>
      <c r="K4486" s="455">
        <f t="shared" ca="1" si="168"/>
        <v>-195261272055.51361</v>
      </c>
      <c r="L4486" s="455">
        <f t="shared" ca="1" si="169"/>
        <v>-47057966565378.781</v>
      </c>
      <c r="M4486" s="471">
        <f t="shared" si="171"/>
        <v>0.05</v>
      </c>
      <c r="N4486" s="475">
        <f t="shared" si="172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70"/>
        <v>-47057966565378.781</v>
      </c>
      <c r="J4487" s="455">
        <f t="array" ref="J4487">IFERROR(INDEX('Retirement Calculator'!K:K,MATCH('Lorri 401b'!N4487,'Retirement Calculator'!A:A,0),0),0)</f>
        <v>0</v>
      </c>
      <c r="K4487" s="455">
        <f t="shared" ca="1" si="168"/>
        <v>-196074860689.07825</v>
      </c>
      <c r="L4487" s="455">
        <f t="shared" ca="1" si="169"/>
        <v>-47254041426067.859</v>
      </c>
      <c r="M4487" s="471">
        <f t="shared" si="171"/>
        <v>0.05</v>
      </c>
      <c r="N4487" s="475">
        <f t="shared" si="172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70"/>
        <v>-47254041426067.859</v>
      </c>
      <c r="J4488" s="455">
        <f t="array" ref="J4488">IFERROR(INDEX('Retirement Calculator'!K:K,MATCH('Lorri 401b'!N4488,'Retirement Calculator'!A:A,0),0),0)</f>
        <v>0</v>
      </c>
      <c r="K4488" s="455">
        <f t="shared" ca="1" si="168"/>
        <v>-196891839275.28275</v>
      </c>
      <c r="L4488" s="455">
        <f t="shared" ca="1" si="169"/>
        <v>-47450933265343.141</v>
      </c>
      <c r="M4488" s="471">
        <f t="shared" si="171"/>
        <v>0.05</v>
      </c>
      <c r="N4488" s="475">
        <f t="shared" si="172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70"/>
        <v>-47450933265343.141</v>
      </c>
      <c r="J4489" s="455">
        <f t="array" ref="J4489">IFERROR(INDEX('Retirement Calculator'!K:K,MATCH('Lorri 401b'!N4489,'Retirement Calculator'!A:A,0),0),0)</f>
        <v>0</v>
      </c>
      <c r="K4489" s="455">
        <f t="shared" ca="1" si="168"/>
        <v>-197712221938.92975</v>
      </c>
      <c r="L4489" s="455">
        <f t="shared" ca="1" si="169"/>
        <v>-47648645487282.07</v>
      </c>
      <c r="M4489" s="471">
        <f t="shared" si="171"/>
        <v>0.05</v>
      </c>
      <c r="N4489" s="475">
        <f t="shared" si="172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70"/>
        <v>-47648645487282.07</v>
      </c>
      <c r="J4490" s="455">
        <f t="array" ref="J4490">IFERROR(INDEX('Retirement Calculator'!K:K,MATCH('Lorri 401b'!N4490,'Retirement Calculator'!A:A,0),0),0)</f>
        <v>0</v>
      </c>
      <c r="K4490" s="455">
        <f t="shared" ca="1" si="168"/>
        <v>-198536022863.67529</v>
      </c>
      <c r="L4490" s="455">
        <f t="shared" ca="1" si="169"/>
        <v>-47847181510145.742</v>
      </c>
      <c r="M4490" s="471">
        <f t="shared" si="171"/>
        <v>0.05</v>
      </c>
      <c r="N4490" s="475">
        <f t="shared" si="172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70"/>
        <v>-47847181510145.742</v>
      </c>
      <c r="J4491" s="455">
        <f t="array" ref="J4491">IFERROR(INDEX('Retirement Calculator'!K:K,MATCH('Lorri 401b'!N4491,'Retirement Calculator'!A:A,0),0),0)</f>
        <v>0</v>
      </c>
      <c r="K4491" s="455">
        <f t="shared" ca="1" si="168"/>
        <v>-199363256292.27393</v>
      </c>
      <c r="L4491" s="455">
        <f t="shared" ca="1" si="169"/>
        <v>-48046544766438.016</v>
      </c>
      <c r="M4491" s="471">
        <f t="shared" si="171"/>
        <v>0.05</v>
      </c>
      <c r="N4491" s="475">
        <f t="shared" si="172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70"/>
        <v>-48046544766438.016</v>
      </c>
      <c r="J4492" s="455">
        <f t="array" ref="J4492">IFERROR(INDEX('Retirement Calculator'!K:K,MATCH('Lorri 401b'!N4492,'Retirement Calculator'!A:A,0),0),0)</f>
        <v>0</v>
      </c>
      <c r="K4492" s="455">
        <f t="shared" ca="1" si="168"/>
        <v>-200193936526.82507</v>
      </c>
      <c r="L4492" s="455">
        <f t="shared" ca="1" si="169"/>
        <v>-48246738702964.844</v>
      </c>
      <c r="M4492" s="471">
        <f t="shared" si="171"/>
        <v>0.05</v>
      </c>
      <c r="N4492" s="475">
        <f t="shared" si="172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70"/>
        <v>-48246738702964.844</v>
      </c>
      <c r="J4493" s="455">
        <f t="array" ref="J4493">IFERROR(INDEX('Retirement Calculator'!K:K,MATCH('Lorri 401b'!N4493,'Retirement Calculator'!A:A,0),0),0)</f>
        <v>0</v>
      </c>
      <c r="K4493" s="455">
        <f t="shared" ca="1" si="168"/>
        <v>-201028077929.02017</v>
      </c>
      <c r="L4493" s="455">
        <f t="shared" ca="1" si="169"/>
        <v>-48447766780893.867</v>
      </c>
      <c r="M4493" s="471">
        <f t="shared" si="171"/>
        <v>0.05</v>
      </c>
      <c r="N4493" s="475">
        <f t="shared" si="172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70"/>
        <v>-48447766780893.867</v>
      </c>
      <c r="J4494" s="455">
        <f t="array" ref="J4494">IFERROR(INDEX('Retirement Calculator'!K:K,MATCH('Lorri 401b'!N4494,'Retirement Calculator'!A:A,0),0),0)</f>
        <v>0</v>
      </c>
      <c r="K4494" s="455">
        <f t="shared" ca="1" si="168"/>
        <v>-201865694920.39111</v>
      </c>
      <c r="L4494" s="455">
        <f t="shared" ca="1" si="169"/>
        <v>-48649632475814.258</v>
      </c>
      <c r="M4494" s="471">
        <f t="shared" si="171"/>
        <v>0.05</v>
      </c>
      <c r="N4494" s="475">
        <f t="shared" si="172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70"/>
        <v>-48649632475814.258</v>
      </c>
      <c r="J4495" s="455">
        <f t="array" ref="J4495">IFERROR(INDEX('Retirement Calculator'!K:K,MATCH('Lorri 401b'!N4495,'Retirement Calculator'!A:A,0),0),0)</f>
        <v>0</v>
      </c>
      <c r="K4495" s="455">
        <f t="shared" ca="1" si="168"/>
        <v>-202706801982.55942</v>
      </c>
      <c r="L4495" s="455">
        <f t="shared" ca="1" si="169"/>
        <v>-48852339277796.82</v>
      </c>
      <c r="M4495" s="471">
        <f t="shared" si="171"/>
        <v>0.05</v>
      </c>
      <c r="N4495" s="475">
        <f t="shared" si="172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70"/>
        <v>-48852339277796.82</v>
      </c>
      <c r="J4496" s="455">
        <f t="array" ref="J4496">IFERROR(INDEX('Retirement Calculator'!K:K,MATCH('Lorri 401b'!N4496,'Retirement Calculator'!A:A,0),0),0)</f>
        <v>0</v>
      </c>
      <c r="K4496" s="455">
        <f t="shared" ca="1" si="168"/>
        <v>-203551413657.48676</v>
      </c>
      <c r="L4496" s="455">
        <f t="shared" ca="1" si="169"/>
        <v>-49055890691454.305</v>
      </c>
      <c r="M4496" s="471">
        <f t="shared" si="171"/>
        <v>0.05</v>
      </c>
      <c r="N4496" s="475">
        <f t="shared" si="172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70"/>
        <v>-49055890691454.305</v>
      </c>
      <c r="J4497" s="455">
        <f t="array" ref="J4497">IFERROR(INDEX('Retirement Calculator'!K:K,MATCH('Lorri 401b'!N4497,'Retirement Calculator'!A:A,0),0),0)</f>
        <v>0</v>
      </c>
      <c r="K4497" s="455">
        <f t="shared" ca="1" si="168"/>
        <v>-204399544547.72626</v>
      </c>
      <c r="L4497" s="455">
        <f t="shared" ca="1" si="169"/>
        <v>-49260290236002.031</v>
      </c>
      <c r="M4497" s="471">
        <f t="shared" si="171"/>
        <v>0.05</v>
      </c>
      <c r="N4497" s="475">
        <f t="shared" si="172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70"/>
        <v>-49260290236002.031</v>
      </c>
      <c r="J4498" s="455">
        <f t="array" ref="J4498">IFERROR(INDEX('Retirement Calculator'!K:K,MATCH('Lorri 401b'!N4498,'Retirement Calculator'!A:A,0),0),0)</f>
        <v>0</v>
      </c>
      <c r="K4498" s="455">
        <f t="shared" ca="1" si="168"/>
        <v>-205251209316.67514</v>
      </c>
      <c r="L4498" s="455">
        <f t="shared" ca="1" si="169"/>
        <v>-49465541445318.703</v>
      </c>
      <c r="M4498" s="471">
        <f t="shared" si="171"/>
        <v>0.05</v>
      </c>
      <c r="N4498" s="475">
        <f t="shared" si="172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70"/>
        <v>-49465541445318.703</v>
      </c>
      <c r="J4499" s="455">
        <f t="array" ref="J4499">IFERROR(INDEX('Retirement Calculator'!K:K,MATCH('Lorri 401b'!N4499,'Retirement Calculator'!A:A,0),0),0)</f>
        <v>0</v>
      </c>
      <c r="K4499" s="455">
        <f t="shared" ca="1" si="168"/>
        <v>-206106422688.82794</v>
      </c>
      <c r="L4499" s="455">
        <f t="shared" ca="1" si="169"/>
        <v>-49671647868007.531</v>
      </c>
      <c r="M4499" s="471">
        <f t="shared" si="171"/>
        <v>0.05</v>
      </c>
      <c r="N4499" s="475">
        <f t="shared" si="172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70"/>
        <v>-49671647868007.531</v>
      </c>
      <c r="J4500" s="455">
        <f t="array" ref="J4500">IFERROR(INDEX('Retirement Calculator'!K:K,MATCH('Lorri 401b'!N4500,'Retirement Calculator'!A:A,0),0),0)</f>
        <v>0</v>
      </c>
      <c r="K4500" s="455">
        <f t="shared" ca="1" si="168"/>
        <v>-206965199450.03137</v>
      </c>
      <c r="L4500" s="455">
        <f t="shared" ca="1" si="169"/>
        <v>-49878613067457.563</v>
      </c>
      <c r="M4500" s="471">
        <f t="shared" si="171"/>
        <v>0.05</v>
      </c>
      <c r="N4500" s="475">
        <f t="shared" si="172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70"/>
        <v>-49878613067457.563</v>
      </c>
      <c r="J4501" s="455">
        <f t="array" ref="J4501">IFERROR(INDEX('Retirement Calculator'!K:K,MATCH('Lorri 401b'!N4501,'Retirement Calculator'!A:A,0),0),0)</f>
        <v>0</v>
      </c>
      <c r="K4501" s="455">
        <f t="shared" ca="1" si="168"/>
        <v>-207827554447.73984</v>
      </c>
      <c r="L4501" s="455">
        <f t="shared" ca="1" si="169"/>
        <v>-50086440621905.305</v>
      </c>
      <c r="M4501" s="471">
        <f t="shared" si="171"/>
        <v>0.05</v>
      </c>
      <c r="N4501" s="475">
        <f t="shared" si="172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70"/>
        <v>-50086440621905.305</v>
      </c>
      <c r="J4502" s="455">
        <f t="array" ref="J4502">IFERROR(INDEX('Retirement Calculator'!K:K,MATCH('Lorri 401b'!N4502,'Retirement Calculator'!A:A,0),0),0)</f>
        <v>0</v>
      </c>
      <c r="K4502" s="455">
        <f t="shared" ca="1" si="168"/>
        <v>-208693502591.27209</v>
      </c>
      <c r="L4502" s="455">
        <f t="shared" ca="1" si="169"/>
        <v>-50295134124496.578</v>
      </c>
      <c r="M4502" s="471">
        <f t="shared" si="171"/>
        <v>0.05</v>
      </c>
      <c r="N4502" s="475">
        <f t="shared" si="172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70"/>
        <v>-50295134124496.578</v>
      </c>
      <c r="J4503" s="455">
        <f t="array" ref="J4503">IFERROR(INDEX('Retirement Calculator'!K:K,MATCH('Lorri 401b'!N4503,'Retirement Calculator'!A:A,0),0),0)</f>
        <v>0</v>
      </c>
      <c r="K4503" s="455">
        <f t="shared" ca="1" si="168"/>
        <v>-209563058852.06906</v>
      </c>
      <c r="L4503" s="455">
        <f t="shared" ca="1" si="169"/>
        <v>-50504697183348.648</v>
      </c>
      <c r="M4503" s="471">
        <f t="shared" si="171"/>
        <v>0.05</v>
      </c>
      <c r="N4503" s="475">
        <f t="shared" si="172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70"/>
        <v>-50504697183348.648</v>
      </c>
      <c r="J4504" s="455">
        <f t="array" ref="J4504">IFERROR(INDEX('Retirement Calculator'!K:K,MATCH('Lorri 401b'!N4504,'Retirement Calculator'!A:A,0),0),0)</f>
        <v>0</v>
      </c>
      <c r="K4504" s="455">
        <f t="shared" ca="1" si="168"/>
        <v>-210436238263.9527</v>
      </c>
      <c r="L4504" s="455">
        <f t="shared" ca="1" si="169"/>
        <v>-50715133421612.602</v>
      </c>
      <c r="M4504" s="471">
        <f t="shared" si="171"/>
        <v>0.05</v>
      </c>
      <c r="N4504" s="475">
        <f t="shared" si="172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70"/>
        <v>-50715133421612.602</v>
      </c>
      <c r="J4505" s="455">
        <f t="array" ref="J4505">IFERROR(INDEX('Retirement Calculator'!K:K,MATCH('Lorri 401b'!N4505,'Retirement Calculator'!A:A,0),0),0)</f>
        <v>0</v>
      </c>
      <c r="K4505" s="455">
        <f t="shared" ca="1" si="168"/>
        <v>-211313055923.38583</v>
      </c>
      <c r="L4505" s="455">
        <f t="shared" ca="1" si="169"/>
        <v>-50926446477535.984</v>
      </c>
      <c r="M4505" s="471">
        <f t="shared" si="171"/>
        <v>0.05</v>
      </c>
      <c r="N4505" s="475">
        <f t="shared" si="172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70"/>
        <v>-50926446477535.984</v>
      </c>
      <c r="J4506" s="455">
        <f t="array" ref="J4506">IFERROR(INDEX('Retirement Calculator'!K:K,MATCH('Lorri 401b'!N4506,'Retirement Calculator'!A:A,0),0),0)</f>
        <v>0</v>
      </c>
      <c r="K4506" s="455">
        <f t="shared" ca="1" si="168"/>
        <v>-212193526989.73328</v>
      </c>
      <c r="L4506" s="455">
        <f t="shared" ca="1" si="169"/>
        <v>-51138640004525.719</v>
      </c>
      <c r="M4506" s="471">
        <f t="shared" si="171"/>
        <v>0.05</v>
      </c>
      <c r="N4506" s="475">
        <f t="shared" si="172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70"/>
        <v>-51138640004525.719</v>
      </c>
      <c r="J4507" s="455">
        <f t="array" ref="J4507">IFERROR(INDEX('Retirement Calculator'!K:K,MATCH('Lorri 401b'!N4507,'Retirement Calculator'!A:A,0),0),0)</f>
        <v>0</v>
      </c>
      <c r="K4507" s="455">
        <f t="shared" ca="1" si="168"/>
        <v>-213077666685.52383</v>
      </c>
      <c r="L4507" s="455">
        <f t="shared" ca="1" si="169"/>
        <v>-51351717671211.242</v>
      </c>
      <c r="M4507" s="471">
        <f t="shared" si="171"/>
        <v>0.05</v>
      </c>
      <c r="N4507" s="475">
        <f t="shared" si="172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70"/>
        <v>-51351717671211.242</v>
      </c>
      <c r="J4508" s="455">
        <f t="array" ref="J4508">IFERROR(INDEX('Retirement Calculator'!K:K,MATCH('Lorri 401b'!N4508,'Retirement Calculator'!A:A,0),0),0)</f>
        <v>0</v>
      </c>
      <c r="K4508" s="455">
        <f t="shared" ca="1" si="168"/>
        <v>-213965490296.7135</v>
      </c>
      <c r="L4508" s="455">
        <f t="shared" ca="1" si="169"/>
        <v>-51565683161507.953</v>
      </c>
      <c r="M4508" s="471">
        <f t="shared" si="171"/>
        <v>0.05</v>
      </c>
      <c r="N4508" s="475">
        <f t="shared" si="172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70"/>
        <v>-51565683161507.953</v>
      </c>
      <c r="J4509" s="455">
        <f t="array" ref="J4509">IFERROR(INDEX('Retirement Calculator'!K:K,MATCH('Lorri 401b'!N4509,'Retirement Calculator'!A:A,0),0),0)</f>
        <v>0</v>
      </c>
      <c r="K4509" s="455">
        <f t="shared" ca="1" si="168"/>
        <v>-214857013172.9498</v>
      </c>
      <c r="L4509" s="455">
        <f t="shared" ca="1" si="169"/>
        <v>-51780540174680.906</v>
      </c>
      <c r="M4509" s="471">
        <f t="shared" si="171"/>
        <v>0.05</v>
      </c>
      <c r="N4509" s="475">
        <f t="shared" si="172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70"/>
        <v>-51780540174680.906</v>
      </c>
      <c r="J4510" s="455">
        <f t="array" ref="J4510">IFERROR(INDEX('Retirement Calculator'!K:K,MATCH('Lorri 401b'!N4510,'Retirement Calculator'!A:A,0),0),0)</f>
        <v>0</v>
      </c>
      <c r="K4510" s="455">
        <f t="shared" ca="1" si="168"/>
        <v>-215752250727.8371</v>
      </c>
      <c r="L4510" s="455">
        <f t="shared" ca="1" si="169"/>
        <v>-51996292425408.742</v>
      </c>
      <c r="M4510" s="471">
        <f t="shared" si="171"/>
        <v>0.05</v>
      </c>
      <c r="N4510" s="475">
        <f t="shared" si="172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70"/>
        <v>-51996292425408.742</v>
      </c>
      <c r="J4511" s="455">
        <f t="array" ref="J4511">IFERROR(INDEX('Retirement Calculator'!K:K,MATCH('Lorri 401b'!N4511,'Retirement Calculator'!A:A,0),0),0)</f>
        <v>0</v>
      </c>
      <c r="K4511" s="455">
        <f t="shared" ca="1" si="168"/>
        <v>-216651218439.20309</v>
      </c>
      <c r="L4511" s="455">
        <f t="shared" ca="1" si="169"/>
        <v>-52212943643847.945</v>
      </c>
      <c r="M4511" s="471">
        <f t="shared" si="171"/>
        <v>0.05</v>
      </c>
      <c r="N4511" s="475">
        <f t="shared" si="172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70"/>
        <v>-52212943643847.945</v>
      </c>
      <c r="J4512" s="455">
        <f t="array" ref="J4512">IFERROR(INDEX('Retirement Calculator'!K:K,MATCH('Lorri 401b'!N4512,'Retirement Calculator'!A:A,0),0),0)</f>
        <v>0</v>
      </c>
      <c r="K4512" s="455">
        <f t="shared" ca="1" si="168"/>
        <v>-217553931849.36642</v>
      </c>
      <c r="L4512" s="455">
        <f t="shared" ca="1" si="169"/>
        <v>-52430497575697.313</v>
      </c>
      <c r="M4512" s="471">
        <f t="shared" si="171"/>
        <v>0.05</v>
      </c>
      <c r="N4512" s="475">
        <f t="shared" si="172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70"/>
        <v>-52430497575697.313</v>
      </c>
      <c r="J4513" s="455">
        <f t="array" ref="J4513">IFERROR(INDEX('Retirement Calculator'!K:K,MATCH('Lorri 401b'!N4513,'Retirement Calculator'!A:A,0),0),0)</f>
        <v>0</v>
      </c>
      <c r="K4513" s="455">
        <f t="shared" ca="1" si="168"/>
        <v>-218460406565.40546</v>
      </c>
      <c r="L4513" s="455">
        <f t="shared" ca="1" si="169"/>
        <v>-52648957982262.719</v>
      </c>
      <c r="M4513" s="471">
        <f t="shared" si="171"/>
        <v>0.05</v>
      </c>
      <c r="N4513" s="475">
        <f t="shared" si="172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70"/>
        <v>-52648957982262.719</v>
      </c>
      <c r="J4514" s="455">
        <f t="array" ref="J4514">IFERROR(INDEX('Retirement Calculator'!K:K,MATCH('Lorri 401b'!N4514,'Retirement Calculator'!A:A,0),0),0)</f>
        <v>0</v>
      </c>
      <c r="K4514" s="455">
        <f t="shared" ca="1" si="168"/>
        <v>-219370658259.42798</v>
      </c>
      <c r="L4514" s="455">
        <f t="shared" ca="1" si="169"/>
        <v>-52868328640522.148</v>
      </c>
      <c r="M4514" s="471">
        <f t="shared" si="171"/>
        <v>0.05</v>
      </c>
      <c r="N4514" s="475">
        <f t="shared" si="172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70"/>
        <v>-52868328640522.148</v>
      </c>
      <c r="J4515" s="455">
        <f t="array" ref="J4515">IFERROR(INDEX('Retirement Calculator'!K:K,MATCH('Lorri 401b'!N4515,'Retirement Calculator'!A:A,0),0),0)</f>
        <v>0</v>
      </c>
      <c r="K4515" s="455">
        <f t="shared" ca="1" si="168"/>
        <v>-220284702668.84229</v>
      </c>
      <c r="L4515" s="455">
        <f t="shared" ca="1" si="169"/>
        <v>-53088613343190.992</v>
      </c>
      <c r="M4515" s="471">
        <f t="shared" si="171"/>
        <v>0.05</v>
      </c>
      <c r="N4515" s="475">
        <f t="shared" si="172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70"/>
        <v>-53088613343190.992</v>
      </c>
      <c r="J4516" s="455">
        <f t="array" ref="J4516">IFERROR(INDEX('Retirement Calculator'!K:K,MATCH('Lorri 401b'!N4516,'Retirement Calculator'!A:A,0),0),0)</f>
        <v>0</v>
      </c>
      <c r="K4516" s="455">
        <f t="shared" ca="1" si="168"/>
        <v>-221202555596.62912</v>
      </c>
      <c r="L4516" s="455">
        <f t="shared" ca="1" si="169"/>
        <v>-53309815898787.625</v>
      </c>
      <c r="M4516" s="471">
        <f t="shared" si="171"/>
        <v>0.05</v>
      </c>
      <c r="N4516" s="475">
        <f t="shared" si="172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70"/>
        <v>-53309815898787.625</v>
      </c>
      <c r="J4517" s="455">
        <f t="array" ref="J4517">IFERROR(INDEX('Retirement Calculator'!K:K,MATCH('Lorri 401b'!N4517,'Retirement Calculator'!A:A,0),0),0)</f>
        <v>0</v>
      </c>
      <c r="K4517" s="455">
        <f t="shared" ca="1" si="168"/>
        <v>-222124232911.61511</v>
      </c>
      <c r="L4517" s="455">
        <f t="shared" ca="1" si="169"/>
        <v>-53531940131699.242</v>
      </c>
      <c r="M4517" s="471">
        <f t="shared" si="171"/>
        <v>0.05</v>
      </c>
      <c r="N4517" s="475">
        <f t="shared" si="172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70"/>
        <v>-53531940131699.242</v>
      </c>
      <c r="J4518" s="455">
        <f t="array" ref="J4518">IFERROR(INDEX('Retirement Calculator'!K:K,MATCH('Lorri 401b'!N4518,'Retirement Calculator'!A:A,0),0),0)</f>
        <v>0</v>
      </c>
      <c r="K4518" s="455">
        <f t="shared" ca="1" si="168"/>
        <v>-223049750548.74683</v>
      </c>
      <c r="L4518" s="455">
        <f t="shared" ca="1" si="169"/>
        <v>-53754989882247.992</v>
      </c>
      <c r="M4518" s="471">
        <f t="shared" si="171"/>
        <v>0.05</v>
      </c>
      <c r="N4518" s="475">
        <f t="shared" si="172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70"/>
        <v>-53754989882247.992</v>
      </c>
      <c r="J4519" s="455">
        <f t="array" ref="J4519">IFERROR(INDEX('Retirement Calculator'!K:K,MATCH('Lorri 401b'!N4519,'Retirement Calculator'!A:A,0),0),0)</f>
        <v>0</v>
      </c>
      <c r="K4519" s="455">
        <f t="shared" ca="1" si="168"/>
        <v>-223979124509.36664</v>
      </c>
      <c r="L4519" s="455">
        <f t="shared" ca="1" si="169"/>
        <v>-53978969006757.359</v>
      </c>
      <c r="M4519" s="471">
        <f t="shared" si="171"/>
        <v>0.05</v>
      </c>
      <c r="N4519" s="475">
        <f t="shared" si="172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70"/>
        <v>-53978969006757.359</v>
      </c>
      <c r="J4520" s="455">
        <f t="array" ref="J4520">IFERROR(INDEX('Retirement Calculator'!K:K,MATCH('Lorri 401b'!N4520,'Retirement Calculator'!A:A,0),0),0)</f>
        <v>0</v>
      </c>
      <c r="K4520" s="455">
        <f t="shared" ca="1" si="168"/>
        <v>-224912370861.48898</v>
      </c>
      <c r="L4520" s="455">
        <f t="shared" ca="1" si="169"/>
        <v>-54203881377618.852</v>
      </c>
      <c r="M4520" s="471">
        <f t="shared" si="171"/>
        <v>0.05</v>
      </c>
      <c r="N4520" s="475">
        <f t="shared" si="172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70"/>
        <v>-54203881377618.852</v>
      </c>
      <c r="J4521" s="455">
        <f t="array" ref="J4521">IFERROR(INDEX('Retirement Calculator'!K:K,MATCH('Lorri 401b'!N4521,'Retirement Calculator'!A:A,0),0),0)</f>
        <v>0</v>
      </c>
      <c r="K4521" s="455">
        <f t="shared" ca="1" si="168"/>
        <v>-225849505740.07855</v>
      </c>
      <c r="L4521" s="455">
        <f t="shared" ca="1" si="169"/>
        <v>-54429730883358.93</v>
      </c>
      <c r="M4521" s="471">
        <f t="shared" si="171"/>
        <v>0.05</v>
      </c>
      <c r="N4521" s="475">
        <f t="shared" si="172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70"/>
        <v>-54429730883358.93</v>
      </c>
      <c r="J4522" s="455">
        <f t="array" ref="J4522">IFERROR(INDEX('Retirement Calculator'!K:K,MATCH('Lorri 401b'!N4522,'Retirement Calculator'!A:A,0),0),0)</f>
        <v>0</v>
      </c>
      <c r="K4522" s="455">
        <f t="shared" ca="1" si="168"/>
        <v>-226790545347.32886</v>
      </c>
      <c r="L4522" s="455">
        <f t="shared" ca="1" si="169"/>
        <v>-54656521428706.258</v>
      </c>
      <c r="M4522" s="471">
        <f t="shared" si="171"/>
        <v>0.05</v>
      </c>
      <c r="N4522" s="475">
        <f t="shared" si="172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70"/>
        <v>-54656521428706.258</v>
      </c>
      <c r="J4523" s="455">
        <f t="array" ref="J4523">IFERROR(INDEX('Retirement Calculator'!K:K,MATCH('Lorri 401b'!N4523,'Retirement Calculator'!A:A,0),0),0)</f>
        <v>0</v>
      </c>
      <c r="K4523" s="455">
        <f t="shared" ca="1" si="168"/>
        <v>-227735505952.94275</v>
      </c>
      <c r="L4523" s="455">
        <f t="shared" ca="1" si="169"/>
        <v>-54884256934659.203</v>
      </c>
      <c r="M4523" s="471">
        <f t="shared" si="171"/>
        <v>0.05</v>
      </c>
      <c r="N4523" s="475">
        <f t="shared" si="172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70"/>
        <v>-54884256934659.203</v>
      </c>
      <c r="J4524" s="455">
        <f t="array" ref="J4524">IFERROR(INDEX('Retirement Calculator'!K:K,MATCH('Lorri 401b'!N4524,'Retirement Calculator'!A:A,0),0),0)</f>
        <v>0</v>
      </c>
      <c r="K4524" s="455">
        <f t="shared" ca="1" si="168"/>
        <v>-228684403894.41333</v>
      </c>
      <c r="L4524" s="455">
        <f t="shared" ca="1" si="169"/>
        <v>-55112941338553.617</v>
      </c>
      <c r="M4524" s="471">
        <f t="shared" si="171"/>
        <v>0.05</v>
      </c>
      <c r="N4524" s="475">
        <f t="shared" si="172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70"/>
        <v>-55112941338553.617</v>
      </c>
      <c r="J4525" s="455">
        <f t="array" ref="J4525">IFERROR(INDEX('Retirement Calculator'!K:K,MATCH('Lorri 401b'!N4525,'Retirement Calculator'!A:A,0),0),0)</f>
        <v>0</v>
      </c>
      <c r="K4525" s="455">
        <f t="shared" ca="1" si="168"/>
        <v>-229637255577.30676</v>
      </c>
      <c r="L4525" s="455">
        <f t="shared" ca="1" si="169"/>
        <v>-55342578594130.922</v>
      </c>
      <c r="M4525" s="471">
        <f t="shared" si="171"/>
        <v>0.05</v>
      </c>
      <c r="N4525" s="475">
        <f t="shared" si="172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70"/>
        <v>-55342578594130.922</v>
      </c>
      <c r="J4526" s="455">
        <f t="array" ref="J4526">IFERROR(INDEX('Retirement Calculator'!K:K,MATCH('Lorri 401b'!N4526,'Retirement Calculator'!A:A,0),0),0)</f>
        <v>0</v>
      </c>
      <c r="K4526" s="455">
        <f t="shared" ca="1" si="168"/>
        <v>-230594077475.5455</v>
      </c>
      <c r="L4526" s="455">
        <f t="shared" ca="1" si="169"/>
        <v>-55573172671606.469</v>
      </c>
      <c r="M4526" s="471">
        <f t="shared" si="171"/>
        <v>0.05</v>
      </c>
      <c r="N4526" s="475">
        <f t="shared" si="172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70"/>
        <v>-55573172671606.469</v>
      </c>
      <c r="J4527" s="455">
        <f t="array" ref="J4527">IFERROR(INDEX('Retirement Calculator'!K:K,MATCH('Lorri 401b'!N4527,'Retirement Calculator'!A:A,0),0),0)</f>
        <v>0</v>
      </c>
      <c r="K4527" s="455">
        <f t="shared" ca="1" si="168"/>
        <v>-231554886131.69357</v>
      </c>
      <c r="L4527" s="455">
        <f t="shared" ca="1" si="169"/>
        <v>-55804727557738.164</v>
      </c>
      <c r="M4527" s="471">
        <f t="shared" si="171"/>
        <v>0.05</v>
      </c>
      <c r="N4527" s="475">
        <f t="shared" si="172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70"/>
        <v>-55804727557738.164</v>
      </c>
      <c r="J4528" s="455">
        <f t="array" ref="J4528">IFERROR(INDEX('Retirement Calculator'!K:K,MATCH('Lorri 401b'!N4528,'Retirement Calculator'!A:A,0),0),0)</f>
        <v>0</v>
      </c>
      <c r="K4528" s="455">
        <f t="shared" ca="1" si="168"/>
        <v>-232519698157.24234</v>
      </c>
      <c r="L4528" s="455">
        <f t="shared" ca="1" si="169"/>
        <v>-56037247255895.406</v>
      </c>
      <c r="M4528" s="471">
        <f t="shared" si="171"/>
        <v>0.05</v>
      </c>
      <c r="N4528" s="475">
        <f t="shared" si="172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70"/>
        <v>-56037247255895.406</v>
      </c>
      <c r="J4529" s="455">
        <f t="array" ref="J4529">IFERROR(INDEX('Retirement Calculator'!K:K,MATCH('Lorri 401b'!N4529,'Retirement Calculator'!A:A,0),0),0)</f>
        <v>0</v>
      </c>
      <c r="K4529" s="455">
        <f t="shared" ca="1" si="168"/>
        <v>-233488530232.89752</v>
      </c>
      <c r="L4529" s="455">
        <f t="shared" ca="1" si="169"/>
        <v>-56270735786128.305</v>
      </c>
      <c r="M4529" s="471">
        <f t="shared" si="171"/>
        <v>0.05</v>
      </c>
      <c r="N4529" s="475">
        <f t="shared" si="172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70"/>
        <v>-56270735786128.305</v>
      </c>
      <c r="J4530" s="455">
        <f t="array" ref="J4530">IFERROR(INDEX('Retirement Calculator'!K:K,MATCH('Lorri 401b'!N4530,'Retirement Calculator'!A:A,0),0),0)</f>
        <v>0</v>
      </c>
      <c r="K4530" s="455">
        <f t="shared" ca="1" si="168"/>
        <v>-234461399108.86789</v>
      </c>
      <c r="L4530" s="455">
        <f t="shared" ca="1" si="169"/>
        <v>-56505197185237.172</v>
      </c>
      <c r="M4530" s="471">
        <f t="shared" si="171"/>
        <v>0.05</v>
      </c>
      <c r="N4530" s="475">
        <f t="shared" si="172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70"/>
        <v>-56505197185237.172</v>
      </c>
      <c r="J4531" s="455">
        <f t="array" ref="J4531">IFERROR(INDEX('Retirement Calculator'!K:K,MATCH('Lorri 401b'!N4531,'Retirement Calculator'!A:A,0),0),0)</f>
        <v>0</v>
      </c>
      <c r="K4531" s="455">
        <f t="shared" ca="1" si="168"/>
        <v>-235438321605.15488</v>
      </c>
      <c r="L4531" s="455">
        <f t="shared" ca="1" si="169"/>
        <v>-56740635506842.328</v>
      </c>
      <c r="M4531" s="471">
        <f t="shared" si="171"/>
        <v>0.05</v>
      </c>
      <c r="N4531" s="475">
        <f t="shared" si="172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70"/>
        <v>-56740635506842.328</v>
      </c>
      <c r="J4532" s="455">
        <f t="array" ref="J4532">IFERROR(INDEX('Retirement Calculator'!K:K,MATCH('Lorri 401b'!N4532,'Retirement Calculator'!A:A,0),0),0)</f>
        <v>0</v>
      </c>
      <c r="K4532" s="455">
        <f t="shared" ca="1" si="168"/>
        <v>-236419314611.84302</v>
      </c>
      <c r="L4532" s="455">
        <f t="shared" ca="1" si="169"/>
        <v>-56977054821454.172</v>
      </c>
      <c r="M4532" s="471">
        <f t="shared" si="171"/>
        <v>0.05</v>
      </c>
      <c r="N4532" s="475">
        <f t="shared" si="172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70"/>
        <v>-56977054821454.172</v>
      </c>
      <c r="J4533" s="455">
        <f t="array" ref="J4533">IFERROR(INDEX('Retirement Calculator'!K:K,MATCH('Lorri 401b'!N4533,'Retirement Calculator'!A:A,0),0),0)</f>
        <v>0</v>
      </c>
      <c r="K4533" s="455">
        <f t="shared" ca="1" si="168"/>
        <v>-237404395089.39236</v>
      </c>
      <c r="L4533" s="455">
        <f t="shared" ca="1" si="169"/>
        <v>-57214459216543.563</v>
      </c>
      <c r="M4533" s="471">
        <f t="shared" si="171"/>
        <v>0.05</v>
      </c>
      <c r="N4533" s="475">
        <f t="shared" si="172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70"/>
        <v>-57214459216543.563</v>
      </c>
      <c r="J4534" s="455">
        <f t="array" ref="J4534">IFERROR(INDEX('Retirement Calculator'!K:K,MATCH('Lorri 401b'!N4534,'Retirement Calculator'!A:A,0),0),0)</f>
        <v>0</v>
      </c>
      <c r="K4534" s="455">
        <f t="shared" ca="1" si="168"/>
        <v>-238393580068.93149</v>
      </c>
      <c r="L4534" s="455">
        <f t="shared" ca="1" si="169"/>
        <v>-57452852796612.492</v>
      </c>
      <c r="M4534" s="471">
        <f t="shared" si="171"/>
        <v>0.05</v>
      </c>
      <c r="N4534" s="475">
        <f t="shared" si="172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70"/>
        <v>-57452852796612.492</v>
      </c>
      <c r="J4535" s="455">
        <f t="array" ref="J4535">IFERROR(INDEX('Retirement Calculator'!K:K,MATCH('Lorri 401b'!N4535,'Retirement Calculator'!A:A,0),0),0)</f>
        <v>0</v>
      </c>
      <c r="K4535" s="455">
        <f t="shared" ca="1" si="168"/>
        <v>-239386886652.55203</v>
      </c>
      <c r="L4535" s="455">
        <f t="shared" ca="1" si="169"/>
        <v>-57692239683265.047</v>
      </c>
      <c r="M4535" s="471">
        <f t="shared" si="171"/>
        <v>0.05</v>
      </c>
      <c r="N4535" s="475">
        <f t="shared" si="172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70"/>
        <v>-57692239683265.047</v>
      </c>
      <c r="J4536" s="455">
        <f t="array" ref="J4536">IFERROR(INDEX('Retirement Calculator'!K:K,MATCH('Lorri 401b'!N4536,'Retirement Calculator'!A:A,0),0),0)</f>
        <v>0</v>
      </c>
      <c r="K4536" s="455">
        <f t="shared" ca="1" si="168"/>
        <v>-240384332013.60434</v>
      </c>
      <c r="L4536" s="455">
        <f t="shared" ca="1" si="169"/>
        <v>-57932624015278.648</v>
      </c>
      <c r="M4536" s="471">
        <f t="shared" si="171"/>
        <v>0.05</v>
      </c>
      <c r="N4536" s="475">
        <f t="shared" si="172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70"/>
        <v>-57932624015278.648</v>
      </c>
      <c r="J4537" s="455">
        <f t="array" ref="J4537">IFERROR(INDEX('Retirement Calculator'!K:K,MATCH('Lorri 401b'!N4537,'Retirement Calculator'!A:A,0),0),0)</f>
        <v>0</v>
      </c>
      <c r="K4537" s="455">
        <f t="shared" ca="1" si="168"/>
        <v>-241385933396.99435</v>
      </c>
      <c r="L4537" s="455">
        <f t="shared" ca="1" si="169"/>
        <v>-58174009948675.641</v>
      </c>
      <c r="M4537" s="471">
        <f t="shared" si="171"/>
        <v>0.05</v>
      </c>
      <c r="N4537" s="475">
        <f t="shared" si="172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70"/>
        <v>-58174009948675.641</v>
      </c>
      <c r="J4538" s="455">
        <f t="array" ref="J4538">IFERROR(INDEX('Retirement Calculator'!K:K,MATCH('Lorri 401b'!N4538,'Retirement Calculator'!A:A,0),0),0)</f>
        <v>0</v>
      </c>
      <c r="K4538" s="455">
        <f t="shared" ca="1" si="168"/>
        <v>-242391708119.48184</v>
      </c>
      <c r="L4538" s="455">
        <f t="shared" ca="1" si="169"/>
        <v>-58416401656795.125</v>
      </c>
      <c r="M4538" s="471">
        <f t="shared" si="171"/>
        <v>0.05</v>
      </c>
      <c r="N4538" s="475">
        <f t="shared" si="172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70"/>
        <v>-58416401656795.125</v>
      </c>
      <c r="J4539" s="455">
        <f t="array" ref="J4539">IFERROR(INDEX('Retirement Calculator'!K:K,MATCH('Lorri 401b'!N4539,'Retirement Calculator'!A:A,0),0),0)</f>
        <v>0</v>
      </c>
      <c r="K4539" s="455">
        <f t="shared" ca="1" si="168"/>
        <v>-243401673569.97968</v>
      </c>
      <c r="L4539" s="455">
        <f t="shared" ca="1" si="169"/>
        <v>-58659803330365.102</v>
      </c>
      <c r="M4539" s="471">
        <f t="shared" si="171"/>
        <v>0.05</v>
      </c>
      <c r="N4539" s="475">
        <f t="shared" si="172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70"/>
        <v>-58659803330365.102</v>
      </c>
      <c r="J4540" s="455">
        <f t="array" ref="J4540">IFERROR(INDEX('Retirement Calculator'!K:K,MATCH('Lorri 401b'!N4540,'Retirement Calculator'!A:A,0),0),0)</f>
        <v>0</v>
      </c>
      <c r="K4540" s="455">
        <f t="shared" ca="1" si="168"/>
        <v>-244415847209.85458</v>
      </c>
      <c r="L4540" s="455">
        <f t="shared" ca="1" si="169"/>
        <v>-58904219177574.953</v>
      </c>
      <c r="M4540" s="471">
        <f t="shared" si="171"/>
        <v>0.05</v>
      </c>
      <c r="N4540" s="475">
        <f t="shared" si="172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70"/>
        <v>-58904219177574.953</v>
      </c>
      <c r="J4541" s="455">
        <f t="array" ref="J4541">IFERROR(INDEX('Retirement Calculator'!K:K,MATCH('Lorri 401b'!N4541,'Retirement Calculator'!A:A,0),0),0)</f>
        <v>0</v>
      </c>
      <c r="K4541" s="455">
        <f t="shared" ca="1" si="168"/>
        <v>-245434246573.22897</v>
      </c>
      <c r="L4541" s="455">
        <f t="shared" ca="1" si="169"/>
        <v>-59149653424148.18</v>
      </c>
      <c r="M4541" s="471">
        <f t="shared" si="171"/>
        <v>0.05</v>
      </c>
      <c r="N4541" s="475">
        <f t="shared" si="172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70"/>
        <v>-59149653424148.18</v>
      </c>
      <c r="J4542" s="455">
        <f t="array" ref="J4542">IFERROR(INDEX('Retirement Calculator'!K:K,MATCH('Lorri 401b'!N4542,'Retirement Calculator'!A:A,0),0),0)</f>
        <v>0</v>
      </c>
      <c r="K4542" s="455">
        <f t="shared" ca="1" si="168"/>
        <v>-246456889267.28406</v>
      </c>
      <c r="L4542" s="455">
        <f t="shared" ca="1" si="169"/>
        <v>-59396110313415.461</v>
      </c>
      <c r="M4542" s="471">
        <f t="shared" si="171"/>
        <v>0.05</v>
      </c>
      <c r="N4542" s="475">
        <f t="shared" si="172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70"/>
        <v>-59396110313415.461</v>
      </c>
      <c r="J4543" s="455">
        <f t="array" ref="J4543">IFERROR(INDEX('Retirement Calculator'!K:K,MATCH('Lorri 401b'!N4543,'Retirement Calculator'!A:A,0),0),0)</f>
        <v>0</v>
      </c>
      <c r="K4543" s="455">
        <f t="shared" ca="1" si="168"/>
        <v>-247483792972.56442</v>
      </c>
      <c r="L4543" s="455">
        <f t="shared" ca="1" si="169"/>
        <v>-59643594106388.023</v>
      </c>
      <c r="M4543" s="471">
        <f t="shared" si="171"/>
        <v>0.05</v>
      </c>
      <c r="N4543" s="475">
        <f t="shared" si="172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70"/>
        <v>-59643594106388.023</v>
      </c>
      <c r="J4544" s="455">
        <f t="array" ref="J4544">IFERROR(INDEX('Retirement Calculator'!K:K,MATCH('Lorri 401b'!N4544,'Retirement Calculator'!A:A,0),0),0)</f>
        <v>0</v>
      </c>
      <c r="K4544" s="455">
        <f t="shared" ca="1" si="168"/>
        <v>-248514975443.28345</v>
      </c>
      <c r="L4544" s="455">
        <f t="shared" ca="1" si="169"/>
        <v>-59892109081831.305</v>
      </c>
      <c r="M4544" s="471">
        <f t="shared" si="171"/>
        <v>0.05</v>
      </c>
      <c r="N4544" s="475">
        <f t="shared" si="172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70"/>
        <v>-59892109081831.305</v>
      </c>
      <c r="J4545" s="455">
        <f t="array" ref="J4545">IFERROR(INDEX('Retirement Calculator'!K:K,MATCH('Lorri 401b'!N4545,'Retirement Calculator'!A:A,0),0),0)</f>
        <v>0</v>
      </c>
      <c r="K4545" s="455">
        <f t="shared" ca="1" si="168"/>
        <v>-249550454507.63043</v>
      </c>
      <c r="L4545" s="455">
        <f t="shared" ca="1" si="169"/>
        <v>-60141659536338.938</v>
      </c>
      <c r="M4545" s="471">
        <f t="shared" si="171"/>
        <v>0.05</v>
      </c>
      <c r="N4545" s="475">
        <f t="shared" si="172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70"/>
        <v>-60141659536338.938</v>
      </c>
      <c r="J4546" s="455">
        <f t="array" ref="J4546">IFERROR(INDEX('Retirement Calculator'!K:K,MATCH('Lorri 401b'!N4546,'Retirement Calculator'!A:A,0),0),0)</f>
        <v>0</v>
      </c>
      <c r="K4546" s="455">
        <f t="shared" ca="1" si="168"/>
        <v>-250590248068.07889</v>
      </c>
      <c r="L4546" s="455">
        <f t="shared" ca="1" si="169"/>
        <v>-60392249784407.016</v>
      </c>
      <c r="M4546" s="471">
        <f t="shared" si="171"/>
        <v>0.05</v>
      </c>
      <c r="N4546" s="475">
        <f t="shared" si="172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70"/>
        <v>-60392249784407.016</v>
      </c>
      <c r="J4547" s="455">
        <f t="array" ref="J4547">IFERROR(INDEX('Retirement Calculator'!K:K,MATCH('Lorri 401b'!N4547,'Retirement Calculator'!A:A,0),0),0)</f>
        <v>0</v>
      </c>
      <c r="K4547" s="455">
        <f t="shared" ca="1" si="168"/>
        <v>-251634374101.69589</v>
      </c>
      <c r="L4547" s="455">
        <f t="shared" ca="1" si="169"/>
        <v>-60643884158508.711</v>
      </c>
      <c r="M4547" s="471">
        <f t="shared" si="171"/>
        <v>0.05</v>
      </c>
      <c r="N4547" s="475">
        <f t="shared" si="172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70"/>
        <v>-60643884158508.711</v>
      </c>
      <c r="J4548" s="455">
        <f t="array" ref="J4548">IFERROR(INDEX('Retirement Calculator'!K:K,MATCH('Lorri 401b'!N4548,'Retirement Calculator'!A:A,0),0),0)</f>
        <v>0</v>
      </c>
      <c r="K4548" s="455">
        <f t="shared" ca="1" si="168"/>
        <v>-252682850660.45297</v>
      </c>
      <c r="L4548" s="455">
        <f t="shared" ca="1" si="169"/>
        <v>-60896567009169.164</v>
      </c>
      <c r="M4548" s="471">
        <f t="shared" si="171"/>
        <v>0.05</v>
      </c>
      <c r="N4548" s="475">
        <f t="shared" si="172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70"/>
        <v>-60896567009169.164</v>
      </c>
      <c r="J4549" s="455">
        <f t="array" ref="J4549">IFERROR(INDEX('Retirement Calculator'!K:K,MATCH('Lorri 401b'!N4549,'Retirement Calculator'!A:A,0),0),0)</f>
        <v>0</v>
      </c>
      <c r="K4549" s="455">
        <f t="shared" ca="1" si="168"/>
        <v>-253735695871.53818</v>
      </c>
      <c r="L4549" s="455">
        <f t="shared" ca="1" si="169"/>
        <v>-61150302705040.703</v>
      </c>
      <c r="M4549" s="471">
        <f t="shared" si="171"/>
        <v>0.05</v>
      </c>
      <c r="N4549" s="475">
        <f t="shared" si="172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70"/>
        <v>-61150302705040.703</v>
      </c>
      <c r="J4550" s="455">
        <f t="array" ref="J4550">IFERROR(INDEX('Retirement Calculator'!K:K,MATCH('Lorri 401b'!N4550,'Retirement Calculator'!A:A,0),0),0)</f>
        <v>0</v>
      </c>
      <c r="K4550" s="455">
        <f t="shared" ca="1" si="168"/>
        <v>-254792927937.66959</v>
      </c>
      <c r="L4550" s="455">
        <f t="shared" ca="1" si="169"/>
        <v>-61405095632978.375</v>
      </c>
      <c r="M4550" s="471">
        <f t="shared" si="171"/>
        <v>0.05</v>
      </c>
      <c r="N4550" s="475">
        <f t="shared" si="172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70"/>
        <v>-61405095632978.375</v>
      </c>
      <c r="J4551" s="455">
        <f t="array" ref="J4551">IFERROR(INDEX('Retirement Calculator'!K:K,MATCH('Lorri 401b'!N4551,'Retirement Calculator'!A:A,0),0),0)</f>
        <v>0</v>
      </c>
      <c r="K4551" s="455">
        <f t="shared" ca="1" si="168"/>
        <v>-255854565137.40991</v>
      </c>
      <c r="L4551" s="455">
        <f t="shared" ca="1" si="169"/>
        <v>-61660950198115.781</v>
      </c>
      <c r="M4551" s="471">
        <f t="shared" si="171"/>
        <v>0.05</v>
      </c>
      <c r="N4551" s="475">
        <f t="shared" si="172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70"/>
        <v>-61660950198115.781</v>
      </c>
      <c r="J4552" s="455">
        <f t="array" ref="J4552">IFERROR(INDEX('Retirement Calculator'!K:K,MATCH('Lorri 401b'!N4552,'Retirement Calculator'!A:A,0),0),0)</f>
        <v>0</v>
      </c>
      <c r="K4552" s="455">
        <f t="shared" ca="1" si="168"/>
        <v>-256920625825.48239</v>
      </c>
      <c r="L4552" s="455">
        <f t="shared" ca="1" si="169"/>
        <v>-61917870823941.266</v>
      </c>
      <c r="M4552" s="471">
        <f t="shared" si="171"/>
        <v>0.05</v>
      </c>
      <c r="N4552" s="475">
        <f t="shared" si="172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70"/>
        <v>-61917870823941.266</v>
      </c>
      <c r="J4553" s="455">
        <f t="array" ref="J4553">IFERROR(INDEX('Retirement Calculator'!K:K,MATCH('Lorri 401b'!N4553,'Retirement Calculator'!A:A,0),0),0)</f>
        <v>0</v>
      </c>
      <c r="K4553" s="455">
        <f t="shared" ca="1" si="168"/>
        <v>-257991128433.08862</v>
      </c>
      <c r="L4553" s="455">
        <f t="shared" ca="1" si="169"/>
        <v>-62175861952374.352</v>
      </c>
      <c r="M4553" s="471">
        <f t="shared" si="171"/>
        <v>0.05</v>
      </c>
      <c r="N4553" s="475">
        <f t="shared" si="172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70"/>
        <v>-62175861952374.352</v>
      </c>
      <c r="J4554" s="455">
        <f t="array" ref="J4554">IFERROR(INDEX('Retirement Calculator'!K:K,MATCH('Lorri 401b'!N4554,'Retirement Calculator'!A:A,0),0),0)</f>
        <v>0</v>
      </c>
      <c r="K4554" s="455">
        <f t="shared" ca="1" si="168"/>
        <v>-259066091468.22647</v>
      </c>
      <c r="L4554" s="455">
        <f t="shared" ca="1" si="169"/>
        <v>-62434928043842.578</v>
      </c>
      <c r="M4554" s="471">
        <f t="shared" si="171"/>
        <v>0.05</v>
      </c>
      <c r="N4554" s="475">
        <f t="shared" si="172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70"/>
        <v>-62434928043842.578</v>
      </c>
      <c r="J4555" s="455">
        <f t="array" ref="J4555">IFERROR(INDEX('Retirement Calculator'!K:K,MATCH('Lorri 401b'!N4555,'Retirement Calculator'!A:A,0),0),0)</f>
        <v>0</v>
      </c>
      <c r="K4555" s="455">
        <f t="shared" ca="1" si="168"/>
        <v>-260145533516.01074</v>
      </c>
      <c r="L4555" s="455">
        <f t="shared" ca="1" si="169"/>
        <v>-62695073577358.586</v>
      </c>
      <c r="M4555" s="471">
        <f t="shared" si="171"/>
        <v>0.05</v>
      </c>
      <c r="N4555" s="475">
        <f t="shared" si="172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70"/>
        <v>-62695073577358.586</v>
      </c>
      <c r="J4556" s="455">
        <f t="array" ref="J4556">IFERROR(INDEX('Retirement Calculator'!K:K,MATCH('Lorri 401b'!N4556,'Retirement Calculator'!A:A,0),0),0)</f>
        <v>0</v>
      </c>
      <c r="K4556" s="455">
        <f t="shared" ca="1" si="168"/>
        <v>-261229473238.99414</v>
      </c>
      <c r="L4556" s="455">
        <f t="shared" ca="1" si="169"/>
        <v>-62956303050597.578</v>
      </c>
      <c r="M4556" s="471">
        <f t="shared" si="171"/>
        <v>0.05</v>
      </c>
      <c r="N4556" s="475">
        <f t="shared" si="172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70"/>
        <v>-62956303050597.578</v>
      </c>
      <c r="J4557" s="455">
        <f t="array" ref="J4557">IFERROR(INDEX('Retirement Calculator'!K:K,MATCH('Lorri 401b'!N4557,'Retirement Calculator'!A:A,0),0),0)</f>
        <v>0</v>
      </c>
      <c r="K4557" s="455">
        <f t="shared" ca="1" si="168"/>
        <v>-262317929377.4899</v>
      </c>
      <c r="L4557" s="455">
        <f t="shared" ca="1" si="169"/>
        <v>-63218620979975.07</v>
      </c>
      <c r="M4557" s="471">
        <f t="shared" si="171"/>
        <v>0.05</v>
      </c>
      <c r="N4557" s="475">
        <f t="shared" si="172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70"/>
        <v>-63218620979975.07</v>
      </c>
      <c r="J4558" s="455">
        <f t="array" ref="J4558">IFERROR(INDEX('Retirement Calculator'!K:K,MATCH('Lorri 401b'!N4558,'Retirement Calculator'!A:A,0),0),0)</f>
        <v>0</v>
      </c>
      <c r="K4558" s="455">
        <f t="shared" ca="1" si="168"/>
        <v>-263410920749.89612</v>
      </c>
      <c r="L4558" s="455">
        <f t="shared" ca="1" si="169"/>
        <v>-63482031900724.969</v>
      </c>
      <c r="M4558" s="471">
        <f t="shared" si="171"/>
        <v>0.05</v>
      </c>
      <c r="N4558" s="475">
        <f t="shared" si="172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70"/>
        <v>-63482031900724.969</v>
      </c>
      <c r="J4559" s="455">
        <f t="array" ref="J4559">IFERROR(INDEX('Retirement Calculator'!K:K,MATCH('Lorri 401b'!N4559,'Retirement Calculator'!A:A,0),0),0)</f>
        <v>0</v>
      </c>
      <c r="K4559" s="455">
        <f t="shared" ca="1" si="168"/>
        <v>-264508466253.02069</v>
      </c>
      <c r="L4559" s="455">
        <f t="shared" ca="1" si="169"/>
        <v>-63746540366977.992</v>
      </c>
      <c r="M4559" s="471">
        <f t="shared" si="171"/>
        <v>0.05</v>
      </c>
      <c r="N4559" s="475">
        <f t="shared" si="172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70"/>
        <v>-63746540366977.992</v>
      </c>
      <c r="J4560" s="455">
        <f t="array" ref="J4560">IFERROR(INDEX('Retirement Calculator'!K:K,MATCH('Lorri 401b'!N4560,'Retirement Calculator'!A:A,0),0),0)</f>
        <v>0</v>
      </c>
      <c r="K4560" s="455">
        <f t="shared" ca="1" si="168"/>
        <v>-265610584862.40829</v>
      </c>
      <c r="L4560" s="455">
        <f t="shared" ca="1" si="169"/>
        <v>-64012150951840.398</v>
      </c>
      <c r="M4560" s="471">
        <f t="shared" si="171"/>
        <v>0.05</v>
      </c>
      <c r="N4560" s="475">
        <f t="shared" si="172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70"/>
        <v>-64012150951840.398</v>
      </c>
      <c r="J4561" s="455">
        <f t="array" ref="J4561">IFERROR(INDEX('Retirement Calculator'!K:K,MATCH('Lorri 401b'!N4561,'Retirement Calculator'!A:A,0),0),0)</f>
        <v>0</v>
      </c>
      <c r="K4561" s="455">
        <f t="shared" ca="1" si="168"/>
        <v>-266717295632.66833</v>
      </c>
      <c r="L4561" s="455">
        <f t="shared" ca="1" si="169"/>
        <v>-64278868247473.07</v>
      </c>
      <c r="M4561" s="471">
        <f t="shared" si="171"/>
        <v>0.05</v>
      </c>
      <c r="N4561" s="475">
        <f t="shared" si="172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70"/>
        <v>-64278868247473.07</v>
      </c>
      <c r="J4562" s="455">
        <f t="array" ref="J4562">IFERROR(INDEX('Retirement Calculator'!K:K,MATCH('Lorri 401b'!N4562,'Retirement Calculator'!A:A,0),0),0)</f>
        <v>0</v>
      </c>
      <c r="K4562" s="455">
        <f t="shared" ca="1" si="168"/>
        <v>-267828617697.80444</v>
      </c>
      <c r="L4562" s="455">
        <f t="shared" ca="1" si="169"/>
        <v>-64546696865170.875</v>
      </c>
      <c r="M4562" s="471">
        <f t="shared" si="171"/>
        <v>0.05</v>
      </c>
      <c r="N4562" s="475">
        <f t="shared" si="172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70"/>
        <v>-64546696865170.875</v>
      </c>
      <c r="J4563" s="455">
        <f t="array" ref="J4563">IFERROR(INDEX('Retirement Calculator'!K:K,MATCH('Lorri 401b'!N4563,'Retirement Calculator'!A:A,0),0),0)</f>
        <v>0</v>
      </c>
      <c r="K4563" s="455">
        <f t="shared" ca="1" si="168"/>
        <v>-268944570271.54532</v>
      </c>
      <c r="L4563" s="455">
        <f t="shared" ca="1" si="169"/>
        <v>-64815641435442.422</v>
      </c>
      <c r="M4563" s="471">
        <f t="shared" si="171"/>
        <v>0.05</v>
      </c>
      <c r="N4563" s="475">
        <f t="shared" si="172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70"/>
        <v>-64815641435442.422</v>
      </c>
      <c r="J4564" s="455">
        <f t="array" ref="J4564">IFERROR(INDEX('Retirement Calculator'!K:K,MATCH('Lorri 401b'!N4564,'Retirement Calculator'!A:A,0),0),0)</f>
        <v>0</v>
      </c>
      <c r="K4564" s="455">
        <f t="shared" ca="1" si="168"/>
        <v>-270065172647.67673</v>
      </c>
      <c r="L4564" s="455">
        <f t="shared" ca="1" si="169"/>
        <v>-65085706608090.102</v>
      </c>
      <c r="M4564" s="471">
        <f t="shared" si="171"/>
        <v>0.05</v>
      </c>
      <c r="N4564" s="475">
        <f t="shared" si="172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70"/>
        <v>-65085706608090.102</v>
      </c>
      <c r="J4565" s="455">
        <f t="array" ref="J4565">IFERROR(INDEX('Retirement Calculator'!K:K,MATCH('Lorri 401b'!N4565,'Retirement Calculator'!A:A,0),0),0)</f>
        <v>0</v>
      </c>
      <c r="K4565" s="455">
        <f t="shared" ca="1" si="168"/>
        <v>-271190444200.37546</v>
      </c>
      <c r="L4565" s="455">
        <f t="shared" ca="1" si="169"/>
        <v>-65356897052290.477</v>
      </c>
      <c r="M4565" s="471">
        <f t="shared" si="171"/>
        <v>0.05</v>
      </c>
      <c r="N4565" s="475">
        <f t="shared" si="172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70"/>
        <v>-65356897052290.477</v>
      </c>
      <c r="J4566" s="455">
        <f t="array" ref="J4566">IFERROR(INDEX('Retirement Calculator'!K:K,MATCH('Lorri 401b'!N4566,'Retirement Calculator'!A:A,0),0),0)</f>
        <v>0</v>
      </c>
      <c r="K4566" s="455">
        <f t="shared" ca="1" si="168"/>
        <v>-272320404384.54364</v>
      </c>
      <c r="L4566" s="455">
        <f t="shared" ca="1" si="169"/>
        <v>-65629217456675.023</v>
      </c>
      <c r="M4566" s="471">
        <f t="shared" si="171"/>
        <v>0.05</v>
      </c>
      <c r="N4566" s="475">
        <f t="shared" si="172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70"/>
        <v>-65629217456675.023</v>
      </c>
      <c r="J4567" s="455">
        <f t="array" ref="J4567">IFERROR(INDEX('Retirement Calculator'!K:K,MATCH('Lorri 401b'!N4567,'Retirement Calculator'!A:A,0),0),0)</f>
        <v>0</v>
      </c>
      <c r="K4567" s="455">
        <f t="shared" ca="1" si="168"/>
        <v>-273455072736.14594</v>
      </c>
      <c r="L4567" s="455">
        <f t="shared" ca="1" si="169"/>
        <v>-65902672529411.172</v>
      </c>
      <c r="M4567" s="471">
        <f t="shared" si="171"/>
        <v>0.05</v>
      </c>
      <c r="N4567" s="475">
        <f t="shared" si="172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70"/>
        <v>-65902672529411.172</v>
      </c>
      <c r="J4568" s="455">
        <f t="array" ref="J4568">IFERROR(INDEX('Retirement Calculator'!K:K,MATCH('Lorri 401b'!N4568,'Retirement Calculator'!A:A,0),0),0)</f>
        <v>0</v>
      </c>
      <c r="K4568" s="455">
        <f t="shared" ca="1" si="168"/>
        <v>-274594468872.54657</v>
      </c>
      <c r="L4568" s="455">
        <f t="shared" ca="1" si="169"/>
        <v>-66177266998283.719</v>
      </c>
      <c r="M4568" s="471">
        <f t="shared" si="171"/>
        <v>0.05</v>
      </c>
      <c r="N4568" s="475">
        <f t="shared" si="172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70"/>
        <v>-66177266998283.719</v>
      </c>
      <c r="J4569" s="455">
        <f t="array" ref="J4569">IFERROR(INDEX('Retirement Calculator'!K:K,MATCH('Lorri 401b'!N4569,'Retirement Calculator'!A:A,0),0),0)</f>
        <v>0</v>
      </c>
      <c r="K4569" s="455">
        <f t="shared" ca="1" si="168"/>
        <v>-275738612492.84882</v>
      </c>
      <c r="L4569" s="455">
        <f t="shared" ca="1" si="169"/>
        <v>-66453005610776.57</v>
      </c>
      <c r="M4569" s="471">
        <f t="shared" si="171"/>
        <v>0.05</v>
      </c>
      <c r="N4569" s="475">
        <f t="shared" si="172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70"/>
        <v>-66453005610776.57</v>
      </c>
      <c r="J4570" s="455">
        <f t="array" ref="J4570">IFERROR(INDEX('Retirement Calculator'!K:K,MATCH('Lorri 401b'!N4570,'Retirement Calculator'!A:A,0),0),0)</f>
        <v>0</v>
      </c>
      <c r="K4570" s="455">
        <f t="shared" ca="1" si="168"/>
        <v>-276887523378.23572</v>
      </c>
      <c r="L4570" s="455">
        <f t="shared" ca="1" si="169"/>
        <v>-66729893134154.805</v>
      </c>
      <c r="M4570" s="471">
        <f t="shared" si="171"/>
        <v>0.05</v>
      </c>
      <c r="N4570" s="475">
        <f t="shared" si="172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70"/>
        <v>-66729893134154.805</v>
      </c>
      <c r="J4571" s="455">
        <f t="array" ref="J4571">IFERROR(INDEX('Retirement Calculator'!K:K,MATCH('Lorri 401b'!N4571,'Retirement Calculator'!A:A,0),0),0)</f>
        <v>0</v>
      </c>
      <c r="K4571" s="455">
        <f t="shared" ca="1" si="168"/>
        <v>-278041221392.31171</v>
      </c>
      <c r="L4571" s="455">
        <f t="shared" ca="1" si="169"/>
        <v>-67007934355547.117</v>
      </c>
      <c r="M4571" s="471">
        <f t="shared" si="171"/>
        <v>0.05</v>
      </c>
      <c r="N4571" s="475">
        <f t="shared" si="172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70"/>
        <v>-67007934355547.117</v>
      </c>
      <c r="J4572" s="455">
        <f t="array" ref="J4572">IFERROR(INDEX('Retirement Calculator'!K:K,MATCH('Lorri 401b'!N4572,'Retirement Calculator'!A:A,0),0),0)</f>
        <v>0</v>
      </c>
      <c r="K4572" s="455">
        <f t="shared" ca="1" si="168"/>
        <v>-279199726481.44629</v>
      </c>
      <c r="L4572" s="455">
        <f t="shared" ca="1" si="169"/>
        <v>-67287134082028.563</v>
      </c>
      <c r="M4572" s="471">
        <f t="shared" si="171"/>
        <v>0.05</v>
      </c>
      <c r="N4572" s="475">
        <f t="shared" si="172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70"/>
        <v>-67287134082028.563</v>
      </c>
      <c r="J4573" s="455">
        <f t="array" ref="J4573">IFERROR(INDEX('Retirement Calculator'!K:K,MATCH('Lorri 401b'!N4573,'Retirement Calculator'!A:A,0),0),0)</f>
        <v>0</v>
      </c>
      <c r="K4573" s="455">
        <f t="shared" ca="1" si="168"/>
        <v>-280363058675.11902</v>
      </c>
      <c r="L4573" s="455">
        <f t="shared" ca="1" si="169"/>
        <v>-67567497140703.68</v>
      </c>
      <c r="M4573" s="471">
        <f t="shared" si="171"/>
        <v>0.05</v>
      </c>
      <c r="N4573" s="475">
        <f t="shared" si="172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70"/>
        <v>-67567497140703.68</v>
      </c>
      <c r="J4574" s="455">
        <f t="array" ref="J4574">IFERROR(INDEX('Retirement Calculator'!K:K,MATCH('Lorri 401b'!N4574,'Retirement Calculator'!A:A,0),0),0)</f>
        <v>0</v>
      </c>
      <c r="K4574" s="455">
        <f t="shared" ca="1" si="168"/>
        <v>-281531238086.26532</v>
      </c>
      <c r="L4574" s="455">
        <f t="shared" ca="1" si="169"/>
        <v>-67849028378789.945</v>
      </c>
      <c r="M4574" s="471">
        <f t="shared" si="171"/>
        <v>0.05</v>
      </c>
      <c r="N4574" s="475">
        <f t="shared" si="172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70"/>
        <v>-67849028378789.945</v>
      </c>
      <c r="J4575" s="455">
        <f t="array" ref="J4575">IFERROR(INDEX('Retirement Calculator'!K:K,MATCH('Lorri 401b'!N4575,'Retirement Calculator'!A:A,0),0),0)</f>
        <v>0</v>
      </c>
      <c r="K4575" s="455">
        <f t="shared" ca="1" si="168"/>
        <v>-282704284911.62476</v>
      </c>
      <c r="L4575" s="455">
        <f t="shared" ca="1" si="169"/>
        <v>-68131732663701.57</v>
      </c>
      <c r="M4575" s="471">
        <f t="shared" si="171"/>
        <v>0.05</v>
      </c>
      <c r="N4575" s="475">
        <f t="shared" si="172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70"/>
        <v>-68131732663701.57</v>
      </c>
      <c r="J4576" s="455">
        <f t="array" ref="J4576">IFERROR(INDEX('Retirement Calculator'!K:K,MATCH('Lorri 401b'!N4576,'Retirement Calculator'!A:A,0),0),0)</f>
        <v>0</v>
      </c>
      <c r="K4576" s="455">
        <f t="shared" ca="1" si="168"/>
        <v>-283882219432.0899</v>
      </c>
      <c r="L4576" s="455">
        <f t="shared" ca="1" si="169"/>
        <v>-68415614883133.664</v>
      </c>
      <c r="M4576" s="471">
        <f t="shared" si="171"/>
        <v>0.05</v>
      </c>
      <c r="N4576" s="475">
        <f t="shared" si="172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70"/>
        <v>-68415614883133.664</v>
      </c>
      <c r="J4577" s="455">
        <f t="array" ref="J4577">IFERROR(INDEX('Retirement Calculator'!K:K,MATCH('Lorri 401b'!N4577,'Retirement Calculator'!A:A,0),0),0)</f>
        <v>0</v>
      </c>
      <c r="K4577" s="455">
        <f t="shared" ca="1" si="168"/>
        <v>-285065062013.05695</v>
      </c>
      <c r="L4577" s="455">
        <f t="shared" ca="1" si="169"/>
        <v>-68700679945146.719</v>
      </c>
      <c r="M4577" s="471">
        <f t="shared" si="171"/>
        <v>0.05</v>
      </c>
      <c r="N4577" s="475">
        <f t="shared" si="172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70"/>
        <v>-68700679945146.719</v>
      </c>
      <c r="J4578" s="455">
        <f t="array" ref="J4578">IFERROR(INDEX('Retirement Calculator'!K:K,MATCH('Lorri 401b'!N4578,'Retirement Calculator'!A:A,0),0),0)</f>
        <v>0</v>
      </c>
      <c r="K4578" s="455">
        <f t="shared" ca="1" si="168"/>
        <v>-286252833104.77795</v>
      </c>
      <c r="L4578" s="455">
        <f t="shared" ca="1" si="169"/>
        <v>-68986932778251.5</v>
      </c>
      <c r="M4578" s="471">
        <f t="shared" si="171"/>
        <v>0.05</v>
      </c>
      <c r="N4578" s="475">
        <f t="shared" si="172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70"/>
        <v>-68986932778251.5</v>
      </c>
      <c r="J4579" s="455">
        <f t="array" ref="J4579">IFERROR(INDEX('Retirement Calculator'!K:K,MATCH('Lorri 401b'!N4579,'Retirement Calculator'!A:A,0),0),0)</f>
        <v>0</v>
      </c>
      <c r="K4579" s="455">
        <f t="shared" ca="1" si="168"/>
        <v>-287445553242.7146</v>
      </c>
      <c r="L4579" s="455">
        <f t="shared" ca="1" si="169"/>
        <v>-69274378331494.211</v>
      </c>
      <c r="M4579" s="471">
        <f t="shared" si="171"/>
        <v>0.05</v>
      </c>
      <c r="N4579" s="475">
        <f t="shared" si="172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70"/>
        <v>-69274378331494.211</v>
      </c>
      <c r="J4580" s="455">
        <f t="array" ref="J4580">IFERROR(INDEX('Retirement Calculator'!K:K,MATCH('Lorri 401b'!N4580,'Retirement Calculator'!A:A,0),0),0)</f>
        <v>0</v>
      </c>
      <c r="K4580" s="455">
        <f t="shared" ca="1" si="168"/>
        <v>-288643243047.89252</v>
      </c>
      <c r="L4580" s="455">
        <f t="shared" ca="1" si="169"/>
        <v>-69563021574542.102</v>
      </c>
      <c r="M4580" s="471">
        <f t="shared" si="171"/>
        <v>0.05</v>
      </c>
      <c r="N4580" s="475">
        <f t="shared" si="172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70"/>
        <v>-69563021574542.102</v>
      </c>
      <c r="J4581" s="455">
        <f t="array" ref="J4581">IFERROR(INDEX('Retirement Calculator'!K:K,MATCH('Lorri 401b'!N4581,'Retirement Calculator'!A:A,0),0),0)</f>
        <v>0</v>
      </c>
      <c r="K4581" s="455">
        <f t="shared" ca="1" si="168"/>
        <v>-289845923227.25879</v>
      </c>
      <c r="L4581" s="455">
        <f t="shared" ca="1" si="169"/>
        <v>-69852867497769.359</v>
      </c>
      <c r="M4581" s="471">
        <f t="shared" si="171"/>
        <v>0.05</v>
      </c>
      <c r="N4581" s="475">
        <f t="shared" si="172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70"/>
        <v>-69852867497769.359</v>
      </c>
      <c r="J4582" s="455">
        <f t="array" ref="J4582">IFERROR(INDEX('Retirement Calculator'!K:K,MATCH('Lorri 401b'!N4582,'Retirement Calculator'!A:A,0),0),0)</f>
        <v>0</v>
      </c>
      <c r="K4582" s="455">
        <f t="shared" ca="1" si="168"/>
        <v>-291053614574.039</v>
      </c>
      <c r="L4582" s="455">
        <f t="shared" ca="1" si="169"/>
        <v>-70143921112343.398</v>
      </c>
      <c r="M4582" s="471">
        <f t="shared" si="171"/>
        <v>0.05</v>
      </c>
      <c r="N4582" s="475">
        <f t="shared" si="172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70"/>
        <v>-70143921112343.398</v>
      </c>
      <c r="J4583" s="455">
        <f t="array" ref="J4583">IFERROR(INDEX('Retirement Calculator'!K:K,MATCH('Lorri 401b'!N4583,'Retirement Calculator'!A:A,0),0),0)</f>
        <v>0</v>
      </c>
      <c r="K4583" s="455">
        <f t="shared" ca="1" si="168"/>
        <v>-292266337968.09747</v>
      </c>
      <c r="L4583" s="455">
        <f t="shared" ca="1" si="169"/>
        <v>-70436187450311.5</v>
      </c>
      <c r="M4583" s="471">
        <f t="shared" si="171"/>
        <v>0.05</v>
      </c>
      <c r="N4583" s="475">
        <f t="shared" si="172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70"/>
        <v>-70436187450311.5</v>
      </c>
      <c r="J4584" s="455">
        <f t="array" ref="J4584">IFERROR(INDEX('Retirement Calculator'!K:K,MATCH('Lorri 401b'!N4584,'Retirement Calculator'!A:A,0),0),0)</f>
        <v>0</v>
      </c>
      <c r="K4584" s="455">
        <f t="shared" ca="1" si="168"/>
        <v>-293484114376.29791</v>
      </c>
      <c r="L4584" s="455">
        <f t="shared" ca="1" si="169"/>
        <v>-70729671564687.797</v>
      </c>
      <c r="M4584" s="471">
        <f t="shared" si="171"/>
        <v>0.05</v>
      </c>
      <c r="N4584" s="475">
        <f t="shared" si="172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70"/>
        <v>-70729671564687.797</v>
      </c>
      <c r="J4585" s="455">
        <f t="array" ref="J4585">IFERROR(INDEX('Retirement Calculator'!K:K,MATCH('Lorri 401b'!N4585,'Retirement Calculator'!A:A,0),0),0)</f>
        <v>0</v>
      </c>
      <c r="K4585" s="455">
        <f t="shared" ca="1" si="168"/>
        <v>-294706964852.86584</v>
      </c>
      <c r="L4585" s="455">
        <f t="shared" ca="1" si="169"/>
        <v>-71024378529540.656</v>
      </c>
      <c r="M4585" s="471">
        <f t="shared" si="171"/>
        <v>0.05</v>
      </c>
      <c r="N4585" s="475">
        <f t="shared" si="172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70"/>
        <v>-71024378529540.656</v>
      </c>
      <c r="J4586" s="455">
        <f t="array" ref="J4586">IFERROR(INDEX('Retirement Calculator'!K:K,MATCH('Lorri 401b'!N4586,'Retirement Calculator'!A:A,0),0),0)</f>
        <v>0</v>
      </c>
      <c r="K4586" s="455">
        <f t="shared" ca="1" si="168"/>
        <v>-295934910539.75275</v>
      </c>
      <c r="L4586" s="455">
        <f t="shared" ca="1" si="169"/>
        <v>-71320313440080.406</v>
      </c>
      <c r="M4586" s="471">
        <f t="shared" si="171"/>
        <v>0.05</v>
      </c>
      <c r="N4586" s="475">
        <f t="shared" si="172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70"/>
        <v>-71320313440080.406</v>
      </c>
      <c r="J4587" s="455">
        <f t="array" ref="J4587">IFERROR(INDEX('Retirement Calculator'!K:K,MATCH('Lorri 401b'!N4587,'Retirement Calculator'!A:A,0),0),0)</f>
        <v>0</v>
      </c>
      <c r="K4587" s="455">
        <f t="shared" ca="1" si="168"/>
        <v>-297167972667.00171</v>
      </c>
      <c r="L4587" s="455">
        <f t="shared" ca="1" si="169"/>
        <v>-71617481412747.406</v>
      </c>
      <c r="M4587" s="471">
        <f t="shared" si="171"/>
        <v>0.05</v>
      </c>
      <c r="N4587" s="475">
        <f t="shared" si="172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70"/>
        <v>-71617481412747.406</v>
      </c>
      <c r="J4588" s="455">
        <f t="array" ref="J4588">IFERROR(INDEX('Retirement Calculator'!K:K,MATCH('Lorri 401b'!N4588,'Retirement Calculator'!A:A,0),0),0)</f>
        <v>0</v>
      </c>
      <c r="K4588" s="455">
        <f t="shared" ca="1" si="168"/>
        <v>-298406172553.1142</v>
      </c>
      <c r="L4588" s="455">
        <f t="shared" ca="1" si="169"/>
        <v>-71915887585300.516</v>
      </c>
      <c r="M4588" s="471">
        <f t="shared" si="171"/>
        <v>0.05</v>
      </c>
      <c r="N4588" s="475">
        <f t="shared" si="172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70"/>
        <v>-71915887585300.516</v>
      </c>
      <c r="J4589" s="455">
        <f t="array" ref="J4589">IFERROR(INDEX('Retirement Calculator'!K:K,MATCH('Lorri 401b'!N4589,'Retirement Calculator'!A:A,0),0),0)</f>
        <v>0</v>
      </c>
      <c r="K4589" s="455">
        <f t="shared" ca="1" si="168"/>
        <v>-299649531605.41882</v>
      </c>
      <c r="L4589" s="455">
        <f t="shared" ca="1" si="169"/>
        <v>-72215537116905.938</v>
      </c>
      <c r="M4589" s="471">
        <f t="shared" si="171"/>
        <v>0.05</v>
      </c>
      <c r="N4589" s="475">
        <f t="shared" si="172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70"/>
        <v>-72215537116905.938</v>
      </c>
      <c r="J4590" s="455">
        <f t="array" ref="J4590">IFERROR(INDEX('Retirement Calculator'!K:K,MATCH('Lorri 401b'!N4590,'Retirement Calculator'!A:A,0),0),0)</f>
        <v>0</v>
      </c>
      <c r="K4590" s="455">
        <f t="shared" ca="1" si="168"/>
        <v>-300898071320.44141</v>
      </c>
      <c r="L4590" s="455">
        <f t="shared" ca="1" si="169"/>
        <v>-72516435188226.375</v>
      </c>
      <c r="M4590" s="471">
        <f t="shared" si="171"/>
        <v>0.05</v>
      </c>
      <c r="N4590" s="475">
        <f t="shared" si="172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70"/>
        <v>-72516435188226.375</v>
      </c>
      <c r="J4591" s="455">
        <f t="array" ref="J4591">IFERROR(INDEX('Retirement Calculator'!K:K,MATCH('Lorri 401b'!N4591,'Retirement Calculator'!A:A,0),0),0)</f>
        <v>0</v>
      </c>
      <c r="K4591" s="455">
        <f t="shared" ca="1" si="168"/>
        <v>-302151813284.27655</v>
      </c>
      <c r="L4591" s="455">
        <f t="shared" ca="1" si="169"/>
        <v>-72818587001510.656</v>
      </c>
      <c r="M4591" s="471">
        <f t="shared" si="171"/>
        <v>0.05</v>
      </c>
      <c r="N4591" s="475">
        <f t="shared" si="172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70"/>
        <v>-72818587001510.656</v>
      </c>
      <c r="J4592" s="455">
        <f t="array" ref="J4592">IFERROR(INDEX('Retirement Calculator'!K:K,MATCH('Lorri 401b'!N4592,'Retirement Calculator'!A:A,0),0),0)</f>
        <v>0</v>
      </c>
      <c r="K4592" s="455">
        <f t="shared" ca="1" si="168"/>
        <v>-303410779172.96106</v>
      </c>
      <c r="L4592" s="455">
        <f t="shared" ca="1" si="169"/>
        <v>-73121997780683.625</v>
      </c>
      <c r="M4592" s="471">
        <f t="shared" si="171"/>
        <v>0.05</v>
      </c>
      <c r="N4592" s="475">
        <f t="shared" si="172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70"/>
        <v>-73121997780683.625</v>
      </c>
      <c r="J4593" s="455">
        <f t="array" ref="J4593">IFERROR(INDEX('Retirement Calculator'!K:K,MATCH('Lorri 401b'!N4593,'Retirement Calculator'!A:A,0),0),0)</f>
        <v>0</v>
      </c>
      <c r="K4593" s="455">
        <f t="shared" ca="1" si="168"/>
        <v>-304674990752.84845</v>
      </c>
      <c r="L4593" s="455">
        <f t="shared" ca="1" si="169"/>
        <v>-73426672771436.469</v>
      </c>
      <c r="M4593" s="471">
        <f t="shared" si="171"/>
        <v>0.05</v>
      </c>
      <c r="N4593" s="475">
        <f t="shared" si="172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70"/>
        <v>-73426672771436.469</v>
      </c>
      <c r="J4594" s="455">
        <f t="array" ref="J4594">IFERROR(INDEX('Retirement Calculator'!K:K,MATCH('Lorri 401b'!N4594,'Retirement Calculator'!A:A,0),0),0)</f>
        <v>0</v>
      </c>
      <c r="K4594" s="455">
        <f t="shared" ca="1" si="168"/>
        <v>-305944469880.98529</v>
      </c>
      <c r="L4594" s="455">
        <f t="shared" ca="1" si="169"/>
        <v>-73732617241317.453</v>
      </c>
      <c r="M4594" s="471">
        <f t="shared" si="171"/>
        <v>0.05</v>
      </c>
      <c r="N4594" s="475">
        <f t="shared" si="172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70"/>
        <v>-73732617241317.453</v>
      </c>
      <c r="J4595" s="455">
        <f t="array" ref="J4595">IFERROR(INDEX('Retirement Calculator'!K:K,MATCH('Lorri 401b'!N4595,'Retirement Calculator'!A:A,0),0),0)</f>
        <v>0</v>
      </c>
      <c r="K4595" s="455">
        <f t="shared" ca="1" si="168"/>
        <v>-307219238505.48938</v>
      </c>
      <c r="L4595" s="455">
        <f t="shared" ca="1" si="169"/>
        <v>-74039836479822.938</v>
      </c>
      <c r="M4595" s="471">
        <f t="shared" si="171"/>
        <v>0.05</v>
      </c>
      <c r="N4595" s="475">
        <f t="shared" si="172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70"/>
        <v>-74039836479822.938</v>
      </c>
      <c r="J4596" s="455">
        <f t="array" ref="J4596">IFERROR(INDEX('Retirement Calculator'!K:K,MATCH('Lorri 401b'!N4596,'Retirement Calculator'!A:A,0),0),0)</f>
        <v>0</v>
      </c>
      <c r="K4596" s="455">
        <f t="shared" ca="1" si="168"/>
        <v>-308499318665.92889</v>
      </c>
      <c r="L4596" s="455">
        <f t="shared" ca="1" si="169"/>
        <v>-74348335798488.859</v>
      </c>
      <c r="M4596" s="471">
        <f t="shared" si="171"/>
        <v>0.05</v>
      </c>
      <c r="N4596" s="475">
        <f t="shared" si="172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70"/>
        <v>-74348335798488.859</v>
      </c>
      <c r="J4597" s="455">
        <f t="array" ref="J4597">IFERROR(INDEX('Retirement Calculator'!K:K,MATCH('Lorri 401b'!N4597,'Retirement Calculator'!A:A,0),0),0)</f>
        <v>0</v>
      </c>
      <c r="K4597" s="455">
        <f t="shared" ca="1" si="168"/>
        <v>-309784732493.70355</v>
      </c>
      <c r="L4597" s="455">
        <f t="shared" ca="1" si="169"/>
        <v>-74658120530982.563</v>
      </c>
      <c r="M4597" s="471">
        <f t="shared" si="171"/>
        <v>0.05</v>
      </c>
      <c r="N4597" s="475">
        <f t="shared" si="172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70"/>
        <v>-74658120530982.563</v>
      </c>
      <c r="J4598" s="455">
        <f t="array" ref="J4598">IFERROR(INDEX('Retirement Calculator'!K:K,MATCH('Lorri 401b'!N4598,'Retirement Calculator'!A:A,0),0),0)</f>
        <v>0</v>
      </c>
      <c r="K4598" s="455">
        <f t="shared" ref="K4598:K4852" ca="1" si="173">IPMT(M4598/12,1,12,-I4598+J4598,,0)</f>
        <v>-311075502212.42737</v>
      </c>
      <c r="L4598" s="455">
        <f t="shared" ref="L4598:L4852" ca="1" si="174">I4598-J4598+K4598</f>
        <v>-74969196033194.984</v>
      </c>
      <c r="M4598" s="471">
        <f t="shared" si="171"/>
        <v>0.05</v>
      </c>
      <c r="N4598" s="475">
        <f t="shared" si="172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75">L4598</f>
        <v>-74969196033194.984</v>
      </c>
      <c r="J4599" s="455">
        <f t="array" ref="J4599">IFERROR(INDEX('Retirement Calculator'!K:K,MATCH('Lorri 401b'!N4599,'Retirement Calculator'!A:A,0),0),0)</f>
        <v>0</v>
      </c>
      <c r="K4599" s="455">
        <f t="shared" ca="1" si="173"/>
        <v>-312371650138.31244</v>
      </c>
      <c r="L4599" s="455">
        <f t="shared" ca="1" si="174"/>
        <v>-75281567683333.297</v>
      </c>
      <c r="M4599" s="471">
        <f t="shared" ref="M4599:M4853" si="176">M4598</f>
        <v>0.05</v>
      </c>
      <c r="N4599" s="475">
        <f t="shared" ref="N4599:N4853" si="177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75"/>
        <v>-75281567683333.297</v>
      </c>
      <c r="J4600" s="455">
        <f t="array" ref="J4600">IFERROR(INDEX('Retirement Calculator'!K:K,MATCH('Lorri 401b'!N4600,'Retirement Calculator'!A:A,0),0),0)</f>
        <v>0</v>
      </c>
      <c r="K4600" s="455">
        <f t="shared" ca="1" si="173"/>
        <v>-313673198680.55542</v>
      </c>
      <c r="L4600" s="455">
        <f t="shared" ca="1" si="174"/>
        <v>-75595240882013.859</v>
      </c>
      <c r="M4600" s="471">
        <f t="shared" si="176"/>
        <v>0.05</v>
      </c>
      <c r="N4600" s="475">
        <f t="shared" si="177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75"/>
        <v>-75595240882013.859</v>
      </c>
      <c r="J4601" s="455">
        <f t="array" ref="J4601">IFERROR(INDEX('Retirement Calculator'!K:K,MATCH('Lorri 401b'!N4601,'Retirement Calculator'!A:A,0),0),0)</f>
        <v>0</v>
      </c>
      <c r="K4601" s="455">
        <f t="shared" ca="1" si="173"/>
        <v>-314980170341.72443</v>
      </c>
      <c r="L4601" s="455">
        <f t="shared" ca="1" si="174"/>
        <v>-75910221052355.578</v>
      </c>
      <c r="M4601" s="471">
        <f t="shared" si="176"/>
        <v>0.05</v>
      </c>
      <c r="N4601" s="475">
        <f t="shared" si="177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75"/>
        <v>-75910221052355.578</v>
      </c>
      <c r="J4602" s="455">
        <f t="array" ref="J4602">IFERROR(INDEX('Retirement Calculator'!K:K,MATCH('Lorri 401b'!N4602,'Retirement Calculator'!A:A,0),0),0)</f>
        <v>0</v>
      </c>
      <c r="K4602" s="455">
        <f t="shared" ca="1" si="173"/>
        <v>-316292587718.14825</v>
      </c>
      <c r="L4602" s="455">
        <f t="shared" ca="1" si="174"/>
        <v>-76226513640073.719</v>
      </c>
      <c r="M4602" s="471">
        <f t="shared" si="176"/>
        <v>0.05</v>
      </c>
      <c r="N4602" s="475">
        <f t="shared" si="177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75"/>
        <v>-76226513640073.719</v>
      </c>
      <c r="J4603" s="455">
        <f t="array" ref="J4603">IFERROR(INDEX('Retirement Calculator'!K:K,MATCH('Lorri 401b'!N4603,'Retirement Calculator'!A:A,0),0),0)</f>
        <v>0</v>
      </c>
      <c r="K4603" s="455">
        <f t="shared" ca="1" si="173"/>
        <v>-317610473500.30713</v>
      </c>
      <c r="L4603" s="455">
        <f t="shared" ca="1" si="174"/>
        <v>-76544124113574.031</v>
      </c>
      <c r="M4603" s="471">
        <f t="shared" si="176"/>
        <v>0.05</v>
      </c>
      <c r="N4603" s="475">
        <f t="shared" si="177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75"/>
        <v>-76544124113574.031</v>
      </c>
      <c r="J4604" s="455">
        <f t="array" ref="J4604">IFERROR(INDEX('Retirement Calculator'!K:K,MATCH('Lorri 401b'!N4604,'Retirement Calculator'!A:A,0),0),0)</f>
        <v>0</v>
      </c>
      <c r="K4604" s="455">
        <f t="shared" ca="1" si="173"/>
        <v>-318933850473.2251</v>
      </c>
      <c r="L4604" s="455">
        <f t="shared" ca="1" si="174"/>
        <v>-76863057964047.25</v>
      </c>
      <c r="M4604" s="471">
        <f t="shared" si="176"/>
        <v>0.05</v>
      </c>
      <c r="N4604" s="475">
        <f t="shared" si="177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75"/>
        <v>-76863057964047.25</v>
      </c>
      <c r="J4605" s="455">
        <f t="array" ref="J4605">IFERROR(INDEX('Retirement Calculator'!K:K,MATCH('Lorri 401b'!N4605,'Retirement Calculator'!A:A,0),0),0)</f>
        <v>0</v>
      </c>
      <c r="K4605" s="455">
        <f t="shared" ca="1" si="173"/>
        <v>-320262741516.86353</v>
      </c>
      <c r="L4605" s="455">
        <f t="shared" ca="1" si="174"/>
        <v>-77183320705564.109</v>
      </c>
      <c r="M4605" s="471">
        <f t="shared" si="176"/>
        <v>0.05</v>
      </c>
      <c r="N4605" s="475">
        <f t="shared" si="177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75"/>
        <v>-77183320705564.109</v>
      </c>
      <c r="J4606" s="455">
        <f t="array" ref="J4606">IFERROR(INDEX('Retirement Calculator'!K:K,MATCH('Lorri 401b'!N4606,'Retirement Calculator'!A:A,0),0),0)</f>
        <v>0</v>
      </c>
      <c r="K4606" s="455">
        <f t="shared" ca="1" si="173"/>
        <v>-321597169606.51709</v>
      </c>
      <c r="L4606" s="455">
        <f t="shared" ca="1" si="174"/>
        <v>-77504917875170.625</v>
      </c>
      <c r="M4606" s="471">
        <f t="shared" si="176"/>
        <v>0.05</v>
      </c>
      <c r="N4606" s="475">
        <f t="shared" si="177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75"/>
        <v>-77504917875170.625</v>
      </c>
      <c r="J4607" s="455">
        <f t="array" ref="J4607">IFERROR(INDEX('Retirement Calculator'!K:K,MATCH('Lorri 401b'!N4607,'Retirement Calculator'!A:A,0),0),0)</f>
        <v>0</v>
      </c>
      <c r="K4607" s="455">
        <f t="shared" ca="1" si="173"/>
        <v>-322937157813.21094</v>
      </c>
      <c r="L4607" s="455">
        <f t="shared" ca="1" si="174"/>
        <v>-77827855032983.844</v>
      </c>
      <c r="M4607" s="471">
        <f t="shared" si="176"/>
        <v>0.05</v>
      </c>
      <c r="N4607" s="475">
        <f t="shared" si="177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75"/>
        <v>-77827855032983.844</v>
      </c>
      <c r="J4608" s="455">
        <f t="array" ref="J4608">IFERROR(INDEX('Retirement Calculator'!K:K,MATCH('Lorri 401b'!N4608,'Retirement Calculator'!A:A,0),0),0)</f>
        <v>0</v>
      </c>
      <c r="K4608" s="455">
        <f t="shared" ca="1" si="173"/>
        <v>-324282729304.09937</v>
      </c>
      <c r="L4608" s="455">
        <f t="shared" ca="1" si="174"/>
        <v>-78152137762287.938</v>
      </c>
      <c r="M4608" s="471">
        <f t="shared" si="176"/>
        <v>0.05</v>
      </c>
      <c r="N4608" s="475">
        <f t="shared" si="177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75"/>
        <v>-78152137762287.938</v>
      </c>
      <c r="J4609" s="455">
        <f t="array" ref="J4609">IFERROR(INDEX('Retirement Calculator'!K:K,MATCH('Lorri 401b'!N4609,'Retirement Calculator'!A:A,0),0),0)</f>
        <v>0</v>
      </c>
      <c r="K4609" s="455">
        <f t="shared" ca="1" si="173"/>
        <v>-325633907342.86639</v>
      </c>
      <c r="L4609" s="455">
        <f t="shared" ca="1" si="174"/>
        <v>-78477771669630.797</v>
      </c>
      <c r="M4609" s="471">
        <f t="shared" si="176"/>
        <v>0.05</v>
      </c>
      <c r="N4609" s="475">
        <f t="shared" si="177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75"/>
        <v>-78477771669630.797</v>
      </c>
      <c r="J4610" s="455">
        <f t="array" ref="J4610">IFERROR(INDEX('Retirement Calculator'!K:K,MATCH('Lorri 401b'!N4610,'Retirement Calculator'!A:A,0),0),0)</f>
        <v>0</v>
      </c>
      <c r="K4610" s="455">
        <f t="shared" ca="1" si="173"/>
        <v>-326990715290.1283</v>
      </c>
      <c r="L4610" s="455">
        <f t="shared" ca="1" si="174"/>
        <v>-78804762384920.922</v>
      </c>
      <c r="M4610" s="471">
        <f t="shared" si="176"/>
        <v>0.05</v>
      </c>
      <c r="N4610" s="475">
        <f t="shared" si="177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75"/>
        <v>-78804762384920.922</v>
      </c>
      <c r="J4611" s="455">
        <f t="array" ref="J4611">IFERROR(INDEX('Retirement Calculator'!K:K,MATCH('Lorri 401b'!N4611,'Retirement Calculator'!A:A,0),0),0)</f>
        <v>0</v>
      </c>
      <c r="K4611" s="455">
        <f t="shared" ca="1" si="173"/>
        <v>-328353176603.83716</v>
      </c>
      <c r="L4611" s="455">
        <f t="shared" ca="1" si="174"/>
        <v>-79133115561524.766</v>
      </c>
      <c r="M4611" s="471">
        <f t="shared" si="176"/>
        <v>0.05</v>
      </c>
      <c r="N4611" s="475">
        <f t="shared" si="177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75"/>
        <v>-79133115561524.766</v>
      </c>
      <c r="J4612" s="455">
        <f t="array" ref="J4612">IFERROR(INDEX('Retirement Calculator'!K:K,MATCH('Lorri 401b'!N4612,'Retirement Calculator'!A:A,0),0),0)</f>
        <v>0</v>
      </c>
      <c r="K4612" s="455">
        <f t="shared" ca="1" si="173"/>
        <v>-329721314839.68652</v>
      </c>
      <c r="L4612" s="455">
        <f t="shared" ca="1" si="174"/>
        <v>-79462836876364.453</v>
      </c>
      <c r="M4612" s="471">
        <f t="shared" si="176"/>
        <v>0.05</v>
      </c>
      <c r="N4612" s="475">
        <f t="shared" si="177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75"/>
        <v>-79462836876364.453</v>
      </c>
      <c r="J4613" s="455">
        <f t="array" ref="J4613">IFERROR(INDEX('Retirement Calculator'!K:K,MATCH('Lorri 401b'!N4613,'Retirement Calculator'!A:A,0),0),0)</f>
        <v>0</v>
      </c>
      <c r="K4613" s="455">
        <f t="shared" ca="1" si="173"/>
        <v>-331095153651.51855</v>
      </c>
      <c r="L4613" s="455">
        <f t="shared" ca="1" si="174"/>
        <v>-79793932030015.969</v>
      </c>
      <c r="M4613" s="471">
        <f t="shared" si="176"/>
        <v>0.05</v>
      </c>
      <c r="N4613" s="475">
        <f t="shared" si="177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75"/>
        <v>-79793932030015.969</v>
      </c>
      <c r="J4614" s="455">
        <f t="array" ref="J4614">IFERROR(INDEX('Retirement Calculator'!K:K,MATCH('Lorri 401b'!N4614,'Retirement Calculator'!A:A,0),0),0)</f>
        <v>0</v>
      </c>
      <c r="K4614" s="455">
        <f t="shared" ca="1" si="173"/>
        <v>-332474716791.73322</v>
      </c>
      <c r="L4614" s="455">
        <f t="shared" ca="1" si="174"/>
        <v>-80126406746807.703</v>
      </c>
      <c r="M4614" s="471">
        <f t="shared" si="176"/>
        <v>0.05</v>
      </c>
      <c r="N4614" s="475">
        <f t="shared" si="177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75"/>
        <v>-80126406746807.703</v>
      </c>
      <c r="J4615" s="455">
        <f t="array" ref="J4615">IFERROR(INDEX('Retirement Calculator'!K:K,MATCH('Lorri 401b'!N4615,'Retirement Calculator'!A:A,0),0),0)</f>
        <v>0</v>
      </c>
      <c r="K4615" s="455">
        <f t="shared" ca="1" si="173"/>
        <v>-333860028111.69873</v>
      </c>
      <c r="L4615" s="455">
        <f t="shared" ca="1" si="174"/>
        <v>-80460266774919.406</v>
      </c>
      <c r="M4615" s="471">
        <f t="shared" si="176"/>
        <v>0.05</v>
      </c>
      <c r="N4615" s="475">
        <f t="shared" si="177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75"/>
        <v>-80460266774919.406</v>
      </c>
      <c r="J4616" s="455">
        <f t="array" ref="J4616">IFERROR(INDEX('Retirement Calculator'!K:K,MATCH('Lorri 401b'!N4616,'Retirement Calculator'!A:A,0),0),0)</f>
        <v>0</v>
      </c>
      <c r="K4616" s="455">
        <f t="shared" ca="1" si="173"/>
        <v>-335251111562.16418</v>
      </c>
      <c r="L4616" s="455">
        <f t="shared" ca="1" si="174"/>
        <v>-80795517886481.578</v>
      </c>
      <c r="M4616" s="471">
        <f t="shared" si="176"/>
        <v>0.05</v>
      </c>
      <c r="N4616" s="475">
        <f t="shared" si="177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75"/>
        <v>-80795517886481.578</v>
      </c>
      <c r="J4617" s="455">
        <f t="array" ref="J4617">IFERROR(INDEX('Retirement Calculator'!K:K,MATCH('Lorri 401b'!N4617,'Retirement Calculator'!A:A,0),0),0)</f>
        <v>0</v>
      </c>
      <c r="K4617" s="455">
        <f t="shared" ca="1" si="173"/>
        <v>-336647991193.67322</v>
      </c>
      <c r="L4617" s="455">
        <f t="shared" ca="1" si="174"/>
        <v>-81132165877675.25</v>
      </c>
      <c r="M4617" s="471">
        <f t="shared" si="176"/>
        <v>0.05</v>
      </c>
      <c r="N4617" s="475">
        <f t="shared" si="177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75"/>
        <v>-81132165877675.25</v>
      </c>
      <c r="J4618" s="455">
        <f t="array" ref="J4618">IFERROR(INDEX('Retirement Calculator'!K:K,MATCH('Lorri 401b'!N4618,'Retirement Calculator'!A:A,0),0),0)</f>
        <v>0</v>
      </c>
      <c r="K4618" s="455">
        <f t="shared" ca="1" si="173"/>
        <v>-338050691156.98022</v>
      </c>
      <c r="L4618" s="455">
        <f t="shared" ca="1" si="174"/>
        <v>-81470216568832.234</v>
      </c>
      <c r="M4618" s="471">
        <f t="shared" si="176"/>
        <v>0.05</v>
      </c>
      <c r="N4618" s="475">
        <f t="shared" si="177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75"/>
        <v>-81470216568832.234</v>
      </c>
      <c r="J4619" s="455">
        <f t="array" ref="J4619">IFERROR(INDEX('Retirement Calculator'!K:K,MATCH('Lorri 401b'!N4619,'Retirement Calculator'!A:A,0),0),0)</f>
        <v>0</v>
      </c>
      <c r="K4619" s="455">
        <f t="shared" ca="1" si="173"/>
        <v>-339459235703.46765</v>
      </c>
      <c r="L4619" s="455">
        <f t="shared" ca="1" si="174"/>
        <v>-81809675804535.703</v>
      </c>
      <c r="M4619" s="471">
        <f t="shared" si="176"/>
        <v>0.05</v>
      </c>
      <c r="N4619" s="475">
        <f t="shared" si="177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75"/>
        <v>-81809675804535.703</v>
      </c>
      <c r="J4620" s="455">
        <f t="array" ref="J4620">IFERROR(INDEX('Retirement Calculator'!K:K,MATCH('Lorri 401b'!N4620,'Retirement Calculator'!A:A,0),0),0)</f>
        <v>0</v>
      </c>
      <c r="K4620" s="455">
        <f t="shared" ca="1" si="173"/>
        <v>-340873649185.56543</v>
      </c>
      <c r="L4620" s="455">
        <f t="shared" ca="1" si="174"/>
        <v>-82150549453721.266</v>
      </c>
      <c r="M4620" s="471">
        <f t="shared" si="176"/>
        <v>0.05</v>
      </c>
      <c r="N4620" s="475">
        <f t="shared" si="177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75"/>
        <v>-82150549453721.266</v>
      </c>
      <c r="J4621" s="455">
        <f t="array" ref="J4621">IFERROR(INDEX('Retirement Calculator'!K:K,MATCH('Lorri 401b'!N4621,'Retirement Calculator'!A:A,0),0),0)</f>
        <v>0</v>
      </c>
      <c r="K4621" s="455">
        <f t="shared" ca="1" si="173"/>
        <v>-342293956057.17194</v>
      </c>
      <c r="L4621" s="455">
        <f t="shared" ca="1" si="174"/>
        <v>-82492843409778.438</v>
      </c>
      <c r="M4621" s="471">
        <f t="shared" si="176"/>
        <v>0.05</v>
      </c>
      <c r="N4621" s="475">
        <f t="shared" si="177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75"/>
        <v>-82492843409778.438</v>
      </c>
      <c r="J4622" s="455">
        <f t="array" ref="J4622">IFERROR(INDEX('Retirement Calculator'!K:K,MATCH('Lorri 401b'!N4622,'Retirement Calculator'!A:A,0),0),0)</f>
        <v>0</v>
      </c>
      <c r="K4622" s="455">
        <f t="shared" ca="1" si="173"/>
        <v>-343720180874.07684</v>
      </c>
      <c r="L4622" s="455">
        <f t="shared" ca="1" si="174"/>
        <v>-82836563590652.516</v>
      </c>
      <c r="M4622" s="471">
        <f t="shared" si="176"/>
        <v>0.05</v>
      </c>
      <c r="N4622" s="475">
        <f t="shared" si="177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75"/>
        <v>-82836563590652.516</v>
      </c>
      <c r="J4623" s="455">
        <f t="array" ref="J4623">IFERROR(INDEX('Retirement Calculator'!K:K,MATCH('Lorri 401b'!N4623,'Retirement Calculator'!A:A,0),0),0)</f>
        <v>0</v>
      </c>
      <c r="K4623" s="455">
        <f t="shared" ca="1" si="173"/>
        <v>-345152348294.3855</v>
      </c>
      <c r="L4623" s="455">
        <f t="shared" ca="1" si="174"/>
        <v>-83181715938946.906</v>
      </c>
      <c r="M4623" s="471">
        <f t="shared" si="176"/>
        <v>0.05</v>
      </c>
      <c r="N4623" s="475">
        <f t="shared" si="177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75"/>
        <v>-83181715938946.906</v>
      </c>
      <c r="J4624" s="455">
        <f t="array" ref="J4624">IFERROR(INDEX('Retirement Calculator'!K:K,MATCH('Lorri 401b'!N4624,'Retirement Calculator'!A:A,0),0),0)</f>
        <v>0</v>
      </c>
      <c r="K4624" s="455">
        <f t="shared" ca="1" si="173"/>
        <v>-346590483078.94543</v>
      </c>
      <c r="L4624" s="455">
        <f t="shared" ca="1" si="174"/>
        <v>-83528306422025.859</v>
      </c>
      <c r="M4624" s="471">
        <f t="shared" si="176"/>
        <v>0.05</v>
      </c>
      <c r="N4624" s="475">
        <f t="shared" si="177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75"/>
        <v>-83528306422025.859</v>
      </c>
      <c r="J4625" s="455">
        <f t="array" ref="J4625">IFERROR(INDEX('Retirement Calculator'!K:K,MATCH('Lorri 401b'!N4625,'Retirement Calculator'!A:A,0),0),0)</f>
        <v>0</v>
      </c>
      <c r="K4625" s="455">
        <f t="shared" ca="1" si="173"/>
        <v>-348034610091.77441</v>
      </c>
      <c r="L4625" s="455">
        <f t="shared" ca="1" si="174"/>
        <v>-83876341032117.641</v>
      </c>
      <c r="M4625" s="471">
        <f t="shared" si="176"/>
        <v>0.05</v>
      </c>
      <c r="N4625" s="475">
        <f t="shared" si="177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75"/>
        <v>-83876341032117.641</v>
      </c>
      <c r="J4626" s="455">
        <f t="array" ref="J4626">IFERROR(INDEX('Retirement Calculator'!K:K,MATCH('Lorri 401b'!N4626,'Retirement Calculator'!A:A,0),0),0)</f>
        <v>0</v>
      </c>
      <c r="K4626" s="455">
        <f t="shared" ca="1" si="173"/>
        <v>-349484754300.49017</v>
      </c>
      <c r="L4626" s="455">
        <f t="shared" ca="1" si="174"/>
        <v>-84225825786418.125</v>
      </c>
      <c r="M4626" s="471">
        <f t="shared" si="176"/>
        <v>0.05</v>
      </c>
      <c r="N4626" s="475">
        <f t="shared" si="177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75"/>
        <v>-84225825786418.125</v>
      </c>
      <c r="J4627" s="455">
        <f t="array" ref="J4627">IFERROR(INDEX('Retirement Calculator'!K:K,MATCH('Lorri 401b'!N4627,'Retirement Calculator'!A:A,0),0),0)</f>
        <v>0</v>
      </c>
      <c r="K4627" s="455">
        <f t="shared" ca="1" si="173"/>
        <v>-350940940776.74219</v>
      </c>
      <c r="L4627" s="455">
        <f t="shared" ca="1" si="174"/>
        <v>-84576766727194.875</v>
      </c>
      <c r="M4627" s="471">
        <f t="shared" si="176"/>
        <v>0.05</v>
      </c>
      <c r="N4627" s="475">
        <f t="shared" si="177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75"/>
        <v>-84576766727194.875</v>
      </c>
      <c r="J4628" s="455">
        <f t="array" ref="J4628">IFERROR(INDEX('Retirement Calculator'!K:K,MATCH('Lorri 401b'!N4628,'Retirement Calculator'!A:A,0),0),0)</f>
        <v>0</v>
      </c>
      <c r="K4628" s="455">
        <f t="shared" ca="1" si="173"/>
        <v>-352403194696.64532</v>
      </c>
      <c r="L4628" s="455">
        <f t="shared" ca="1" si="174"/>
        <v>-84929169921891.516</v>
      </c>
      <c r="M4628" s="471">
        <f t="shared" si="176"/>
        <v>0.05</v>
      </c>
      <c r="N4628" s="475">
        <f t="shared" si="177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75"/>
        <v>-84929169921891.516</v>
      </c>
      <c r="J4629" s="455">
        <f t="array" ref="J4629">IFERROR(INDEX('Retirement Calculator'!K:K,MATCH('Lorri 401b'!N4629,'Retirement Calculator'!A:A,0),0),0)</f>
        <v>0</v>
      </c>
      <c r="K4629" s="455">
        <f t="shared" ca="1" si="173"/>
        <v>-353871541341.21466</v>
      </c>
      <c r="L4629" s="455">
        <f t="shared" ca="1" si="174"/>
        <v>-85283041463232.734</v>
      </c>
      <c r="M4629" s="471">
        <f t="shared" si="176"/>
        <v>0.05</v>
      </c>
      <c r="N4629" s="475">
        <f t="shared" si="177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75"/>
        <v>-85283041463232.734</v>
      </c>
      <c r="J4630" s="455">
        <f t="array" ref="J4630">IFERROR(INDEX('Retirement Calculator'!K:K,MATCH('Lorri 401b'!N4630,'Retirement Calculator'!A:A,0),0),0)</f>
        <v>0</v>
      </c>
      <c r="K4630" s="455">
        <f t="shared" ca="1" si="173"/>
        <v>-355346006096.80304</v>
      </c>
      <c r="L4630" s="455">
        <f t="shared" ca="1" si="174"/>
        <v>-85638387469329.531</v>
      </c>
      <c r="M4630" s="471">
        <f t="shared" si="176"/>
        <v>0.05</v>
      </c>
      <c r="N4630" s="475">
        <f t="shared" si="177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75"/>
        <v>-85638387469329.531</v>
      </c>
      <c r="J4631" s="455">
        <f t="array" ref="J4631">IFERROR(INDEX('Retirement Calculator'!K:K,MATCH('Lorri 401b'!N4631,'Retirement Calculator'!A:A,0),0),0)</f>
        <v>0</v>
      </c>
      <c r="K4631" s="455">
        <f t="shared" ca="1" si="173"/>
        <v>-356826614455.53973</v>
      </c>
      <c r="L4631" s="455">
        <f t="shared" ca="1" si="174"/>
        <v>-85995214083785.078</v>
      </c>
      <c r="M4631" s="471">
        <f t="shared" si="176"/>
        <v>0.05</v>
      </c>
      <c r="N4631" s="475">
        <f t="shared" si="177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75"/>
        <v>-85995214083785.078</v>
      </c>
      <c r="J4632" s="455">
        <f t="array" ref="J4632">IFERROR(INDEX('Retirement Calculator'!K:K,MATCH('Lorri 401b'!N4632,'Retirement Calculator'!A:A,0),0),0)</f>
        <v>0</v>
      </c>
      <c r="K4632" s="455">
        <f t="shared" ca="1" si="173"/>
        <v>-358313392015.77118</v>
      </c>
      <c r="L4632" s="455">
        <f t="shared" ca="1" si="174"/>
        <v>-86353527475800.844</v>
      </c>
      <c r="M4632" s="471">
        <f t="shared" si="176"/>
        <v>0.05</v>
      </c>
      <c r="N4632" s="475">
        <f t="shared" si="177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75"/>
        <v>-86353527475800.844</v>
      </c>
      <c r="J4633" s="455">
        <f t="array" ref="J4633">IFERROR(INDEX('Retirement Calculator'!K:K,MATCH('Lorri 401b'!N4633,'Retirement Calculator'!A:A,0),0),0)</f>
        <v>0</v>
      </c>
      <c r="K4633" s="455">
        <f t="shared" ca="1" si="173"/>
        <v>-359806364482.50354</v>
      </c>
      <c r="L4633" s="455">
        <f t="shared" ca="1" si="174"/>
        <v>-86713333840283.344</v>
      </c>
      <c r="M4633" s="471">
        <f t="shared" si="176"/>
        <v>0.05</v>
      </c>
      <c r="N4633" s="475">
        <f t="shared" si="177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75"/>
        <v>-86713333840283.344</v>
      </c>
      <c r="J4634" s="455">
        <f t="array" ref="J4634">IFERROR(INDEX('Retirement Calculator'!K:K,MATCH('Lorri 401b'!N4634,'Retirement Calculator'!A:A,0),0),0)</f>
        <v>0</v>
      </c>
      <c r="K4634" s="455">
        <f t="shared" ca="1" si="173"/>
        <v>-361305557667.84729</v>
      </c>
      <c r="L4634" s="455">
        <f t="shared" ca="1" si="174"/>
        <v>-87074639397951.188</v>
      </c>
      <c r="M4634" s="471">
        <f t="shared" si="176"/>
        <v>0.05</v>
      </c>
      <c r="N4634" s="475">
        <f t="shared" si="177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75"/>
        <v>-87074639397951.188</v>
      </c>
      <c r="J4635" s="455">
        <f t="array" ref="J4635">IFERROR(INDEX('Retirement Calculator'!K:K,MATCH('Lorri 401b'!N4635,'Retirement Calculator'!A:A,0),0),0)</f>
        <v>0</v>
      </c>
      <c r="K4635" s="455">
        <f t="shared" ca="1" si="173"/>
        <v>-362810997491.46326</v>
      </c>
      <c r="L4635" s="455">
        <f t="shared" ca="1" si="174"/>
        <v>-87437450395442.656</v>
      </c>
      <c r="M4635" s="471">
        <f t="shared" si="176"/>
        <v>0.05</v>
      </c>
      <c r="N4635" s="475">
        <f t="shared" si="177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75"/>
        <v>-87437450395442.656</v>
      </c>
      <c r="J4636" s="455">
        <f t="array" ref="J4636">IFERROR(INDEX('Retirement Calculator'!K:K,MATCH('Lorri 401b'!N4636,'Retirement Calculator'!A:A,0),0),0)</f>
        <v>0</v>
      </c>
      <c r="K4636" s="455">
        <f t="shared" ca="1" si="173"/>
        <v>-364322709981.01105</v>
      </c>
      <c r="L4636" s="455">
        <f t="shared" ca="1" si="174"/>
        <v>-87801773105423.672</v>
      </c>
      <c r="M4636" s="471">
        <f t="shared" si="176"/>
        <v>0.05</v>
      </c>
      <c r="N4636" s="475">
        <f t="shared" si="177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75"/>
        <v>-87801773105423.672</v>
      </c>
      <c r="J4637" s="455">
        <f t="array" ref="J4637">IFERROR(INDEX('Retirement Calculator'!K:K,MATCH('Lorri 401b'!N4637,'Retirement Calculator'!A:A,0),0),0)</f>
        <v>0</v>
      </c>
      <c r="K4637" s="455">
        <f t="shared" ca="1" si="173"/>
        <v>-365840721272.59863</v>
      </c>
      <c r="L4637" s="455">
        <f t="shared" ca="1" si="174"/>
        <v>-88167613826696.266</v>
      </c>
      <c r="M4637" s="471">
        <f t="shared" si="176"/>
        <v>0.05</v>
      </c>
      <c r="N4637" s="475">
        <f t="shared" si="177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75"/>
        <v>-88167613826696.266</v>
      </c>
      <c r="J4638" s="455">
        <f t="array" ref="J4638">IFERROR(INDEX('Retirement Calculator'!K:K,MATCH('Lorri 401b'!N4638,'Retirement Calculator'!A:A,0),0),0)</f>
        <v>0</v>
      </c>
      <c r="K4638" s="455">
        <f t="shared" ca="1" si="173"/>
        <v>-367365057611.23444</v>
      </c>
      <c r="L4638" s="455">
        <f t="shared" ca="1" si="174"/>
        <v>-88534978884307.5</v>
      </c>
      <c r="M4638" s="471">
        <f t="shared" si="176"/>
        <v>0.05</v>
      </c>
      <c r="N4638" s="475">
        <f t="shared" si="177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75"/>
        <v>-88534978884307.5</v>
      </c>
      <c r="J4639" s="455">
        <f t="array" ref="J4639">IFERROR(INDEX('Retirement Calculator'!K:K,MATCH('Lorri 401b'!N4639,'Retirement Calculator'!A:A,0),0),0)</f>
        <v>0</v>
      </c>
      <c r="K4639" s="455">
        <f t="shared" ca="1" si="173"/>
        <v>-368895745351.28125</v>
      </c>
      <c r="L4639" s="455">
        <f t="shared" ca="1" si="174"/>
        <v>-88903874629658.781</v>
      </c>
      <c r="M4639" s="471">
        <f t="shared" si="176"/>
        <v>0.05</v>
      </c>
      <c r="N4639" s="475">
        <f t="shared" si="177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75"/>
        <v>-88903874629658.781</v>
      </c>
      <c r="J4640" s="455">
        <f t="array" ref="J4640">IFERROR(INDEX('Retirement Calculator'!K:K,MATCH('Lorri 401b'!N4640,'Retirement Calculator'!A:A,0),0),0)</f>
        <v>0</v>
      </c>
      <c r="K4640" s="455">
        <f t="shared" ca="1" si="173"/>
        <v>-370432810956.91156</v>
      </c>
      <c r="L4640" s="455">
        <f t="shared" ca="1" si="174"/>
        <v>-89274307440615.688</v>
      </c>
      <c r="M4640" s="471">
        <f t="shared" si="176"/>
        <v>0.05</v>
      </c>
      <c r="N4640" s="475">
        <f t="shared" si="177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75"/>
        <v>-89274307440615.688</v>
      </c>
      <c r="J4641" s="455">
        <f t="array" ref="J4641">IFERROR(INDEX('Retirement Calculator'!K:K,MATCH('Lorri 401b'!N4641,'Retirement Calculator'!A:A,0),0),0)</f>
        <v>0</v>
      </c>
      <c r="K4641" s="455">
        <f t="shared" ca="1" si="173"/>
        <v>-371976281002.56537</v>
      </c>
      <c r="L4641" s="455">
        <f t="shared" ca="1" si="174"/>
        <v>-89646283721618.25</v>
      </c>
      <c r="M4641" s="471">
        <f t="shared" si="176"/>
        <v>0.05</v>
      </c>
      <c r="N4641" s="475">
        <f t="shared" si="177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75"/>
        <v>-89646283721618.25</v>
      </c>
      <c r="J4642" s="455">
        <f t="array" ref="J4642">IFERROR(INDEX('Retirement Calculator'!K:K,MATCH('Lorri 401b'!N4642,'Retirement Calculator'!A:A,0),0),0)</f>
        <v>0</v>
      </c>
      <c r="K4642" s="455">
        <f t="shared" ca="1" si="173"/>
        <v>-373526182173.40936</v>
      </c>
      <c r="L4642" s="455">
        <f t="shared" ca="1" si="174"/>
        <v>-90019809903791.656</v>
      </c>
      <c r="M4642" s="471">
        <f t="shared" si="176"/>
        <v>0.05</v>
      </c>
      <c r="N4642" s="475">
        <f t="shared" si="177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75"/>
        <v>-90019809903791.656</v>
      </c>
      <c r="J4643" s="455">
        <f t="array" ref="J4643">IFERROR(INDEX('Retirement Calculator'!K:K,MATCH('Lorri 401b'!N4643,'Retirement Calculator'!A:A,0),0),0)</f>
        <v>0</v>
      </c>
      <c r="K4643" s="455">
        <f t="shared" ca="1" si="173"/>
        <v>-375082541265.79858</v>
      </c>
      <c r="L4643" s="455">
        <f t="shared" ca="1" si="174"/>
        <v>-90394892445057.453</v>
      </c>
      <c r="M4643" s="471">
        <f t="shared" si="176"/>
        <v>0.05</v>
      </c>
      <c r="N4643" s="475">
        <f t="shared" si="177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75"/>
        <v>-90394892445057.453</v>
      </c>
      <c r="J4644" s="455">
        <f t="array" ref="J4644">IFERROR(INDEX('Retirement Calculator'!K:K,MATCH('Lorri 401b'!N4644,'Retirement Calculator'!A:A,0),0),0)</f>
        <v>0</v>
      </c>
      <c r="K4644" s="455">
        <f t="shared" ca="1" si="173"/>
        <v>-376645385187.73938</v>
      </c>
      <c r="L4644" s="455">
        <f t="shared" ca="1" si="174"/>
        <v>-90771537830245.188</v>
      </c>
      <c r="M4644" s="471">
        <f t="shared" si="176"/>
        <v>0.05</v>
      </c>
      <c r="N4644" s="475">
        <f t="shared" si="177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75"/>
        <v>-90771537830245.188</v>
      </c>
      <c r="J4645" s="455">
        <f t="array" ref="J4645">IFERROR(INDEX('Retirement Calculator'!K:K,MATCH('Lorri 401b'!N4645,'Retirement Calculator'!A:A,0),0),0)</f>
        <v>0</v>
      </c>
      <c r="K4645" s="455">
        <f t="shared" ca="1" si="173"/>
        <v>-378214740959.35492</v>
      </c>
      <c r="L4645" s="455">
        <f t="shared" ca="1" si="174"/>
        <v>-91149752571204.547</v>
      </c>
      <c r="M4645" s="471">
        <f t="shared" si="176"/>
        <v>0.05</v>
      </c>
      <c r="N4645" s="475">
        <f t="shared" si="177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75"/>
        <v>-91149752571204.547</v>
      </c>
      <c r="J4646" s="455">
        <f t="array" ref="J4646">IFERROR(INDEX('Retirement Calculator'!K:K,MATCH('Lorri 401b'!N4646,'Retirement Calculator'!A:A,0),0),0)</f>
        <v>0</v>
      </c>
      <c r="K4646" s="455">
        <f t="shared" ca="1" si="173"/>
        <v>-379790635713.35229</v>
      </c>
      <c r="L4646" s="455">
        <f t="shared" ca="1" si="174"/>
        <v>-91529543206917.906</v>
      </c>
      <c r="M4646" s="471">
        <f t="shared" si="176"/>
        <v>0.05</v>
      </c>
      <c r="N4646" s="475">
        <f t="shared" si="177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75"/>
        <v>-91529543206917.906</v>
      </c>
      <c r="J4647" s="455">
        <f t="array" ref="J4647">IFERROR(INDEX('Retirement Calculator'!K:K,MATCH('Lorri 401b'!N4647,'Retirement Calculator'!A:A,0),0),0)</f>
        <v>0</v>
      </c>
      <c r="K4647" s="455">
        <f t="shared" ca="1" si="173"/>
        <v>-381373096695.49127</v>
      </c>
      <c r="L4647" s="455">
        <f t="shared" ca="1" si="174"/>
        <v>-91910916303613.391</v>
      </c>
      <c r="M4647" s="471">
        <f t="shared" si="176"/>
        <v>0.05</v>
      </c>
      <c r="N4647" s="475">
        <f t="shared" si="177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75"/>
        <v>-91910916303613.391</v>
      </c>
      <c r="J4648" s="455">
        <f t="array" ref="J4648">IFERROR(INDEX('Retirement Calculator'!K:K,MATCH('Lorri 401b'!N4648,'Retirement Calculator'!A:A,0),0),0)</f>
        <v>0</v>
      </c>
      <c r="K4648" s="455">
        <f t="shared" ca="1" si="173"/>
        <v>-382962151265.05579</v>
      </c>
      <c r="L4648" s="455">
        <f t="shared" ca="1" si="174"/>
        <v>-92293878454878.453</v>
      </c>
      <c r="M4648" s="471">
        <f t="shared" si="176"/>
        <v>0.05</v>
      </c>
      <c r="N4648" s="475">
        <f t="shared" si="177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75"/>
        <v>-92293878454878.453</v>
      </c>
      <c r="J4649" s="455">
        <f t="array" ref="J4649">IFERROR(INDEX('Retirement Calculator'!K:K,MATCH('Lorri 401b'!N4649,'Retirement Calculator'!A:A,0),0),0)</f>
        <v>0</v>
      </c>
      <c r="K4649" s="455">
        <f t="shared" ca="1" si="173"/>
        <v>-384557826895.3269</v>
      </c>
      <c r="L4649" s="455">
        <f t="shared" ca="1" si="174"/>
        <v>-92678436281773.781</v>
      </c>
      <c r="M4649" s="471">
        <f t="shared" si="176"/>
        <v>0.05</v>
      </c>
      <c r="N4649" s="475">
        <f t="shared" si="177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75"/>
        <v>-92678436281773.781</v>
      </c>
      <c r="J4650" s="455">
        <f t="array" ref="J4650">IFERROR(INDEX('Retirement Calculator'!K:K,MATCH('Lorri 401b'!N4650,'Retirement Calculator'!A:A,0),0),0)</f>
        <v>0</v>
      </c>
      <c r="K4650" s="455">
        <f t="shared" ca="1" si="173"/>
        <v>-386160151174.05743</v>
      </c>
      <c r="L4650" s="455">
        <f t="shared" ca="1" si="174"/>
        <v>-93064596432947.844</v>
      </c>
      <c r="M4650" s="471">
        <f t="shared" si="176"/>
        <v>0.05</v>
      </c>
      <c r="N4650" s="475">
        <f t="shared" si="177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75"/>
        <v>-93064596432947.844</v>
      </c>
      <c r="J4651" s="455">
        <f t="array" ref="J4651">IFERROR(INDEX('Retirement Calculator'!K:K,MATCH('Lorri 401b'!N4651,'Retirement Calculator'!A:A,0),0),0)</f>
        <v>0</v>
      </c>
      <c r="K4651" s="455">
        <f t="shared" ca="1" si="173"/>
        <v>-387769151803.94934</v>
      </c>
      <c r="L4651" s="455">
        <f t="shared" ca="1" si="174"/>
        <v>-93452365584751.797</v>
      </c>
      <c r="M4651" s="471">
        <f t="shared" si="176"/>
        <v>0.05</v>
      </c>
      <c r="N4651" s="475">
        <f t="shared" si="177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75"/>
        <v>-93452365584751.797</v>
      </c>
      <c r="J4652" s="455">
        <f t="array" ref="J4652">IFERROR(INDEX('Retirement Calculator'!K:K,MATCH('Lorri 401b'!N4652,'Retirement Calculator'!A:A,0),0),0)</f>
        <v>0</v>
      </c>
      <c r="K4652" s="455">
        <f t="shared" ca="1" si="173"/>
        <v>-389384856603.13251</v>
      </c>
      <c r="L4652" s="455">
        <f t="shared" ca="1" si="174"/>
        <v>-93841750441354.922</v>
      </c>
      <c r="M4652" s="471">
        <f t="shared" si="176"/>
        <v>0.05</v>
      </c>
      <c r="N4652" s="475">
        <f t="shared" si="177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75"/>
        <v>-93841750441354.922</v>
      </c>
      <c r="J4653" s="455">
        <f t="array" ref="J4653">IFERROR(INDEX('Retirement Calculator'!K:K,MATCH('Lorri 401b'!N4653,'Retirement Calculator'!A:A,0),0),0)</f>
        <v>0</v>
      </c>
      <c r="K4653" s="455">
        <f t="shared" ca="1" si="173"/>
        <v>-391007293505.64551</v>
      </c>
      <c r="L4653" s="455">
        <f t="shared" ca="1" si="174"/>
        <v>-94232757734860.563</v>
      </c>
      <c r="M4653" s="471">
        <f t="shared" si="176"/>
        <v>0.05</v>
      </c>
      <c r="N4653" s="475">
        <f t="shared" si="177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75"/>
        <v>-94232757734860.563</v>
      </c>
      <c r="J4654" s="455">
        <f t="array" ref="J4654">IFERROR(INDEX('Retirement Calculator'!K:K,MATCH('Lorri 401b'!N4654,'Retirement Calculator'!A:A,0),0),0)</f>
        <v>0</v>
      </c>
      <c r="K4654" s="455">
        <f t="shared" ca="1" si="173"/>
        <v>-392636490561.91901</v>
      </c>
      <c r="L4654" s="455">
        <f t="shared" ca="1" si="174"/>
        <v>-94625394225422.484</v>
      </c>
      <c r="M4654" s="471">
        <f t="shared" si="176"/>
        <v>0.05</v>
      </c>
      <c r="N4654" s="475">
        <f t="shared" si="177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75"/>
        <v>-94625394225422.484</v>
      </c>
      <c r="J4655" s="455">
        <f t="array" ref="J4655">IFERROR(INDEX('Retirement Calculator'!K:K,MATCH('Lorri 401b'!N4655,'Retirement Calculator'!A:A,0),0),0)</f>
        <v>0</v>
      </c>
      <c r="K4655" s="455">
        <f t="shared" ca="1" si="173"/>
        <v>-394272475939.26038</v>
      </c>
      <c r="L4655" s="455">
        <f t="shared" ca="1" si="174"/>
        <v>-95019666701361.75</v>
      </c>
      <c r="M4655" s="471">
        <f t="shared" si="176"/>
        <v>0.05</v>
      </c>
      <c r="N4655" s="475">
        <f t="shared" si="177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75"/>
        <v>-95019666701361.75</v>
      </c>
      <c r="J4656" s="455">
        <f t="array" ref="J4656">IFERROR(INDEX('Retirement Calculator'!K:K,MATCH('Lorri 401b'!N4656,'Retirement Calculator'!A:A,0),0),0)</f>
        <v>0</v>
      </c>
      <c r="K4656" s="455">
        <f t="shared" ca="1" si="173"/>
        <v>-395915277922.34064</v>
      </c>
      <c r="L4656" s="455">
        <f t="shared" ca="1" si="174"/>
        <v>-95415581979284.094</v>
      </c>
      <c r="M4656" s="471">
        <f t="shared" si="176"/>
        <v>0.05</v>
      </c>
      <c r="N4656" s="475">
        <f t="shared" si="177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75"/>
        <v>-95415581979284.094</v>
      </c>
      <c r="J4657" s="455">
        <f t="array" ref="J4657">IFERROR(INDEX('Retirement Calculator'!K:K,MATCH('Lorri 401b'!N4657,'Retirement Calculator'!A:A,0),0),0)</f>
        <v>0</v>
      </c>
      <c r="K4657" s="455">
        <f t="shared" ca="1" si="173"/>
        <v>-397564924913.68372</v>
      </c>
      <c r="L4657" s="455">
        <f t="shared" ca="1" si="174"/>
        <v>-95813146904197.781</v>
      </c>
      <c r="M4657" s="471">
        <f t="shared" si="176"/>
        <v>0.05</v>
      </c>
      <c r="N4657" s="475">
        <f t="shared" si="177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75"/>
        <v>-95813146904197.781</v>
      </c>
      <c r="J4658" s="455">
        <f t="array" ref="J4658">IFERROR(INDEX('Retirement Calculator'!K:K,MATCH('Lorri 401b'!N4658,'Retirement Calculator'!A:A,0),0),0)</f>
        <v>0</v>
      </c>
      <c r="K4658" s="455">
        <f t="shared" ca="1" si="173"/>
        <v>-399221445434.15741</v>
      </c>
      <c r="L4658" s="455">
        <f t="shared" ca="1" si="174"/>
        <v>-96212368349631.938</v>
      </c>
      <c r="M4658" s="471">
        <f t="shared" si="176"/>
        <v>0.05</v>
      </c>
      <c r="N4658" s="475">
        <f t="shared" si="177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75"/>
        <v>-96212368349631.938</v>
      </c>
      <c r="J4659" s="455">
        <f t="array" ref="J4659">IFERROR(INDEX('Retirement Calculator'!K:K,MATCH('Lorri 401b'!N4659,'Retirement Calculator'!A:A,0),0),0)</f>
        <v>0</v>
      </c>
      <c r="K4659" s="455">
        <f t="shared" ca="1" si="173"/>
        <v>-400884868123.46643</v>
      </c>
      <c r="L4659" s="455">
        <f t="shared" ca="1" si="174"/>
        <v>-96613253217755.406</v>
      </c>
      <c r="M4659" s="471">
        <f t="shared" si="176"/>
        <v>0.05</v>
      </c>
      <c r="N4659" s="475">
        <f t="shared" si="177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75"/>
        <v>-96613253217755.406</v>
      </c>
      <c r="J4660" s="455">
        <f t="array" ref="J4660">IFERROR(INDEX('Retirement Calculator'!K:K,MATCH('Lorri 401b'!N4660,'Retirement Calculator'!A:A,0),0),0)</f>
        <v>0</v>
      </c>
      <c r="K4660" s="455">
        <f t="shared" ca="1" si="173"/>
        <v>-402555221740.64752</v>
      </c>
      <c r="L4660" s="455">
        <f t="shared" ca="1" si="174"/>
        <v>-97015808439496.047</v>
      </c>
      <c r="M4660" s="471">
        <f t="shared" si="176"/>
        <v>0.05</v>
      </c>
      <c r="N4660" s="475">
        <f t="shared" si="177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75"/>
        <v>-97015808439496.047</v>
      </c>
      <c r="J4661" s="455">
        <f t="array" ref="J4661">IFERROR(INDEX('Retirement Calculator'!K:K,MATCH('Lorri 401b'!N4661,'Retirement Calculator'!A:A,0),0),0)</f>
        <v>0</v>
      </c>
      <c r="K4661" s="455">
        <f t="shared" ca="1" si="173"/>
        <v>-404232535164.56683</v>
      </c>
      <c r="L4661" s="455">
        <f t="shared" ca="1" si="174"/>
        <v>-97420040974660.609</v>
      </c>
      <c r="M4661" s="471">
        <f t="shared" si="176"/>
        <v>0.05</v>
      </c>
      <c r="N4661" s="475">
        <f t="shared" si="177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75"/>
        <v>-97420040974660.609</v>
      </c>
      <c r="J4662" s="455">
        <f t="array" ref="J4662">IFERROR(INDEX('Retirement Calculator'!K:K,MATCH('Lorri 401b'!N4662,'Retirement Calculator'!A:A,0),0),0)</f>
        <v>0</v>
      </c>
      <c r="K4662" s="455">
        <f t="shared" ca="1" si="173"/>
        <v>-405916837394.41919</v>
      </c>
      <c r="L4662" s="455">
        <f t="shared" ca="1" si="174"/>
        <v>-97825957812055.031</v>
      </c>
      <c r="M4662" s="471">
        <f t="shared" si="176"/>
        <v>0.05</v>
      </c>
      <c r="N4662" s="475">
        <f t="shared" si="177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75"/>
        <v>-97825957812055.031</v>
      </c>
      <c r="J4663" s="455">
        <f t="array" ref="J4663">IFERROR(INDEX('Retirement Calculator'!K:K,MATCH('Lorri 401b'!N4663,'Retirement Calculator'!A:A,0),0),0)</f>
        <v>0</v>
      </c>
      <c r="K4663" s="455">
        <f t="shared" ca="1" si="173"/>
        <v>-407608157550.22931</v>
      </c>
      <c r="L4663" s="455">
        <f t="shared" ca="1" si="174"/>
        <v>-98233565969605.266</v>
      </c>
      <c r="M4663" s="471">
        <f t="shared" si="176"/>
        <v>0.05</v>
      </c>
      <c r="N4663" s="475">
        <f t="shared" si="177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75"/>
        <v>-98233565969605.266</v>
      </c>
      <c r="J4664" s="455">
        <f t="array" ref="J4664">IFERROR(INDEX('Retirement Calculator'!K:K,MATCH('Lorri 401b'!N4664,'Retirement Calculator'!A:A,0),0),0)</f>
        <v>0</v>
      </c>
      <c r="K4664" s="455">
        <f t="shared" ca="1" si="173"/>
        <v>-409306524873.35529</v>
      </c>
      <c r="L4664" s="455">
        <f t="shared" ca="1" si="174"/>
        <v>-98642872494478.625</v>
      </c>
      <c r="M4664" s="471">
        <f t="shared" si="176"/>
        <v>0.05</v>
      </c>
      <c r="N4664" s="475">
        <f t="shared" si="177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75"/>
        <v>-98642872494478.625</v>
      </c>
      <c r="J4665" s="455">
        <f t="array" ref="J4665">IFERROR(INDEX('Retirement Calculator'!K:K,MATCH('Lorri 401b'!N4665,'Retirement Calculator'!A:A,0),0),0)</f>
        <v>0</v>
      </c>
      <c r="K4665" s="455">
        <f t="shared" ca="1" si="173"/>
        <v>-411011968726.99426</v>
      </c>
      <c r="L4665" s="455">
        <f t="shared" ca="1" si="174"/>
        <v>-99053884463205.625</v>
      </c>
      <c r="M4665" s="471">
        <f t="shared" si="176"/>
        <v>0.05</v>
      </c>
      <c r="N4665" s="475">
        <f t="shared" si="177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75"/>
        <v>-99053884463205.625</v>
      </c>
      <c r="J4666" s="455">
        <f t="array" ref="J4666">IFERROR(INDEX('Retirement Calculator'!K:K,MATCH('Lorri 401b'!N4666,'Retirement Calculator'!A:A,0),0),0)</f>
        <v>0</v>
      </c>
      <c r="K4666" s="455">
        <f t="shared" ca="1" si="173"/>
        <v>-412724518596.69012</v>
      </c>
      <c r="L4666" s="455">
        <f t="shared" ca="1" si="174"/>
        <v>-99466608981802.313</v>
      </c>
      <c r="M4666" s="471">
        <f t="shared" si="176"/>
        <v>0.05</v>
      </c>
      <c r="N4666" s="475">
        <f t="shared" si="177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75"/>
        <v>-99466608981802.313</v>
      </c>
      <c r="J4667" s="455">
        <f t="array" ref="J4667">IFERROR(INDEX('Retirement Calculator'!K:K,MATCH('Lorri 401b'!N4667,'Retirement Calculator'!A:A,0),0),0)</f>
        <v>0</v>
      </c>
      <c r="K4667" s="455">
        <f t="shared" ca="1" si="173"/>
        <v>-414444204090.84296</v>
      </c>
      <c r="L4667" s="455">
        <f t="shared" ca="1" si="174"/>
        <v>-99881053185893.156</v>
      </c>
      <c r="M4667" s="471">
        <f t="shared" si="176"/>
        <v>0.05</v>
      </c>
      <c r="N4667" s="475">
        <f t="shared" si="177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75"/>
        <v>-99881053185893.156</v>
      </c>
      <c r="J4668" s="455">
        <f t="array" ref="J4668">IFERROR(INDEX('Retirement Calculator'!K:K,MATCH('Lorri 401b'!N4668,'Retirement Calculator'!A:A,0),0),0)</f>
        <v>0</v>
      </c>
      <c r="K4668" s="455">
        <f t="shared" ca="1" si="173"/>
        <v>-416171054941.2215</v>
      </c>
      <c r="L4668" s="455">
        <f t="shared" ca="1" si="174"/>
        <v>-100297224240834.38</v>
      </c>
      <c r="M4668" s="471">
        <f t="shared" si="176"/>
        <v>0.05</v>
      </c>
      <c r="N4668" s="475">
        <f t="shared" si="177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75"/>
        <v>-100297224240834.38</v>
      </c>
      <c r="J4669" s="455">
        <f t="array" ref="J4669">IFERROR(INDEX('Retirement Calculator'!K:K,MATCH('Lorri 401b'!N4669,'Retirement Calculator'!A:A,0),0),0)</f>
        <v>0</v>
      </c>
      <c r="K4669" s="455">
        <f t="shared" ca="1" si="173"/>
        <v>-417905101003.47656</v>
      </c>
      <c r="L4669" s="455">
        <f t="shared" ca="1" si="174"/>
        <v>-100715129341837.84</v>
      </c>
      <c r="M4669" s="471">
        <f t="shared" si="176"/>
        <v>0.05</v>
      </c>
      <c r="N4669" s="475">
        <f t="shared" si="177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75"/>
        <v>-100715129341837.84</v>
      </c>
      <c r="J4670" s="455">
        <f t="array" ref="J4670">IFERROR(INDEX('Retirement Calculator'!K:K,MATCH('Lorri 401b'!N4670,'Retirement Calculator'!A:A,0),0),0)</f>
        <v>0</v>
      </c>
      <c r="K4670" s="455">
        <f t="shared" ca="1" si="173"/>
        <v>-419646372257.65765</v>
      </c>
      <c r="L4670" s="455">
        <f t="shared" ca="1" si="174"/>
        <v>-101134775714095.5</v>
      </c>
      <c r="M4670" s="471">
        <f t="shared" si="176"/>
        <v>0.05</v>
      </c>
      <c r="N4670" s="475">
        <f t="shared" si="177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75"/>
        <v>-101134775714095.5</v>
      </c>
      <c r="J4671" s="455">
        <f t="array" ref="J4671">IFERROR(INDEX('Retirement Calculator'!K:K,MATCH('Lorri 401b'!N4671,'Retirement Calculator'!A:A,0),0),0)</f>
        <v>0</v>
      </c>
      <c r="K4671" s="455">
        <f t="shared" ca="1" si="173"/>
        <v>-421394898808.73126</v>
      </c>
      <c r="L4671" s="455">
        <f t="shared" ca="1" si="174"/>
        <v>-101556170612904.23</v>
      </c>
      <c r="M4671" s="471">
        <f t="shared" si="176"/>
        <v>0.05</v>
      </c>
      <c r="N4671" s="475">
        <f t="shared" si="177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75"/>
        <v>-101556170612904.23</v>
      </c>
      <c r="J4672" s="455">
        <f t="array" ref="J4672">IFERROR(INDEX('Retirement Calculator'!K:K,MATCH('Lorri 401b'!N4672,'Retirement Calculator'!A:A,0),0),0)</f>
        <v>0</v>
      </c>
      <c r="K4672" s="455">
        <f t="shared" ca="1" si="173"/>
        <v>-423150710887.10095</v>
      </c>
      <c r="L4672" s="455">
        <f t="shared" ca="1" si="174"/>
        <v>-101979321323791.33</v>
      </c>
      <c r="M4672" s="471">
        <f t="shared" si="176"/>
        <v>0.05</v>
      </c>
      <c r="N4672" s="475">
        <f t="shared" si="177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75"/>
        <v>-101979321323791.33</v>
      </c>
      <c r="J4673" s="455">
        <f t="array" ref="J4673">IFERROR(INDEX('Retirement Calculator'!K:K,MATCH('Lorri 401b'!N4673,'Retirement Calculator'!A:A,0),0),0)</f>
        <v>0</v>
      </c>
      <c r="K4673" s="455">
        <f t="shared" ca="1" si="173"/>
        <v>-424913838849.13055</v>
      </c>
      <c r="L4673" s="455">
        <f t="shared" ca="1" si="174"/>
        <v>-102404235162640.45</v>
      </c>
      <c r="M4673" s="471">
        <f t="shared" si="176"/>
        <v>0.05</v>
      </c>
      <c r="N4673" s="475">
        <f t="shared" si="177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75"/>
        <v>-102404235162640.45</v>
      </c>
      <c r="J4674" s="455">
        <f t="array" ref="J4674">IFERROR(INDEX('Retirement Calculator'!K:K,MATCH('Lorri 401b'!N4674,'Retirement Calculator'!A:A,0),0),0)</f>
        <v>0</v>
      </c>
      <c r="K4674" s="455">
        <f t="shared" ca="1" si="173"/>
        <v>-426684313177.66858</v>
      </c>
      <c r="L4674" s="455">
        <f t="shared" ca="1" si="174"/>
        <v>-102830919475818.13</v>
      </c>
      <c r="M4674" s="471">
        <f t="shared" si="176"/>
        <v>0.05</v>
      </c>
      <c r="N4674" s="475">
        <f t="shared" si="177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75"/>
        <v>-102830919475818.13</v>
      </c>
      <c r="J4675" s="455">
        <f t="array" ref="J4675">IFERROR(INDEX('Retirement Calculator'!K:K,MATCH('Lorri 401b'!N4675,'Retirement Calculator'!A:A,0),0),0)</f>
        <v>0</v>
      </c>
      <c r="K4675" s="455">
        <f t="shared" ca="1" si="173"/>
        <v>-428462164482.5755</v>
      </c>
      <c r="L4675" s="455">
        <f t="shared" ca="1" si="174"/>
        <v>-103259381640300.7</v>
      </c>
      <c r="M4675" s="471">
        <f t="shared" si="176"/>
        <v>0.05</v>
      </c>
      <c r="N4675" s="475">
        <f t="shared" si="177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75"/>
        <v>-103259381640300.7</v>
      </c>
      <c r="J4676" s="455">
        <f t="array" ref="J4676">IFERROR(INDEX('Retirement Calculator'!K:K,MATCH('Lorri 401b'!N4676,'Retirement Calculator'!A:A,0),0),0)</f>
        <v>0</v>
      </c>
      <c r="K4676" s="455">
        <f t="shared" ca="1" si="173"/>
        <v>-430247423501.25293</v>
      </c>
      <c r="L4676" s="455">
        <f t="shared" ca="1" si="174"/>
        <v>-103689629063801.95</v>
      </c>
      <c r="M4676" s="471">
        <f t="shared" si="176"/>
        <v>0.05</v>
      </c>
      <c r="N4676" s="475">
        <f t="shared" si="177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75"/>
        <v>-103689629063801.95</v>
      </c>
      <c r="J4677" s="455">
        <f t="array" ref="J4677">IFERROR(INDEX('Retirement Calculator'!K:K,MATCH('Lorri 401b'!N4677,'Retirement Calculator'!A:A,0),0),0)</f>
        <v>0</v>
      </c>
      <c r="K4677" s="455">
        <f t="shared" ca="1" si="173"/>
        <v>-432040121099.1748</v>
      </c>
      <c r="L4677" s="455">
        <f t="shared" ca="1" si="174"/>
        <v>-104121669184901.13</v>
      </c>
      <c r="M4677" s="471">
        <f t="shared" si="176"/>
        <v>0.05</v>
      </c>
      <c r="N4677" s="475">
        <f t="shared" si="177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75"/>
        <v>-104121669184901.13</v>
      </c>
      <c r="J4678" s="455">
        <f t="array" ref="J4678">IFERROR(INDEX('Retirement Calculator'!K:K,MATCH('Lorri 401b'!N4678,'Retirement Calculator'!A:A,0),0),0)</f>
        <v>0</v>
      </c>
      <c r="K4678" s="455">
        <f t="shared" ca="1" si="173"/>
        <v>-433840288270.42133</v>
      </c>
      <c r="L4678" s="455">
        <f t="shared" ca="1" si="174"/>
        <v>-104555509473171.55</v>
      </c>
      <c r="M4678" s="471">
        <f t="shared" si="176"/>
        <v>0.05</v>
      </c>
      <c r="N4678" s="475">
        <f t="shared" si="177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75"/>
        <v>-104555509473171.55</v>
      </c>
      <c r="J4679" s="455">
        <f t="array" ref="J4679">IFERROR(INDEX('Retirement Calculator'!K:K,MATCH('Lorri 401b'!N4679,'Retirement Calculator'!A:A,0),0),0)</f>
        <v>0</v>
      </c>
      <c r="K4679" s="455">
        <f t="shared" ca="1" si="173"/>
        <v>-435647956138.21478</v>
      </c>
      <c r="L4679" s="455">
        <f t="shared" ca="1" si="174"/>
        <v>-104991157429309.77</v>
      </c>
      <c r="M4679" s="471">
        <f t="shared" si="176"/>
        <v>0.05</v>
      </c>
      <c r="N4679" s="475">
        <f t="shared" si="177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75"/>
        <v>-104991157429309.77</v>
      </c>
      <c r="J4680" s="455">
        <f t="array" ref="J4680">IFERROR(INDEX('Retirement Calculator'!K:K,MATCH('Lorri 401b'!N4680,'Retirement Calculator'!A:A,0),0),0)</f>
        <v>0</v>
      </c>
      <c r="K4680" s="455">
        <f t="shared" ca="1" si="173"/>
        <v>-437463155955.45734</v>
      </c>
      <c r="L4680" s="455">
        <f t="shared" ca="1" si="174"/>
        <v>-105428620585265.22</v>
      </c>
      <c r="M4680" s="471">
        <f t="shared" si="176"/>
        <v>0.05</v>
      </c>
      <c r="N4680" s="475">
        <f t="shared" si="177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75"/>
        <v>-105428620585265.22</v>
      </c>
      <c r="J4681" s="455">
        <f t="array" ref="J4681">IFERROR(INDEX('Retirement Calculator'!K:K,MATCH('Lorri 401b'!N4681,'Retirement Calculator'!A:A,0),0),0)</f>
        <v>0</v>
      </c>
      <c r="K4681" s="455">
        <f t="shared" ca="1" si="173"/>
        <v>-439285919105.27173</v>
      </c>
      <c r="L4681" s="455">
        <f t="shared" ca="1" si="174"/>
        <v>-105867906504370.48</v>
      </c>
      <c r="M4681" s="471">
        <f t="shared" si="176"/>
        <v>0.05</v>
      </c>
      <c r="N4681" s="475">
        <f t="shared" si="177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75"/>
        <v>-105867906504370.48</v>
      </c>
      <c r="J4682" s="455">
        <f t="array" ref="J4682">IFERROR(INDEX('Retirement Calculator'!K:K,MATCH('Lorri 401b'!N4682,'Retirement Calculator'!A:A,0),0),0)</f>
        <v>0</v>
      </c>
      <c r="K4682" s="455">
        <f t="shared" ca="1" si="173"/>
        <v>-441116277101.5437</v>
      </c>
      <c r="L4682" s="455">
        <f t="shared" ca="1" si="174"/>
        <v>-106309022781472.03</v>
      </c>
      <c r="M4682" s="471">
        <f t="shared" si="176"/>
        <v>0.05</v>
      </c>
      <c r="N4682" s="475">
        <f t="shared" si="177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75"/>
        <v>-106309022781472.03</v>
      </c>
      <c r="J4683" s="455">
        <f t="array" ref="J4683">IFERROR(INDEX('Retirement Calculator'!K:K,MATCH('Lorri 401b'!N4683,'Retirement Calculator'!A:A,0),0),0)</f>
        <v>0</v>
      </c>
      <c r="K4683" s="455">
        <f t="shared" ca="1" si="173"/>
        <v>-442954261589.4668</v>
      </c>
      <c r="L4683" s="455">
        <f t="shared" ca="1" si="174"/>
        <v>-106751977043061.5</v>
      </c>
      <c r="M4683" s="471">
        <f t="shared" si="176"/>
        <v>0.05</v>
      </c>
      <c r="N4683" s="475">
        <f t="shared" si="177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75"/>
        <v>-106751977043061.5</v>
      </c>
      <c r="J4684" s="455">
        <f t="array" ref="J4684">IFERROR(INDEX('Retirement Calculator'!K:K,MATCH('Lorri 401b'!N4684,'Retirement Calculator'!A:A,0),0),0)</f>
        <v>0</v>
      </c>
      <c r="K4684" s="455">
        <f t="shared" ca="1" si="173"/>
        <v>-444799904346.0896</v>
      </c>
      <c r="L4684" s="455">
        <f t="shared" ca="1" si="174"/>
        <v>-107196776947407.59</v>
      </c>
      <c r="M4684" s="471">
        <f t="shared" si="176"/>
        <v>0.05</v>
      </c>
      <c r="N4684" s="475">
        <f t="shared" si="177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75"/>
        <v>-107196776947407.59</v>
      </c>
      <c r="J4685" s="455">
        <f t="array" ref="J4685">IFERROR(INDEX('Retirement Calculator'!K:K,MATCH('Lorri 401b'!N4685,'Retirement Calculator'!A:A,0),0),0)</f>
        <v>0</v>
      </c>
      <c r="K4685" s="455">
        <f t="shared" ca="1" si="173"/>
        <v>-446653237280.86499</v>
      </c>
      <c r="L4685" s="455">
        <f t="shared" ca="1" si="174"/>
        <v>-107643430184688.45</v>
      </c>
      <c r="M4685" s="471">
        <f t="shared" si="176"/>
        <v>0.05</v>
      </c>
      <c r="N4685" s="475">
        <f t="shared" si="177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75"/>
        <v>-107643430184688.45</v>
      </c>
      <c r="J4686" s="455">
        <f t="array" ref="J4686">IFERROR(INDEX('Retirement Calculator'!K:K,MATCH('Lorri 401b'!N4686,'Retirement Calculator'!A:A,0),0),0)</f>
        <v>0</v>
      </c>
      <c r="K4686" s="455">
        <f t="shared" ca="1" si="173"/>
        <v>-448514292436.2019</v>
      </c>
      <c r="L4686" s="455">
        <f t="shared" ca="1" si="174"/>
        <v>-108091944477124.66</v>
      </c>
      <c r="M4686" s="471">
        <f t="shared" si="176"/>
        <v>0.05</v>
      </c>
      <c r="N4686" s="475">
        <f t="shared" si="177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75"/>
        <v>-108091944477124.66</v>
      </c>
      <c r="J4687" s="455">
        <f t="array" ref="J4687">IFERROR(INDEX('Retirement Calculator'!K:K,MATCH('Lorri 401b'!N4687,'Retirement Calculator'!A:A,0),0),0)</f>
        <v>0</v>
      </c>
      <c r="K4687" s="455">
        <f t="shared" ca="1" si="173"/>
        <v>-450383101988.01941</v>
      </c>
      <c r="L4687" s="455">
        <f t="shared" ca="1" si="174"/>
        <v>-108542327579112.67</v>
      </c>
      <c r="M4687" s="471">
        <f t="shared" si="176"/>
        <v>0.05</v>
      </c>
      <c r="N4687" s="475">
        <f t="shared" si="177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75"/>
        <v>-108542327579112.67</v>
      </c>
      <c r="J4688" s="455">
        <f t="array" ref="J4688">IFERROR(INDEX('Retirement Calculator'!K:K,MATCH('Lorri 401b'!N4688,'Retirement Calculator'!A:A,0),0),0)</f>
        <v>0</v>
      </c>
      <c r="K4688" s="455">
        <f t="shared" ca="1" si="173"/>
        <v>-452259698246.3028</v>
      </c>
      <c r="L4688" s="455">
        <f t="shared" ca="1" si="174"/>
        <v>-108994587277358.97</v>
      </c>
      <c r="M4688" s="471">
        <f t="shared" si="176"/>
        <v>0.05</v>
      </c>
      <c r="N4688" s="475">
        <f t="shared" si="177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75"/>
        <v>-108994587277358.97</v>
      </c>
      <c r="J4689" s="455">
        <f t="array" ref="J4689">IFERROR(INDEX('Retirement Calculator'!K:K,MATCH('Lorri 401b'!N4689,'Retirement Calculator'!A:A,0),0),0)</f>
        <v>0</v>
      </c>
      <c r="K4689" s="455">
        <f t="shared" ca="1" si="173"/>
        <v>-454144113655.66235</v>
      </c>
      <c r="L4689" s="455">
        <f t="shared" ca="1" si="174"/>
        <v>-109448731391014.63</v>
      </c>
      <c r="M4689" s="471">
        <f t="shared" si="176"/>
        <v>0.05</v>
      </c>
      <c r="N4689" s="475">
        <f t="shared" si="177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75"/>
        <v>-109448731391014.63</v>
      </c>
      <c r="J4690" s="455">
        <f t="array" ref="J4690">IFERROR(INDEX('Retirement Calculator'!K:K,MATCH('Lorri 401b'!N4690,'Retirement Calculator'!A:A,0),0),0)</f>
        <v>0</v>
      </c>
      <c r="K4690" s="455">
        <f t="shared" ca="1" si="173"/>
        <v>-456036380795.89429</v>
      </c>
      <c r="L4690" s="455">
        <f t="shared" ca="1" si="174"/>
        <v>-109904767771810.52</v>
      </c>
      <c r="M4690" s="471">
        <f t="shared" si="176"/>
        <v>0.05</v>
      </c>
      <c r="N4690" s="475">
        <f t="shared" si="177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75"/>
        <v>-109904767771810.52</v>
      </c>
      <c r="J4691" s="455">
        <f t="array" ref="J4691">IFERROR(INDEX('Retirement Calculator'!K:K,MATCH('Lorri 401b'!N4691,'Retirement Calculator'!A:A,0),0),0)</f>
        <v>0</v>
      </c>
      <c r="K4691" s="455">
        <f t="shared" ca="1" si="173"/>
        <v>-457936532382.54376</v>
      </c>
      <c r="L4691" s="455">
        <f t="shared" ca="1" si="174"/>
        <v>-110362704304193.06</v>
      </c>
      <c r="M4691" s="471">
        <f t="shared" si="176"/>
        <v>0.05</v>
      </c>
      <c r="N4691" s="475">
        <f t="shared" si="177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75"/>
        <v>-110362704304193.06</v>
      </c>
      <c r="J4692" s="455">
        <f t="array" ref="J4692">IFERROR(INDEX('Retirement Calculator'!K:K,MATCH('Lorri 401b'!N4692,'Retirement Calculator'!A:A,0),0),0)</f>
        <v>0</v>
      </c>
      <c r="K4692" s="455">
        <f t="shared" ca="1" si="173"/>
        <v>-459844601267.47101</v>
      </c>
      <c r="L4692" s="455">
        <f t="shared" ca="1" si="174"/>
        <v>-110822548905460.53</v>
      </c>
      <c r="M4692" s="471">
        <f t="shared" si="176"/>
        <v>0.05</v>
      </c>
      <c r="N4692" s="475">
        <f t="shared" si="177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75"/>
        <v>-110822548905460.53</v>
      </c>
      <c r="J4693" s="455">
        <f t="array" ref="J4693">IFERROR(INDEX('Retirement Calculator'!K:K,MATCH('Lorri 401b'!N4693,'Retirement Calculator'!A:A,0),0),0)</f>
        <v>0</v>
      </c>
      <c r="K4693" s="455">
        <f t="shared" ca="1" si="173"/>
        <v>-461760620439.41888</v>
      </c>
      <c r="L4693" s="455">
        <f t="shared" ca="1" si="174"/>
        <v>-111284309525899.95</v>
      </c>
      <c r="M4693" s="471">
        <f t="shared" si="176"/>
        <v>0.05</v>
      </c>
      <c r="N4693" s="475">
        <f t="shared" si="177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75"/>
        <v>-111284309525899.95</v>
      </c>
      <c r="J4694" s="455">
        <f t="array" ref="J4694">IFERROR(INDEX('Retirement Calculator'!K:K,MATCH('Lorri 401b'!N4694,'Retirement Calculator'!A:A,0),0),0)</f>
        <v>0</v>
      </c>
      <c r="K4694" s="455">
        <f t="shared" ca="1" si="173"/>
        <v>-463684623024.58313</v>
      </c>
      <c r="L4694" s="455">
        <f t="shared" ca="1" si="174"/>
        <v>-111747994148924.53</v>
      </c>
      <c r="M4694" s="471">
        <f t="shared" si="176"/>
        <v>0.05</v>
      </c>
      <c r="N4694" s="475">
        <f t="shared" si="177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75"/>
        <v>-111747994148924.53</v>
      </c>
      <c r="J4695" s="455">
        <f t="array" ref="J4695">IFERROR(INDEX('Retirement Calculator'!K:K,MATCH('Lorri 401b'!N4695,'Retirement Calculator'!A:A,0),0),0)</f>
        <v>0</v>
      </c>
      <c r="K4695" s="455">
        <f t="shared" ca="1" si="173"/>
        <v>-465616642287.18555</v>
      </c>
      <c r="L4695" s="455">
        <f t="shared" ca="1" si="174"/>
        <v>-112213610791211.72</v>
      </c>
      <c r="M4695" s="471">
        <f t="shared" si="176"/>
        <v>0.05</v>
      </c>
      <c r="N4695" s="475">
        <f t="shared" si="177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75"/>
        <v>-112213610791211.72</v>
      </c>
      <c r="J4696" s="455">
        <f t="array" ref="J4696">IFERROR(INDEX('Retirement Calculator'!K:K,MATCH('Lorri 401b'!N4696,'Retirement Calculator'!A:A,0),0),0)</f>
        <v>0</v>
      </c>
      <c r="K4696" s="455">
        <f t="shared" ca="1" si="173"/>
        <v>-467556711630.04883</v>
      </c>
      <c r="L4696" s="455">
        <f t="shared" ca="1" si="174"/>
        <v>-112681167502841.77</v>
      </c>
      <c r="M4696" s="471">
        <f t="shared" si="176"/>
        <v>0.05</v>
      </c>
      <c r="N4696" s="475">
        <f t="shared" si="177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75"/>
        <v>-112681167502841.77</v>
      </c>
      <c r="J4697" s="455">
        <f t="array" ref="J4697">IFERROR(INDEX('Retirement Calculator'!K:K,MATCH('Lorri 401b'!N4697,'Retirement Calculator'!A:A,0),0),0)</f>
        <v>0</v>
      </c>
      <c r="K4697" s="455">
        <f t="shared" ca="1" si="173"/>
        <v>-469504864595.17395</v>
      </c>
      <c r="L4697" s="455">
        <f t="shared" ca="1" si="174"/>
        <v>-113150672367436.94</v>
      </c>
      <c r="M4697" s="471">
        <f t="shared" si="176"/>
        <v>0.05</v>
      </c>
      <c r="N4697" s="475">
        <f t="shared" si="177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75"/>
        <v>-113150672367436.94</v>
      </c>
      <c r="J4698" s="455">
        <f t="array" ref="J4698">IFERROR(INDEX('Retirement Calculator'!K:K,MATCH('Lorri 401b'!N4698,'Retirement Calculator'!A:A,0),0),0)</f>
        <v>0</v>
      </c>
      <c r="K4698" s="455">
        <f t="shared" ca="1" si="173"/>
        <v>-471461134864.32056</v>
      </c>
      <c r="L4698" s="455">
        <f t="shared" ca="1" si="174"/>
        <v>-113622133502301.27</v>
      </c>
      <c r="M4698" s="471">
        <f t="shared" si="176"/>
        <v>0.05</v>
      </c>
      <c r="N4698" s="475">
        <f t="shared" si="177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75"/>
        <v>-113622133502301.27</v>
      </c>
      <c r="J4699" s="455">
        <f t="array" ref="J4699">IFERROR(INDEX('Retirement Calculator'!K:K,MATCH('Lorri 401b'!N4699,'Retirement Calculator'!A:A,0),0),0)</f>
        <v>0</v>
      </c>
      <c r="K4699" s="455">
        <f t="shared" ca="1" si="173"/>
        <v>-473425556259.58868</v>
      </c>
      <c r="L4699" s="455">
        <f t="shared" ca="1" si="174"/>
        <v>-114095559058560.86</v>
      </c>
      <c r="M4699" s="471">
        <f t="shared" si="176"/>
        <v>0.05</v>
      </c>
      <c r="N4699" s="475">
        <f t="shared" si="177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75"/>
        <v>-114095559058560.86</v>
      </c>
      <c r="J4700" s="455">
        <f t="array" ref="J4700">IFERROR(INDEX('Retirement Calculator'!K:K,MATCH('Lorri 401b'!N4700,'Retirement Calculator'!A:A,0),0),0)</f>
        <v>0</v>
      </c>
      <c r="K4700" s="455">
        <f t="shared" ca="1" si="173"/>
        <v>-475398162744.0036</v>
      </c>
      <c r="L4700" s="455">
        <f t="shared" ca="1" si="174"/>
        <v>-114570957221304.86</v>
      </c>
      <c r="M4700" s="471">
        <f t="shared" si="176"/>
        <v>0.05</v>
      </c>
      <c r="N4700" s="475">
        <f t="shared" si="177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75"/>
        <v>-114570957221304.86</v>
      </c>
      <c r="J4701" s="455">
        <f t="array" ref="J4701">IFERROR(INDEX('Retirement Calculator'!K:K,MATCH('Lorri 401b'!N4701,'Retirement Calculator'!A:A,0),0),0)</f>
        <v>0</v>
      </c>
      <c r="K4701" s="455">
        <f t="shared" ca="1" si="173"/>
        <v>-477378988422.10358</v>
      </c>
      <c r="L4701" s="455">
        <f t="shared" ca="1" si="174"/>
        <v>-115048336209726.97</v>
      </c>
      <c r="M4701" s="471">
        <f t="shared" si="176"/>
        <v>0.05</v>
      </c>
      <c r="N4701" s="475">
        <f t="shared" si="177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75"/>
        <v>-115048336209726.97</v>
      </c>
      <c r="J4702" s="455">
        <f t="array" ref="J4702">IFERROR(INDEX('Retirement Calculator'!K:K,MATCH('Lorri 401b'!N4702,'Retirement Calculator'!A:A,0),0),0)</f>
        <v>0</v>
      </c>
      <c r="K4702" s="455">
        <f t="shared" ca="1" si="173"/>
        <v>-479368067540.52911</v>
      </c>
      <c r="L4702" s="455">
        <f t="shared" ca="1" si="174"/>
        <v>-115527704277267.5</v>
      </c>
      <c r="M4702" s="471">
        <f t="shared" si="176"/>
        <v>0.05</v>
      </c>
      <c r="N4702" s="475">
        <f t="shared" si="177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75"/>
        <v>-115527704277267.5</v>
      </c>
      <c r="J4703" s="455">
        <f t="array" ref="J4703">IFERROR(INDEX('Retirement Calculator'!K:K,MATCH('Lorri 401b'!N4703,'Retirement Calculator'!A:A,0),0),0)</f>
        <v>0</v>
      </c>
      <c r="K4703" s="455">
        <f t="shared" ca="1" si="173"/>
        <v>-481365434488.61456</v>
      </c>
      <c r="L4703" s="455">
        <f t="shared" ca="1" si="174"/>
        <v>-116009069711756.11</v>
      </c>
      <c r="M4703" s="471">
        <f t="shared" si="176"/>
        <v>0.05</v>
      </c>
      <c r="N4703" s="475">
        <f t="shared" si="177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75"/>
        <v>-116009069711756.11</v>
      </c>
      <c r="J4704" s="455">
        <f t="array" ref="J4704">IFERROR(INDEX('Retirement Calculator'!K:K,MATCH('Lorri 401b'!N4704,'Retirement Calculator'!A:A,0),0),0)</f>
        <v>0</v>
      </c>
      <c r="K4704" s="455">
        <f t="shared" ca="1" si="173"/>
        <v>-483371123798.98376</v>
      </c>
      <c r="L4704" s="455">
        <f t="shared" ca="1" si="174"/>
        <v>-116492440835555.09</v>
      </c>
      <c r="M4704" s="471">
        <f t="shared" si="176"/>
        <v>0.05</v>
      </c>
      <c r="N4704" s="475">
        <f t="shared" si="177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75"/>
        <v>-116492440835555.09</v>
      </c>
      <c r="J4705" s="455">
        <f t="array" ref="J4705">IFERROR(INDEX('Retirement Calculator'!K:K,MATCH('Lorri 401b'!N4705,'Retirement Calculator'!A:A,0),0),0)</f>
        <v>0</v>
      </c>
      <c r="K4705" s="455">
        <f t="shared" ca="1" si="173"/>
        <v>-485385170148.14624</v>
      </c>
      <c r="L4705" s="455">
        <f t="shared" ca="1" si="174"/>
        <v>-116977826005703.23</v>
      </c>
      <c r="M4705" s="471">
        <f t="shared" si="176"/>
        <v>0.05</v>
      </c>
      <c r="N4705" s="475">
        <f t="shared" si="177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75"/>
        <v>-116977826005703.23</v>
      </c>
      <c r="J4706" s="455">
        <f t="array" ref="J4706">IFERROR(INDEX('Retirement Calculator'!K:K,MATCH('Lorri 401b'!N4706,'Retirement Calculator'!A:A,0),0),0)</f>
        <v>0</v>
      </c>
      <c r="K4706" s="455">
        <f t="shared" ca="1" si="173"/>
        <v>-487407608357.0968</v>
      </c>
      <c r="L4706" s="455">
        <f t="shared" ca="1" si="174"/>
        <v>-117465233614060.33</v>
      </c>
      <c r="M4706" s="471">
        <f t="shared" si="176"/>
        <v>0.05</v>
      </c>
      <c r="N4706" s="475">
        <f t="shared" si="177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75"/>
        <v>-117465233614060.33</v>
      </c>
      <c r="J4707" s="455">
        <f t="array" ref="J4707">IFERROR(INDEX('Retirement Calculator'!K:K,MATCH('Lorri 401b'!N4707,'Retirement Calculator'!A:A,0),0),0)</f>
        <v>0</v>
      </c>
      <c r="K4707" s="455">
        <f t="shared" ca="1" si="173"/>
        <v>-489438473391.91803</v>
      </c>
      <c r="L4707" s="455">
        <f t="shared" ca="1" si="174"/>
        <v>-117954672087452.25</v>
      </c>
      <c r="M4707" s="471">
        <f t="shared" si="176"/>
        <v>0.05</v>
      </c>
      <c r="N4707" s="475">
        <f t="shared" si="177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75"/>
        <v>-117954672087452.25</v>
      </c>
      <c r="J4708" s="455">
        <f t="array" ref="J4708">IFERROR(INDEX('Retirement Calculator'!K:K,MATCH('Lorri 401b'!N4708,'Retirement Calculator'!A:A,0),0),0)</f>
        <v>0</v>
      </c>
      <c r="K4708" s="455">
        <f t="shared" ca="1" si="173"/>
        <v>-491477800364.38446</v>
      </c>
      <c r="L4708" s="455">
        <f t="shared" ca="1" si="174"/>
        <v>-118446149887816.64</v>
      </c>
      <c r="M4708" s="471">
        <f t="shared" si="176"/>
        <v>0.05</v>
      </c>
      <c r="N4708" s="475">
        <f t="shared" si="177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75"/>
        <v>-118446149887816.64</v>
      </c>
      <c r="J4709" s="455">
        <f t="array" ref="J4709">IFERROR(INDEX('Retirement Calculator'!K:K,MATCH('Lorri 401b'!N4709,'Retirement Calculator'!A:A,0),0),0)</f>
        <v>0</v>
      </c>
      <c r="K4709" s="455">
        <f t="shared" ca="1" si="173"/>
        <v>-493525624532.56934</v>
      </c>
      <c r="L4709" s="455">
        <f t="shared" ca="1" si="174"/>
        <v>-118939675512349.2</v>
      </c>
      <c r="M4709" s="471">
        <f t="shared" si="176"/>
        <v>0.05</v>
      </c>
      <c r="N4709" s="475">
        <f t="shared" si="177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75"/>
        <v>-118939675512349.2</v>
      </c>
      <c r="J4710" s="455">
        <f t="array" ref="J4710">IFERROR(INDEX('Retirement Calculator'!K:K,MATCH('Lorri 401b'!N4710,'Retirement Calculator'!A:A,0),0),0)</f>
        <v>0</v>
      </c>
      <c r="K4710" s="455">
        <f t="shared" ca="1" si="173"/>
        <v>-495581981301.45508</v>
      </c>
      <c r="L4710" s="455">
        <f t="shared" ca="1" si="174"/>
        <v>-119435257493650.66</v>
      </c>
      <c r="M4710" s="471">
        <f t="shared" si="176"/>
        <v>0.05</v>
      </c>
      <c r="N4710" s="475">
        <f t="shared" si="177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75"/>
        <v>-119435257493650.66</v>
      </c>
      <c r="J4711" s="455">
        <f t="array" ref="J4711">IFERROR(INDEX('Retirement Calculator'!K:K,MATCH('Lorri 401b'!N4711,'Retirement Calculator'!A:A,0),0),0)</f>
        <v>0</v>
      </c>
      <c r="K4711" s="455">
        <f t="shared" ca="1" si="173"/>
        <v>-497646906223.54437</v>
      </c>
      <c r="L4711" s="455">
        <f t="shared" ca="1" si="174"/>
        <v>-119932904399874.2</v>
      </c>
      <c r="M4711" s="471">
        <f t="shared" si="176"/>
        <v>0.05</v>
      </c>
      <c r="N4711" s="475">
        <f t="shared" si="177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75"/>
        <v>-119932904399874.2</v>
      </c>
      <c r="J4712" s="455">
        <f t="array" ref="J4712">IFERROR(INDEX('Retirement Calculator'!K:K,MATCH('Lorri 401b'!N4712,'Retirement Calculator'!A:A,0),0),0)</f>
        <v>0</v>
      </c>
      <c r="K4712" s="455">
        <f t="shared" ca="1" si="173"/>
        <v>-499720434999.47583</v>
      </c>
      <c r="L4712" s="455">
        <f t="shared" ca="1" si="174"/>
        <v>-120432624834873.67</v>
      </c>
      <c r="M4712" s="471">
        <f t="shared" si="176"/>
        <v>0.05</v>
      </c>
      <c r="N4712" s="475">
        <f t="shared" si="177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75"/>
        <v>-120432624834873.67</v>
      </c>
      <c r="J4713" s="455">
        <f t="array" ref="J4713">IFERROR(INDEX('Retirement Calculator'!K:K,MATCH('Lorri 401b'!N4713,'Retirement Calculator'!A:A,0),0),0)</f>
        <v>0</v>
      </c>
      <c r="K4713" s="455">
        <f t="shared" ca="1" si="173"/>
        <v>-501802603478.64032</v>
      </c>
      <c r="L4713" s="455">
        <f t="shared" ca="1" si="174"/>
        <v>-120934427438352.31</v>
      </c>
      <c r="M4713" s="471">
        <f t="shared" si="176"/>
        <v>0.05</v>
      </c>
      <c r="N4713" s="475">
        <f t="shared" si="177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75"/>
        <v>-120934427438352.31</v>
      </c>
      <c r="J4714" s="455">
        <f t="array" ref="J4714">IFERROR(INDEX('Retirement Calculator'!K:K,MATCH('Lorri 401b'!N4714,'Retirement Calculator'!A:A,0),0),0)</f>
        <v>0</v>
      </c>
      <c r="K4714" s="455">
        <f t="shared" ca="1" si="173"/>
        <v>-503893447659.80133</v>
      </c>
      <c r="L4714" s="455">
        <f t="shared" ca="1" si="174"/>
        <v>-121438320886012.11</v>
      </c>
      <c r="M4714" s="471">
        <f t="shared" si="176"/>
        <v>0.05</v>
      </c>
      <c r="N4714" s="475">
        <f t="shared" si="177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75"/>
        <v>-121438320886012.11</v>
      </c>
      <c r="J4715" s="455">
        <f t="array" ref="J4715">IFERROR(INDEX('Retirement Calculator'!K:K,MATCH('Lorri 401b'!N4715,'Retirement Calculator'!A:A,0),0),0)</f>
        <v>0</v>
      </c>
      <c r="K4715" s="455">
        <f t="shared" ca="1" si="173"/>
        <v>-505993003691.71704</v>
      </c>
      <c r="L4715" s="455">
        <f t="shared" ca="1" si="174"/>
        <v>-121944313889703.83</v>
      </c>
      <c r="M4715" s="471">
        <f t="shared" si="176"/>
        <v>0.05</v>
      </c>
      <c r="N4715" s="475">
        <f t="shared" si="177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75"/>
        <v>-121944313889703.83</v>
      </c>
      <c r="J4716" s="455">
        <f t="array" ref="J4716">IFERROR(INDEX('Retirement Calculator'!K:K,MATCH('Lorri 401b'!N4716,'Retirement Calculator'!A:A,0),0),0)</f>
        <v>0</v>
      </c>
      <c r="K4716" s="455">
        <f t="shared" ca="1" si="173"/>
        <v>-508101307873.76593</v>
      </c>
      <c r="L4716" s="455">
        <f t="shared" ca="1" si="174"/>
        <v>-122452415197577.59</v>
      </c>
      <c r="M4716" s="471">
        <f t="shared" si="176"/>
        <v>0.05</v>
      </c>
      <c r="N4716" s="475">
        <f t="shared" si="177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75"/>
        <v>-122452415197577.59</v>
      </c>
      <c r="J4717" s="455">
        <f t="array" ref="J4717">IFERROR(INDEX('Retirement Calculator'!K:K,MATCH('Lorri 401b'!N4717,'Retirement Calculator'!A:A,0),0),0)</f>
        <v>0</v>
      </c>
      <c r="K4717" s="455">
        <f t="shared" ca="1" si="173"/>
        <v>-510218396656.5733</v>
      </c>
      <c r="L4717" s="455">
        <f t="shared" ca="1" si="174"/>
        <v>-122962633594234.17</v>
      </c>
      <c r="M4717" s="471">
        <f t="shared" si="176"/>
        <v>0.05</v>
      </c>
      <c r="N4717" s="475">
        <f t="shared" si="177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75"/>
        <v>-122962633594234.17</v>
      </c>
      <c r="J4718" s="455">
        <f t="array" ref="J4718">IFERROR(INDEX('Retirement Calculator'!K:K,MATCH('Lorri 401b'!N4718,'Retirement Calculator'!A:A,0),0),0)</f>
        <v>0</v>
      </c>
      <c r="K4718" s="455">
        <f t="shared" ca="1" si="173"/>
        <v>-512344306642.6424</v>
      </c>
      <c r="L4718" s="455">
        <f t="shared" ca="1" si="174"/>
        <v>-123474977900876.81</v>
      </c>
      <c r="M4718" s="471">
        <f t="shared" si="176"/>
        <v>0.05</v>
      </c>
      <c r="N4718" s="475">
        <f t="shared" si="177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75"/>
        <v>-123474977900876.81</v>
      </c>
      <c r="J4719" s="455">
        <f t="array" ref="J4719">IFERROR(INDEX('Retirement Calculator'!K:K,MATCH('Lorri 401b'!N4719,'Retirement Calculator'!A:A,0),0),0)</f>
        <v>0</v>
      </c>
      <c r="K4719" s="455">
        <f t="shared" ca="1" si="173"/>
        <v>-514479074586.98676</v>
      </c>
      <c r="L4719" s="455">
        <f t="shared" ca="1" si="174"/>
        <v>-123989456975463.8</v>
      </c>
      <c r="M4719" s="471">
        <f t="shared" si="176"/>
        <v>0.05</v>
      </c>
      <c r="N4719" s="475">
        <f t="shared" si="177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75"/>
        <v>-123989456975463.8</v>
      </c>
      <c r="J4720" s="455">
        <f t="array" ref="J4720">IFERROR(INDEX('Retirement Calculator'!K:K,MATCH('Lorri 401b'!N4720,'Retirement Calculator'!A:A,0),0),0)</f>
        <v>0</v>
      </c>
      <c r="K4720" s="455">
        <f t="shared" ca="1" si="173"/>
        <v>-516622737397.76581</v>
      </c>
      <c r="L4720" s="455">
        <f t="shared" ca="1" si="174"/>
        <v>-124506079712861.56</v>
      </c>
      <c r="M4720" s="471">
        <f t="shared" si="176"/>
        <v>0.05</v>
      </c>
      <c r="N4720" s="475">
        <f t="shared" si="177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75"/>
        <v>-124506079712861.56</v>
      </c>
      <c r="J4721" s="455">
        <f t="array" ref="J4721">IFERROR(INDEX('Retirement Calculator'!K:K,MATCH('Lorri 401b'!N4721,'Retirement Calculator'!A:A,0),0),0)</f>
        <v>0</v>
      </c>
      <c r="K4721" s="455">
        <f t="shared" ca="1" si="173"/>
        <v>-518775332136.92316</v>
      </c>
      <c r="L4721" s="455">
        <f t="shared" ca="1" si="174"/>
        <v>-125024855044998.48</v>
      </c>
      <c r="M4721" s="471">
        <f t="shared" si="176"/>
        <v>0.05</v>
      </c>
      <c r="N4721" s="475">
        <f t="shared" si="177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75"/>
        <v>-125024855044998.48</v>
      </c>
      <c r="J4722" s="455">
        <f t="array" ref="J4722">IFERROR(INDEX('Retirement Calculator'!K:K,MATCH('Lorri 401b'!N4722,'Retirement Calculator'!A:A,0),0),0)</f>
        <v>0</v>
      </c>
      <c r="K4722" s="455">
        <f t="shared" ca="1" si="173"/>
        <v>-520936896020.82703</v>
      </c>
      <c r="L4722" s="455">
        <f t="shared" ca="1" si="174"/>
        <v>-125545791941019.31</v>
      </c>
      <c r="M4722" s="471">
        <f t="shared" si="176"/>
        <v>0.05</v>
      </c>
      <c r="N4722" s="475">
        <f t="shared" si="177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75"/>
        <v>-125545791941019.31</v>
      </c>
      <c r="J4723" s="455">
        <f t="array" ref="J4723">IFERROR(INDEX('Retirement Calculator'!K:K,MATCH('Lorri 401b'!N4723,'Retirement Calculator'!A:A,0),0),0)</f>
        <v>0</v>
      </c>
      <c r="K4723" s="455">
        <f t="shared" ca="1" si="173"/>
        <v>-523107466420.91382</v>
      </c>
      <c r="L4723" s="455">
        <f t="shared" ca="1" si="174"/>
        <v>-126068899407440.22</v>
      </c>
      <c r="M4723" s="471">
        <f t="shared" si="176"/>
        <v>0.05</v>
      </c>
      <c r="N4723" s="475">
        <f t="shared" si="177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75"/>
        <v>-126068899407440.22</v>
      </c>
      <c r="J4724" s="455">
        <f t="array" ref="J4724">IFERROR(INDEX('Retirement Calculator'!K:K,MATCH('Lorri 401b'!N4724,'Retirement Calculator'!A:A,0),0),0)</f>
        <v>0</v>
      </c>
      <c r="K4724" s="455">
        <f t="shared" ca="1" si="173"/>
        <v>-525287080864.33423</v>
      </c>
      <c r="L4724" s="455">
        <f t="shared" ca="1" si="174"/>
        <v>-126594186488304.55</v>
      </c>
      <c r="M4724" s="471">
        <f t="shared" si="176"/>
        <v>0.05</v>
      </c>
      <c r="N4724" s="475">
        <f t="shared" si="177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75"/>
        <v>-126594186488304.55</v>
      </c>
      <c r="J4725" s="455">
        <f t="array" ref="J4725">IFERROR(INDEX('Retirement Calculator'!K:K,MATCH('Lorri 401b'!N4725,'Retirement Calculator'!A:A,0),0),0)</f>
        <v>0</v>
      </c>
      <c r="K4725" s="455">
        <f t="shared" ca="1" si="173"/>
        <v>-527475777034.60236</v>
      </c>
      <c r="L4725" s="455">
        <f t="shared" ca="1" si="174"/>
        <v>-127121662265339.16</v>
      </c>
      <c r="M4725" s="471">
        <f t="shared" si="176"/>
        <v>0.05</v>
      </c>
      <c r="N4725" s="475">
        <f t="shared" si="177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75"/>
        <v>-127121662265339.16</v>
      </c>
      <c r="J4726" s="455">
        <f t="array" ref="J4726">IFERROR(INDEX('Retirement Calculator'!K:K,MATCH('Lorri 401b'!N4726,'Retirement Calculator'!A:A,0),0),0)</f>
        <v>0</v>
      </c>
      <c r="K4726" s="455">
        <f t="shared" ca="1" si="173"/>
        <v>-529673592772.24652</v>
      </c>
      <c r="L4726" s="455">
        <f t="shared" ca="1" si="174"/>
        <v>-127651335858111.41</v>
      </c>
      <c r="M4726" s="471">
        <f t="shared" si="176"/>
        <v>0.05</v>
      </c>
      <c r="N4726" s="475">
        <f t="shared" si="177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75"/>
        <v>-127651335858111.41</v>
      </c>
      <c r="J4727" s="455">
        <f t="array" ref="J4727">IFERROR(INDEX('Retirement Calculator'!K:K,MATCH('Lorri 401b'!N4727,'Retirement Calculator'!A:A,0),0),0)</f>
        <v>0</v>
      </c>
      <c r="K4727" s="455">
        <f t="shared" ca="1" si="173"/>
        <v>-531880566075.46417</v>
      </c>
      <c r="L4727" s="455">
        <f t="shared" ca="1" si="174"/>
        <v>-128183216424186.88</v>
      </c>
      <c r="M4727" s="471">
        <f t="shared" si="176"/>
        <v>0.05</v>
      </c>
      <c r="N4727" s="475">
        <f t="shared" si="177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75"/>
        <v>-128183216424186.88</v>
      </c>
      <c r="J4728" s="455">
        <f t="array" ref="J4728">IFERROR(INDEX('Retirement Calculator'!K:K,MATCH('Lorri 401b'!N4728,'Retirement Calculator'!A:A,0),0),0)</f>
        <v>0</v>
      </c>
      <c r="K4728" s="455">
        <f t="shared" ca="1" si="173"/>
        <v>-534096735100.77863</v>
      </c>
      <c r="L4728" s="455">
        <f t="shared" ca="1" si="174"/>
        <v>-128717313159287.66</v>
      </c>
      <c r="M4728" s="471">
        <f t="shared" si="176"/>
        <v>0.05</v>
      </c>
      <c r="N4728" s="475">
        <f t="shared" si="177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75"/>
        <v>-128717313159287.66</v>
      </c>
      <c r="J4729" s="455">
        <f t="array" ref="J4729">IFERROR(INDEX('Retirement Calculator'!K:K,MATCH('Lorri 401b'!N4729,'Retirement Calculator'!A:A,0),0),0)</f>
        <v>0</v>
      </c>
      <c r="K4729" s="455">
        <f t="shared" ca="1" si="173"/>
        <v>-536322138163.69849</v>
      </c>
      <c r="L4729" s="455">
        <f t="shared" ca="1" si="174"/>
        <v>-129253635297451.36</v>
      </c>
      <c r="M4729" s="471">
        <f t="shared" si="176"/>
        <v>0.05</v>
      </c>
      <c r="N4729" s="475">
        <f t="shared" si="177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75"/>
        <v>-129253635297451.36</v>
      </c>
      <c r="J4730" s="455">
        <f t="array" ref="J4730">IFERROR(INDEX('Retirement Calculator'!K:K,MATCH('Lorri 401b'!N4730,'Retirement Calculator'!A:A,0),0),0)</f>
        <v>0</v>
      </c>
      <c r="K4730" s="455">
        <f t="shared" ca="1" si="173"/>
        <v>-538556813739.38068</v>
      </c>
      <c r="L4730" s="455">
        <f t="shared" ca="1" si="174"/>
        <v>-129792192111190.73</v>
      </c>
      <c r="M4730" s="471">
        <f t="shared" si="176"/>
        <v>0.05</v>
      </c>
      <c r="N4730" s="475">
        <f t="shared" si="177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75"/>
        <v>-129792192111190.73</v>
      </c>
      <c r="J4731" s="455">
        <f t="array" ref="J4731">IFERROR(INDEX('Retirement Calculator'!K:K,MATCH('Lorri 401b'!N4731,'Retirement Calculator'!A:A,0),0),0)</f>
        <v>0</v>
      </c>
      <c r="K4731" s="455">
        <f t="shared" ca="1" si="173"/>
        <v>-540800800463.29474</v>
      </c>
      <c r="L4731" s="455">
        <f t="shared" ca="1" si="174"/>
        <v>-130332992911654.03</v>
      </c>
      <c r="M4731" s="471">
        <f t="shared" si="176"/>
        <v>0.05</v>
      </c>
      <c r="N4731" s="475">
        <f t="shared" si="177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75"/>
        <v>-130332992911654.03</v>
      </c>
      <c r="J4732" s="455">
        <f t="array" ref="J4732">IFERROR(INDEX('Retirement Calculator'!K:K,MATCH('Lorri 401b'!N4732,'Retirement Calculator'!A:A,0),0),0)</f>
        <v>0</v>
      </c>
      <c r="K4732" s="455">
        <f t="shared" ca="1" si="173"/>
        <v>-543054137131.89178</v>
      </c>
      <c r="L4732" s="455">
        <f t="shared" ca="1" si="174"/>
        <v>-130876047048785.92</v>
      </c>
      <c r="M4732" s="471">
        <f t="shared" si="176"/>
        <v>0.05</v>
      </c>
      <c r="N4732" s="475">
        <f t="shared" si="177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75"/>
        <v>-130876047048785.92</v>
      </c>
      <c r="J4733" s="455">
        <f t="array" ref="J4733">IFERROR(INDEX('Retirement Calculator'!K:K,MATCH('Lorri 401b'!N4733,'Retirement Calculator'!A:A,0),0),0)</f>
        <v>0</v>
      </c>
      <c r="K4733" s="455">
        <f t="shared" ca="1" si="173"/>
        <v>-545316862703.27466</v>
      </c>
      <c r="L4733" s="455">
        <f t="shared" ca="1" si="174"/>
        <v>-131421363911489.2</v>
      </c>
      <c r="M4733" s="471">
        <f t="shared" si="176"/>
        <v>0.05</v>
      </c>
      <c r="N4733" s="475">
        <f t="shared" si="177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75"/>
        <v>-131421363911489.2</v>
      </c>
      <c r="J4734" s="455">
        <f t="array" ref="J4734">IFERROR(INDEX('Retirement Calculator'!K:K,MATCH('Lorri 401b'!N4734,'Retirement Calculator'!A:A,0),0),0)</f>
        <v>0</v>
      </c>
      <c r="K4734" s="455">
        <f t="shared" ca="1" si="173"/>
        <v>-547589016297.87164</v>
      </c>
      <c r="L4734" s="455">
        <f t="shared" ca="1" si="174"/>
        <v>-131968952927787.08</v>
      </c>
      <c r="M4734" s="471">
        <f t="shared" si="176"/>
        <v>0.05</v>
      </c>
      <c r="N4734" s="475">
        <f t="shared" si="177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75"/>
        <v>-131968952927787.08</v>
      </c>
      <c r="J4735" s="455">
        <f t="array" ref="J4735">IFERROR(INDEX('Retirement Calculator'!K:K,MATCH('Lorri 401b'!N4735,'Retirement Calculator'!A:A,0),0),0)</f>
        <v>0</v>
      </c>
      <c r="K4735" s="455">
        <f t="shared" ca="1" si="173"/>
        <v>-549870637199.11279</v>
      </c>
      <c r="L4735" s="455">
        <f t="shared" ca="1" si="174"/>
        <v>-132518823564986.19</v>
      </c>
      <c r="M4735" s="471">
        <f t="shared" si="176"/>
        <v>0.05</v>
      </c>
      <c r="N4735" s="475">
        <f t="shared" si="177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75"/>
        <v>-132518823564986.19</v>
      </c>
      <c r="J4736" s="455">
        <f t="array" ref="J4736">IFERROR(INDEX('Retirement Calculator'!K:K,MATCH('Lorri 401b'!N4736,'Retirement Calculator'!A:A,0),0),0)</f>
        <v>0</v>
      </c>
      <c r="K4736" s="455">
        <f t="shared" ca="1" si="173"/>
        <v>-552161764854.10913</v>
      </c>
      <c r="L4736" s="455">
        <f t="shared" ca="1" si="174"/>
        <v>-133070985329840.3</v>
      </c>
      <c r="M4736" s="471">
        <f t="shared" si="176"/>
        <v>0.05</v>
      </c>
      <c r="N4736" s="475">
        <f t="shared" si="177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75"/>
        <v>-133070985329840.3</v>
      </c>
      <c r="J4737" s="455">
        <f t="array" ref="J4737">IFERROR(INDEX('Retirement Calculator'!K:K,MATCH('Lorri 401b'!N4737,'Retirement Calculator'!A:A,0),0),0)</f>
        <v>0</v>
      </c>
      <c r="K4737" s="455">
        <f t="shared" ca="1" si="173"/>
        <v>-554462438874.33459</v>
      </c>
      <c r="L4737" s="455">
        <f t="shared" ca="1" si="174"/>
        <v>-133625447768714.63</v>
      </c>
      <c r="M4737" s="471">
        <f t="shared" si="176"/>
        <v>0.05</v>
      </c>
      <c r="N4737" s="475">
        <f t="shared" si="177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75"/>
        <v>-133625447768714.63</v>
      </c>
      <c r="J4738" s="455">
        <f t="array" ref="J4738">IFERROR(INDEX('Retirement Calculator'!K:K,MATCH('Lorri 401b'!N4738,'Retirement Calculator'!A:A,0),0),0)</f>
        <v>0</v>
      </c>
      <c r="K4738" s="455">
        <f t="shared" ca="1" si="173"/>
        <v>-556772699036.31091</v>
      </c>
      <c r="L4738" s="455">
        <f t="shared" ca="1" si="174"/>
        <v>-134182220467750.94</v>
      </c>
      <c r="M4738" s="471">
        <f t="shared" si="176"/>
        <v>0.05</v>
      </c>
      <c r="N4738" s="475">
        <f t="shared" si="177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75"/>
        <v>-134182220467750.94</v>
      </c>
      <c r="J4739" s="455">
        <f t="array" ref="J4739">IFERROR(INDEX('Retirement Calculator'!K:K,MATCH('Lorri 401b'!N4739,'Retirement Calculator'!A:A,0),0),0)</f>
        <v>0</v>
      </c>
      <c r="K4739" s="455">
        <f t="shared" ca="1" si="173"/>
        <v>-559092585282.29553</v>
      </c>
      <c r="L4739" s="455">
        <f t="shared" ca="1" si="174"/>
        <v>-134741313053033.23</v>
      </c>
      <c r="M4739" s="471">
        <f t="shared" si="176"/>
        <v>0.05</v>
      </c>
      <c r="N4739" s="475">
        <f t="shared" si="177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75"/>
        <v>-134741313053033.23</v>
      </c>
      <c r="J4740" s="455">
        <f t="array" ref="J4740">IFERROR(INDEX('Retirement Calculator'!K:K,MATCH('Lorri 401b'!N4740,'Retirement Calculator'!A:A,0),0),0)</f>
        <v>0</v>
      </c>
      <c r="K4740" s="455">
        <f t="shared" ca="1" si="173"/>
        <v>-561422137720.97192</v>
      </c>
      <c r="L4740" s="455">
        <f t="shared" ca="1" si="174"/>
        <v>-135302735190754.2</v>
      </c>
      <c r="M4740" s="471">
        <f t="shared" si="176"/>
        <v>0.05</v>
      </c>
      <c r="N4740" s="475">
        <f t="shared" si="177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75"/>
        <v>-135302735190754.2</v>
      </c>
      <c r="J4741" s="455">
        <f t="array" ref="J4741">IFERROR(INDEX('Retirement Calculator'!K:K,MATCH('Lorri 401b'!N4741,'Retirement Calculator'!A:A,0),0),0)</f>
        <v>0</v>
      </c>
      <c r="K4741" s="455">
        <f t="shared" ca="1" si="173"/>
        <v>-563761396628.14246</v>
      </c>
      <c r="L4741" s="455">
        <f t="shared" ca="1" si="174"/>
        <v>-135866496587382.34</v>
      </c>
      <c r="M4741" s="471">
        <f t="shared" si="176"/>
        <v>0.05</v>
      </c>
      <c r="N4741" s="475">
        <f t="shared" si="177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75"/>
        <v>-135866496587382.34</v>
      </c>
      <c r="J4742" s="455">
        <f t="array" ref="J4742">IFERROR(INDEX('Retirement Calculator'!K:K,MATCH('Lorri 401b'!N4742,'Retirement Calculator'!A:A,0),0),0)</f>
        <v>0</v>
      </c>
      <c r="K4742" s="455">
        <f t="shared" ca="1" si="173"/>
        <v>-566110402447.42639</v>
      </c>
      <c r="L4742" s="455">
        <f t="shared" ca="1" si="174"/>
        <v>-136432606989829.77</v>
      </c>
      <c r="M4742" s="471">
        <f t="shared" si="176"/>
        <v>0.05</v>
      </c>
      <c r="N4742" s="475">
        <f t="shared" si="177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75"/>
        <v>-136432606989829.77</v>
      </c>
      <c r="J4743" s="455">
        <f t="array" ref="J4743">IFERROR(INDEX('Retirement Calculator'!K:K,MATCH('Lorri 401b'!N4743,'Retirement Calculator'!A:A,0),0),0)</f>
        <v>0</v>
      </c>
      <c r="K4743" s="455">
        <f t="shared" ca="1" si="173"/>
        <v>-568469195790.9574</v>
      </c>
      <c r="L4743" s="455">
        <f t="shared" ca="1" si="174"/>
        <v>-137001076185620.72</v>
      </c>
      <c r="M4743" s="471">
        <f t="shared" si="176"/>
        <v>0.05</v>
      </c>
      <c r="N4743" s="475">
        <f t="shared" si="177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75"/>
        <v>-137001076185620.72</v>
      </c>
      <c r="J4744" s="455">
        <f t="array" ref="J4744">IFERROR(INDEX('Retirement Calculator'!K:K,MATCH('Lorri 401b'!N4744,'Retirement Calculator'!A:A,0),0),0)</f>
        <v>0</v>
      </c>
      <c r="K4744" s="455">
        <f t="shared" ca="1" si="173"/>
        <v>-570837817440.0863</v>
      </c>
      <c r="L4744" s="455">
        <f t="shared" ca="1" si="174"/>
        <v>-137571914003060.81</v>
      </c>
      <c r="M4744" s="471">
        <f t="shared" si="176"/>
        <v>0.05</v>
      </c>
      <c r="N4744" s="475">
        <f t="shared" si="177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75"/>
        <v>-137571914003060.81</v>
      </c>
      <c r="J4745" s="455">
        <f t="array" ref="J4745">IFERROR(INDEX('Retirement Calculator'!K:K,MATCH('Lorri 401b'!N4745,'Retirement Calculator'!A:A,0),0),0)</f>
        <v>0</v>
      </c>
      <c r="K4745" s="455">
        <f t="shared" ca="1" si="173"/>
        <v>-573216308346.08667</v>
      </c>
      <c r="L4745" s="455">
        <f t="shared" ca="1" si="174"/>
        <v>-138145130311406.91</v>
      </c>
      <c r="M4745" s="471">
        <f t="shared" si="176"/>
        <v>0.05</v>
      </c>
      <c r="N4745" s="475">
        <f t="shared" si="177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75"/>
        <v>-138145130311406.91</v>
      </c>
      <c r="J4746" s="455">
        <f t="array" ref="J4746">IFERROR(INDEX('Retirement Calculator'!K:K,MATCH('Lorri 401b'!N4746,'Retirement Calculator'!A:A,0),0),0)</f>
        <v>0</v>
      </c>
      <c r="K4746" s="455">
        <f t="shared" ca="1" si="173"/>
        <v>-575604709630.86206</v>
      </c>
      <c r="L4746" s="455">
        <f t="shared" ca="1" si="174"/>
        <v>-138720735021037.77</v>
      </c>
      <c r="M4746" s="471">
        <f t="shared" si="176"/>
        <v>0.05</v>
      </c>
      <c r="N4746" s="475">
        <f t="shared" si="177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75"/>
        <v>-138720735021037.77</v>
      </c>
      <c r="J4747" s="455">
        <f t="array" ref="J4747">IFERROR(INDEX('Retirement Calculator'!K:K,MATCH('Lorri 401b'!N4747,'Retirement Calculator'!A:A,0),0),0)</f>
        <v>0</v>
      </c>
      <c r="K4747" s="455">
        <f t="shared" ca="1" si="173"/>
        <v>-578003062587.65735</v>
      </c>
      <c r="L4747" s="455">
        <f t="shared" ca="1" si="174"/>
        <v>-139298738083625.42</v>
      </c>
      <c r="M4747" s="471">
        <f t="shared" si="176"/>
        <v>0.05</v>
      </c>
      <c r="N4747" s="475">
        <f t="shared" si="177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75"/>
        <v>-139298738083625.42</v>
      </c>
      <c r="J4748" s="455">
        <f t="array" ref="J4748">IFERROR(INDEX('Retirement Calculator'!K:K,MATCH('Lorri 401b'!N4748,'Retirement Calculator'!A:A,0),0),0)</f>
        <v>0</v>
      </c>
      <c r="K4748" s="455">
        <f t="shared" ca="1" si="173"/>
        <v>-580411408681.77271</v>
      </c>
      <c r="L4748" s="455">
        <f t="shared" ca="1" si="174"/>
        <v>-139879149492307.19</v>
      </c>
      <c r="M4748" s="471">
        <f t="shared" si="176"/>
        <v>0.05</v>
      </c>
      <c r="N4748" s="475">
        <f t="shared" si="177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75"/>
        <v>-139879149492307.19</v>
      </c>
      <c r="J4749" s="455">
        <f t="array" ref="J4749">IFERROR(INDEX('Retirement Calculator'!K:K,MATCH('Lorri 401b'!N4749,'Retirement Calculator'!A:A,0),0),0)</f>
        <v>0</v>
      </c>
      <c r="K4749" s="455">
        <f t="shared" ca="1" si="173"/>
        <v>-582829789551.27991</v>
      </c>
      <c r="L4749" s="455">
        <f t="shared" ca="1" si="174"/>
        <v>-140461979281858.47</v>
      </c>
      <c r="M4749" s="471">
        <f t="shared" si="176"/>
        <v>0.05</v>
      </c>
      <c r="N4749" s="475">
        <f t="shared" si="177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75"/>
        <v>-140461979281858.47</v>
      </c>
      <c r="J4750" s="455">
        <f t="array" ref="J4750">IFERROR(INDEX('Retirement Calculator'!K:K,MATCH('Lorri 401b'!N4750,'Retirement Calculator'!A:A,0),0),0)</f>
        <v>0</v>
      </c>
      <c r="K4750" s="455">
        <f t="shared" ca="1" si="173"/>
        <v>-585258247007.74365</v>
      </c>
      <c r="L4750" s="455">
        <f t="shared" ca="1" si="174"/>
        <v>-141047237528866.22</v>
      </c>
      <c r="M4750" s="471">
        <f t="shared" si="176"/>
        <v>0.05</v>
      </c>
      <c r="N4750" s="475">
        <f t="shared" si="177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75"/>
        <v>-141047237528866.22</v>
      </c>
      <c r="J4751" s="455">
        <f t="array" ref="J4751">IFERROR(INDEX('Retirement Calculator'!K:K,MATCH('Lorri 401b'!N4751,'Retirement Calculator'!A:A,0),0),0)</f>
        <v>0</v>
      </c>
      <c r="K4751" s="455">
        <f t="shared" ca="1" si="173"/>
        <v>-587696823036.94263</v>
      </c>
      <c r="L4751" s="455">
        <f t="shared" ca="1" si="174"/>
        <v>-141634934351903.16</v>
      </c>
      <c r="M4751" s="471">
        <f t="shared" si="176"/>
        <v>0.05</v>
      </c>
      <c r="N4751" s="475">
        <f t="shared" si="177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75"/>
        <v>-141634934351903.16</v>
      </c>
      <c r="J4752" s="455">
        <f t="array" ref="J4752">IFERROR(INDEX('Retirement Calculator'!K:K,MATCH('Lorri 401b'!N4752,'Retirement Calculator'!A:A,0),0),0)</f>
        <v>0</v>
      </c>
      <c r="K4752" s="455">
        <f t="shared" ca="1" si="173"/>
        <v>-590145559799.59644</v>
      </c>
      <c r="L4752" s="455">
        <f t="shared" ca="1" si="174"/>
        <v>-142225079911702.75</v>
      </c>
      <c r="M4752" s="471">
        <f t="shared" si="176"/>
        <v>0.05</v>
      </c>
      <c r="N4752" s="475">
        <f t="shared" si="177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75"/>
        <v>-142225079911702.75</v>
      </c>
      <c r="J4753" s="455">
        <f t="array" ref="J4753">IFERROR(INDEX('Retirement Calculator'!K:K,MATCH('Lorri 401b'!N4753,'Retirement Calculator'!A:A,0),0),0)</f>
        <v>0</v>
      </c>
      <c r="K4753" s="455">
        <f t="shared" ca="1" si="173"/>
        <v>-592604499632.09473</v>
      </c>
      <c r="L4753" s="455">
        <f t="shared" ca="1" si="174"/>
        <v>-142817684411334.84</v>
      </c>
      <c r="M4753" s="471">
        <f t="shared" si="176"/>
        <v>0.05</v>
      </c>
      <c r="N4753" s="475">
        <f t="shared" si="177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75"/>
        <v>-142817684411334.84</v>
      </c>
      <c r="J4754" s="455">
        <f t="array" ref="J4754">IFERROR(INDEX('Retirement Calculator'!K:K,MATCH('Lorri 401b'!N4754,'Retirement Calculator'!A:A,0),0),0)</f>
        <v>0</v>
      </c>
      <c r="K4754" s="455">
        <f t="shared" ca="1" si="173"/>
        <v>-595073685047.22852</v>
      </c>
      <c r="L4754" s="455">
        <f t="shared" ca="1" si="174"/>
        <v>-143412758096382.06</v>
      </c>
      <c r="M4754" s="471">
        <f t="shared" si="176"/>
        <v>0.05</v>
      </c>
      <c r="N4754" s="475">
        <f t="shared" si="177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75"/>
        <v>-143412758096382.06</v>
      </c>
      <c r="J4755" s="455">
        <f t="array" ref="J4755">IFERROR(INDEX('Retirement Calculator'!K:K,MATCH('Lorri 401b'!N4755,'Retirement Calculator'!A:A,0),0),0)</f>
        <v>0</v>
      </c>
      <c r="K4755" s="455">
        <f t="shared" ca="1" si="173"/>
        <v>-597553158734.92529</v>
      </c>
      <c r="L4755" s="455">
        <f t="shared" ca="1" si="174"/>
        <v>-144010311255117</v>
      </c>
      <c r="M4755" s="471">
        <f t="shared" si="176"/>
        <v>0.05</v>
      </c>
      <c r="N4755" s="475">
        <f t="shared" si="177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75"/>
        <v>-144010311255117</v>
      </c>
      <c r="J4756" s="455">
        <f t="array" ref="J4756">IFERROR(INDEX('Retirement Calculator'!K:K,MATCH('Lorri 401b'!N4756,'Retirement Calculator'!A:A,0),0),0)</f>
        <v>0</v>
      </c>
      <c r="K4756" s="455">
        <f t="shared" ca="1" si="173"/>
        <v>-600042963562.98755</v>
      </c>
      <c r="L4756" s="455">
        <f t="shared" ca="1" si="174"/>
        <v>-144610354218680</v>
      </c>
      <c r="M4756" s="471">
        <f t="shared" si="176"/>
        <v>0.05</v>
      </c>
      <c r="N4756" s="475">
        <f t="shared" si="177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75"/>
        <v>-144610354218680</v>
      </c>
      <c r="J4757" s="455">
        <f t="array" ref="J4757">IFERROR(INDEX('Retirement Calculator'!K:K,MATCH('Lorri 401b'!N4757,'Retirement Calculator'!A:A,0),0),0)</f>
        <v>0</v>
      </c>
      <c r="K4757" s="455">
        <f t="shared" ca="1" si="173"/>
        <v>-602543142577.83337</v>
      </c>
      <c r="L4757" s="455">
        <f t="shared" ca="1" si="174"/>
        <v>-145212897361257.84</v>
      </c>
      <c r="M4757" s="471">
        <f t="shared" si="176"/>
        <v>0.05</v>
      </c>
      <c r="N4757" s="475">
        <f t="shared" si="177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75"/>
        <v>-145212897361257.84</v>
      </c>
      <c r="J4758" s="455">
        <f t="array" ref="J4758">IFERROR(INDEX('Retirement Calculator'!K:K,MATCH('Lorri 401b'!N4758,'Retirement Calculator'!A:A,0),0),0)</f>
        <v>0</v>
      </c>
      <c r="K4758" s="455">
        <f t="shared" ca="1" si="173"/>
        <v>-605053739005.24097</v>
      </c>
      <c r="L4758" s="455">
        <f t="shared" ca="1" si="174"/>
        <v>-145817951100263.09</v>
      </c>
      <c r="M4758" s="471">
        <f t="shared" si="176"/>
        <v>0.05</v>
      </c>
      <c r="N4758" s="475">
        <f t="shared" si="177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75"/>
        <v>-145817951100263.09</v>
      </c>
      <c r="J4759" s="455">
        <f t="array" ref="J4759">IFERROR(INDEX('Retirement Calculator'!K:K,MATCH('Lorri 401b'!N4759,'Retirement Calculator'!A:A,0),0),0)</f>
        <v>0</v>
      </c>
      <c r="K4759" s="455">
        <f t="shared" ca="1" si="173"/>
        <v>-607574796251.09619</v>
      </c>
      <c r="L4759" s="455">
        <f t="shared" ca="1" si="174"/>
        <v>-146425525896514.19</v>
      </c>
      <c r="M4759" s="471">
        <f t="shared" si="176"/>
        <v>0.05</v>
      </c>
      <c r="N4759" s="475">
        <f t="shared" si="177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75"/>
        <v>-146425525896514.19</v>
      </c>
      <c r="J4760" s="455">
        <f t="array" ref="J4760">IFERROR(INDEX('Retirement Calculator'!K:K,MATCH('Lorri 401b'!N4760,'Retirement Calculator'!A:A,0),0),0)</f>
        <v>0</v>
      </c>
      <c r="K4760" s="455">
        <f t="shared" ca="1" si="173"/>
        <v>-610106357902.14246</v>
      </c>
      <c r="L4760" s="455">
        <f t="shared" ca="1" si="174"/>
        <v>-147035632254416.34</v>
      </c>
      <c r="M4760" s="471">
        <f t="shared" si="176"/>
        <v>0.05</v>
      </c>
      <c r="N4760" s="475">
        <f t="shared" si="177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75"/>
        <v>-147035632254416.34</v>
      </c>
      <c r="J4761" s="455">
        <f t="array" ref="J4761">IFERROR(INDEX('Retirement Calculator'!K:K,MATCH('Lorri 401b'!N4761,'Retirement Calculator'!A:A,0),0),0)</f>
        <v>0</v>
      </c>
      <c r="K4761" s="455">
        <f t="shared" ca="1" si="173"/>
        <v>-612648467726.73474</v>
      </c>
      <c r="L4761" s="455">
        <f t="shared" ca="1" si="174"/>
        <v>-147648280722143.09</v>
      </c>
      <c r="M4761" s="471">
        <f t="shared" si="176"/>
        <v>0.05</v>
      </c>
      <c r="N4761" s="475">
        <f t="shared" si="177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75"/>
        <v>-147648280722143.09</v>
      </c>
      <c r="J4762" s="455">
        <f t="array" ref="J4762">IFERROR(INDEX('Retirement Calculator'!K:K,MATCH('Lorri 401b'!N4762,'Retirement Calculator'!A:A,0),0),0)</f>
        <v>0</v>
      </c>
      <c r="K4762" s="455">
        <f t="shared" ca="1" si="173"/>
        <v>-615201169675.59619</v>
      </c>
      <c r="L4762" s="455">
        <f t="shared" ca="1" si="174"/>
        <v>-148263481891818.69</v>
      </c>
      <c r="M4762" s="471">
        <f t="shared" si="176"/>
        <v>0.05</v>
      </c>
      <c r="N4762" s="475">
        <f t="shared" si="177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75"/>
        <v>-148263481891818.69</v>
      </c>
      <c r="J4763" s="455">
        <f t="array" ref="J4763">IFERROR(INDEX('Retirement Calculator'!K:K,MATCH('Lorri 401b'!N4763,'Retirement Calculator'!A:A,0),0),0)</f>
        <v>0</v>
      </c>
      <c r="K4763" s="455">
        <f t="shared" ca="1" si="173"/>
        <v>-617764507882.57788</v>
      </c>
      <c r="L4763" s="455">
        <f t="shared" ca="1" si="174"/>
        <v>-148881246399701.25</v>
      </c>
      <c r="M4763" s="471">
        <f t="shared" si="176"/>
        <v>0.05</v>
      </c>
      <c r="N4763" s="475">
        <f t="shared" si="177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75"/>
        <v>-148881246399701.25</v>
      </c>
      <c r="J4764" s="455">
        <f t="array" ref="J4764">IFERROR(INDEX('Retirement Calculator'!K:K,MATCH('Lorri 401b'!N4764,'Retirement Calculator'!A:A,0),0),0)</f>
        <v>0</v>
      </c>
      <c r="K4764" s="455">
        <f t="shared" ca="1" si="173"/>
        <v>-620338526665.42188</v>
      </c>
      <c r="L4764" s="455">
        <f t="shared" ca="1" si="174"/>
        <v>-149501584926366.69</v>
      </c>
      <c r="M4764" s="471">
        <f t="shared" si="176"/>
        <v>0.05</v>
      </c>
      <c r="N4764" s="475">
        <f t="shared" si="177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75"/>
        <v>-149501584926366.69</v>
      </c>
      <c r="J4765" s="455">
        <f t="array" ref="J4765">IFERROR(INDEX('Retirement Calculator'!K:K,MATCH('Lorri 401b'!N4765,'Retirement Calculator'!A:A,0),0),0)</f>
        <v>0</v>
      </c>
      <c r="K4765" s="455">
        <f t="shared" ca="1" si="173"/>
        <v>-622923270526.52783</v>
      </c>
      <c r="L4765" s="455">
        <f t="shared" ca="1" si="174"/>
        <v>-150124508196893.22</v>
      </c>
      <c r="M4765" s="471">
        <f t="shared" si="176"/>
        <v>0.05</v>
      </c>
      <c r="N4765" s="475">
        <f t="shared" si="177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75"/>
        <v>-150124508196893.22</v>
      </c>
      <c r="J4766" s="455">
        <f t="array" ref="J4766">IFERROR(INDEX('Retirement Calculator'!K:K,MATCH('Lorri 401b'!N4766,'Retirement Calculator'!A:A,0),0),0)</f>
        <v>0</v>
      </c>
      <c r="K4766" s="455">
        <f t="shared" ca="1" si="173"/>
        <v>-625518784153.72168</v>
      </c>
      <c r="L4766" s="455">
        <f t="shared" ca="1" si="174"/>
        <v>-150750026981046.94</v>
      </c>
      <c r="M4766" s="471">
        <f t="shared" si="176"/>
        <v>0.05</v>
      </c>
      <c r="N4766" s="475">
        <f t="shared" si="177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75"/>
        <v>-150750026981046.94</v>
      </c>
      <c r="J4767" s="455">
        <f t="array" ref="J4767">IFERROR(INDEX('Retirement Calculator'!K:K,MATCH('Lorri 401b'!N4767,'Retirement Calculator'!A:A,0),0),0)</f>
        <v>0</v>
      </c>
      <c r="K4767" s="455">
        <f t="shared" ca="1" si="173"/>
        <v>-628125112421.02893</v>
      </c>
      <c r="L4767" s="455">
        <f t="shared" ca="1" si="174"/>
        <v>-151378152093467.97</v>
      </c>
      <c r="M4767" s="471">
        <f t="shared" si="176"/>
        <v>0.05</v>
      </c>
      <c r="N4767" s="475">
        <f t="shared" si="177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75"/>
        <v>-151378152093467.97</v>
      </c>
      <c r="J4768" s="455">
        <f t="array" ref="J4768">IFERROR(INDEX('Retirement Calculator'!K:K,MATCH('Lorri 401b'!N4768,'Retirement Calculator'!A:A,0),0),0)</f>
        <v>0</v>
      </c>
      <c r="K4768" s="455">
        <f t="shared" ca="1" si="173"/>
        <v>-630742300389.44983</v>
      </c>
      <c r="L4768" s="455">
        <f t="shared" ca="1" si="174"/>
        <v>-152008894393857.41</v>
      </c>
      <c r="M4768" s="471">
        <f t="shared" si="176"/>
        <v>0.05</v>
      </c>
      <c r="N4768" s="475">
        <f t="shared" si="177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75"/>
        <v>-152008894393857.41</v>
      </c>
      <c r="J4769" s="455">
        <f t="array" ref="J4769">IFERROR(INDEX('Retirement Calculator'!K:K,MATCH('Lorri 401b'!N4769,'Retirement Calculator'!A:A,0),0),0)</f>
        <v>0</v>
      </c>
      <c r="K4769" s="455">
        <f t="shared" ca="1" si="173"/>
        <v>-633370393307.73914</v>
      </c>
      <c r="L4769" s="455">
        <f t="shared" ca="1" si="174"/>
        <v>-152642264787165.16</v>
      </c>
      <c r="M4769" s="471">
        <f t="shared" si="176"/>
        <v>0.05</v>
      </c>
      <c r="N4769" s="475">
        <f t="shared" si="177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75"/>
        <v>-152642264787165.16</v>
      </c>
      <c r="J4770" s="455">
        <f t="array" ref="J4770">IFERROR(INDEX('Retirement Calculator'!K:K,MATCH('Lorri 401b'!N4770,'Retirement Calculator'!A:A,0),0),0)</f>
        <v>0</v>
      </c>
      <c r="K4770" s="455">
        <f t="shared" ca="1" si="173"/>
        <v>-636009436613.18811</v>
      </c>
      <c r="L4770" s="455">
        <f t="shared" ca="1" si="174"/>
        <v>-153278274223778.34</v>
      </c>
      <c r="M4770" s="471">
        <f t="shared" si="176"/>
        <v>0.05</v>
      </c>
      <c r="N4770" s="475">
        <f t="shared" si="177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75"/>
        <v>-153278274223778.34</v>
      </c>
      <c r="J4771" s="455">
        <f t="array" ref="J4771">IFERROR(INDEX('Retirement Calculator'!K:K,MATCH('Lorri 401b'!N4771,'Retirement Calculator'!A:A,0),0),0)</f>
        <v>0</v>
      </c>
      <c r="K4771" s="455">
        <f t="shared" ca="1" si="173"/>
        <v>-638659475932.40979</v>
      </c>
      <c r="L4771" s="455">
        <f t="shared" ca="1" si="174"/>
        <v>-153916933699710.75</v>
      </c>
      <c r="M4771" s="471">
        <f t="shared" si="176"/>
        <v>0.05</v>
      </c>
      <c r="N4771" s="475">
        <f t="shared" si="177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75"/>
        <v>-153916933699710.75</v>
      </c>
      <c r="J4772" s="455">
        <f t="array" ref="J4772">IFERROR(INDEX('Retirement Calculator'!K:K,MATCH('Lorri 401b'!N4772,'Retirement Calculator'!A:A,0),0),0)</f>
        <v>0</v>
      </c>
      <c r="K4772" s="455">
        <f t="shared" ca="1" si="173"/>
        <v>-641320557082.12817</v>
      </c>
      <c r="L4772" s="455">
        <f t="shared" ca="1" si="174"/>
        <v>-154558254256792.88</v>
      </c>
      <c r="M4772" s="471">
        <f t="shared" si="176"/>
        <v>0.05</v>
      </c>
      <c r="N4772" s="475">
        <f t="shared" si="177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75"/>
        <v>-154558254256792.88</v>
      </c>
      <c r="J4773" s="455">
        <f t="array" ref="J4773">IFERROR(INDEX('Retirement Calculator'!K:K,MATCH('Lorri 401b'!N4773,'Retirement Calculator'!A:A,0),0),0)</f>
        <v>0</v>
      </c>
      <c r="K4773" s="455">
        <f t="shared" ca="1" si="173"/>
        <v>-643992726069.97034</v>
      </c>
      <c r="L4773" s="455">
        <f t="shared" ca="1" si="174"/>
        <v>-155202246982862.84</v>
      </c>
      <c r="M4773" s="471">
        <f t="shared" si="176"/>
        <v>0.05</v>
      </c>
      <c r="N4773" s="475">
        <f t="shared" si="177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75"/>
        <v>-155202246982862.84</v>
      </c>
      <c r="J4774" s="455">
        <f t="array" ref="J4774">IFERROR(INDEX('Retirement Calculator'!K:K,MATCH('Lorri 401b'!N4774,'Retirement Calculator'!A:A,0),0),0)</f>
        <v>0</v>
      </c>
      <c r="K4774" s="455">
        <f t="shared" ca="1" si="173"/>
        <v>-646676029095.26184</v>
      </c>
      <c r="L4774" s="455">
        <f t="shared" ca="1" si="174"/>
        <v>-155848923011958.09</v>
      </c>
      <c r="M4774" s="471">
        <f t="shared" si="176"/>
        <v>0.05</v>
      </c>
      <c r="N4774" s="475">
        <f t="shared" si="177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75"/>
        <v>-155848923011958.09</v>
      </c>
      <c r="J4775" s="455">
        <f t="array" ref="J4775">IFERROR(INDEX('Retirement Calculator'!K:K,MATCH('Lorri 401b'!N4775,'Retirement Calculator'!A:A,0),0),0)</f>
        <v>0</v>
      </c>
      <c r="K4775" s="455">
        <f t="shared" ca="1" si="173"/>
        <v>-649370512549.82544</v>
      </c>
      <c r="L4775" s="455">
        <f t="shared" ca="1" si="174"/>
        <v>-156498293524507.91</v>
      </c>
      <c r="M4775" s="471">
        <f t="shared" si="176"/>
        <v>0.05</v>
      </c>
      <c r="N4775" s="475">
        <f t="shared" si="177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75"/>
        <v>-156498293524507.91</v>
      </c>
      <c r="J4776" s="455">
        <f t="array" ref="J4776">IFERROR(INDEX('Retirement Calculator'!K:K,MATCH('Lorri 401b'!N4776,'Retirement Calculator'!A:A,0),0),0)</f>
        <v>0</v>
      </c>
      <c r="K4776" s="455">
        <f t="shared" ca="1" si="173"/>
        <v>-652076223018.78296</v>
      </c>
      <c r="L4776" s="455">
        <f t="shared" ca="1" si="174"/>
        <v>-157150369747526.69</v>
      </c>
      <c r="M4776" s="471">
        <f t="shared" si="176"/>
        <v>0.05</v>
      </c>
      <c r="N4776" s="475">
        <f t="shared" si="177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75"/>
        <v>-157150369747526.69</v>
      </c>
      <c r="J4777" s="455">
        <f t="array" ref="J4777">IFERROR(INDEX('Retirement Calculator'!K:K,MATCH('Lorri 401b'!N4777,'Retirement Calculator'!A:A,0),0),0)</f>
        <v>0</v>
      </c>
      <c r="K4777" s="455">
        <f t="shared" ca="1" si="173"/>
        <v>-654793207281.36121</v>
      </c>
      <c r="L4777" s="455">
        <f t="shared" ca="1" si="174"/>
        <v>-157805162954808.06</v>
      </c>
      <c r="M4777" s="471">
        <f t="shared" si="176"/>
        <v>0.05</v>
      </c>
      <c r="N4777" s="475">
        <f t="shared" si="177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75"/>
        <v>-157805162954808.06</v>
      </c>
      <c r="J4778" s="455">
        <f t="array" ref="J4778">IFERROR(INDEX('Retirement Calculator'!K:K,MATCH('Lorri 401b'!N4778,'Retirement Calculator'!A:A,0),0),0)</f>
        <v>0</v>
      </c>
      <c r="K4778" s="455">
        <f t="shared" ca="1" si="173"/>
        <v>-657521512311.7002</v>
      </c>
      <c r="L4778" s="455">
        <f t="shared" ca="1" si="174"/>
        <v>-158462684467119.75</v>
      </c>
      <c r="M4778" s="471">
        <f t="shared" si="176"/>
        <v>0.05</v>
      </c>
      <c r="N4778" s="475">
        <f t="shared" si="177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75"/>
        <v>-158462684467119.75</v>
      </c>
      <c r="J4779" s="455">
        <f t="array" ref="J4779">IFERROR(INDEX('Retirement Calculator'!K:K,MATCH('Lorri 401b'!N4779,'Retirement Calculator'!A:A,0),0),0)</f>
        <v>0</v>
      </c>
      <c r="K4779" s="455">
        <f t="shared" ca="1" si="173"/>
        <v>-660261185279.66565</v>
      </c>
      <c r="L4779" s="455">
        <f t="shared" ca="1" si="174"/>
        <v>-159122945652399.41</v>
      </c>
      <c r="M4779" s="471">
        <f t="shared" si="176"/>
        <v>0.05</v>
      </c>
      <c r="N4779" s="475">
        <f t="shared" si="177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75"/>
        <v>-159122945652399.41</v>
      </c>
      <c r="J4780" s="455">
        <f t="array" ref="J4780">IFERROR(INDEX('Retirement Calculator'!K:K,MATCH('Lorri 401b'!N4780,'Retirement Calculator'!A:A,0),0),0)</f>
        <v>0</v>
      </c>
      <c r="K4780" s="455">
        <f t="shared" ca="1" si="173"/>
        <v>-663012273551.66418</v>
      </c>
      <c r="L4780" s="455">
        <f t="shared" ca="1" si="174"/>
        <v>-159785957925951.06</v>
      </c>
      <c r="M4780" s="471">
        <f t="shared" si="176"/>
        <v>0.05</v>
      </c>
      <c r="N4780" s="475">
        <f t="shared" si="177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75"/>
        <v>-159785957925951.06</v>
      </c>
      <c r="J4781" s="455">
        <f t="array" ref="J4781">IFERROR(INDEX('Retirement Calculator'!K:K,MATCH('Lorri 401b'!N4781,'Retirement Calculator'!A:A,0),0),0)</f>
        <v>0</v>
      </c>
      <c r="K4781" s="455">
        <f t="shared" ca="1" si="173"/>
        <v>-665774824691.46277</v>
      </c>
      <c r="L4781" s="455">
        <f t="shared" ca="1" si="174"/>
        <v>-160451732750642.53</v>
      </c>
      <c r="M4781" s="471">
        <f t="shared" si="176"/>
        <v>0.05</v>
      </c>
      <c r="N4781" s="475">
        <f t="shared" si="177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75"/>
        <v>-160451732750642.53</v>
      </c>
      <c r="J4782" s="455">
        <f t="array" ref="J4782">IFERROR(INDEX('Retirement Calculator'!K:K,MATCH('Lorri 401b'!N4782,'Retirement Calculator'!A:A,0),0),0)</f>
        <v>0</v>
      </c>
      <c r="K4782" s="455">
        <f t="shared" ca="1" si="173"/>
        <v>-668548886461.0105</v>
      </c>
      <c r="L4782" s="455">
        <f t="shared" ca="1" si="174"/>
        <v>-161120281637103.53</v>
      </c>
      <c r="M4782" s="471">
        <f t="shared" si="176"/>
        <v>0.05</v>
      </c>
      <c r="N4782" s="475">
        <f t="shared" si="177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75"/>
        <v>-161120281637103.53</v>
      </c>
      <c r="J4783" s="455">
        <f t="array" ref="J4783">IFERROR(INDEX('Retirement Calculator'!K:K,MATCH('Lorri 401b'!N4783,'Retirement Calculator'!A:A,0),0),0)</f>
        <v>0</v>
      </c>
      <c r="K4783" s="455">
        <f t="shared" ca="1" si="173"/>
        <v>-671334506821.26465</v>
      </c>
      <c r="L4783" s="455">
        <f t="shared" ca="1" si="174"/>
        <v>-161791616143924.78</v>
      </c>
      <c r="M4783" s="471">
        <f t="shared" si="176"/>
        <v>0.05</v>
      </c>
      <c r="N4783" s="475">
        <f t="shared" si="177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75"/>
        <v>-161791616143924.78</v>
      </c>
      <c r="J4784" s="455">
        <f t="array" ref="J4784">IFERROR(INDEX('Retirement Calculator'!K:K,MATCH('Lorri 401b'!N4784,'Retirement Calculator'!A:A,0),0),0)</f>
        <v>0</v>
      </c>
      <c r="K4784" s="455">
        <f t="shared" ca="1" si="173"/>
        <v>-674131733933.0199</v>
      </c>
      <c r="L4784" s="455">
        <f t="shared" ca="1" si="174"/>
        <v>-162465747877857.81</v>
      </c>
      <c r="M4784" s="471">
        <f t="shared" si="176"/>
        <v>0.05</v>
      </c>
      <c r="N4784" s="475">
        <f t="shared" si="177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75"/>
        <v>-162465747877857.81</v>
      </c>
      <c r="J4785" s="455">
        <f t="array" ref="J4785">IFERROR(INDEX('Retirement Calculator'!K:K,MATCH('Lorri 401b'!N4785,'Retirement Calculator'!A:A,0),0),0)</f>
        <v>0</v>
      </c>
      <c r="K4785" s="455">
        <f t="shared" ca="1" si="173"/>
        <v>-676940616157.74084</v>
      </c>
      <c r="L4785" s="455">
        <f t="shared" ca="1" si="174"/>
        <v>-163142688494015.56</v>
      </c>
      <c r="M4785" s="471">
        <f t="shared" si="176"/>
        <v>0.05</v>
      </c>
      <c r="N4785" s="475">
        <f t="shared" si="177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75"/>
        <v>-163142688494015.56</v>
      </c>
      <c r="J4786" s="455">
        <f t="array" ref="J4786">IFERROR(INDEX('Retirement Calculator'!K:K,MATCH('Lorri 401b'!N4786,'Retirement Calculator'!A:A,0),0),0)</f>
        <v>0</v>
      </c>
      <c r="K4786" s="455">
        <f t="shared" ca="1" si="173"/>
        <v>-679761202058.39819</v>
      </c>
      <c r="L4786" s="455">
        <f t="shared" ca="1" si="174"/>
        <v>-163822449696073.97</v>
      </c>
      <c r="M4786" s="471">
        <f t="shared" si="176"/>
        <v>0.05</v>
      </c>
      <c r="N4786" s="475">
        <f t="shared" si="177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75"/>
        <v>-163822449696073.97</v>
      </c>
      <c r="J4787" s="455">
        <f t="array" ref="J4787">IFERROR(INDEX('Retirement Calculator'!K:K,MATCH('Lorri 401b'!N4787,'Retirement Calculator'!A:A,0),0),0)</f>
        <v>0</v>
      </c>
      <c r="K4787" s="455">
        <f t="shared" ca="1" si="173"/>
        <v>-682593540400.30823</v>
      </c>
      <c r="L4787" s="455">
        <f t="shared" ca="1" si="174"/>
        <v>-164505043236474.28</v>
      </c>
      <c r="M4787" s="471">
        <f t="shared" si="176"/>
        <v>0.05</v>
      </c>
      <c r="N4787" s="475">
        <f t="shared" si="177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75"/>
        <v>-164505043236474.28</v>
      </c>
      <c r="J4788" s="455">
        <f t="array" ref="J4788">IFERROR(INDEX('Retirement Calculator'!K:K,MATCH('Lorri 401b'!N4788,'Retirement Calculator'!A:A,0),0),0)</f>
        <v>0</v>
      </c>
      <c r="K4788" s="455">
        <f t="shared" ca="1" si="173"/>
        <v>-685437680151.9762</v>
      </c>
      <c r="L4788" s="455">
        <f t="shared" ca="1" si="174"/>
        <v>-165190480916626.25</v>
      </c>
      <c r="M4788" s="471">
        <f t="shared" si="176"/>
        <v>0.05</v>
      </c>
      <c r="N4788" s="475">
        <f t="shared" si="177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75"/>
        <v>-165190480916626.25</v>
      </c>
      <c r="J4789" s="455">
        <f t="array" ref="J4789">IFERROR(INDEX('Retirement Calculator'!K:K,MATCH('Lorri 401b'!N4789,'Retirement Calculator'!A:A,0),0),0)</f>
        <v>0</v>
      </c>
      <c r="K4789" s="455">
        <f t="shared" ca="1" si="173"/>
        <v>-688293670485.94275</v>
      </c>
      <c r="L4789" s="455">
        <f t="shared" ca="1" si="174"/>
        <v>-165878774587112.19</v>
      </c>
      <c r="M4789" s="471">
        <f t="shared" si="176"/>
        <v>0.05</v>
      </c>
      <c r="N4789" s="475">
        <f t="shared" si="177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75"/>
        <v>-165878774587112.19</v>
      </c>
      <c r="J4790" s="455">
        <f t="array" ref="J4790">IFERROR(INDEX('Retirement Calculator'!K:K,MATCH('Lorri 401b'!N4790,'Retirement Calculator'!A:A,0),0),0)</f>
        <v>0</v>
      </c>
      <c r="K4790" s="455">
        <f t="shared" ca="1" si="173"/>
        <v>-691161560779.63416</v>
      </c>
      <c r="L4790" s="455">
        <f t="shared" ca="1" si="174"/>
        <v>-166569936147891.81</v>
      </c>
      <c r="M4790" s="471">
        <f t="shared" si="176"/>
        <v>0.05</v>
      </c>
      <c r="N4790" s="475">
        <f t="shared" si="177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75"/>
        <v>-166569936147891.81</v>
      </c>
      <c r="J4791" s="455">
        <f t="array" ref="J4791">IFERROR(INDEX('Retirement Calculator'!K:K,MATCH('Lorri 401b'!N4791,'Retirement Calculator'!A:A,0),0),0)</f>
        <v>0</v>
      </c>
      <c r="K4791" s="455">
        <f t="shared" ca="1" si="173"/>
        <v>-694041400616.21582</v>
      </c>
      <c r="L4791" s="455">
        <f t="shared" ca="1" si="174"/>
        <v>-167263977548508.03</v>
      </c>
      <c r="M4791" s="471">
        <f t="shared" si="176"/>
        <v>0.05</v>
      </c>
      <c r="N4791" s="475">
        <f t="shared" si="177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75"/>
        <v>-167263977548508.03</v>
      </c>
      <c r="J4792" s="455">
        <f t="array" ref="J4792">IFERROR(INDEX('Retirement Calculator'!K:K,MATCH('Lorri 401b'!N4792,'Retirement Calculator'!A:A,0),0),0)</f>
        <v>0</v>
      </c>
      <c r="K4792" s="455">
        <f t="shared" ca="1" si="173"/>
        <v>-696933239785.45007</v>
      </c>
      <c r="L4792" s="455">
        <f t="shared" ca="1" si="174"/>
        <v>-167960910788293.47</v>
      </c>
      <c r="M4792" s="471">
        <f t="shared" si="176"/>
        <v>0.05</v>
      </c>
      <c r="N4792" s="475">
        <f t="shared" si="177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75"/>
        <v>-167960910788293.47</v>
      </c>
      <c r="J4793" s="455">
        <f t="array" ref="J4793">IFERROR(INDEX('Retirement Calculator'!K:K,MATCH('Lorri 401b'!N4793,'Retirement Calculator'!A:A,0),0),0)</f>
        <v>0</v>
      </c>
      <c r="K4793" s="455">
        <f t="shared" ca="1" si="173"/>
        <v>-699837128284.55615</v>
      </c>
      <c r="L4793" s="455">
        <f t="shared" ca="1" si="174"/>
        <v>-168660747916578.03</v>
      </c>
      <c r="M4793" s="471">
        <f t="shared" si="176"/>
        <v>0.05</v>
      </c>
      <c r="N4793" s="475">
        <f t="shared" si="177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75"/>
        <v>-168660747916578.03</v>
      </c>
      <c r="J4794" s="455">
        <f t="array" ref="J4794">IFERROR(INDEX('Retirement Calculator'!K:K,MATCH('Lorri 401b'!N4794,'Retirement Calculator'!A:A,0),0),0)</f>
        <v>0</v>
      </c>
      <c r="K4794" s="455">
        <f t="shared" ca="1" si="173"/>
        <v>-702753116319.07507</v>
      </c>
      <c r="L4794" s="455">
        <f t="shared" ca="1" si="174"/>
        <v>-169363501032897.09</v>
      </c>
      <c r="M4794" s="471">
        <f t="shared" si="176"/>
        <v>0.05</v>
      </c>
      <c r="N4794" s="475">
        <f t="shared" si="177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75"/>
        <v>-169363501032897.09</v>
      </c>
      <c r="J4795" s="455">
        <f t="array" ref="J4795">IFERROR(INDEX('Retirement Calculator'!K:K,MATCH('Lorri 401b'!N4795,'Retirement Calculator'!A:A,0),0),0)</f>
        <v>0</v>
      </c>
      <c r="K4795" s="455">
        <f t="shared" ca="1" si="173"/>
        <v>-705681254303.73792</v>
      </c>
      <c r="L4795" s="455">
        <f t="shared" ca="1" si="174"/>
        <v>-170069182287200.84</v>
      </c>
      <c r="M4795" s="471">
        <f t="shared" si="176"/>
        <v>0.05</v>
      </c>
      <c r="N4795" s="475">
        <f t="shared" si="177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75"/>
        <v>-170069182287200.84</v>
      </c>
      <c r="J4796" s="455">
        <f t="array" ref="J4796">IFERROR(INDEX('Retirement Calculator'!K:K,MATCH('Lorri 401b'!N4796,'Retirement Calculator'!A:A,0),0),0)</f>
        <v>0</v>
      </c>
      <c r="K4796" s="455">
        <f t="shared" ca="1" si="173"/>
        <v>-708621592863.33679</v>
      </c>
      <c r="L4796" s="455">
        <f t="shared" ca="1" si="174"/>
        <v>-170777803880064.19</v>
      </c>
      <c r="M4796" s="471">
        <f t="shared" si="176"/>
        <v>0.05</v>
      </c>
      <c r="N4796" s="475">
        <f t="shared" si="177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75"/>
        <v>-170777803880064.19</v>
      </c>
      <c r="J4797" s="455">
        <f t="array" ref="J4797">IFERROR(INDEX('Retirement Calculator'!K:K,MATCH('Lorri 401b'!N4797,'Retirement Calculator'!A:A,0),0),0)</f>
        <v>0</v>
      </c>
      <c r="K4797" s="455">
        <f t="shared" ca="1" si="173"/>
        <v>-711574182833.60083</v>
      </c>
      <c r="L4797" s="455">
        <f t="shared" ca="1" si="174"/>
        <v>-171489378062897.78</v>
      </c>
      <c r="M4797" s="471">
        <f t="shared" si="176"/>
        <v>0.05</v>
      </c>
      <c r="N4797" s="475">
        <f t="shared" si="177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75"/>
        <v>-171489378062897.78</v>
      </c>
      <c r="J4798" s="455">
        <f t="array" ref="J4798">IFERROR(INDEX('Retirement Calculator'!K:K,MATCH('Lorri 401b'!N4798,'Retirement Calculator'!A:A,0),0),0)</f>
        <v>0</v>
      </c>
      <c r="K4798" s="455">
        <f t="shared" ca="1" si="173"/>
        <v>-714539075262.0741</v>
      </c>
      <c r="L4798" s="455">
        <f t="shared" ca="1" si="174"/>
        <v>-172203917138159.84</v>
      </c>
      <c r="M4798" s="471">
        <f t="shared" si="176"/>
        <v>0.05</v>
      </c>
      <c r="N4798" s="475">
        <f t="shared" si="177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75"/>
        <v>-172203917138159.84</v>
      </c>
      <c r="J4799" s="455">
        <f t="array" ref="J4799">IFERROR(INDEX('Retirement Calculator'!K:K,MATCH('Lorri 401b'!N4799,'Retirement Calculator'!A:A,0),0),0)</f>
        <v>0</v>
      </c>
      <c r="K4799" s="455">
        <f t="shared" ca="1" si="173"/>
        <v>-717516321408.99939</v>
      </c>
      <c r="L4799" s="455">
        <f t="shared" ca="1" si="174"/>
        <v>-172921433459568.84</v>
      </c>
      <c r="M4799" s="471">
        <f t="shared" si="176"/>
        <v>0.05</v>
      </c>
      <c r="N4799" s="475">
        <f t="shared" si="177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75"/>
        <v>-172921433459568.84</v>
      </c>
      <c r="J4800" s="455">
        <f t="array" ref="J4800">IFERROR(INDEX('Retirement Calculator'!K:K,MATCH('Lorri 401b'!N4800,'Retirement Calculator'!A:A,0),0),0)</f>
        <v>0</v>
      </c>
      <c r="K4800" s="455">
        <f t="shared" ca="1" si="173"/>
        <v>-720505972748.20349</v>
      </c>
      <c r="L4800" s="455">
        <f t="shared" ca="1" si="174"/>
        <v>-173641939432317.06</v>
      </c>
      <c r="M4800" s="471">
        <f t="shared" si="176"/>
        <v>0.05</v>
      </c>
      <c r="N4800" s="475">
        <f t="shared" si="177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75"/>
        <v>-173641939432317.06</v>
      </c>
      <c r="J4801" s="455">
        <f t="array" ref="J4801">IFERROR(INDEX('Retirement Calculator'!K:K,MATCH('Lorri 401b'!N4801,'Retirement Calculator'!A:A,0),0),0)</f>
        <v>0</v>
      </c>
      <c r="K4801" s="455">
        <f t="shared" ca="1" si="173"/>
        <v>-723508080967.98779</v>
      </c>
      <c r="L4801" s="455">
        <f t="shared" ca="1" si="174"/>
        <v>-174365447513285.06</v>
      </c>
      <c r="M4801" s="471">
        <f t="shared" si="176"/>
        <v>0.05</v>
      </c>
      <c r="N4801" s="475">
        <f t="shared" si="177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75"/>
        <v>-174365447513285.06</v>
      </c>
      <c r="J4802" s="455">
        <f t="array" ref="J4802">IFERROR(INDEX('Retirement Calculator'!K:K,MATCH('Lorri 401b'!N4802,'Retirement Calculator'!A:A,0),0),0)</f>
        <v>0</v>
      </c>
      <c r="K4802" s="455">
        <f t="shared" ca="1" si="173"/>
        <v>-726522697972.02112</v>
      </c>
      <c r="L4802" s="455">
        <f t="shared" ca="1" si="174"/>
        <v>-175091970211257.09</v>
      </c>
      <c r="M4802" s="471">
        <f t="shared" si="176"/>
        <v>0.05</v>
      </c>
      <c r="N4802" s="475">
        <f t="shared" si="177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75"/>
        <v>-175091970211257.09</v>
      </c>
      <c r="J4803" s="455">
        <f t="array" ref="J4803">IFERROR(INDEX('Retirement Calculator'!K:K,MATCH('Lorri 401b'!N4803,'Retirement Calculator'!A:A,0),0),0)</f>
        <v>0</v>
      </c>
      <c r="K4803" s="455">
        <f t="shared" ca="1" si="173"/>
        <v>-729549875880.23792</v>
      </c>
      <c r="L4803" s="455">
        <f t="shared" ca="1" si="174"/>
        <v>-175821520087137.34</v>
      </c>
      <c r="M4803" s="471">
        <f t="shared" si="176"/>
        <v>0.05</v>
      </c>
      <c r="N4803" s="475">
        <f t="shared" si="177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75"/>
        <v>-175821520087137.34</v>
      </c>
      <c r="J4804" s="455">
        <f t="array" ref="J4804">IFERROR(INDEX('Retirement Calculator'!K:K,MATCH('Lorri 401b'!N4804,'Retirement Calculator'!A:A,0),0),0)</f>
        <v>0</v>
      </c>
      <c r="K4804" s="455">
        <f t="shared" ca="1" si="173"/>
        <v>-732589667029.73889</v>
      </c>
      <c r="L4804" s="455">
        <f t="shared" ca="1" si="174"/>
        <v>-176554109754167.09</v>
      </c>
      <c r="M4804" s="471">
        <f t="shared" si="176"/>
        <v>0.05</v>
      </c>
      <c r="N4804" s="475">
        <f t="shared" si="177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75"/>
        <v>-176554109754167.09</v>
      </c>
      <c r="J4805" s="455">
        <f t="array" ref="J4805">IFERROR(INDEX('Retirement Calculator'!K:K,MATCH('Lorri 401b'!N4805,'Retirement Calculator'!A:A,0),0),0)</f>
        <v>0</v>
      </c>
      <c r="K4805" s="455">
        <f t="shared" ca="1" si="173"/>
        <v>-735642123975.69617</v>
      </c>
      <c r="L4805" s="455">
        <f t="shared" ca="1" si="174"/>
        <v>-177289751878142.78</v>
      </c>
      <c r="M4805" s="471">
        <f t="shared" si="176"/>
        <v>0.05</v>
      </c>
      <c r="N4805" s="475">
        <f t="shared" si="177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75"/>
        <v>-177289751878142.78</v>
      </c>
      <c r="J4806" s="455">
        <f t="array" ref="J4806">IFERROR(INDEX('Retirement Calculator'!K:K,MATCH('Lorri 401b'!N4806,'Retirement Calculator'!A:A,0),0),0)</f>
        <v>0</v>
      </c>
      <c r="K4806" s="455">
        <f t="shared" ca="1" si="173"/>
        <v>-738707299492.2616</v>
      </c>
      <c r="L4806" s="455">
        <f t="shared" ca="1" si="174"/>
        <v>-178028459177635.03</v>
      </c>
      <c r="M4806" s="471">
        <f t="shared" si="176"/>
        <v>0.05</v>
      </c>
      <c r="N4806" s="475">
        <f t="shared" si="177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75"/>
        <v>-178028459177635.03</v>
      </c>
      <c r="J4807" s="455">
        <f t="array" ref="J4807">IFERROR(INDEX('Retirement Calculator'!K:K,MATCH('Lorri 401b'!N4807,'Retirement Calculator'!A:A,0),0),0)</f>
        <v>0</v>
      </c>
      <c r="K4807" s="455">
        <f t="shared" ca="1" si="173"/>
        <v>-741785246573.47925</v>
      </c>
      <c r="L4807" s="455">
        <f t="shared" ca="1" si="174"/>
        <v>-178770244424208.5</v>
      </c>
      <c r="M4807" s="471">
        <f t="shared" si="176"/>
        <v>0.05</v>
      </c>
      <c r="N4807" s="475">
        <f t="shared" si="177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75"/>
        <v>-178770244424208.5</v>
      </c>
      <c r="J4808" s="455">
        <f t="array" ref="J4808">IFERROR(INDEX('Retirement Calculator'!K:K,MATCH('Lorri 401b'!N4808,'Retirement Calculator'!A:A,0),0),0)</f>
        <v>0</v>
      </c>
      <c r="K4808" s="455">
        <f t="shared" ca="1" si="173"/>
        <v>-744876018434.20203</v>
      </c>
      <c r="L4808" s="455">
        <f t="shared" ca="1" si="174"/>
        <v>-179515120442642.69</v>
      </c>
      <c r="M4808" s="471">
        <f t="shared" si="176"/>
        <v>0.05</v>
      </c>
      <c r="N4808" s="475">
        <f t="shared" si="177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75"/>
        <v>-179515120442642.69</v>
      </c>
      <c r="J4809" s="455">
        <f t="array" ref="J4809">IFERROR(INDEX('Retirement Calculator'!K:K,MATCH('Lorri 401b'!N4809,'Retirement Calculator'!A:A,0),0),0)</f>
        <v>0</v>
      </c>
      <c r="K4809" s="455">
        <f t="shared" ca="1" si="173"/>
        <v>-747979668511.01123</v>
      </c>
      <c r="L4809" s="455">
        <f t="shared" ca="1" si="174"/>
        <v>-180263100111153.69</v>
      </c>
      <c r="M4809" s="471">
        <f t="shared" si="176"/>
        <v>0.05</v>
      </c>
      <c r="N4809" s="475">
        <f t="shared" si="177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75"/>
        <v>-180263100111153.69</v>
      </c>
      <c r="J4810" s="455">
        <f t="array" ref="J4810">IFERROR(INDEX('Retirement Calculator'!K:K,MATCH('Lorri 401b'!N4810,'Retirement Calculator'!A:A,0),0),0)</f>
        <v>0</v>
      </c>
      <c r="K4810" s="455">
        <f t="shared" ca="1" si="173"/>
        <v>-751096250463.14038</v>
      </c>
      <c r="L4810" s="455">
        <f t="shared" ca="1" si="174"/>
        <v>-181014196361616.81</v>
      </c>
      <c r="M4810" s="471">
        <f t="shared" si="176"/>
        <v>0.05</v>
      </c>
      <c r="N4810" s="475">
        <f t="shared" si="177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75"/>
        <v>-181014196361616.81</v>
      </c>
      <c r="J4811" s="455">
        <f t="array" ref="J4811">IFERROR(INDEX('Retirement Calculator'!K:K,MATCH('Lorri 401b'!N4811,'Retirement Calculator'!A:A,0),0),0)</f>
        <v>0</v>
      </c>
      <c r="K4811" s="455">
        <f t="shared" ca="1" si="173"/>
        <v>-754225818173.40332</v>
      </c>
      <c r="L4811" s="455">
        <f t="shared" ca="1" si="174"/>
        <v>-181768422179790.22</v>
      </c>
      <c r="M4811" s="471">
        <f t="shared" si="176"/>
        <v>0.05</v>
      </c>
      <c r="N4811" s="475">
        <f t="shared" si="177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75"/>
        <v>-181768422179790.22</v>
      </c>
      <c r="J4812" s="455">
        <f t="array" ref="J4812">IFERROR(INDEX('Retirement Calculator'!K:K,MATCH('Lorri 401b'!N4812,'Retirement Calculator'!A:A,0),0),0)</f>
        <v>0</v>
      </c>
      <c r="K4812" s="455">
        <f t="shared" ca="1" si="173"/>
        <v>-757368425749.12585</v>
      </c>
      <c r="L4812" s="455">
        <f t="shared" ca="1" si="174"/>
        <v>-182525790605539.34</v>
      </c>
      <c r="M4812" s="471">
        <f t="shared" si="176"/>
        <v>0.05</v>
      </c>
      <c r="N4812" s="475">
        <f t="shared" si="177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75"/>
        <v>-182525790605539.34</v>
      </c>
      <c r="J4813" s="455">
        <f t="array" ref="J4813">IFERROR(INDEX('Retirement Calculator'!K:K,MATCH('Lorri 401b'!N4813,'Retirement Calculator'!A:A,0),0),0)</f>
        <v>0</v>
      </c>
      <c r="K4813" s="455">
        <f t="shared" ca="1" si="173"/>
        <v>-760524127523.08057</v>
      </c>
      <c r="L4813" s="455">
        <f t="shared" ca="1" si="174"/>
        <v>-183286314733062.44</v>
      </c>
      <c r="M4813" s="471">
        <f t="shared" si="176"/>
        <v>0.05</v>
      </c>
      <c r="N4813" s="475">
        <f t="shared" si="177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75"/>
        <v>-183286314733062.44</v>
      </c>
      <c r="J4814" s="455">
        <f t="array" ref="J4814">IFERROR(INDEX('Retirement Calculator'!K:K,MATCH('Lorri 401b'!N4814,'Retirement Calculator'!A:A,0),0),0)</f>
        <v>0</v>
      </c>
      <c r="K4814" s="455">
        <f t="shared" ca="1" si="173"/>
        <v>-763692978054.42676</v>
      </c>
      <c r="L4814" s="455">
        <f t="shared" ca="1" si="174"/>
        <v>-184050007711116.88</v>
      </c>
      <c r="M4814" s="471">
        <f t="shared" si="176"/>
        <v>0.05</v>
      </c>
      <c r="N4814" s="475">
        <f t="shared" si="177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75"/>
        <v>-184050007711116.88</v>
      </c>
      <c r="J4815" s="455">
        <f t="array" ref="J4815">IFERROR(INDEX('Retirement Calculator'!K:K,MATCH('Lorri 401b'!N4815,'Retirement Calculator'!A:A,0),0),0)</f>
        <v>0</v>
      </c>
      <c r="K4815" s="455">
        <f t="shared" ca="1" si="173"/>
        <v>-766875032129.65369</v>
      </c>
      <c r="L4815" s="455">
        <f t="shared" ca="1" si="174"/>
        <v>-184816882743246.53</v>
      </c>
      <c r="M4815" s="471">
        <f t="shared" si="176"/>
        <v>0.05</v>
      </c>
      <c r="N4815" s="475">
        <f t="shared" si="177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75"/>
        <v>-184816882743246.53</v>
      </c>
      <c r="J4816" s="455">
        <f t="array" ref="J4816">IFERROR(INDEX('Retirement Calculator'!K:K,MATCH('Lorri 401b'!N4816,'Retirement Calculator'!A:A,0),0),0)</f>
        <v>0</v>
      </c>
      <c r="K4816" s="455">
        <f t="shared" ca="1" si="173"/>
        <v>-770070344763.52722</v>
      </c>
      <c r="L4816" s="455">
        <f t="shared" ca="1" si="174"/>
        <v>-185586953088010.06</v>
      </c>
      <c r="M4816" s="471">
        <f t="shared" si="176"/>
        <v>0.05</v>
      </c>
      <c r="N4816" s="475">
        <f t="shared" si="177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75"/>
        <v>-185586953088010.06</v>
      </c>
      <c r="J4817" s="455">
        <f t="array" ref="J4817">IFERROR(INDEX('Retirement Calculator'!K:K,MATCH('Lorri 401b'!N4817,'Retirement Calculator'!A:A,0),0),0)</f>
        <v>0</v>
      </c>
      <c r="K4817" s="455">
        <f t="shared" ca="1" si="173"/>
        <v>-773278971200.04187</v>
      </c>
      <c r="L4817" s="455">
        <f t="shared" ca="1" si="174"/>
        <v>-186360232059210.09</v>
      </c>
      <c r="M4817" s="471">
        <f t="shared" si="176"/>
        <v>0.05</v>
      </c>
      <c r="N4817" s="475">
        <f t="shared" si="177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75"/>
        <v>-186360232059210.09</v>
      </c>
      <c r="J4818" s="455">
        <f t="array" ref="J4818">IFERROR(INDEX('Retirement Calculator'!K:K,MATCH('Lorri 401b'!N4818,'Retirement Calculator'!A:A,0),0),0)</f>
        <v>0</v>
      </c>
      <c r="K4818" s="455">
        <f t="shared" ca="1" si="173"/>
        <v>-776500966913.37537</v>
      </c>
      <c r="L4818" s="455">
        <f t="shared" ca="1" si="174"/>
        <v>-187136733026123.47</v>
      </c>
      <c r="M4818" s="471">
        <f t="shared" si="176"/>
        <v>0.05</v>
      </c>
      <c r="N4818" s="475">
        <f t="shared" si="177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75"/>
        <v>-187136733026123.47</v>
      </c>
      <c r="J4819" s="455">
        <f t="array" ref="J4819">IFERROR(INDEX('Retirement Calculator'!K:K,MATCH('Lorri 401b'!N4819,'Retirement Calculator'!A:A,0),0),0)</f>
        <v>0</v>
      </c>
      <c r="K4819" s="455">
        <f t="shared" ca="1" si="173"/>
        <v>-779736387608.84778</v>
      </c>
      <c r="L4819" s="455">
        <f t="shared" ca="1" si="174"/>
        <v>-187916469413732.31</v>
      </c>
      <c r="M4819" s="471">
        <f t="shared" si="176"/>
        <v>0.05</v>
      </c>
      <c r="N4819" s="475">
        <f t="shared" si="177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75"/>
        <v>-187916469413732.31</v>
      </c>
      <c r="J4820" s="455">
        <f t="array" ref="J4820">IFERROR(INDEX('Retirement Calculator'!K:K,MATCH('Lorri 401b'!N4820,'Retirement Calculator'!A:A,0),0),0)</f>
        <v>0</v>
      </c>
      <c r="K4820" s="455">
        <f t="shared" ca="1" si="173"/>
        <v>-782985289223.88464</v>
      </c>
      <c r="L4820" s="455">
        <f t="shared" ca="1" si="174"/>
        <v>-188699454702956.19</v>
      </c>
      <c r="M4820" s="471">
        <f t="shared" si="176"/>
        <v>0.05</v>
      </c>
      <c r="N4820" s="475">
        <f t="shared" si="177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75"/>
        <v>-188699454702956.19</v>
      </c>
      <c r="J4821" s="455">
        <f t="array" ref="J4821">IFERROR(INDEX('Retirement Calculator'!K:K,MATCH('Lorri 401b'!N4821,'Retirement Calculator'!A:A,0),0),0)</f>
        <v>0</v>
      </c>
      <c r="K4821" s="455">
        <f t="shared" ca="1" si="173"/>
        <v>-786247727928.98413</v>
      </c>
      <c r="L4821" s="455">
        <f t="shared" ca="1" si="174"/>
        <v>-189485702430885.16</v>
      </c>
      <c r="M4821" s="471">
        <f t="shared" si="176"/>
        <v>0.05</v>
      </c>
      <c r="N4821" s="475">
        <f t="shared" si="177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75"/>
        <v>-189485702430885.16</v>
      </c>
      <c r="J4822" s="455">
        <f t="array" ref="J4822">IFERROR(INDEX('Retirement Calculator'!K:K,MATCH('Lorri 401b'!N4822,'Retirement Calculator'!A:A,0),0),0)</f>
        <v>0</v>
      </c>
      <c r="K4822" s="455">
        <f t="shared" ca="1" si="173"/>
        <v>-789523760128.68811</v>
      </c>
      <c r="L4822" s="455">
        <f t="shared" ca="1" si="174"/>
        <v>-190275226191013.84</v>
      </c>
      <c r="M4822" s="471">
        <f t="shared" si="176"/>
        <v>0.05</v>
      </c>
      <c r="N4822" s="475">
        <f t="shared" si="177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75"/>
        <v>-190275226191013.84</v>
      </c>
      <c r="J4823" s="455">
        <f t="array" ref="J4823">IFERROR(INDEX('Retirement Calculator'!K:K,MATCH('Lorri 401b'!N4823,'Retirement Calculator'!A:A,0),0),0)</f>
        <v>0</v>
      </c>
      <c r="K4823" s="455">
        <f t="shared" ca="1" si="173"/>
        <v>-792813442462.55762</v>
      </c>
      <c r="L4823" s="455">
        <f t="shared" ca="1" si="174"/>
        <v>-191068039633476.41</v>
      </c>
      <c r="M4823" s="471">
        <f t="shared" si="176"/>
        <v>0.05</v>
      </c>
      <c r="N4823" s="475">
        <f t="shared" si="177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75"/>
        <v>-191068039633476.41</v>
      </c>
      <c r="J4824" s="455">
        <f t="array" ref="J4824">IFERROR(INDEX('Retirement Calculator'!K:K,MATCH('Lorri 401b'!N4824,'Retirement Calculator'!A:A,0),0),0)</f>
        <v>0</v>
      </c>
      <c r="K4824" s="455">
        <f t="shared" ca="1" si="173"/>
        <v>-796116831806.15173</v>
      </c>
      <c r="L4824" s="455">
        <f t="shared" ca="1" si="174"/>
        <v>-191864156465282.56</v>
      </c>
      <c r="M4824" s="471">
        <f t="shared" si="176"/>
        <v>0.05</v>
      </c>
      <c r="N4824" s="475">
        <f t="shared" si="177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75"/>
        <v>-191864156465282.56</v>
      </c>
      <c r="J4825" s="455">
        <f t="array" ref="J4825">IFERROR(INDEX('Retirement Calculator'!K:K,MATCH('Lorri 401b'!N4825,'Retirement Calculator'!A:A,0),0),0)</f>
        <v>0</v>
      </c>
      <c r="K4825" s="455">
        <f t="shared" ca="1" si="173"/>
        <v>-799433985272.01062</v>
      </c>
      <c r="L4825" s="455">
        <f t="shared" ca="1" si="174"/>
        <v>-192663590450554.56</v>
      </c>
      <c r="M4825" s="471">
        <f t="shared" si="176"/>
        <v>0.05</v>
      </c>
      <c r="N4825" s="475">
        <f t="shared" si="177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75"/>
        <v>-192663590450554.56</v>
      </c>
      <c r="J4826" s="455">
        <f t="array" ref="J4826">IFERROR(INDEX('Retirement Calculator'!K:K,MATCH('Lorri 401b'!N4826,'Retirement Calculator'!A:A,0),0),0)</f>
        <v>0</v>
      </c>
      <c r="K4826" s="455">
        <f t="shared" ca="1" si="173"/>
        <v>-802764960210.64404</v>
      </c>
      <c r="L4826" s="455">
        <f t="shared" ca="1" si="174"/>
        <v>-193466355410765.22</v>
      </c>
      <c r="M4826" s="471">
        <f t="shared" si="176"/>
        <v>0.05</v>
      </c>
      <c r="N4826" s="475">
        <f t="shared" si="177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75"/>
        <v>-193466355410765.22</v>
      </c>
      <c r="J4827" s="455">
        <f t="array" ref="J4827">IFERROR(INDEX('Retirement Calculator'!K:K,MATCH('Lorri 401b'!N4827,'Retirement Calculator'!A:A,0),0),0)</f>
        <v>0</v>
      </c>
      <c r="K4827" s="455">
        <f t="shared" ca="1" si="173"/>
        <v>-806109814211.52173</v>
      </c>
      <c r="L4827" s="455">
        <f t="shared" ca="1" si="174"/>
        <v>-194272465224976.75</v>
      </c>
      <c r="M4827" s="471">
        <f t="shared" si="176"/>
        <v>0.05</v>
      </c>
      <c r="N4827" s="475">
        <f t="shared" si="177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75"/>
        <v>-194272465224976.75</v>
      </c>
      <c r="J4828" s="455">
        <f t="array" ref="J4828">IFERROR(INDEX('Retirement Calculator'!K:K,MATCH('Lorri 401b'!N4828,'Retirement Calculator'!A:A,0),0),0)</f>
        <v>0</v>
      </c>
      <c r="K4828" s="455">
        <f t="shared" ca="1" si="173"/>
        <v>-809468605104.06982</v>
      </c>
      <c r="L4828" s="455">
        <f t="shared" ca="1" si="174"/>
        <v>-195081933830080.81</v>
      </c>
      <c r="M4828" s="471">
        <f t="shared" si="176"/>
        <v>0.05</v>
      </c>
      <c r="N4828" s="475">
        <f t="shared" si="177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75"/>
        <v>-195081933830080.81</v>
      </c>
      <c r="J4829" s="455">
        <f t="array" ref="J4829">IFERROR(INDEX('Retirement Calculator'!K:K,MATCH('Lorri 401b'!N4829,'Retirement Calculator'!A:A,0),0),0)</f>
        <v>0</v>
      </c>
      <c r="K4829" s="455">
        <f t="shared" ca="1" si="173"/>
        <v>-812841390958.67004</v>
      </c>
      <c r="L4829" s="455">
        <f t="shared" ca="1" si="174"/>
        <v>-195894775221039.47</v>
      </c>
      <c r="M4829" s="471">
        <f t="shared" si="176"/>
        <v>0.05</v>
      </c>
      <c r="N4829" s="475">
        <f t="shared" si="177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75"/>
        <v>-195894775221039.47</v>
      </c>
      <c r="J4830" s="455">
        <f t="array" ref="J4830">IFERROR(INDEX('Retirement Calculator'!K:K,MATCH('Lorri 401b'!N4830,'Retirement Calculator'!A:A,0),0),0)</f>
        <v>0</v>
      </c>
      <c r="K4830" s="455">
        <f t="shared" ca="1" si="173"/>
        <v>-816228230087.66443</v>
      </c>
      <c r="L4830" s="455">
        <f t="shared" ca="1" si="174"/>
        <v>-196711003451127.13</v>
      </c>
      <c r="M4830" s="471">
        <f t="shared" si="176"/>
        <v>0.05</v>
      </c>
      <c r="N4830" s="475">
        <f t="shared" si="177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75"/>
        <v>-196711003451127.13</v>
      </c>
      <c r="J4831" s="455">
        <f t="array" ref="J4831">IFERROR(INDEX('Retirement Calculator'!K:K,MATCH('Lorri 401b'!N4831,'Retirement Calculator'!A:A,0),0),0)</f>
        <v>0</v>
      </c>
      <c r="K4831" s="455">
        <f t="shared" ca="1" si="173"/>
        <v>-819629181046.36304</v>
      </c>
      <c r="L4831" s="455">
        <f t="shared" ca="1" si="174"/>
        <v>-197530632632173.5</v>
      </c>
      <c r="M4831" s="471">
        <f t="shared" si="176"/>
        <v>0.05</v>
      </c>
      <c r="N4831" s="475">
        <f t="shared" si="177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75"/>
        <v>-197530632632173.5</v>
      </c>
      <c r="J4832" s="455">
        <f t="array" ref="J4832">IFERROR(INDEX('Retirement Calculator'!K:K,MATCH('Lorri 401b'!N4832,'Retirement Calculator'!A:A,0),0),0)</f>
        <v>0</v>
      </c>
      <c r="K4832" s="455">
        <f t="shared" ca="1" si="173"/>
        <v>-823044302634.05627</v>
      </c>
      <c r="L4832" s="455">
        <f t="shared" ca="1" si="174"/>
        <v>-198353676934807.56</v>
      </c>
      <c r="M4832" s="471">
        <f t="shared" si="176"/>
        <v>0.05</v>
      </c>
      <c r="N4832" s="475">
        <f t="shared" si="177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75"/>
        <v>-198353676934807.56</v>
      </c>
      <c r="J4833" s="455">
        <f t="array" ref="J4833">IFERROR(INDEX('Retirement Calculator'!K:K,MATCH('Lorri 401b'!N4833,'Retirement Calculator'!A:A,0),0),0)</f>
        <v>0</v>
      </c>
      <c r="K4833" s="455">
        <f t="shared" ca="1" si="173"/>
        <v>-826473653895.03149</v>
      </c>
      <c r="L4833" s="455">
        <f t="shared" ca="1" si="174"/>
        <v>-199180150588702.59</v>
      </c>
      <c r="M4833" s="471">
        <f t="shared" si="176"/>
        <v>0.05</v>
      </c>
      <c r="N4833" s="475">
        <f t="shared" si="177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75"/>
        <v>-199180150588702.59</v>
      </c>
      <c r="J4834" s="455">
        <f t="array" ref="J4834">IFERROR(INDEX('Retirement Calculator'!K:K,MATCH('Lorri 401b'!N4834,'Retirement Calculator'!A:A,0),0),0)</f>
        <v>0</v>
      </c>
      <c r="K4834" s="455">
        <f t="shared" ca="1" si="173"/>
        <v>-829917294119.59412</v>
      </c>
      <c r="L4834" s="455">
        <f t="shared" ca="1" si="174"/>
        <v>-200010067882822.19</v>
      </c>
      <c r="M4834" s="471">
        <f t="shared" si="176"/>
        <v>0.05</v>
      </c>
      <c r="N4834" s="475">
        <f t="shared" si="177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75"/>
        <v>-200010067882822.19</v>
      </c>
      <c r="J4835" s="455">
        <f t="array" ref="J4835">IFERROR(INDEX('Retirement Calculator'!K:K,MATCH('Lorri 401b'!N4835,'Retirement Calculator'!A:A,0),0),0)</f>
        <v>0</v>
      </c>
      <c r="K4835" s="455">
        <f t="shared" ca="1" si="173"/>
        <v>-833375282845.09241</v>
      </c>
      <c r="L4835" s="455">
        <f t="shared" ca="1" si="174"/>
        <v>-200843443165667.28</v>
      </c>
      <c r="M4835" s="471">
        <f t="shared" si="176"/>
        <v>0.05</v>
      </c>
      <c r="N4835" s="475">
        <f t="shared" si="177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75"/>
        <v>-200843443165667.28</v>
      </c>
      <c r="J4836" s="455">
        <f t="array" ref="J4836">IFERROR(INDEX('Retirement Calculator'!K:K,MATCH('Lorri 401b'!N4836,'Retirement Calculator'!A:A,0),0),0)</f>
        <v>0</v>
      </c>
      <c r="K4836" s="455">
        <f t="shared" ca="1" si="173"/>
        <v>-836847679856.94702</v>
      </c>
      <c r="L4836" s="455">
        <f t="shared" ca="1" si="174"/>
        <v>-201680290845524.22</v>
      </c>
      <c r="M4836" s="471">
        <f t="shared" si="176"/>
        <v>0.05</v>
      </c>
      <c r="N4836" s="475">
        <f t="shared" si="177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75"/>
        <v>-201680290845524.22</v>
      </c>
      <c r="J4837" s="455">
        <f t="array" ref="J4837">IFERROR(INDEX('Retirement Calculator'!K:K,MATCH('Lorri 401b'!N4837,'Retirement Calculator'!A:A,0),0),0)</f>
        <v>0</v>
      </c>
      <c r="K4837" s="455">
        <f t="shared" ca="1" si="173"/>
        <v>-840334545189.6842</v>
      </c>
      <c r="L4837" s="455">
        <f t="shared" ca="1" si="174"/>
        <v>-202520625390713.91</v>
      </c>
      <c r="M4837" s="471">
        <f t="shared" si="176"/>
        <v>0.05</v>
      </c>
      <c r="N4837" s="475">
        <f t="shared" si="177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75"/>
        <v>-202520625390713.91</v>
      </c>
      <c r="J4838" s="455">
        <f t="array" ref="J4838">IFERROR(INDEX('Retirement Calculator'!K:K,MATCH('Lorri 401b'!N4838,'Retirement Calculator'!A:A,0),0),0)</f>
        <v>0</v>
      </c>
      <c r="K4838" s="455">
        <f t="shared" ca="1" si="173"/>
        <v>-843835939127.97461</v>
      </c>
      <c r="L4838" s="455">
        <f t="shared" ca="1" si="174"/>
        <v>-203364461329841.88</v>
      </c>
      <c r="M4838" s="471">
        <f t="shared" si="176"/>
        <v>0.05</v>
      </c>
      <c r="N4838" s="475">
        <f t="shared" si="177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75"/>
        <v>-203364461329841.88</v>
      </c>
      <c r="J4839" s="455">
        <f t="array" ref="J4839">IFERROR(INDEX('Retirement Calculator'!K:K,MATCH('Lorri 401b'!N4839,'Retirement Calculator'!A:A,0),0),0)</f>
        <v>0</v>
      </c>
      <c r="K4839" s="455">
        <f t="shared" ca="1" si="173"/>
        <v>-847351922207.67444</v>
      </c>
      <c r="L4839" s="455">
        <f t="shared" ca="1" si="174"/>
        <v>-204211813252049.56</v>
      </c>
      <c r="M4839" s="471">
        <f t="shared" si="176"/>
        <v>0.05</v>
      </c>
      <c r="N4839" s="475">
        <f t="shared" si="177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75"/>
        <v>-204211813252049.56</v>
      </c>
      <c r="J4840" s="455">
        <f t="array" ref="J4840">IFERROR(INDEX('Retirement Calculator'!K:K,MATCH('Lorri 401b'!N4840,'Retirement Calculator'!A:A,0),0),0)</f>
        <v>0</v>
      </c>
      <c r="K4840" s="455">
        <f t="shared" ca="1" si="173"/>
        <v>-850882555216.87317</v>
      </c>
      <c r="L4840" s="455">
        <f t="shared" ca="1" si="174"/>
        <v>-205062695807266.44</v>
      </c>
      <c r="M4840" s="471">
        <f t="shared" si="176"/>
        <v>0.05</v>
      </c>
      <c r="N4840" s="475">
        <f t="shared" si="177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75"/>
        <v>-205062695807266.44</v>
      </c>
      <c r="J4841" s="455">
        <f t="array" ref="J4841">IFERROR(INDEX('Retirement Calculator'!K:K,MATCH('Lorri 401b'!N4841,'Retirement Calculator'!A:A,0),0),0)</f>
        <v>0</v>
      </c>
      <c r="K4841" s="455">
        <f t="shared" ca="1" si="173"/>
        <v>-854427899196.94348</v>
      </c>
      <c r="L4841" s="455">
        <f t="shared" ca="1" si="174"/>
        <v>-205917123706463.38</v>
      </c>
      <c r="M4841" s="471">
        <f t="shared" si="176"/>
        <v>0.05</v>
      </c>
      <c r="N4841" s="475">
        <f t="shared" si="177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75"/>
        <v>-205917123706463.38</v>
      </c>
      <c r="J4842" s="455">
        <f t="array" ref="J4842">IFERROR(INDEX('Retirement Calculator'!K:K,MATCH('Lorri 401b'!N4842,'Retirement Calculator'!A:A,0),0),0)</f>
        <v>0</v>
      </c>
      <c r="K4842" s="455">
        <f t="shared" ca="1" si="173"/>
        <v>-857988015443.59741</v>
      </c>
      <c r="L4842" s="455">
        <f t="shared" ca="1" si="174"/>
        <v>-206775111721906.97</v>
      </c>
      <c r="M4842" s="471">
        <f t="shared" si="176"/>
        <v>0.05</v>
      </c>
      <c r="N4842" s="475">
        <f t="shared" si="177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75"/>
        <v>-206775111721906.97</v>
      </c>
      <c r="J4843" s="455">
        <f t="array" ref="J4843">IFERROR(INDEX('Retirement Calculator'!K:K,MATCH('Lorri 401b'!N4843,'Retirement Calculator'!A:A,0),0),0)</f>
        <v>0</v>
      </c>
      <c r="K4843" s="455">
        <f t="shared" ca="1" si="173"/>
        <v>-861562965507.94568</v>
      </c>
      <c r="L4843" s="455">
        <f t="shared" ca="1" si="174"/>
        <v>-207636674687414.91</v>
      </c>
      <c r="M4843" s="471">
        <f t="shared" si="176"/>
        <v>0.05</v>
      </c>
      <c r="N4843" s="475">
        <f t="shared" si="177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75"/>
        <v>-207636674687414.91</v>
      </c>
      <c r="J4844" s="455">
        <f t="array" ref="J4844">IFERROR(INDEX('Retirement Calculator'!K:K,MATCH('Lorri 401b'!N4844,'Retirement Calculator'!A:A,0),0),0)</f>
        <v>0</v>
      </c>
      <c r="K4844" s="455">
        <f t="shared" ca="1" si="173"/>
        <v>-865152811197.56213</v>
      </c>
      <c r="L4844" s="455">
        <f t="shared" ca="1" si="174"/>
        <v>-208501827498612.47</v>
      </c>
      <c r="M4844" s="471">
        <f t="shared" si="176"/>
        <v>0.05</v>
      </c>
      <c r="N4844" s="475">
        <f t="shared" si="177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75"/>
        <v>-208501827498612.47</v>
      </c>
      <c r="J4845" s="455">
        <f t="array" ref="J4845">IFERROR(INDEX('Retirement Calculator'!K:K,MATCH('Lorri 401b'!N4845,'Retirement Calculator'!A:A,0),0),0)</f>
        <v>0</v>
      </c>
      <c r="K4845" s="455">
        <f t="shared" ca="1" si="173"/>
        <v>-868757614577.552</v>
      </c>
      <c r="L4845" s="455">
        <f t="shared" ca="1" si="174"/>
        <v>-209370585113190.03</v>
      </c>
      <c r="M4845" s="471">
        <f t="shared" si="176"/>
        <v>0.05</v>
      </c>
      <c r="N4845" s="475">
        <f t="shared" si="177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75"/>
        <v>-209370585113190.03</v>
      </c>
      <c r="J4846" s="455">
        <f t="array" ref="J4846">IFERROR(INDEX('Retirement Calculator'!K:K,MATCH('Lorri 401b'!N4846,'Retirement Calculator'!A:A,0),0),0)</f>
        <v>0</v>
      </c>
      <c r="K4846" s="455">
        <f t="shared" ca="1" si="173"/>
        <v>-872377437971.62512</v>
      </c>
      <c r="L4846" s="455">
        <f t="shared" ca="1" si="174"/>
        <v>-210242962551161.66</v>
      </c>
      <c r="M4846" s="471">
        <f t="shared" si="176"/>
        <v>0.05</v>
      </c>
      <c r="N4846" s="475">
        <f t="shared" si="177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75"/>
        <v>-210242962551161.66</v>
      </c>
      <c r="J4847" s="455">
        <f t="array" ref="J4847">IFERROR(INDEX('Retirement Calculator'!K:K,MATCH('Lorri 401b'!N4847,'Retirement Calculator'!A:A,0),0),0)</f>
        <v>0</v>
      </c>
      <c r="K4847" s="455">
        <f t="shared" ca="1" si="173"/>
        <v>-876012343963.17358</v>
      </c>
      <c r="L4847" s="455">
        <f t="shared" ca="1" si="174"/>
        <v>-211118974895124.84</v>
      </c>
      <c r="M4847" s="471">
        <f t="shared" si="176"/>
        <v>0.05</v>
      </c>
      <c r="N4847" s="475">
        <f t="shared" si="177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75"/>
        <v>-211118974895124.84</v>
      </c>
      <c r="J4848" s="455">
        <f t="array" ref="J4848">IFERROR(INDEX('Retirement Calculator'!K:K,MATCH('Lorri 401b'!N4848,'Retirement Calculator'!A:A,0),0),0)</f>
        <v>0</v>
      </c>
      <c r="K4848" s="455">
        <f t="shared" ca="1" si="173"/>
        <v>-879662395396.35352</v>
      </c>
      <c r="L4848" s="455">
        <f t="shared" ca="1" si="174"/>
        <v>-211998637290521.19</v>
      </c>
      <c r="M4848" s="471">
        <f t="shared" si="176"/>
        <v>0.05</v>
      </c>
      <c r="N4848" s="475">
        <f t="shared" si="177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75"/>
        <v>-211998637290521.19</v>
      </c>
      <c r="J4849" s="455">
        <f t="array" ref="J4849">IFERROR(INDEX('Retirement Calculator'!K:K,MATCH('Lorri 401b'!N4849,'Retirement Calculator'!A:A,0),0),0)</f>
        <v>0</v>
      </c>
      <c r="K4849" s="455">
        <f t="shared" ca="1" si="173"/>
        <v>-883327655377.17163</v>
      </c>
      <c r="L4849" s="455">
        <f t="shared" ca="1" si="174"/>
        <v>-212881964945898.34</v>
      </c>
      <c r="M4849" s="471">
        <f t="shared" si="176"/>
        <v>0.05</v>
      </c>
      <c r="N4849" s="475">
        <f t="shared" si="177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75"/>
        <v>-212881964945898.34</v>
      </c>
      <c r="J4850" s="455">
        <f t="array" ref="J4850">IFERROR(INDEX('Retirement Calculator'!K:K,MATCH('Lorri 401b'!N4850,'Retirement Calculator'!A:A,0),0),0)</f>
        <v>0</v>
      </c>
      <c r="K4850" s="455">
        <f t="shared" ca="1" si="173"/>
        <v>-887008187274.57642</v>
      </c>
      <c r="L4850" s="455">
        <f t="shared" ca="1" si="174"/>
        <v>-213768973133172.91</v>
      </c>
      <c r="M4850" s="471">
        <f t="shared" si="176"/>
        <v>0.05</v>
      </c>
      <c r="N4850" s="475">
        <f t="shared" si="177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75"/>
        <v>-213768973133172.91</v>
      </c>
      <c r="J4851" s="455">
        <f t="array" ref="J4851">IFERROR(INDEX('Retirement Calculator'!K:K,MATCH('Lorri 401b'!N4851,'Retirement Calculator'!A:A,0),0),0)</f>
        <v>0</v>
      </c>
      <c r="K4851" s="455">
        <f t="shared" ca="1" si="173"/>
        <v>-890704054721.55371</v>
      </c>
      <c r="L4851" s="455">
        <f t="shared" ca="1" si="174"/>
        <v>-214659677187894.47</v>
      </c>
      <c r="M4851" s="471">
        <f t="shared" si="176"/>
        <v>0.05</v>
      </c>
      <c r="N4851" s="475">
        <f t="shared" si="177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75"/>
        <v>-214659677187894.47</v>
      </c>
      <c r="J4852" s="455">
        <f t="array" ref="J4852">IFERROR(INDEX('Retirement Calculator'!K:K,MATCH('Lorri 401b'!N4852,'Retirement Calculator'!A:A,0),0),0)</f>
        <v>0</v>
      </c>
      <c r="K4852" s="455">
        <f t="shared" ca="1" si="173"/>
        <v>-894415321616.22693</v>
      </c>
      <c r="L4852" s="455">
        <f t="shared" ca="1" si="174"/>
        <v>-215554092509510.69</v>
      </c>
      <c r="M4852" s="471">
        <f t="shared" si="176"/>
        <v>0.05</v>
      </c>
      <c r="N4852" s="475">
        <f t="shared" si="177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75"/>
        <v>-215554092509510.69</v>
      </c>
      <c r="J4853" s="455">
        <f t="array" ref="J4853">IFERROR(INDEX('Retirement Calculator'!K:K,MATCH('Lorri 401b'!N4853,'Retirement Calculator'!A:A,0),0),0)</f>
        <v>0</v>
      </c>
      <c r="K4853" s="455">
        <f t="shared" ref="K4853:K5107" ca="1" si="178">IPMT(M4853/12,1,12,-I4853+J4853,,0)</f>
        <v>-898142052122.96118</v>
      </c>
      <c r="L4853" s="455">
        <f t="shared" ref="L4853:L5107" ca="1" si="179">I4853-J4853+K4853</f>
        <v>-216452234561633.66</v>
      </c>
      <c r="M4853" s="471">
        <f t="shared" si="176"/>
        <v>0.05</v>
      </c>
      <c r="N4853" s="475">
        <f t="shared" si="177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80">L4853</f>
        <v>-216452234561633.66</v>
      </c>
      <c r="J4854" s="455">
        <f t="array" ref="J4854">IFERROR(INDEX('Retirement Calculator'!K:K,MATCH('Lorri 401b'!N4854,'Retirement Calculator'!A:A,0),0),0)</f>
        <v>0</v>
      </c>
      <c r="K4854" s="455">
        <f t="shared" ca="1" si="178"/>
        <v>-901884310673.47351</v>
      </c>
      <c r="L4854" s="455">
        <f t="shared" ca="1" si="179"/>
        <v>-217354118872307.13</v>
      </c>
      <c r="M4854" s="471">
        <f t="shared" ref="M4854:M5108" si="181">M4853</f>
        <v>0.05</v>
      </c>
      <c r="N4854" s="475">
        <f t="shared" ref="N4854:N5108" si="182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80"/>
        <v>-217354118872307.13</v>
      </c>
      <c r="J4855" s="455">
        <f t="array" ref="J4855">IFERROR(INDEX('Retirement Calculator'!K:K,MATCH('Lorri 401b'!N4855,'Retirement Calculator'!A:A,0),0),0)</f>
        <v>0</v>
      </c>
      <c r="K4855" s="455">
        <f t="shared" ca="1" si="178"/>
        <v>-905642161967.94629</v>
      </c>
      <c r="L4855" s="455">
        <f t="shared" ca="1" si="179"/>
        <v>-218259761034275.06</v>
      </c>
      <c r="M4855" s="471">
        <f t="shared" si="181"/>
        <v>0.05</v>
      </c>
      <c r="N4855" s="475">
        <f t="shared" si="182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80"/>
        <v>-218259761034275.06</v>
      </c>
      <c r="J4856" s="455">
        <f t="array" ref="J4856">IFERROR(INDEX('Retirement Calculator'!K:K,MATCH('Lorri 401b'!N4856,'Retirement Calculator'!A:A,0),0),0)</f>
        <v>0</v>
      </c>
      <c r="K4856" s="455">
        <f t="shared" ca="1" si="178"/>
        <v>-909415670976.14612</v>
      </c>
      <c r="L4856" s="455">
        <f t="shared" ca="1" si="179"/>
        <v>-219169176705251.22</v>
      </c>
      <c r="M4856" s="471">
        <f t="shared" si="181"/>
        <v>0.05</v>
      </c>
      <c r="N4856" s="475">
        <f t="shared" si="182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80"/>
        <v>-219169176705251.22</v>
      </c>
      <c r="J4857" s="455">
        <f t="array" ref="J4857">IFERROR(INDEX('Retirement Calculator'!K:K,MATCH('Lorri 401b'!N4857,'Retirement Calculator'!A:A,0),0),0)</f>
        <v>0</v>
      </c>
      <c r="K4857" s="455">
        <f t="shared" ca="1" si="178"/>
        <v>-913204902938.54675</v>
      </c>
      <c r="L4857" s="455">
        <f t="shared" ca="1" si="179"/>
        <v>-220082381608189.75</v>
      </c>
      <c r="M4857" s="471">
        <f t="shared" si="181"/>
        <v>0.05</v>
      </c>
      <c r="N4857" s="475">
        <f t="shared" si="182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80"/>
        <v>-220082381608189.75</v>
      </c>
      <c r="J4858" s="455">
        <f t="array" ref="J4858">IFERROR(INDEX('Retirement Calculator'!K:K,MATCH('Lorri 401b'!N4858,'Retirement Calculator'!A:A,0),0),0)</f>
        <v>0</v>
      </c>
      <c r="K4858" s="455">
        <f t="shared" ca="1" si="178"/>
        <v>-917009923367.4574</v>
      </c>
      <c r="L4858" s="455">
        <f t="shared" ca="1" si="179"/>
        <v>-220999391531557.22</v>
      </c>
      <c r="M4858" s="471">
        <f t="shared" si="181"/>
        <v>0.05</v>
      </c>
      <c r="N4858" s="475">
        <f t="shared" si="182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80"/>
        <v>-220999391531557.22</v>
      </c>
      <c r="J4859" s="455">
        <f t="array" ref="J4859">IFERROR(INDEX('Retirement Calculator'!K:K,MATCH('Lorri 401b'!N4859,'Retirement Calculator'!A:A,0),0),0)</f>
        <v>0</v>
      </c>
      <c r="K4859" s="455">
        <f t="shared" ca="1" si="178"/>
        <v>-920830798048.15491</v>
      </c>
      <c r="L4859" s="455">
        <f t="shared" ca="1" si="179"/>
        <v>-221920222329605.38</v>
      </c>
      <c r="M4859" s="471">
        <f t="shared" si="181"/>
        <v>0.05</v>
      </c>
      <c r="N4859" s="475">
        <f t="shared" si="182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80"/>
        <v>-221920222329605.38</v>
      </c>
      <c r="J4860" s="455">
        <f t="array" ref="J4860">IFERROR(INDEX('Retirement Calculator'!K:K,MATCH('Lorri 401b'!N4860,'Retirement Calculator'!A:A,0),0),0)</f>
        <v>0</v>
      </c>
      <c r="K4860" s="455">
        <f t="shared" ca="1" si="178"/>
        <v>-924667593040.02222</v>
      </c>
      <c r="L4860" s="455">
        <f t="shared" ca="1" si="179"/>
        <v>-222844889922645.41</v>
      </c>
      <c r="M4860" s="471">
        <f t="shared" si="181"/>
        <v>0.05</v>
      </c>
      <c r="N4860" s="475">
        <f t="shared" si="182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80"/>
        <v>-222844889922645.41</v>
      </c>
      <c r="J4861" s="455">
        <f t="array" ref="J4861">IFERROR(INDEX('Retirement Calculator'!K:K,MATCH('Lorri 401b'!N4861,'Retirement Calculator'!A:A,0),0),0)</f>
        <v>0</v>
      </c>
      <c r="K4861" s="455">
        <f t="shared" ca="1" si="178"/>
        <v>-928520374677.68921</v>
      </c>
      <c r="L4861" s="455">
        <f t="shared" ca="1" si="179"/>
        <v>-223773410297323.09</v>
      </c>
      <c r="M4861" s="471">
        <f t="shared" si="181"/>
        <v>0.05</v>
      </c>
      <c r="N4861" s="475">
        <f t="shared" si="182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80"/>
        <v>-223773410297323.09</v>
      </c>
      <c r="J4862" s="455">
        <f t="array" ref="J4862">IFERROR(INDEX('Retirement Calculator'!K:K,MATCH('Lorri 401b'!N4862,'Retirement Calculator'!A:A,0),0),0)</f>
        <v>0</v>
      </c>
      <c r="K4862" s="455">
        <f t="shared" ca="1" si="178"/>
        <v>-932389209572.17957</v>
      </c>
      <c r="L4862" s="455">
        <f t="shared" ca="1" si="179"/>
        <v>-224705799506895.28</v>
      </c>
      <c r="M4862" s="471">
        <f t="shared" si="181"/>
        <v>0.05</v>
      </c>
      <c r="N4862" s="475">
        <f t="shared" si="182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80"/>
        <v>-224705799506895.28</v>
      </c>
      <c r="J4863" s="455">
        <f t="array" ref="J4863">IFERROR(INDEX('Retirement Calculator'!K:K,MATCH('Lorri 401b'!N4863,'Retirement Calculator'!A:A,0),0),0)</f>
        <v>0</v>
      </c>
      <c r="K4863" s="455">
        <f t="shared" ca="1" si="178"/>
        <v>-936274164612.0636</v>
      </c>
      <c r="L4863" s="455">
        <f t="shared" ca="1" si="179"/>
        <v>-225642073671507.34</v>
      </c>
      <c r="M4863" s="471">
        <f t="shared" si="181"/>
        <v>0.05</v>
      </c>
      <c r="N4863" s="475">
        <f t="shared" si="182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80"/>
        <v>-225642073671507.34</v>
      </c>
      <c r="J4864" s="455">
        <f t="array" ref="J4864">IFERROR(INDEX('Retirement Calculator'!K:K,MATCH('Lorri 401b'!N4864,'Retirement Calculator'!A:A,0),0),0)</f>
        <v>0</v>
      </c>
      <c r="K4864" s="455">
        <f t="shared" ca="1" si="178"/>
        <v>-940175306964.61401</v>
      </c>
      <c r="L4864" s="455">
        <f t="shared" ca="1" si="179"/>
        <v>-226582248978471.97</v>
      </c>
      <c r="M4864" s="471">
        <f t="shared" si="181"/>
        <v>0.05</v>
      </c>
      <c r="N4864" s="475">
        <f t="shared" si="182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80"/>
        <v>-226582248978471.97</v>
      </c>
      <c r="J4865" s="455">
        <f t="array" ref="J4865">IFERROR(INDEX('Retirement Calculator'!K:K,MATCH('Lorri 401b'!N4865,'Retirement Calculator'!A:A,0),0),0)</f>
        <v>0</v>
      </c>
      <c r="K4865" s="455">
        <f t="shared" ca="1" si="178"/>
        <v>-944092704076.96643</v>
      </c>
      <c r="L4865" s="455">
        <f t="shared" ca="1" si="179"/>
        <v>-227526341682548.94</v>
      </c>
      <c r="M4865" s="471">
        <f t="shared" si="181"/>
        <v>0.05</v>
      </c>
      <c r="N4865" s="475">
        <f t="shared" si="182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80"/>
        <v>-227526341682548.94</v>
      </c>
      <c r="J4866" s="455">
        <f t="array" ref="J4866">IFERROR(INDEX('Retirement Calculator'!K:K,MATCH('Lorri 401b'!N4866,'Retirement Calculator'!A:A,0),0),0)</f>
        <v>0</v>
      </c>
      <c r="K4866" s="455">
        <f t="shared" ca="1" si="178"/>
        <v>-948026423677.28723</v>
      </c>
      <c r="L4866" s="455">
        <f t="shared" ca="1" si="179"/>
        <v>-228474368106226.22</v>
      </c>
      <c r="M4866" s="471">
        <f t="shared" si="181"/>
        <v>0.05</v>
      </c>
      <c r="N4866" s="475">
        <f t="shared" si="182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80"/>
        <v>-228474368106226.22</v>
      </c>
      <c r="J4867" s="455">
        <f t="array" ref="J4867">IFERROR(INDEX('Retirement Calculator'!K:K,MATCH('Lorri 401b'!N4867,'Retirement Calculator'!A:A,0),0),0)</f>
        <v>0</v>
      </c>
      <c r="K4867" s="455">
        <f t="shared" ca="1" si="178"/>
        <v>-951976533775.9425</v>
      </c>
      <c r="L4867" s="455">
        <f t="shared" ca="1" si="179"/>
        <v>-229426344640002.16</v>
      </c>
      <c r="M4867" s="471">
        <f t="shared" si="181"/>
        <v>0.05</v>
      </c>
      <c r="N4867" s="475">
        <f t="shared" si="182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80"/>
        <v>-229426344640002.16</v>
      </c>
      <c r="J4868" s="455">
        <f t="array" ref="J4868">IFERROR(INDEX('Retirement Calculator'!K:K,MATCH('Lorri 401b'!N4868,'Retirement Calculator'!A:A,0),0),0)</f>
        <v>0</v>
      </c>
      <c r="K4868" s="455">
        <f t="shared" ca="1" si="178"/>
        <v>-955943102666.67566</v>
      </c>
      <c r="L4868" s="455">
        <f t="shared" ca="1" si="179"/>
        <v>-230382287742668.84</v>
      </c>
      <c r="M4868" s="471">
        <f t="shared" si="181"/>
        <v>0.05</v>
      </c>
      <c r="N4868" s="475">
        <f t="shared" si="182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80"/>
        <v>-230382287742668.84</v>
      </c>
      <c r="J4869" s="455">
        <f t="array" ref="J4869">IFERROR(INDEX('Retirement Calculator'!K:K,MATCH('Lorri 401b'!N4869,'Retirement Calculator'!A:A,0),0),0)</f>
        <v>0</v>
      </c>
      <c r="K4869" s="455">
        <f t="shared" ca="1" si="178"/>
        <v>-959926198927.78687</v>
      </c>
      <c r="L4869" s="455">
        <f t="shared" ca="1" si="179"/>
        <v>-231342213941596.63</v>
      </c>
      <c r="M4869" s="471">
        <f t="shared" si="181"/>
        <v>0.05</v>
      </c>
      <c r="N4869" s="475">
        <f t="shared" si="182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80"/>
        <v>-231342213941596.63</v>
      </c>
      <c r="J4870" s="455">
        <f t="array" ref="J4870">IFERROR(INDEX('Retirement Calculator'!K:K,MATCH('Lorri 401b'!N4870,'Retirement Calculator'!A:A,0),0),0)</f>
        <v>0</v>
      </c>
      <c r="K4870" s="455">
        <f t="shared" ca="1" si="178"/>
        <v>-963925891423.31921</v>
      </c>
      <c r="L4870" s="455">
        <f t="shared" ca="1" si="179"/>
        <v>-232306139833019.94</v>
      </c>
      <c r="M4870" s="471">
        <f t="shared" si="181"/>
        <v>0.05</v>
      </c>
      <c r="N4870" s="475">
        <f t="shared" si="182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80"/>
        <v>-232306139833019.94</v>
      </c>
      <c r="J4871" s="455">
        <f t="array" ref="J4871">IFERROR(INDEX('Retirement Calculator'!K:K,MATCH('Lorri 401b'!N4871,'Retirement Calculator'!A:A,0),0),0)</f>
        <v>0</v>
      </c>
      <c r="K4871" s="455">
        <f t="shared" ca="1" si="178"/>
        <v>-967942249304.24988</v>
      </c>
      <c r="L4871" s="455">
        <f t="shared" ca="1" si="179"/>
        <v>-233274082082324.19</v>
      </c>
      <c r="M4871" s="471">
        <f t="shared" si="181"/>
        <v>0.05</v>
      </c>
      <c r="N4871" s="475">
        <f t="shared" si="182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80"/>
        <v>-233274082082324.19</v>
      </c>
      <c r="J4872" s="455">
        <f t="array" ref="J4872">IFERROR(INDEX('Retirement Calculator'!K:K,MATCH('Lorri 401b'!N4872,'Retirement Calculator'!A:A,0),0),0)</f>
        <v>0</v>
      </c>
      <c r="K4872" s="455">
        <f t="shared" ca="1" si="178"/>
        <v>-971975342009.68408</v>
      </c>
      <c r="L4872" s="455">
        <f t="shared" ca="1" si="179"/>
        <v>-234246057424333.88</v>
      </c>
      <c r="M4872" s="471">
        <f t="shared" si="181"/>
        <v>0.05</v>
      </c>
      <c r="N4872" s="475">
        <f t="shared" si="182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80"/>
        <v>-234246057424333.88</v>
      </c>
      <c r="J4873" s="455">
        <f t="array" ref="J4873">IFERROR(INDEX('Retirement Calculator'!K:K,MATCH('Lorri 401b'!N4873,'Retirement Calculator'!A:A,0),0),0)</f>
        <v>0</v>
      </c>
      <c r="K4873" s="455">
        <f t="shared" ca="1" si="178"/>
        <v>-976025239268.05774</v>
      </c>
      <c r="L4873" s="455">
        <f t="shared" ca="1" si="179"/>
        <v>-235222082663601.94</v>
      </c>
      <c r="M4873" s="471">
        <f t="shared" si="181"/>
        <v>0.05</v>
      </c>
      <c r="N4873" s="475">
        <f t="shared" si="182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80"/>
        <v>-235222082663601.94</v>
      </c>
      <c r="J4874" s="455">
        <f t="array" ref="J4874">IFERROR(INDEX('Retirement Calculator'!K:K,MATCH('Lorri 401b'!N4874,'Retirement Calculator'!A:A,0),0),0)</f>
        <v>0</v>
      </c>
      <c r="K4874" s="455">
        <f t="shared" ca="1" si="178"/>
        <v>-980092011098.34143</v>
      </c>
      <c r="L4874" s="455">
        <f t="shared" ca="1" si="179"/>
        <v>-236202174674700.28</v>
      </c>
      <c r="M4874" s="471">
        <f t="shared" si="181"/>
        <v>0.05</v>
      </c>
      <c r="N4874" s="475">
        <f t="shared" si="182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80"/>
        <v>-236202174674700.28</v>
      </c>
      <c r="J4875" s="455">
        <f t="array" ref="J4875">IFERROR(INDEX('Retirement Calculator'!K:K,MATCH('Lorri 401b'!N4875,'Retirement Calculator'!A:A,0),0),0)</f>
        <v>0</v>
      </c>
      <c r="K4875" s="455">
        <f t="shared" ca="1" si="178"/>
        <v>-984175727811.25134</v>
      </c>
      <c r="L4875" s="455">
        <f t="shared" ca="1" si="179"/>
        <v>-237186350402511.53</v>
      </c>
      <c r="M4875" s="471">
        <f t="shared" si="181"/>
        <v>0.05</v>
      </c>
      <c r="N4875" s="475">
        <f t="shared" si="182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80"/>
        <v>-237186350402511.53</v>
      </c>
      <c r="J4876" s="455">
        <f t="array" ref="J4876">IFERROR(INDEX('Retirement Calculator'!K:K,MATCH('Lorri 401b'!N4876,'Retirement Calculator'!A:A,0),0),0)</f>
        <v>0</v>
      </c>
      <c r="K4876" s="455">
        <f t="shared" ca="1" si="178"/>
        <v>-988276460010.4646</v>
      </c>
      <c r="L4876" s="455">
        <f t="shared" ca="1" si="179"/>
        <v>-238174626862522</v>
      </c>
      <c r="M4876" s="471">
        <f t="shared" si="181"/>
        <v>0.05</v>
      </c>
      <c r="N4876" s="475">
        <f t="shared" si="182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80"/>
        <v>-238174626862522</v>
      </c>
      <c r="J4877" s="455">
        <f t="array" ref="J4877">IFERROR(INDEX('Retirement Calculator'!K:K,MATCH('Lorri 401b'!N4877,'Retirement Calculator'!A:A,0),0),0)</f>
        <v>0</v>
      </c>
      <c r="K4877" s="455">
        <f t="shared" ca="1" si="178"/>
        <v>-992394278593.84155</v>
      </c>
      <c r="L4877" s="455">
        <f t="shared" ca="1" si="179"/>
        <v>-239167021141115.84</v>
      </c>
      <c r="M4877" s="471">
        <f t="shared" si="181"/>
        <v>0.05</v>
      </c>
      <c r="N4877" s="475">
        <f t="shared" si="182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80"/>
        <v>-239167021141115.84</v>
      </c>
      <c r="J4878" s="455">
        <f t="array" ref="J4878">IFERROR(INDEX('Retirement Calculator'!K:K,MATCH('Lorri 401b'!N4878,'Retirement Calculator'!A:A,0),0),0)</f>
        <v>0</v>
      </c>
      <c r="K4878" s="455">
        <f t="shared" ca="1" si="178"/>
        <v>-996529254754.64929</v>
      </c>
      <c r="L4878" s="455">
        <f t="shared" ca="1" si="179"/>
        <v>-240163550395870.5</v>
      </c>
      <c r="M4878" s="471">
        <f t="shared" si="181"/>
        <v>0.05</v>
      </c>
      <c r="N4878" s="475">
        <f t="shared" si="182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80"/>
        <v>-240163550395870.5</v>
      </c>
      <c r="J4879" s="455">
        <f t="array" ref="J4879">IFERROR(INDEX('Retirement Calculator'!K:K,MATCH('Lorri 401b'!N4879,'Retirement Calculator'!A:A,0),0),0)</f>
        <v>0</v>
      </c>
      <c r="K4879" s="455">
        <f t="shared" ca="1" si="178"/>
        <v>-1000681459982.7937</v>
      </c>
      <c r="L4879" s="455">
        <f t="shared" ca="1" si="179"/>
        <v>-241164231855853.28</v>
      </c>
      <c r="M4879" s="471">
        <f t="shared" si="181"/>
        <v>0.05</v>
      </c>
      <c r="N4879" s="475">
        <f t="shared" si="182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80"/>
        <v>-241164231855853.28</v>
      </c>
      <c r="J4880" s="455">
        <f t="array" ref="J4880">IFERROR(INDEX('Retirement Calculator'!K:K,MATCH('Lorri 401b'!N4880,'Retirement Calculator'!A:A,0),0),0)</f>
        <v>0</v>
      </c>
      <c r="K4880" s="455">
        <f t="shared" ca="1" si="178"/>
        <v>-1004850966066.0553</v>
      </c>
      <c r="L4880" s="455">
        <f t="shared" ca="1" si="179"/>
        <v>-242169082821919.34</v>
      </c>
      <c r="M4880" s="471">
        <f t="shared" si="181"/>
        <v>0.05</v>
      </c>
      <c r="N4880" s="475">
        <f t="shared" si="182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80"/>
        <v>-242169082821919.34</v>
      </c>
      <c r="J4881" s="455">
        <f t="array" ref="J4881">IFERROR(INDEX('Retirement Calculator'!K:K,MATCH('Lorri 401b'!N4881,'Retirement Calculator'!A:A,0),0),0)</f>
        <v>0</v>
      </c>
      <c r="K4881" s="455">
        <f t="shared" ca="1" si="178"/>
        <v>-1009037845091.3307</v>
      </c>
      <c r="L4881" s="455">
        <f t="shared" ca="1" si="179"/>
        <v>-243178120667010.69</v>
      </c>
      <c r="M4881" s="471">
        <f t="shared" si="181"/>
        <v>0.05</v>
      </c>
      <c r="N4881" s="475">
        <f t="shared" si="182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80"/>
        <v>-243178120667010.69</v>
      </c>
      <c r="J4882" s="455">
        <f t="array" ref="J4882">IFERROR(INDEX('Retirement Calculator'!K:K,MATCH('Lorri 401b'!N4882,'Retirement Calculator'!A:A,0),0),0)</f>
        <v>0</v>
      </c>
      <c r="K4882" s="455">
        <f t="shared" ca="1" si="178"/>
        <v>-1013242169445.8778</v>
      </c>
      <c r="L4882" s="455">
        <f t="shared" ca="1" si="179"/>
        <v>-244191362836456.56</v>
      </c>
      <c r="M4882" s="471">
        <f t="shared" si="181"/>
        <v>0.05</v>
      </c>
      <c r="N4882" s="475">
        <f t="shared" si="182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80"/>
        <v>-244191362836456.56</v>
      </c>
      <c r="J4883" s="455">
        <f t="array" ref="J4883">IFERROR(INDEX('Retirement Calculator'!K:K,MATCH('Lorri 401b'!N4883,'Retirement Calculator'!A:A,0),0),0)</f>
        <v>0</v>
      </c>
      <c r="K4883" s="455">
        <f t="shared" ca="1" si="178"/>
        <v>-1017464011818.569</v>
      </c>
      <c r="L4883" s="455">
        <f t="shared" ca="1" si="179"/>
        <v>-245208826848275.13</v>
      </c>
      <c r="M4883" s="471">
        <f t="shared" si="181"/>
        <v>0.05</v>
      </c>
      <c r="N4883" s="475">
        <f t="shared" si="182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80"/>
        <v>-245208826848275.13</v>
      </c>
      <c r="J4884" s="455">
        <f t="array" ref="J4884">IFERROR(INDEX('Retirement Calculator'!K:K,MATCH('Lorri 401b'!N4884,'Retirement Calculator'!A:A,0),0),0)</f>
        <v>0</v>
      </c>
      <c r="K4884" s="455">
        <f t="shared" ca="1" si="178"/>
        <v>-1021703445201.1465</v>
      </c>
      <c r="L4884" s="455">
        <f t="shared" ca="1" si="179"/>
        <v>-246230530293476.28</v>
      </c>
      <c r="M4884" s="471">
        <f t="shared" si="181"/>
        <v>0.05</v>
      </c>
      <c r="N4884" s="475">
        <f t="shared" si="182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80"/>
        <v>-246230530293476.28</v>
      </c>
      <c r="J4885" s="455">
        <f t="array" ref="J4885">IFERROR(INDEX('Retirement Calculator'!K:K,MATCH('Lorri 401b'!N4885,'Retirement Calculator'!A:A,0),0),0)</f>
        <v>0</v>
      </c>
      <c r="K4885" s="455">
        <f t="shared" ca="1" si="178"/>
        <v>-1025960542889.4845</v>
      </c>
      <c r="L4885" s="455">
        <f t="shared" ca="1" si="179"/>
        <v>-247256490836365.78</v>
      </c>
      <c r="M4885" s="471">
        <f t="shared" si="181"/>
        <v>0.05</v>
      </c>
      <c r="N4885" s="475">
        <f t="shared" si="182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80"/>
        <v>-247256490836365.78</v>
      </c>
      <c r="J4886" s="455">
        <f t="array" ref="J4886">IFERROR(INDEX('Retirement Calculator'!K:K,MATCH('Lorri 401b'!N4886,'Retirement Calculator'!A:A,0),0),0)</f>
        <v>0</v>
      </c>
      <c r="K4886" s="455">
        <f t="shared" ca="1" si="178"/>
        <v>-1030235378484.8575</v>
      </c>
      <c r="L4886" s="455">
        <f t="shared" ca="1" si="179"/>
        <v>-248286726214850.63</v>
      </c>
      <c r="M4886" s="471">
        <f t="shared" si="181"/>
        <v>0.05</v>
      </c>
      <c r="N4886" s="475">
        <f t="shared" si="182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80"/>
        <v>-248286726214850.63</v>
      </c>
      <c r="J4887" s="455">
        <f t="array" ref="J4887">IFERROR(INDEX('Retirement Calculator'!K:K,MATCH('Lorri 401b'!N4887,'Retirement Calculator'!A:A,0),0),0)</f>
        <v>0</v>
      </c>
      <c r="K4887" s="455">
        <f t="shared" ca="1" si="178"/>
        <v>-1034528025895.2109</v>
      </c>
      <c r="L4887" s="455">
        <f t="shared" ca="1" si="179"/>
        <v>-249321254240745.84</v>
      </c>
      <c r="M4887" s="471">
        <f t="shared" si="181"/>
        <v>0.05</v>
      </c>
      <c r="N4887" s="475">
        <f t="shared" si="182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80"/>
        <v>-249321254240745.84</v>
      </c>
      <c r="J4888" s="455">
        <f t="array" ref="J4888">IFERROR(INDEX('Retirement Calculator'!K:K,MATCH('Lorri 401b'!N4888,'Retirement Calculator'!A:A,0),0),0)</f>
        <v>0</v>
      </c>
      <c r="K4888" s="455">
        <f t="shared" ca="1" si="178"/>
        <v>-1038838559336.441</v>
      </c>
      <c r="L4888" s="455">
        <f t="shared" ca="1" si="179"/>
        <v>-250360092800082.28</v>
      </c>
      <c r="M4888" s="471">
        <f t="shared" si="181"/>
        <v>0.05</v>
      </c>
      <c r="N4888" s="475">
        <f t="shared" si="182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80"/>
        <v>-250360092800082.28</v>
      </c>
      <c r="J4889" s="455">
        <f t="array" ref="J4889">IFERROR(INDEX('Retirement Calculator'!K:K,MATCH('Lorri 401b'!N4889,'Retirement Calculator'!A:A,0),0),0)</f>
        <v>0</v>
      </c>
      <c r="K4889" s="455">
        <f t="shared" ca="1" si="178"/>
        <v>-1043167053333.6761</v>
      </c>
      <c r="L4889" s="455">
        <f t="shared" ca="1" si="179"/>
        <v>-251403259853415.97</v>
      </c>
      <c r="M4889" s="471">
        <f t="shared" si="181"/>
        <v>0.05</v>
      </c>
      <c r="N4889" s="475">
        <f t="shared" si="182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80"/>
        <v>-251403259853415.97</v>
      </c>
      <c r="J4890" s="455">
        <f t="array" ref="J4890">IFERROR(INDEX('Retirement Calculator'!K:K,MATCH('Lorri 401b'!N4890,'Retirement Calculator'!A:A,0),0),0)</f>
        <v>0</v>
      </c>
      <c r="K4890" s="455">
        <f t="shared" ca="1" si="178"/>
        <v>-1047513582722.5664</v>
      </c>
      <c r="L4890" s="455">
        <f t="shared" ca="1" si="179"/>
        <v>-252450773436138.53</v>
      </c>
      <c r="M4890" s="471">
        <f t="shared" si="181"/>
        <v>0.05</v>
      </c>
      <c r="N4890" s="475">
        <f t="shared" si="182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80"/>
        <v>-252450773436138.53</v>
      </c>
      <c r="J4891" s="455">
        <f t="array" ref="J4891">IFERROR(INDEX('Retirement Calculator'!K:K,MATCH('Lorri 401b'!N4891,'Retirement Calculator'!A:A,0),0),0)</f>
        <v>0</v>
      </c>
      <c r="K4891" s="455">
        <f t="shared" ca="1" si="178"/>
        <v>-1051878222650.5771</v>
      </c>
      <c r="L4891" s="455">
        <f t="shared" ca="1" si="179"/>
        <v>-253502651658789.09</v>
      </c>
      <c r="M4891" s="471">
        <f t="shared" si="181"/>
        <v>0.05</v>
      </c>
      <c r="N4891" s="475">
        <f t="shared" si="182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80"/>
        <v>-253502651658789.09</v>
      </c>
      <c r="J4892" s="455">
        <f t="array" ref="J4892">IFERROR(INDEX('Retirement Calculator'!K:K,MATCH('Lorri 401b'!N4892,'Retirement Calculator'!A:A,0),0),0)</f>
        <v>0</v>
      </c>
      <c r="K4892" s="455">
        <f t="shared" ca="1" si="178"/>
        <v>-1056261048578.2877</v>
      </c>
      <c r="L4892" s="455">
        <f t="shared" ca="1" si="179"/>
        <v>-254558912707367.38</v>
      </c>
      <c r="M4892" s="471">
        <f t="shared" si="181"/>
        <v>0.05</v>
      </c>
      <c r="N4892" s="475">
        <f t="shared" si="182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80"/>
        <v>-254558912707367.38</v>
      </c>
      <c r="J4893" s="455">
        <f t="array" ref="J4893">IFERROR(INDEX('Retirement Calculator'!K:K,MATCH('Lorri 401b'!N4893,'Retirement Calculator'!A:A,0),0),0)</f>
        <v>0</v>
      </c>
      <c r="K4893" s="455">
        <f t="shared" ca="1" si="178"/>
        <v>-1060662136280.6974</v>
      </c>
      <c r="L4893" s="455">
        <f t="shared" ca="1" si="179"/>
        <v>-255619574843648.06</v>
      </c>
      <c r="M4893" s="471">
        <f t="shared" si="181"/>
        <v>0.05</v>
      </c>
      <c r="N4893" s="475">
        <f t="shared" si="182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80"/>
        <v>-255619574843648.06</v>
      </c>
      <c r="J4894" s="455">
        <f t="array" ref="J4894">IFERROR(INDEX('Retirement Calculator'!K:K,MATCH('Lorri 401b'!N4894,'Retirement Calculator'!A:A,0),0),0)</f>
        <v>0</v>
      </c>
      <c r="K4894" s="455">
        <f t="shared" ca="1" si="178"/>
        <v>-1065081561848.5336</v>
      </c>
      <c r="L4894" s="455">
        <f t="shared" ca="1" si="179"/>
        <v>-256684656405496.59</v>
      </c>
      <c r="M4894" s="471">
        <f t="shared" si="181"/>
        <v>0.05</v>
      </c>
      <c r="N4894" s="475">
        <f t="shared" si="182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80"/>
        <v>-256684656405496.59</v>
      </c>
      <c r="J4895" s="455">
        <f t="array" ref="J4895">IFERROR(INDEX('Retirement Calculator'!K:K,MATCH('Lorri 401b'!N4895,'Retirement Calculator'!A:A,0),0),0)</f>
        <v>0</v>
      </c>
      <c r="K4895" s="455">
        <f t="shared" ca="1" si="178"/>
        <v>-1069519401689.5691</v>
      </c>
      <c r="L4895" s="455">
        <f t="shared" ca="1" si="179"/>
        <v>-257754175807186.16</v>
      </c>
      <c r="M4895" s="471">
        <f t="shared" si="181"/>
        <v>0.05</v>
      </c>
      <c r="N4895" s="475">
        <f t="shared" si="182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80"/>
        <v>-257754175807186.16</v>
      </c>
      <c r="J4896" s="455">
        <f t="array" ref="J4896">IFERROR(INDEX('Retirement Calculator'!K:K,MATCH('Lorri 401b'!N4896,'Retirement Calculator'!A:A,0),0),0)</f>
        <v>0</v>
      </c>
      <c r="K4896" s="455">
        <f t="shared" ca="1" si="178"/>
        <v>-1073975732529.9421</v>
      </c>
      <c r="L4896" s="455">
        <f t="shared" ca="1" si="179"/>
        <v>-258828151539716.09</v>
      </c>
      <c r="M4896" s="471">
        <f t="shared" si="181"/>
        <v>0.05</v>
      </c>
      <c r="N4896" s="475">
        <f t="shared" si="182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80"/>
        <v>-258828151539716.09</v>
      </c>
      <c r="J4897" s="455">
        <f t="array" ref="J4897">IFERROR(INDEX('Retirement Calculator'!K:K,MATCH('Lorri 401b'!N4897,'Retirement Calculator'!A:A,0),0),0)</f>
        <v>0</v>
      </c>
      <c r="K4897" s="455">
        <f t="shared" ca="1" si="178"/>
        <v>-1078450631415.4835</v>
      </c>
      <c r="L4897" s="455">
        <f t="shared" ca="1" si="179"/>
        <v>-259906602171131.56</v>
      </c>
      <c r="M4897" s="471">
        <f t="shared" si="181"/>
        <v>0.05</v>
      </c>
      <c r="N4897" s="475">
        <f t="shared" si="182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80"/>
        <v>-259906602171131.56</v>
      </c>
      <c r="J4898" s="455">
        <f t="array" ref="J4898">IFERROR(INDEX('Retirement Calculator'!K:K,MATCH('Lorri 401b'!N4898,'Retirement Calculator'!A:A,0),0),0)</f>
        <v>0</v>
      </c>
      <c r="K4898" s="455">
        <f t="shared" ca="1" si="178"/>
        <v>-1082944175713.0482</v>
      </c>
      <c r="L4898" s="455">
        <f t="shared" ca="1" si="179"/>
        <v>-260989546346844.63</v>
      </c>
      <c r="M4898" s="471">
        <f t="shared" si="181"/>
        <v>0.05</v>
      </c>
      <c r="N4898" s="475">
        <f t="shared" si="182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80"/>
        <v>-260989546346844.63</v>
      </c>
      <c r="J4899" s="455">
        <f t="array" ref="J4899">IFERROR(INDEX('Retirement Calculator'!K:K,MATCH('Lorri 401b'!N4899,'Retirement Calculator'!A:A,0),0),0)</f>
        <v>0</v>
      </c>
      <c r="K4899" s="455">
        <f t="shared" ca="1" si="178"/>
        <v>-1087456443111.8525</v>
      </c>
      <c r="L4899" s="455">
        <f t="shared" ca="1" si="179"/>
        <v>-262077002789956.47</v>
      </c>
      <c r="M4899" s="471">
        <f t="shared" si="181"/>
        <v>0.05</v>
      </c>
      <c r="N4899" s="475">
        <f t="shared" si="182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80"/>
        <v>-262077002789956.47</v>
      </c>
      <c r="J4900" s="455">
        <f t="array" ref="J4900">IFERROR(INDEX('Retirement Calculator'!K:K,MATCH('Lorri 401b'!N4900,'Retirement Calculator'!A:A,0),0),0)</f>
        <v>0</v>
      </c>
      <c r="K4900" s="455">
        <f t="shared" ca="1" si="178"/>
        <v>-1091987511624.8185</v>
      </c>
      <c r="L4900" s="455">
        <f t="shared" ca="1" si="179"/>
        <v>-263168990301581.28</v>
      </c>
      <c r="M4900" s="471">
        <f t="shared" si="181"/>
        <v>0.05</v>
      </c>
      <c r="N4900" s="475">
        <f t="shared" si="182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80"/>
        <v>-263168990301581.28</v>
      </c>
      <c r="J4901" s="455">
        <f t="array" ref="J4901">IFERROR(INDEX('Retirement Calculator'!K:K,MATCH('Lorri 401b'!N4901,'Retirement Calculator'!A:A,0),0),0)</f>
        <v>0</v>
      </c>
      <c r="K4901" s="455">
        <f t="shared" ca="1" si="178"/>
        <v>-1096537459589.9221</v>
      </c>
      <c r="L4901" s="455">
        <f t="shared" ca="1" si="179"/>
        <v>-264265527761171.22</v>
      </c>
      <c r="M4901" s="471">
        <f t="shared" si="181"/>
        <v>0.05</v>
      </c>
      <c r="N4901" s="475">
        <f t="shared" si="182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80"/>
        <v>-264265527761171.22</v>
      </c>
      <c r="J4902" s="455">
        <f t="array" ref="J4902">IFERROR(INDEX('Retirement Calculator'!K:K,MATCH('Lorri 401b'!N4902,'Retirement Calculator'!A:A,0),0),0)</f>
        <v>0</v>
      </c>
      <c r="K4902" s="455">
        <f t="shared" ca="1" si="178"/>
        <v>-1101106365671.5466</v>
      </c>
      <c r="L4902" s="455">
        <f t="shared" ca="1" si="179"/>
        <v>-265366634126842.75</v>
      </c>
      <c r="M4902" s="471">
        <f t="shared" si="181"/>
        <v>0.05</v>
      </c>
      <c r="N4902" s="475">
        <f t="shared" si="182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80"/>
        <v>-265366634126842.75</v>
      </c>
      <c r="J4903" s="455">
        <f t="array" ref="J4903">IFERROR(INDEX('Retirement Calculator'!K:K,MATCH('Lorri 401b'!N4903,'Retirement Calculator'!A:A,0),0),0)</f>
        <v>0</v>
      </c>
      <c r="K4903" s="455">
        <f t="shared" ca="1" si="178"/>
        <v>-1105694308861.845</v>
      </c>
      <c r="L4903" s="455">
        <f t="shared" ca="1" si="179"/>
        <v>-266472328435704.59</v>
      </c>
      <c r="M4903" s="471">
        <f t="shared" si="181"/>
        <v>0.05</v>
      </c>
      <c r="N4903" s="475">
        <f t="shared" si="182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80"/>
        <v>-266472328435704.59</v>
      </c>
      <c r="J4904" s="455">
        <f t="array" ref="J4904">IFERROR(INDEX('Retirement Calculator'!K:K,MATCH('Lorri 401b'!N4904,'Retirement Calculator'!A:A,0),0),0)</f>
        <v>0</v>
      </c>
      <c r="K4904" s="455">
        <f t="shared" ca="1" si="178"/>
        <v>-1110301368482.1025</v>
      </c>
      <c r="L4904" s="455">
        <f t="shared" ca="1" si="179"/>
        <v>-267582629804186.69</v>
      </c>
      <c r="M4904" s="471">
        <f t="shared" si="181"/>
        <v>0.05</v>
      </c>
      <c r="N4904" s="475">
        <f t="shared" si="182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80"/>
        <v>-267582629804186.69</v>
      </c>
      <c r="J4905" s="455">
        <f t="array" ref="J4905">IFERROR(INDEX('Retirement Calculator'!K:K,MATCH('Lorri 401b'!N4905,'Retirement Calculator'!A:A,0),0),0)</f>
        <v>0</v>
      </c>
      <c r="K4905" s="455">
        <f t="shared" ca="1" si="178"/>
        <v>-1114927624184.1111</v>
      </c>
      <c r="L4905" s="455">
        <f t="shared" ca="1" si="179"/>
        <v>-268697557428370.81</v>
      </c>
      <c r="M4905" s="471">
        <f t="shared" si="181"/>
        <v>0.05</v>
      </c>
      <c r="N4905" s="475">
        <f t="shared" si="182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80"/>
        <v>-268697557428370.81</v>
      </c>
      <c r="J4906" s="455">
        <f t="array" ref="J4906">IFERROR(INDEX('Retirement Calculator'!K:K,MATCH('Lorri 401b'!N4906,'Retirement Calculator'!A:A,0),0),0)</f>
        <v>0</v>
      </c>
      <c r="K4906" s="455">
        <f t="shared" ca="1" si="178"/>
        <v>-1119573155951.5449</v>
      </c>
      <c r="L4906" s="455">
        <f t="shared" ca="1" si="179"/>
        <v>-269817130584322.34</v>
      </c>
      <c r="M4906" s="471">
        <f t="shared" si="181"/>
        <v>0.05</v>
      </c>
      <c r="N4906" s="475">
        <f t="shared" si="182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80"/>
        <v>-269817130584322.34</v>
      </c>
      <c r="J4907" s="455">
        <f t="array" ref="J4907">IFERROR(INDEX('Retirement Calculator'!K:K,MATCH('Lorri 401b'!N4907,'Retirement Calculator'!A:A,0),0),0)</f>
        <v>0</v>
      </c>
      <c r="K4907" s="455">
        <f t="shared" ca="1" si="178"/>
        <v>-1124238044101.343</v>
      </c>
      <c r="L4907" s="455">
        <f t="shared" ca="1" si="179"/>
        <v>-270941368628423.69</v>
      </c>
      <c r="M4907" s="471">
        <f t="shared" si="181"/>
        <v>0.05</v>
      </c>
      <c r="N4907" s="475">
        <f t="shared" si="182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80"/>
        <v>-270941368628423.69</v>
      </c>
      <c r="J4908" s="455">
        <f t="array" ref="J4908">IFERROR(INDEX('Retirement Calculator'!K:K,MATCH('Lorri 401b'!N4908,'Retirement Calculator'!A:A,0),0),0)</f>
        <v>0</v>
      </c>
      <c r="K4908" s="455">
        <f t="shared" ca="1" si="178"/>
        <v>-1128922369285.0989</v>
      </c>
      <c r="L4908" s="455">
        <f t="shared" ca="1" si="179"/>
        <v>-272070290997708.78</v>
      </c>
      <c r="M4908" s="471">
        <f t="shared" si="181"/>
        <v>0.05</v>
      </c>
      <c r="N4908" s="475">
        <f t="shared" si="182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80"/>
        <v>-272070290997708.78</v>
      </c>
      <c r="J4909" s="455">
        <f t="array" ref="J4909">IFERROR(INDEX('Retirement Calculator'!K:K,MATCH('Lorri 401b'!N4909,'Retirement Calculator'!A:A,0),0),0)</f>
        <v>0</v>
      </c>
      <c r="K4909" s="455">
        <f t="shared" ca="1" si="178"/>
        <v>-1133626212490.4534</v>
      </c>
      <c r="L4909" s="455">
        <f t="shared" ca="1" si="179"/>
        <v>-273203917210199.25</v>
      </c>
      <c r="M4909" s="471">
        <f t="shared" si="181"/>
        <v>0.05</v>
      </c>
      <c r="N4909" s="475">
        <f t="shared" si="182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80"/>
        <v>-273203917210199.25</v>
      </c>
      <c r="J4910" s="455">
        <f t="array" ref="J4910">IFERROR(INDEX('Retirement Calculator'!K:K,MATCH('Lorri 401b'!N4910,'Retirement Calculator'!A:A,0),0),0)</f>
        <v>0</v>
      </c>
      <c r="K4910" s="455">
        <f t="shared" ca="1" si="178"/>
        <v>-1138349655042.4968</v>
      </c>
      <c r="L4910" s="455">
        <f t="shared" ca="1" si="179"/>
        <v>-274342266865241.75</v>
      </c>
      <c r="M4910" s="471">
        <f t="shared" si="181"/>
        <v>0.05</v>
      </c>
      <c r="N4910" s="475">
        <f t="shared" si="182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80"/>
        <v>-274342266865241.75</v>
      </c>
      <c r="J4911" s="455">
        <f t="array" ref="J4911">IFERROR(INDEX('Retirement Calculator'!K:K,MATCH('Lorri 401b'!N4911,'Retirement Calculator'!A:A,0),0),0)</f>
        <v>0</v>
      </c>
      <c r="K4911" s="455">
        <f t="shared" ca="1" si="178"/>
        <v>-1143092778605.1738</v>
      </c>
      <c r="L4911" s="455">
        <f t="shared" ca="1" si="179"/>
        <v>-275485359643846.94</v>
      </c>
      <c r="M4911" s="471">
        <f t="shared" si="181"/>
        <v>0.05</v>
      </c>
      <c r="N4911" s="475">
        <f t="shared" si="182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80"/>
        <v>-275485359643846.94</v>
      </c>
      <c r="J4912" s="455">
        <f t="array" ref="J4912">IFERROR(INDEX('Retirement Calculator'!K:K,MATCH('Lorri 401b'!N4912,'Retirement Calculator'!A:A,0),0),0)</f>
        <v>0</v>
      </c>
      <c r="K4912" s="455">
        <f t="shared" ca="1" si="178"/>
        <v>-1147855665182.6958</v>
      </c>
      <c r="L4912" s="455">
        <f t="shared" ca="1" si="179"/>
        <v>-276633215309029.63</v>
      </c>
      <c r="M4912" s="471">
        <f t="shared" si="181"/>
        <v>0.05</v>
      </c>
      <c r="N4912" s="475">
        <f t="shared" si="182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80"/>
        <v>-276633215309029.63</v>
      </c>
      <c r="J4913" s="455">
        <f t="array" ref="J4913">IFERROR(INDEX('Retirement Calculator'!K:K,MATCH('Lorri 401b'!N4913,'Retirement Calculator'!A:A,0),0),0)</f>
        <v>0</v>
      </c>
      <c r="K4913" s="455">
        <f t="shared" ca="1" si="178"/>
        <v>-1152638397120.9565</v>
      </c>
      <c r="L4913" s="455">
        <f t="shared" ca="1" si="179"/>
        <v>-277785853706150.59</v>
      </c>
      <c r="M4913" s="471">
        <f t="shared" si="181"/>
        <v>0.05</v>
      </c>
      <c r="N4913" s="475">
        <f t="shared" si="182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80"/>
        <v>-277785853706150.59</v>
      </c>
      <c r="J4914" s="455">
        <f t="array" ref="J4914">IFERROR(INDEX('Retirement Calculator'!K:K,MATCH('Lorri 401b'!N4914,'Retirement Calculator'!A:A,0),0),0)</f>
        <v>0</v>
      </c>
      <c r="K4914" s="455">
        <f t="shared" ca="1" si="178"/>
        <v>-1157441057108.9607</v>
      </c>
      <c r="L4914" s="455">
        <f t="shared" ca="1" si="179"/>
        <v>-278943294763259.56</v>
      </c>
      <c r="M4914" s="471">
        <f t="shared" si="181"/>
        <v>0.05</v>
      </c>
      <c r="N4914" s="475">
        <f t="shared" si="182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80"/>
        <v>-278943294763259.56</v>
      </c>
      <c r="J4915" s="455">
        <f t="array" ref="J4915">IFERROR(INDEX('Retirement Calculator'!K:K,MATCH('Lorri 401b'!N4915,'Retirement Calculator'!A:A,0),0),0)</f>
        <v>0</v>
      </c>
      <c r="K4915" s="455">
        <f t="shared" ca="1" si="178"/>
        <v>-1162263728180.248</v>
      </c>
      <c r="L4915" s="455">
        <f t="shared" ca="1" si="179"/>
        <v>-280105558491439.81</v>
      </c>
      <c r="M4915" s="471">
        <f t="shared" si="181"/>
        <v>0.05</v>
      </c>
      <c r="N4915" s="475">
        <f t="shared" si="182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80"/>
        <v>-280105558491439.81</v>
      </c>
      <c r="J4916" s="455">
        <f t="array" ref="J4916">IFERROR(INDEX('Retirement Calculator'!K:K,MATCH('Lorri 401b'!N4916,'Retirement Calculator'!A:A,0),0),0)</f>
        <v>0</v>
      </c>
      <c r="K4916" s="455">
        <f t="shared" ca="1" si="178"/>
        <v>-1167106493714.3328</v>
      </c>
      <c r="L4916" s="455">
        <f t="shared" ca="1" si="179"/>
        <v>-281272664985154.16</v>
      </c>
      <c r="M4916" s="471">
        <f t="shared" si="181"/>
        <v>0.05</v>
      </c>
      <c r="N4916" s="475">
        <f t="shared" si="182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80"/>
        <v>-281272664985154.16</v>
      </c>
      <c r="J4917" s="455">
        <f t="array" ref="J4917">IFERROR(INDEX('Retirement Calculator'!K:K,MATCH('Lorri 401b'!N4917,'Retirement Calculator'!A:A,0),0),0)</f>
        <v>0</v>
      </c>
      <c r="K4917" s="455">
        <f t="shared" ca="1" si="178"/>
        <v>-1171969437438.1423</v>
      </c>
      <c r="L4917" s="455">
        <f t="shared" ca="1" si="179"/>
        <v>-282444634422592.31</v>
      </c>
      <c r="M4917" s="471">
        <f t="shared" si="181"/>
        <v>0.05</v>
      </c>
      <c r="N4917" s="475">
        <f t="shared" si="182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80"/>
        <v>-282444634422592.31</v>
      </c>
      <c r="J4918" s="455">
        <f t="array" ref="J4918">IFERROR(INDEX('Retirement Calculator'!K:K,MATCH('Lorri 401b'!N4918,'Retirement Calculator'!A:A,0),0),0)</f>
        <v>0</v>
      </c>
      <c r="K4918" s="455">
        <f t="shared" ca="1" si="178"/>
        <v>-1176852643427.468</v>
      </c>
      <c r="L4918" s="455">
        <f t="shared" ca="1" si="179"/>
        <v>-283621487066019.75</v>
      </c>
      <c r="M4918" s="471">
        <f t="shared" si="181"/>
        <v>0.05</v>
      </c>
      <c r="N4918" s="475">
        <f t="shared" si="182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80"/>
        <v>-283621487066019.75</v>
      </c>
      <c r="J4919" s="455">
        <f t="array" ref="J4919">IFERROR(INDEX('Retirement Calculator'!K:K,MATCH('Lorri 401b'!N4919,'Retirement Calculator'!A:A,0),0),0)</f>
        <v>0</v>
      </c>
      <c r="K4919" s="455">
        <f t="shared" ca="1" si="178"/>
        <v>-1181756196108.4155</v>
      </c>
      <c r="L4919" s="455">
        <f t="shared" ca="1" si="179"/>
        <v>-284803243262128.19</v>
      </c>
      <c r="M4919" s="471">
        <f t="shared" si="181"/>
        <v>0.05</v>
      </c>
      <c r="N4919" s="475">
        <f t="shared" si="182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80"/>
        <v>-284803243262128.19</v>
      </c>
      <c r="J4920" s="455">
        <f t="array" ref="J4920">IFERROR(INDEX('Retirement Calculator'!K:K,MATCH('Lorri 401b'!N4920,'Retirement Calculator'!A:A,0),0),0)</f>
        <v>0</v>
      </c>
      <c r="K4920" s="455">
        <f t="shared" ca="1" si="178"/>
        <v>-1186680180258.8674</v>
      </c>
      <c r="L4920" s="455">
        <f t="shared" ca="1" si="179"/>
        <v>-285989923442387.06</v>
      </c>
      <c r="M4920" s="471">
        <f t="shared" si="181"/>
        <v>0.05</v>
      </c>
      <c r="N4920" s="475">
        <f t="shared" si="182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80"/>
        <v>-285989923442387.06</v>
      </c>
      <c r="J4921" s="455">
        <f t="array" ref="J4921">IFERROR(INDEX('Retirement Calculator'!K:K,MATCH('Lorri 401b'!N4921,'Retirement Calculator'!A:A,0),0),0)</f>
        <v>0</v>
      </c>
      <c r="K4921" s="455">
        <f t="shared" ca="1" si="178"/>
        <v>-1191624681009.946</v>
      </c>
      <c r="L4921" s="455">
        <f t="shared" ca="1" si="179"/>
        <v>-287181548123397</v>
      </c>
      <c r="M4921" s="471">
        <f t="shared" si="181"/>
        <v>0.05</v>
      </c>
      <c r="N4921" s="475">
        <f t="shared" si="182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80"/>
        <v>-287181548123397</v>
      </c>
      <c r="J4922" s="455">
        <f t="array" ref="J4922">IFERROR(INDEX('Retirement Calculator'!K:K,MATCH('Lorri 401b'!N4922,'Retirement Calculator'!A:A,0),0),0)</f>
        <v>0</v>
      </c>
      <c r="K4922" s="455">
        <f t="shared" ca="1" si="178"/>
        <v>-1196589783847.4875</v>
      </c>
      <c r="L4922" s="455">
        <f t="shared" ca="1" si="179"/>
        <v>-288378137907244.5</v>
      </c>
      <c r="M4922" s="471">
        <f t="shared" si="181"/>
        <v>0.05</v>
      </c>
      <c r="N4922" s="475">
        <f t="shared" si="182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80"/>
        <v>-288378137907244.5</v>
      </c>
      <c r="J4923" s="455">
        <f t="array" ref="J4923">IFERROR(INDEX('Retirement Calculator'!K:K,MATCH('Lorri 401b'!N4923,'Retirement Calculator'!A:A,0),0),0)</f>
        <v>0</v>
      </c>
      <c r="K4923" s="455">
        <f t="shared" ca="1" si="178"/>
        <v>-1201575574613.5188</v>
      </c>
      <c r="L4923" s="455">
        <f t="shared" ca="1" si="179"/>
        <v>-289579713481858</v>
      </c>
      <c r="M4923" s="471">
        <f t="shared" si="181"/>
        <v>0.05</v>
      </c>
      <c r="N4923" s="475">
        <f t="shared" si="182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80"/>
        <v>-289579713481858</v>
      </c>
      <c r="J4924" s="455">
        <f t="array" ref="J4924">IFERROR(INDEX('Retirement Calculator'!K:K,MATCH('Lorri 401b'!N4924,'Retirement Calculator'!A:A,0),0),0)</f>
        <v>0</v>
      </c>
      <c r="K4924" s="455">
        <f t="shared" ca="1" si="178"/>
        <v>-1206582139507.7417</v>
      </c>
      <c r="L4924" s="455">
        <f t="shared" ca="1" si="179"/>
        <v>-290786295621365.75</v>
      </c>
      <c r="M4924" s="471">
        <f t="shared" si="181"/>
        <v>0.05</v>
      </c>
      <c r="N4924" s="475">
        <f t="shared" si="182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80"/>
        <v>-290786295621365.75</v>
      </c>
      <c r="J4925" s="455">
        <f t="array" ref="J4925">IFERROR(INDEX('Retirement Calculator'!K:K,MATCH('Lorri 401b'!N4925,'Retirement Calculator'!A:A,0),0),0)</f>
        <v>0</v>
      </c>
      <c r="K4925" s="455">
        <f t="shared" ca="1" si="178"/>
        <v>-1211609565089.0239</v>
      </c>
      <c r="L4925" s="455">
        <f t="shared" ca="1" si="179"/>
        <v>-291997905186454.75</v>
      </c>
      <c r="M4925" s="471">
        <f t="shared" si="181"/>
        <v>0.05</v>
      </c>
      <c r="N4925" s="475">
        <f t="shared" si="182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80"/>
        <v>-291997905186454.75</v>
      </c>
      <c r="J4926" s="455">
        <f t="array" ref="J4926">IFERROR(INDEX('Retirement Calculator'!K:K,MATCH('Lorri 401b'!N4926,'Retirement Calculator'!A:A,0),0),0)</f>
        <v>0</v>
      </c>
      <c r="K4926" s="455">
        <f t="shared" ca="1" si="178"/>
        <v>-1216657938276.8948</v>
      </c>
      <c r="L4926" s="455">
        <f t="shared" ca="1" si="179"/>
        <v>-293214563124731.63</v>
      </c>
      <c r="M4926" s="471">
        <f t="shared" si="181"/>
        <v>0.05</v>
      </c>
      <c r="N4926" s="475">
        <f t="shared" si="182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80"/>
        <v>-293214563124731.63</v>
      </c>
      <c r="J4927" s="455">
        <f t="array" ref="J4927">IFERROR(INDEX('Retirement Calculator'!K:K,MATCH('Lorri 401b'!N4927,'Retirement Calculator'!A:A,0),0),0)</f>
        <v>0</v>
      </c>
      <c r="K4927" s="455">
        <f t="shared" ca="1" si="178"/>
        <v>-1221727346353.0483</v>
      </c>
      <c r="L4927" s="455">
        <f t="shared" ca="1" si="179"/>
        <v>-294436290471084.69</v>
      </c>
      <c r="M4927" s="471">
        <f t="shared" si="181"/>
        <v>0.05</v>
      </c>
      <c r="N4927" s="475">
        <f t="shared" si="182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80"/>
        <v>-294436290471084.69</v>
      </c>
      <c r="J4928" s="455">
        <f t="array" ref="J4928">IFERROR(INDEX('Retirement Calculator'!K:K,MATCH('Lorri 401b'!N4928,'Retirement Calculator'!A:A,0),0),0)</f>
        <v>0</v>
      </c>
      <c r="K4928" s="455">
        <f t="shared" ca="1" si="178"/>
        <v>-1226817876962.8528</v>
      </c>
      <c r="L4928" s="455">
        <f t="shared" ca="1" si="179"/>
        <v>-295663108348047.56</v>
      </c>
      <c r="M4928" s="471">
        <f t="shared" si="181"/>
        <v>0.05</v>
      </c>
      <c r="N4928" s="475">
        <f t="shared" si="182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80"/>
        <v>-295663108348047.56</v>
      </c>
      <c r="J4929" s="455">
        <f t="array" ref="J4929">IFERROR(INDEX('Retirement Calculator'!K:K,MATCH('Lorri 401b'!N4929,'Retirement Calculator'!A:A,0),0),0)</f>
        <v>0</v>
      </c>
      <c r="K4929" s="455">
        <f t="shared" ca="1" si="178"/>
        <v>-1231929618116.8647</v>
      </c>
      <c r="L4929" s="455">
        <f t="shared" ca="1" si="179"/>
        <v>-296895037966164.44</v>
      </c>
      <c r="M4929" s="471">
        <f t="shared" si="181"/>
        <v>0.05</v>
      </c>
      <c r="N4929" s="475">
        <f t="shared" si="182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80"/>
        <v>-296895037966164.44</v>
      </c>
      <c r="J4930" s="455">
        <f t="array" ref="J4930">IFERROR(INDEX('Retirement Calculator'!K:K,MATCH('Lorri 401b'!N4930,'Retirement Calculator'!A:A,0),0),0)</f>
        <v>0</v>
      </c>
      <c r="K4930" s="455">
        <f t="shared" ca="1" si="178"/>
        <v>-1237062658192.3518</v>
      </c>
      <c r="L4930" s="455">
        <f t="shared" ca="1" si="179"/>
        <v>-298132100624356.81</v>
      </c>
      <c r="M4930" s="471">
        <f t="shared" si="181"/>
        <v>0.05</v>
      </c>
      <c r="N4930" s="475">
        <f t="shared" si="182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80"/>
        <v>-298132100624356.81</v>
      </c>
      <c r="J4931" s="455">
        <f t="array" ref="J4931">IFERROR(INDEX('Retirement Calculator'!K:K,MATCH('Lorri 401b'!N4931,'Retirement Calculator'!A:A,0),0),0)</f>
        <v>0</v>
      </c>
      <c r="K4931" s="455">
        <f t="shared" ca="1" si="178"/>
        <v>-1242217085934.8201</v>
      </c>
      <c r="L4931" s="455">
        <f t="shared" ca="1" si="179"/>
        <v>-299374317710291.63</v>
      </c>
      <c r="M4931" s="471">
        <f t="shared" si="181"/>
        <v>0.05</v>
      </c>
      <c r="N4931" s="475">
        <f t="shared" si="182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80"/>
        <v>-299374317710291.63</v>
      </c>
      <c r="J4932" s="455">
        <f t="array" ref="J4932">IFERROR(INDEX('Retirement Calculator'!K:K,MATCH('Lorri 401b'!N4932,'Retirement Calculator'!A:A,0),0),0)</f>
        <v>0</v>
      </c>
      <c r="K4932" s="455">
        <f t="shared" ca="1" si="178"/>
        <v>-1247392990459.5483</v>
      </c>
      <c r="L4932" s="455">
        <f t="shared" ca="1" si="179"/>
        <v>-300621710700751.19</v>
      </c>
      <c r="M4932" s="471">
        <f t="shared" si="181"/>
        <v>0.05</v>
      </c>
      <c r="N4932" s="475">
        <f t="shared" si="182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80"/>
        <v>-300621710700751.19</v>
      </c>
      <c r="J4933" s="455">
        <f t="array" ref="J4933">IFERROR(INDEX('Retirement Calculator'!K:K,MATCH('Lorri 401b'!N4933,'Retirement Calculator'!A:A,0),0),0)</f>
        <v>0</v>
      </c>
      <c r="K4933" s="455">
        <f t="shared" ca="1" si="178"/>
        <v>-1252590461253.1299</v>
      </c>
      <c r="L4933" s="455">
        <f t="shared" ca="1" si="179"/>
        <v>-301874301162004.31</v>
      </c>
      <c r="M4933" s="471">
        <f t="shared" si="181"/>
        <v>0.05</v>
      </c>
      <c r="N4933" s="475">
        <f t="shared" si="182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80"/>
        <v>-301874301162004.31</v>
      </c>
      <c r="J4934" s="455">
        <f t="array" ref="J4934">IFERROR(INDEX('Retirement Calculator'!K:K,MATCH('Lorri 401b'!N4934,'Retirement Calculator'!A:A,0),0),0)</f>
        <v>0</v>
      </c>
      <c r="K4934" s="455">
        <f t="shared" ca="1" si="178"/>
        <v>-1257809588175.0181</v>
      </c>
      <c r="L4934" s="455">
        <f t="shared" ca="1" si="179"/>
        <v>-303132110750179.31</v>
      </c>
      <c r="M4934" s="471">
        <f t="shared" si="181"/>
        <v>0.05</v>
      </c>
      <c r="N4934" s="475">
        <f t="shared" si="182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80"/>
        <v>-303132110750179.31</v>
      </c>
      <c r="J4935" s="455">
        <f t="array" ref="J4935">IFERROR(INDEX('Retirement Calculator'!K:K,MATCH('Lorri 401b'!N4935,'Retirement Calculator'!A:A,0),0),0)</f>
        <v>0</v>
      </c>
      <c r="K4935" s="455">
        <f t="shared" ca="1" si="178"/>
        <v>-1263050461459.0806</v>
      </c>
      <c r="L4935" s="455">
        <f t="shared" ca="1" si="179"/>
        <v>-304395161211638.38</v>
      </c>
      <c r="M4935" s="471">
        <f t="shared" si="181"/>
        <v>0.05</v>
      </c>
      <c r="N4935" s="475">
        <f t="shared" si="182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80"/>
        <v>-304395161211638.38</v>
      </c>
      <c r="J4936" s="455">
        <f t="array" ref="J4936">IFERROR(INDEX('Retirement Calculator'!K:K,MATCH('Lorri 401b'!N4936,'Retirement Calculator'!A:A,0),0),0)</f>
        <v>0</v>
      </c>
      <c r="K4936" s="455">
        <f t="shared" ca="1" si="178"/>
        <v>-1268313171715.1599</v>
      </c>
      <c r="L4936" s="455">
        <f t="shared" ca="1" si="179"/>
        <v>-305663474383353.56</v>
      </c>
      <c r="M4936" s="471">
        <f t="shared" si="181"/>
        <v>0.05</v>
      </c>
      <c r="N4936" s="475">
        <f t="shared" si="182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80"/>
        <v>-305663474383353.56</v>
      </c>
      <c r="J4937" s="455">
        <f t="array" ref="J4937">IFERROR(INDEX('Retirement Calculator'!K:K,MATCH('Lorri 401b'!N4937,'Retirement Calculator'!A:A,0),0),0)</f>
        <v>0</v>
      </c>
      <c r="K4937" s="455">
        <f t="shared" ca="1" si="178"/>
        <v>-1273597809930.6399</v>
      </c>
      <c r="L4937" s="455">
        <f t="shared" ca="1" si="179"/>
        <v>-306937072193284.19</v>
      </c>
      <c r="M4937" s="471">
        <f t="shared" si="181"/>
        <v>0.05</v>
      </c>
      <c r="N4937" s="475">
        <f t="shared" si="182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80"/>
        <v>-306937072193284.19</v>
      </c>
      <c r="J4938" s="455">
        <f t="array" ref="J4938">IFERROR(INDEX('Retirement Calculator'!K:K,MATCH('Lorri 401b'!N4938,'Retirement Calculator'!A:A,0),0),0)</f>
        <v>0</v>
      </c>
      <c r="K4938" s="455">
        <f t="shared" ca="1" si="178"/>
        <v>-1278904467472.0173</v>
      </c>
      <c r="L4938" s="455">
        <f t="shared" ca="1" si="179"/>
        <v>-308215976660756.19</v>
      </c>
      <c r="M4938" s="471">
        <f t="shared" si="181"/>
        <v>0.05</v>
      </c>
      <c r="N4938" s="475">
        <f t="shared" si="182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80"/>
        <v>-308215976660756.19</v>
      </c>
      <c r="J4939" s="455">
        <f t="array" ref="J4939">IFERROR(INDEX('Retirement Calculator'!K:K,MATCH('Lorri 401b'!N4939,'Retirement Calculator'!A:A,0),0),0)</f>
        <v>0</v>
      </c>
      <c r="K4939" s="455">
        <f t="shared" ca="1" si="178"/>
        <v>-1284233236086.4841</v>
      </c>
      <c r="L4939" s="455">
        <f t="shared" ca="1" si="179"/>
        <v>-309500209896842.69</v>
      </c>
      <c r="M4939" s="471">
        <f t="shared" si="181"/>
        <v>0.05</v>
      </c>
      <c r="N4939" s="475">
        <f t="shared" si="182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80"/>
        <v>-309500209896842.69</v>
      </c>
      <c r="J4940" s="455">
        <f t="array" ref="J4940">IFERROR(INDEX('Retirement Calculator'!K:K,MATCH('Lorri 401b'!N4940,'Retirement Calculator'!A:A,0),0),0)</f>
        <v>0</v>
      </c>
      <c r="K4940" s="455">
        <f t="shared" ca="1" si="178"/>
        <v>-1289584207903.5112</v>
      </c>
      <c r="L4940" s="455">
        <f t="shared" ca="1" si="179"/>
        <v>-310789794104746.19</v>
      </c>
      <c r="M4940" s="471">
        <f t="shared" si="181"/>
        <v>0.05</v>
      </c>
      <c r="N4940" s="475">
        <f t="shared" si="182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80"/>
        <v>-310789794104746.19</v>
      </c>
      <c r="J4941" s="455">
        <f t="array" ref="J4941">IFERROR(INDEX('Retirement Calculator'!K:K,MATCH('Lorri 401b'!N4941,'Retirement Calculator'!A:A,0),0),0)</f>
        <v>0</v>
      </c>
      <c r="K4941" s="455">
        <f t="shared" ca="1" si="178"/>
        <v>-1294957475436.4424</v>
      </c>
      <c r="L4941" s="455">
        <f t="shared" ca="1" si="179"/>
        <v>-312084751580182.63</v>
      </c>
      <c r="M4941" s="471">
        <f t="shared" si="181"/>
        <v>0.05</v>
      </c>
      <c r="N4941" s="475">
        <f t="shared" si="182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80"/>
        <v>-312084751580182.63</v>
      </c>
      <c r="J4942" s="455">
        <f t="array" ref="J4942">IFERROR(INDEX('Retirement Calculator'!K:K,MATCH('Lorri 401b'!N4942,'Retirement Calculator'!A:A,0),0),0)</f>
        <v>0</v>
      </c>
      <c r="K4942" s="455">
        <f t="shared" ca="1" si="178"/>
        <v>-1300353131584.0942</v>
      </c>
      <c r="L4942" s="455">
        <f t="shared" ca="1" si="179"/>
        <v>-313385104711766.75</v>
      </c>
      <c r="M4942" s="471">
        <f t="shared" si="181"/>
        <v>0.05</v>
      </c>
      <c r="N4942" s="475">
        <f t="shared" si="182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80"/>
        <v>-313385104711766.75</v>
      </c>
      <c r="J4943" s="455">
        <f t="array" ref="J4943">IFERROR(INDEX('Retirement Calculator'!K:K,MATCH('Lorri 401b'!N4943,'Retirement Calculator'!A:A,0),0),0)</f>
        <v>0</v>
      </c>
      <c r="K4943" s="455">
        <f t="shared" ca="1" si="178"/>
        <v>-1305771269632.3613</v>
      </c>
      <c r="L4943" s="455">
        <f t="shared" ca="1" si="179"/>
        <v>-314690875981399.13</v>
      </c>
      <c r="M4943" s="471">
        <f t="shared" si="181"/>
        <v>0.05</v>
      </c>
      <c r="N4943" s="475">
        <f t="shared" si="182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80"/>
        <v>-314690875981399.13</v>
      </c>
      <c r="J4944" s="455">
        <f t="array" ref="J4944">IFERROR(INDEX('Retirement Calculator'!K:K,MATCH('Lorri 401b'!N4944,'Retirement Calculator'!A:A,0),0),0)</f>
        <v>0</v>
      </c>
      <c r="K4944" s="455">
        <f t="shared" ca="1" si="178"/>
        <v>-1311211983255.8296</v>
      </c>
      <c r="L4944" s="455">
        <f t="shared" ca="1" si="179"/>
        <v>-316002087964654.94</v>
      </c>
      <c r="M4944" s="471">
        <f t="shared" si="181"/>
        <v>0.05</v>
      </c>
      <c r="N4944" s="475">
        <f t="shared" si="182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80"/>
        <v>-316002087964654.94</v>
      </c>
      <c r="J4945" s="455">
        <f t="array" ref="J4945">IFERROR(INDEX('Retirement Calculator'!K:K,MATCH('Lorri 401b'!N4945,'Retirement Calculator'!A:A,0),0),0)</f>
        <v>0</v>
      </c>
      <c r="K4945" s="455">
        <f t="shared" ca="1" si="178"/>
        <v>-1316675366519.3955</v>
      </c>
      <c r="L4945" s="455">
        <f t="shared" ca="1" si="179"/>
        <v>-317318763331174.31</v>
      </c>
      <c r="M4945" s="471">
        <f t="shared" si="181"/>
        <v>0.05</v>
      </c>
      <c r="N4945" s="475">
        <f t="shared" si="182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80"/>
        <v>-317318763331174.31</v>
      </c>
      <c r="J4946" s="455">
        <f t="array" ref="J4946">IFERROR(INDEX('Retirement Calculator'!K:K,MATCH('Lorri 401b'!N4946,'Retirement Calculator'!A:A,0),0),0)</f>
        <v>0</v>
      </c>
      <c r="K4946" s="455">
        <f t="shared" ca="1" si="178"/>
        <v>-1322161513879.8931</v>
      </c>
      <c r="L4946" s="455">
        <f t="shared" ca="1" si="179"/>
        <v>-318640924845054.19</v>
      </c>
      <c r="M4946" s="471">
        <f t="shared" si="181"/>
        <v>0.05</v>
      </c>
      <c r="N4946" s="475">
        <f t="shared" si="182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80"/>
        <v>-318640924845054.19</v>
      </c>
      <c r="J4947" s="455">
        <f t="array" ref="J4947">IFERROR(INDEX('Retirement Calculator'!K:K,MATCH('Lorri 401b'!N4947,'Retirement Calculator'!A:A,0),0),0)</f>
        <v>0</v>
      </c>
      <c r="K4947" s="455">
        <f t="shared" ca="1" si="178"/>
        <v>-1327670520187.7258</v>
      </c>
      <c r="L4947" s="455">
        <f t="shared" ca="1" si="179"/>
        <v>-319968595365241.94</v>
      </c>
      <c r="M4947" s="471">
        <f t="shared" si="181"/>
        <v>0.05</v>
      </c>
      <c r="N4947" s="475">
        <f t="shared" si="182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80"/>
        <v>-319968595365241.94</v>
      </c>
      <c r="J4948" s="455">
        <f t="array" ref="J4948">IFERROR(INDEX('Retirement Calculator'!K:K,MATCH('Lorri 401b'!N4948,'Retirement Calculator'!A:A,0),0),0)</f>
        <v>0</v>
      </c>
      <c r="K4948" s="455">
        <f t="shared" ca="1" si="178"/>
        <v>-1333202480688.5081</v>
      </c>
      <c r="L4948" s="455">
        <f t="shared" ca="1" si="179"/>
        <v>-321301797845930.44</v>
      </c>
      <c r="M4948" s="471">
        <f t="shared" si="181"/>
        <v>0.05</v>
      </c>
      <c r="N4948" s="475">
        <f t="shared" si="182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80"/>
        <v>-321301797845930.44</v>
      </c>
      <c r="J4949" s="455">
        <f t="array" ref="J4949">IFERROR(INDEX('Retirement Calculator'!K:K,MATCH('Lorri 401b'!N4949,'Retirement Calculator'!A:A,0),0),0)</f>
        <v>0</v>
      </c>
      <c r="K4949" s="455">
        <f t="shared" ca="1" si="178"/>
        <v>-1338757491024.7102</v>
      </c>
      <c r="L4949" s="455">
        <f t="shared" ca="1" si="179"/>
        <v>-322640555336955.13</v>
      </c>
      <c r="M4949" s="471">
        <f t="shared" si="181"/>
        <v>0.05</v>
      </c>
      <c r="N4949" s="475">
        <f t="shared" si="182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80"/>
        <v>-322640555336955.13</v>
      </c>
      <c r="J4950" s="455">
        <f t="array" ref="J4950">IFERROR(INDEX('Retirement Calculator'!K:K,MATCH('Lorri 401b'!N4950,'Retirement Calculator'!A:A,0),0),0)</f>
        <v>0</v>
      </c>
      <c r="K4950" s="455">
        <f t="shared" ca="1" si="178"/>
        <v>-1344335647237.313</v>
      </c>
      <c r="L4950" s="455">
        <f t="shared" ca="1" si="179"/>
        <v>-323984890984192.44</v>
      </c>
      <c r="M4950" s="471">
        <f t="shared" si="181"/>
        <v>0.05</v>
      </c>
      <c r="N4950" s="475">
        <f t="shared" si="182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80"/>
        <v>-323984890984192.44</v>
      </c>
      <c r="J4951" s="455">
        <f t="array" ref="J4951">IFERROR(INDEX('Retirement Calculator'!K:K,MATCH('Lorri 401b'!N4951,'Retirement Calculator'!A:A,0),0),0)</f>
        <v>0</v>
      </c>
      <c r="K4951" s="455">
        <f t="shared" ca="1" si="178"/>
        <v>-1349937045767.4685</v>
      </c>
      <c r="L4951" s="455">
        <f t="shared" ca="1" si="179"/>
        <v>-325334828029959.88</v>
      </c>
      <c r="M4951" s="471">
        <f t="shared" si="181"/>
        <v>0.05</v>
      </c>
      <c r="N4951" s="475">
        <f t="shared" si="182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80"/>
        <v>-325334828029959.88</v>
      </c>
      <c r="J4952" s="455">
        <f t="array" ref="J4952">IFERROR(INDEX('Retirement Calculator'!K:K,MATCH('Lorri 401b'!N4952,'Retirement Calculator'!A:A,0),0),0)</f>
        <v>0</v>
      </c>
      <c r="K4952" s="455">
        <f t="shared" ca="1" si="178"/>
        <v>-1355561783458.166</v>
      </c>
      <c r="L4952" s="455">
        <f t="shared" ca="1" si="179"/>
        <v>-326690389813418.06</v>
      </c>
      <c r="M4952" s="471">
        <f t="shared" si="181"/>
        <v>0.05</v>
      </c>
      <c r="N4952" s="475">
        <f t="shared" si="182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80"/>
        <v>-326690389813418.06</v>
      </c>
      <c r="J4953" s="455">
        <f t="array" ref="J4953">IFERROR(INDEX('Retirement Calculator'!K:K,MATCH('Lorri 401b'!N4953,'Retirement Calculator'!A:A,0),0),0)</f>
        <v>0</v>
      </c>
      <c r="K4953" s="455">
        <f t="shared" ca="1" si="178"/>
        <v>-1361209957555.9087</v>
      </c>
      <c r="L4953" s="455">
        <f t="shared" ca="1" si="179"/>
        <v>-328051599770974</v>
      </c>
      <c r="M4953" s="471">
        <f t="shared" si="181"/>
        <v>0.05</v>
      </c>
      <c r="N4953" s="475">
        <f t="shared" si="182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80"/>
        <v>-328051599770974</v>
      </c>
      <c r="J4954" s="455">
        <f t="array" ref="J4954">IFERROR(INDEX('Retirement Calculator'!K:K,MATCH('Lorri 401b'!N4954,'Retirement Calculator'!A:A,0),0),0)</f>
        <v>0</v>
      </c>
      <c r="K4954" s="455">
        <f t="shared" ca="1" si="178"/>
        <v>-1366881665712.3916</v>
      </c>
      <c r="L4954" s="455">
        <f t="shared" ca="1" si="179"/>
        <v>-329418481436686.38</v>
      </c>
      <c r="M4954" s="471">
        <f t="shared" si="181"/>
        <v>0.05</v>
      </c>
      <c r="N4954" s="475">
        <f t="shared" si="182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80"/>
        <v>-329418481436686.38</v>
      </c>
      <c r="J4955" s="455">
        <f t="array" ref="J4955">IFERROR(INDEX('Retirement Calculator'!K:K,MATCH('Lorri 401b'!N4955,'Retirement Calculator'!A:A,0),0),0)</f>
        <v>0</v>
      </c>
      <c r="K4955" s="455">
        <f t="shared" ca="1" si="178"/>
        <v>-1372577005986.1931</v>
      </c>
      <c r="L4955" s="455">
        <f t="shared" ca="1" si="179"/>
        <v>-330791058442672.56</v>
      </c>
      <c r="M4955" s="471">
        <f t="shared" si="181"/>
        <v>0.05</v>
      </c>
      <c r="N4955" s="475">
        <f t="shared" si="182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80"/>
        <v>-330791058442672.56</v>
      </c>
      <c r="J4956" s="455">
        <f t="array" ref="J4956">IFERROR(INDEX('Retirement Calculator'!K:K,MATCH('Lorri 401b'!N4956,'Retirement Calculator'!A:A,0),0),0)</f>
        <v>0</v>
      </c>
      <c r="K4956" s="455">
        <f t="shared" ca="1" si="178"/>
        <v>-1378296076844.469</v>
      </c>
      <c r="L4956" s="455">
        <f t="shared" ca="1" si="179"/>
        <v>-332169354519517.06</v>
      </c>
      <c r="M4956" s="471">
        <f t="shared" si="181"/>
        <v>0.05</v>
      </c>
      <c r="N4956" s="475">
        <f t="shared" si="182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80"/>
        <v>-332169354519517.06</v>
      </c>
      <c r="J4957" s="455">
        <f t="array" ref="J4957">IFERROR(INDEX('Retirement Calculator'!K:K,MATCH('Lorri 401b'!N4957,'Retirement Calculator'!A:A,0),0),0)</f>
        <v>0</v>
      </c>
      <c r="K4957" s="455">
        <f t="shared" ca="1" si="178"/>
        <v>-1384038977164.6543</v>
      </c>
      <c r="L4957" s="455">
        <f t="shared" ca="1" si="179"/>
        <v>-333553393496681.69</v>
      </c>
      <c r="M4957" s="471">
        <f t="shared" si="181"/>
        <v>0.05</v>
      </c>
      <c r="N4957" s="475">
        <f t="shared" si="182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80"/>
        <v>-333553393496681.69</v>
      </c>
      <c r="J4958" s="455">
        <f t="array" ref="J4958">IFERROR(INDEX('Retirement Calculator'!K:K,MATCH('Lorri 401b'!N4958,'Retirement Calculator'!A:A,0),0),0)</f>
        <v>0</v>
      </c>
      <c r="K4958" s="455">
        <f t="shared" ca="1" si="178"/>
        <v>-1389805806236.1736</v>
      </c>
      <c r="L4958" s="455">
        <f t="shared" ca="1" si="179"/>
        <v>-334943199302917.88</v>
      </c>
      <c r="M4958" s="471">
        <f t="shared" si="181"/>
        <v>0.05</v>
      </c>
      <c r="N4958" s="475">
        <f t="shared" si="182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80"/>
        <v>-334943199302917.88</v>
      </c>
      <c r="J4959" s="455">
        <f t="array" ref="J4959">IFERROR(INDEX('Retirement Calculator'!K:K,MATCH('Lorri 401b'!N4959,'Retirement Calculator'!A:A,0),0),0)</f>
        <v>0</v>
      </c>
      <c r="K4959" s="455">
        <f t="shared" ca="1" si="178"/>
        <v>-1395596663762.1577</v>
      </c>
      <c r="L4959" s="455">
        <f t="shared" ca="1" si="179"/>
        <v>-336338795966680.06</v>
      </c>
      <c r="M4959" s="471">
        <f t="shared" si="181"/>
        <v>0.05</v>
      </c>
      <c r="N4959" s="475">
        <f t="shared" si="182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80"/>
        <v>-336338795966680.06</v>
      </c>
      <c r="J4960" s="455">
        <f t="array" ref="J4960">IFERROR(INDEX('Retirement Calculator'!K:K,MATCH('Lorri 401b'!N4960,'Retirement Calculator'!A:A,0),0),0)</f>
        <v>0</v>
      </c>
      <c r="K4960" s="455">
        <f t="shared" ca="1" si="178"/>
        <v>-1401411649861.167</v>
      </c>
      <c r="L4960" s="455">
        <f t="shared" ca="1" si="179"/>
        <v>-337740207616541.25</v>
      </c>
      <c r="M4960" s="471">
        <f t="shared" si="181"/>
        <v>0.05</v>
      </c>
      <c r="N4960" s="475">
        <f t="shared" si="182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80"/>
        <v>-337740207616541.25</v>
      </c>
      <c r="J4961" s="455">
        <f t="array" ref="J4961">IFERROR(INDEX('Retirement Calculator'!K:K,MATCH('Lorri 401b'!N4961,'Retirement Calculator'!A:A,0),0),0)</f>
        <v>0</v>
      </c>
      <c r="K4961" s="455">
        <f t="shared" ca="1" si="178"/>
        <v>-1407250865068.9219</v>
      </c>
      <c r="L4961" s="455">
        <f t="shared" ca="1" si="179"/>
        <v>-339147458481610.19</v>
      </c>
      <c r="M4961" s="471">
        <f t="shared" si="181"/>
        <v>0.05</v>
      </c>
      <c r="N4961" s="475">
        <f t="shared" si="182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80"/>
        <v>-339147458481610.19</v>
      </c>
      <c r="J4962" s="455">
        <f t="array" ref="J4962">IFERROR(INDEX('Retirement Calculator'!K:K,MATCH('Lorri 401b'!N4962,'Retirement Calculator'!A:A,0),0),0)</f>
        <v>0</v>
      </c>
      <c r="K4962" s="455">
        <f t="shared" ca="1" si="178"/>
        <v>-1413114410340.0425</v>
      </c>
      <c r="L4962" s="455">
        <f t="shared" ca="1" si="179"/>
        <v>-340560572891950.25</v>
      </c>
      <c r="M4962" s="471">
        <f t="shared" si="181"/>
        <v>0.05</v>
      </c>
      <c r="N4962" s="475">
        <f t="shared" si="182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80"/>
        <v>-340560572891950.25</v>
      </c>
      <c r="J4963" s="455">
        <f t="array" ref="J4963">IFERROR(INDEX('Retirement Calculator'!K:K,MATCH('Lorri 401b'!N4963,'Retirement Calculator'!A:A,0),0),0)</f>
        <v>0</v>
      </c>
      <c r="K4963" s="455">
        <f t="shared" ca="1" si="178"/>
        <v>-1419002387049.7927</v>
      </c>
      <c r="L4963" s="455">
        <f t="shared" ca="1" si="179"/>
        <v>-341979575279000.06</v>
      </c>
      <c r="M4963" s="471">
        <f t="shared" si="181"/>
        <v>0.05</v>
      </c>
      <c r="N4963" s="475">
        <f t="shared" si="182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80"/>
        <v>-341979575279000.06</v>
      </c>
      <c r="J4964" s="455">
        <f t="array" ref="J4964">IFERROR(INDEX('Retirement Calculator'!K:K,MATCH('Lorri 401b'!N4964,'Retirement Calculator'!A:A,0),0),0)</f>
        <v>0</v>
      </c>
      <c r="K4964" s="455">
        <f t="shared" ca="1" si="178"/>
        <v>-1424914896995.8335</v>
      </c>
      <c r="L4964" s="455">
        <f t="shared" ca="1" si="179"/>
        <v>-343404490175995.88</v>
      </c>
      <c r="M4964" s="471">
        <f t="shared" si="181"/>
        <v>0.05</v>
      </c>
      <c r="N4964" s="475">
        <f t="shared" si="182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80"/>
        <v>-343404490175995.88</v>
      </c>
      <c r="J4965" s="455">
        <f t="array" ref="J4965">IFERROR(INDEX('Retirement Calculator'!K:K,MATCH('Lorri 401b'!N4965,'Retirement Calculator'!A:A,0),0),0)</f>
        <v>0</v>
      </c>
      <c r="K4965" s="455">
        <f t="shared" ca="1" si="178"/>
        <v>-1430852042399.9829</v>
      </c>
      <c r="L4965" s="455">
        <f t="shared" ca="1" si="179"/>
        <v>-344835342218395.88</v>
      </c>
      <c r="M4965" s="471">
        <f t="shared" si="181"/>
        <v>0.05</v>
      </c>
      <c r="N4965" s="475">
        <f t="shared" si="182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80"/>
        <v>-344835342218395.88</v>
      </c>
      <c r="J4966" s="455">
        <f t="array" ref="J4966">IFERROR(INDEX('Retirement Calculator'!K:K,MATCH('Lorri 401b'!N4966,'Retirement Calculator'!A:A,0),0),0)</f>
        <v>0</v>
      </c>
      <c r="K4966" s="455">
        <f t="shared" ca="1" si="178"/>
        <v>-1436813925909.9829</v>
      </c>
      <c r="L4966" s="455">
        <f t="shared" ca="1" si="179"/>
        <v>-346272156144305.88</v>
      </c>
      <c r="M4966" s="471">
        <f t="shared" si="181"/>
        <v>0.05</v>
      </c>
      <c r="N4966" s="475">
        <f t="shared" si="182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80"/>
        <v>-346272156144305.88</v>
      </c>
      <c r="J4967" s="455">
        <f t="array" ref="J4967">IFERROR(INDEX('Retirement Calculator'!K:K,MATCH('Lorri 401b'!N4967,'Retirement Calculator'!A:A,0),0),0)</f>
        <v>0</v>
      </c>
      <c r="K4967" s="455">
        <f t="shared" ca="1" si="178"/>
        <v>-1442800650601.2744</v>
      </c>
      <c r="L4967" s="455">
        <f t="shared" ca="1" si="179"/>
        <v>-347714956794907.13</v>
      </c>
      <c r="M4967" s="471">
        <f t="shared" si="181"/>
        <v>0.05</v>
      </c>
      <c r="N4967" s="475">
        <f t="shared" si="182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80"/>
        <v>-347714956794907.13</v>
      </c>
      <c r="J4968" s="455">
        <f t="array" ref="J4968">IFERROR(INDEX('Retirement Calculator'!K:K,MATCH('Lorri 401b'!N4968,'Retirement Calculator'!A:A,0),0),0)</f>
        <v>0</v>
      </c>
      <c r="K4968" s="455">
        <f t="shared" ca="1" si="178"/>
        <v>-1448812319978.7798</v>
      </c>
      <c r="L4968" s="455">
        <f t="shared" ca="1" si="179"/>
        <v>-349163769114885.88</v>
      </c>
      <c r="M4968" s="471">
        <f t="shared" si="181"/>
        <v>0.05</v>
      </c>
      <c r="N4968" s="475">
        <f t="shared" si="182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80"/>
        <v>-349163769114885.88</v>
      </c>
      <c r="J4969" s="455">
        <f t="array" ref="J4969">IFERROR(INDEX('Retirement Calculator'!K:K,MATCH('Lorri 401b'!N4969,'Retirement Calculator'!A:A,0),0),0)</f>
        <v>0</v>
      </c>
      <c r="K4969" s="455">
        <f t="shared" ca="1" si="178"/>
        <v>-1454849037978.6912</v>
      </c>
      <c r="L4969" s="455">
        <f t="shared" ca="1" si="179"/>
        <v>-350618618152864.56</v>
      </c>
      <c r="M4969" s="471">
        <f t="shared" si="181"/>
        <v>0.05</v>
      </c>
      <c r="N4969" s="475">
        <f t="shared" si="182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80"/>
        <v>-350618618152864.56</v>
      </c>
      <c r="J4970" s="455">
        <f t="array" ref="J4970">IFERROR(INDEX('Retirement Calculator'!K:K,MATCH('Lorri 401b'!N4970,'Retirement Calculator'!A:A,0),0),0)</f>
        <v>0</v>
      </c>
      <c r="K4970" s="455">
        <f t="shared" ca="1" si="178"/>
        <v>-1460910908970.269</v>
      </c>
      <c r="L4970" s="455">
        <f t="shared" ca="1" si="179"/>
        <v>-352079529061834.81</v>
      </c>
      <c r="M4970" s="471">
        <f t="shared" si="181"/>
        <v>0.05</v>
      </c>
      <c r="N4970" s="475">
        <f t="shared" si="182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80"/>
        <v>-352079529061834.81</v>
      </c>
      <c r="J4971" s="455">
        <f t="array" ref="J4971">IFERROR(INDEX('Retirement Calculator'!K:K,MATCH('Lorri 401b'!N4971,'Retirement Calculator'!A:A,0),0),0)</f>
        <v>0</v>
      </c>
      <c r="K4971" s="455">
        <f t="shared" ca="1" si="178"/>
        <v>-1466998037757.645</v>
      </c>
      <c r="L4971" s="455">
        <f t="shared" ca="1" si="179"/>
        <v>-353546527099592.44</v>
      </c>
      <c r="M4971" s="471">
        <f t="shared" si="181"/>
        <v>0.05</v>
      </c>
      <c r="N4971" s="475">
        <f t="shared" si="182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80"/>
        <v>-353546527099592.44</v>
      </c>
      <c r="J4972" s="455">
        <f t="array" ref="J4972">IFERROR(INDEX('Retirement Calculator'!K:K,MATCH('Lorri 401b'!N4972,'Retirement Calculator'!A:A,0),0),0)</f>
        <v>0</v>
      </c>
      <c r="K4972" s="455">
        <f t="shared" ca="1" si="178"/>
        <v>-1473110529581.6353</v>
      </c>
      <c r="L4972" s="455">
        <f t="shared" ca="1" si="179"/>
        <v>-355019637629174.06</v>
      </c>
      <c r="M4972" s="471">
        <f t="shared" si="181"/>
        <v>0.05</v>
      </c>
      <c r="N4972" s="475">
        <f t="shared" si="182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80"/>
        <v>-355019637629174.06</v>
      </c>
      <c r="J4973" s="455">
        <f t="array" ref="J4973">IFERROR(INDEX('Retirement Calculator'!K:K,MATCH('Lorri 401b'!N4973,'Retirement Calculator'!A:A,0),0),0)</f>
        <v>0</v>
      </c>
      <c r="K4973" s="455">
        <f t="shared" ca="1" si="178"/>
        <v>-1479248490121.5586</v>
      </c>
      <c r="L4973" s="455">
        <f t="shared" ca="1" si="179"/>
        <v>-356498886119295.63</v>
      </c>
      <c r="M4973" s="471">
        <f t="shared" si="181"/>
        <v>0.05</v>
      </c>
      <c r="N4973" s="475">
        <f t="shared" si="182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80"/>
        <v>-356498886119295.63</v>
      </c>
      <c r="J4974" s="455">
        <f t="array" ref="J4974">IFERROR(INDEX('Retirement Calculator'!K:K,MATCH('Lorri 401b'!N4974,'Retirement Calculator'!A:A,0),0),0)</f>
        <v>0</v>
      </c>
      <c r="K4974" s="455">
        <f t="shared" ca="1" si="178"/>
        <v>-1485412025497.0652</v>
      </c>
      <c r="L4974" s="455">
        <f t="shared" ca="1" si="179"/>
        <v>-357984298144792.69</v>
      </c>
      <c r="M4974" s="471">
        <f t="shared" si="181"/>
        <v>0.05</v>
      </c>
      <c r="N4974" s="475">
        <f t="shared" si="182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80"/>
        <v>-357984298144792.69</v>
      </c>
      <c r="J4975" s="455">
        <f t="array" ref="J4975">IFERROR(INDEX('Retirement Calculator'!K:K,MATCH('Lorri 401b'!N4975,'Retirement Calculator'!A:A,0),0),0)</f>
        <v>0</v>
      </c>
      <c r="K4975" s="455">
        <f t="shared" ca="1" si="178"/>
        <v>-1491601242269.9695</v>
      </c>
      <c r="L4975" s="455">
        <f t="shared" ca="1" si="179"/>
        <v>-359475899387062.69</v>
      </c>
      <c r="M4975" s="471">
        <f t="shared" si="181"/>
        <v>0.05</v>
      </c>
      <c r="N4975" s="475">
        <f t="shared" si="182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80"/>
        <v>-359475899387062.69</v>
      </c>
      <c r="J4976" s="455">
        <f t="array" ref="J4976">IFERROR(INDEX('Retirement Calculator'!K:K,MATCH('Lorri 401b'!N4976,'Retirement Calculator'!A:A,0),0),0)</f>
        <v>0</v>
      </c>
      <c r="K4976" s="455">
        <f t="shared" ca="1" si="178"/>
        <v>-1497816247446.0945</v>
      </c>
      <c r="L4976" s="455">
        <f t="shared" ca="1" si="179"/>
        <v>-360973715634508.81</v>
      </c>
      <c r="M4976" s="471">
        <f t="shared" si="181"/>
        <v>0.05</v>
      </c>
      <c r="N4976" s="475">
        <f t="shared" si="182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80"/>
        <v>-360973715634508.81</v>
      </c>
      <c r="J4977" s="455">
        <f t="array" ref="J4977">IFERROR(INDEX('Retirement Calculator'!K:K,MATCH('Lorri 401b'!N4977,'Retirement Calculator'!A:A,0),0),0)</f>
        <v>0</v>
      </c>
      <c r="K4977" s="455">
        <f t="shared" ca="1" si="178"/>
        <v>-1504057148477.1201</v>
      </c>
      <c r="L4977" s="455">
        <f t="shared" ca="1" si="179"/>
        <v>-362477772782985.94</v>
      </c>
      <c r="M4977" s="471">
        <f t="shared" si="181"/>
        <v>0.05</v>
      </c>
      <c r="N4977" s="475">
        <f t="shared" si="182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80"/>
        <v>-362477772782985.94</v>
      </c>
      <c r="J4978" s="455">
        <f t="array" ref="J4978">IFERROR(INDEX('Retirement Calculator'!K:K,MATCH('Lorri 401b'!N4978,'Retirement Calculator'!A:A,0),0),0)</f>
        <v>0</v>
      </c>
      <c r="K4978" s="455">
        <f t="shared" ca="1" si="178"/>
        <v>-1510324053262.4414</v>
      </c>
      <c r="L4978" s="455">
        <f t="shared" ca="1" si="179"/>
        <v>-363988096836248.38</v>
      </c>
      <c r="M4978" s="471">
        <f t="shared" si="181"/>
        <v>0.05</v>
      </c>
      <c r="N4978" s="475">
        <f t="shared" si="182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80"/>
        <v>-363988096836248.38</v>
      </c>
      <c r="J4979" s="455">
        <f t="array" ref="J4979">IFERROR(INDEX('Retirement Calculator'!K:K,MATCH('Lorri 401b'!N4979,'Retirement Calculator'!A:A,0),0),0)</f>
        <v>0</v>
      </c>
      <c r="K4979" s="455">
        <f t="shared" ca="1" si="178"/>
        <v>-1516617070151.0349</v>
      </c>
      <c r="L4979" s="455">
        <f t="shared" ca="1" si="179"/>
        <v>-365504713906399.44</v>
      </c>
      <c r="M4979" s="471">
        <f t="shared" si="181"/>
        <v>0.05</v>
      </c>
      <c r="N4979" s="475">
        <f t="shared" si="182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80"/>
        <v>-365504713906399.44</v>
      </c>
      <c r="J4980" s="455">
        <f t="array" ref="J4980">IFERROR(INDEX('Retirement Calculator'!K:K,MATCH('Lorri 401b'!N4980,'Retirement Calculator'!A:A,0),0),0)</f>
        <v>0</v>
      </c>
      <c r="K4980" s="455">
        <f t="shared" ca="1" si="178"/>
        <v>-1522936307943.3311</v>
      </c>
      <c r="L4980" s="455">
        <f t="shared" ca="1" si="179"/>
        <v>-367027650214342.75</v>
      </c>
      <c r="M4980" s="471">
        <f t="shared" si="181"/>
        <v>0.05</v>
      </c>
      <c r="N4980" s="475">
        <f t="shared" si="182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80"/>
        <v>-367027650214342.75</v>
      </c>
      <c r="J4981" s="455">
        <f t="array" ref="J4981">IFERROR(INDEX('Retirement Calculator'!K:K,MATCH('Lorri 401b'!N4981,'Retirement Calculator'!A:A,0),0),0)</f>
        <v>0</v>
      </c>
      <c r="K4981" s="455">
        <f t="shared" ca="1" si="178"/>
        <v>-1529281875893.0947</v>
      </c>
      <c r="L4981" s="455">
        <f t="shared" ca="1" si="179"/>
        <v>-368556932090235.88</v>
      </c>
      <c r="M4981" s="471">
        <f t="shared" si="181"/>
        <v>0.05</v>
      </c>
      <c r="N4981" s="475">
        <f t="shared" si="182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80"/>
        <v>-368556932090235.88</v>
      </c>
      <c r="J4982" s="455">
        <f t="array" ref="J4982">IFERROR(INDEX('Retirement Calculator'!K:K,MATCH('Lorri 401b'!N4982,'Retirement Calculator'!A:A,0),0),0)</f>
        <v>0</v>
      </c>
      <c r="K4982" s="455">
        <f t="shared" ca="1" si="178"/>
        <v>-1535653883709.3162</v>
      </c>
      <c r="L4982" s="455">
        <f t="shared" ca="1" si="179"/>
        <v>-370092585973945.19</v>
      </c>
      <c r="M4982" s="471">
        <f t="shared" si="181"/>
        <v>0.05</v>
      </c>
      <c r="N4982" s="475">
        <f t="shared" si="182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80"/>
        <v>-370092585973945.19</v>
      </c>
      <c r="J4983" s="455">
        <f t="array" ref="J4983">IFERROR(INDEX('Retirement Calculator'!K:K,MATCH('Lorri 401b'!N4983,'Retirement Calculator'!A:A,0),0),0)</f>
        <v>0</v>
      </c>
      <c r="K4983" s="455">
        <f t="shared" ca="1" si="178"/>
        <v>-1542052441558.105</v>
      </c>
      <c r="L4983" s="455">
        <f t="shared" ca="1" si="179"/>
        <v>-371634638415503.31</v>
      </c>
      <c r="M4983" s="471">
        <f t="shared" si="181"/>
        <v>0.05</v>
      </c>
      <c r="N4983" s="475">
        <f t="shared" si="182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80"/>
        <v>-371634638415503.31</v>
      </c>
      <c r="J4984" s="455">
        <f t="array" ref="J4984">IFERROR(INDEX('Retirement Calculator'!K:K,MATCH('Lorri 401b'!N4984,'Retirement Calculator'!A:A,0),0),0)</f>
        <v>0</v>
      </c>
      <c r="K4984" s="455">
        <f t="shared" ca="1" si="178"/>
        <v>-1548477660064.5972</v>
      </c>
      <c r="L4984" s="455">
        <f t="shared" ca="1" si="179"/>
        <v>-373183116075567.94</v>
      </c>
      <c r="M4984" s="471">
        <f t="shared" si="181"/>
        <v>0.05</v>
      </c>
      <c r="N4984" s="475">
        <f t="shared" si="182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80"/>
        <v>-373183116075567.94</v>
      </c>
      <c r="J4985" s="455">
        <f t="array" ref="J4985">IFERROR(INDEX('Retirement Calculator'!K:K,MATCH('Lorri 401b'!N4985,'Retirement Calculator'!A:A,0),0),0)</f>
        <v>0</v>
      </c>
      <c r="K4985" s="455">
        <f t="shared" ca="1" si="178"/>
        <v>-1554929650314.8665</v>
      </c>
      <c r="L4985" s="455">
        <f t="shared" ca="1" si="179"/>
        <v>-374738045725882.81</v>
      </c>
      <c r="M4985" s="471">
        <f t="shared" si="181"/>
        <v>0.05</v>
      </c>
      <c r="N4985" s="475">
        <f t="shared" si="182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80"/>
        <v>-374738045725882.81</v>
      </c>
      <c r="J4986" s="455">
        <f t="array" ref="J4986">IFERROR(INDEX('Retirement Calculator'!K:K,MATCH('Lorri 401b'!N4986,'Retirement Calculator'!A:A,0),0),0)</f>
        <v>0</v>
      </c>
      <c r="K4986" s="455">
        <f t="shared" ca="1" si="178"/>
        <v>-1561408523857.845</v>
      </c>
      <c r="L4986" s="455">
        <f t="shared" ca="1" si="179"/>
        <v>-376299454249740.69</v>
      </c>
      <c r="M4986" s="471">
        <f t="shared" si="181"/>
        <v>0.05</v>
      </c>
      <c r="N4986" s="475">
        <f t="shared" si="182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80"/>
        <v>-376299454249740.69</v>
      </c>
      <c r="J4987" s="455">
        <f t="array" ref="J4987">IFERROR(INDEX('Retirement Calculator'!K:K,MATCH('Lorri 401b'!N4987,'Retirement Calculator'!A:A,0),0),0)</f>
        <v>0</v>
      </c>
      <c r="K4987" s="455">
        <f t="shared" ca="1" si="178"/>
        <v>-1567914392707.2529</v>
      </c>
      <c r="L4987" s="455">
        <f t="shared" ca="1" si="179"/>
        <v>-377867368642447.94</v>
      </c>
      <c r="M4987" s="471">
        <f t="shared" si="181"/>
        <v>0.05</v>
      </c>
      <c r="N4987" s="475">
        <f t="shared" si="182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80"/>
        <v>-377867368642447.94</v>
      </c>
      <c r="J4988" s="455">
        <f t="array" ref="J4988">IFERROR(INDEX('Retirement Calculator'!K:K,MATCH('Lorri 401b'!N4988,'Retirement Calculator'!A:A,0),0),0)</f>
        <v>0</v>
      </c>
      <c r="K4988" s="455">
        <f t="shared" ca="1" si="178"/>
        <v>-1574447369343.533</v>
      </c>
      <c r="L4988" s="455">
        <f t="shared" ca="1" si="179"/>
        <v>-379441816011791.5</v>
      </c>
      <c r="M4988" s="471">
        <f t="shared" si="181"/>
        <v>0.05</v>
      </c>
      <c r="N4988" s="475">
        <f t="shared" si="182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80"/>
        <v>-379441816011791.5</v>
      </c>
      <c r="J4989" s="455">
        <f t="array" ref="J4989">IFERROR(INDEX('Retirement Calculator'!K:K,MATCH('Lorri 401b'!N4989,'Retirement Calculator'!A:A,0),0),0)</f>
        <v>0</v>
      </c>
      <c r="K4989" s="455">
        <f t="shared" ca="1" si="178"/>
        <v>-1581007566715.7979</v>
      </c>
      <c r="L4989" s="455">
        <f t="shared" ca="1" si="179"/>
        <v>-381022823578507.31</v>
      </c>
      <c r="M4989" s="471">
        <f t="shared" si="181"/>
        <v>0.05</v>
      </c>
      <c r="N4989" s="475">
        <f t="shared" si="182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80"/>
        <v>-381022823578507.31</v>
      </c>
      <c r="J4990" s="455">
        <f t="array" ref="J4990">IFERROR(INDEX('Retirement Calculator'!K:K,MATCH('Lorri 401b'!N4990,'Retirement Calculator'!A:A,0),0),0)</f>
        <v>0</v>
      </c>
      <c r="K4990" s="455">
        <f t="shared" ca="1" si="178"/>
        <v>-1587595098243.7805</v>
      </c>
      <c r="L4990" s="455">
        <f t="shared" ca="1" si="179"/>
        <v>-382610418676751.06</v>
      </c>
      <c r="M4990" s="471">
        <f t="shared" si="181"/>
        <v>0.05</v>
      </c>
      <c r="N4990" s="475">
        <f t="shared" si="182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80"/>
        <v>-382610418676751.06</v>
      </c>
      <c r="J4991" s="455">
        <f t="array" ref="J4991">IFERROR(INDEX('Retirement Calculator'!K:K,MATCH('Lorri 401b'!N4991,'Retirement Calculator'!A:A,0),0),0)</f>
        <v>0</v>
      </c>
      <c r="K4991" s="455">
        <f t="shared" ca="1" si="178"/>
        <v>-1594210077819.7961</v>
      </c>
      <c r="L4991" s="455">
        <f t="shared" ca="1" si="179"/>
        <v>-384204628754570.88</v>
      </c>
      <c r="M4991" s="471">
        <f t="shared" si="181"/>
        <v>0.05</v>
      </c>
      <c r="N4991" s="475">
        <f t="shared" si="182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80"/>
        <v>-384204628754570.88</v>
      </c>
      <c r="J4992" s="455">
        <f t="array" ref="J4992">IFERROR(INDEX('Retirement Calculator'!K:K,MATCH('Lorri 401b'!N4992,'Retirement Calculator'!A:A,0),0),0)</f>
        <v>0</v>
      </c>
      <c r="K4992" s="455">
        <f t="shared" ca="1" si="178"/>
        <v>-1600852619810.7119</v>
      </c>
      <c r="L4992" s="455">
        <f t="shared" ca="1" si="179"/>
        <v>-385805481374381.56</v>
      </c>
      <c r="M4992" s="471">
        <f t="shared" si="181"/>
        <v>0.05</v>
      </c>
      <c r="N4992" s="475">
        <f t="shared" si="182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80"/>
        <v>-385805481374381.56</v>
      </c>
      <c r="J4993" s="455">
        <f t="array" ref="J4993">IFERROR(INDEX('Retirement Calculator'!K:K,MATCH('Lorri 401b'!N4993,'Retirement Calculator'!A:A,0),0),0)</f>
        <v>0</v>
      </c>
      <c r="K4993" s="455">
        <f t="shared" ca="1" si="178"/>
        <v>-1607522839059.9231</v>
      </c>
      <c r="L4993" s="455">
        <f t="shared" ca="1" si="179"/>
        <v>-387413004213441.5</v>
      </c>
      <c r="M4993" s="471">
        <f t="shared" si="181"/>
        <v>0.05</v>
      </c>
      <c r="N4993" s="475">
        <f t="shared" si="182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80"/>
        <v>-387413004213441.5</v>
      </c>
      <c r="J4994" s="455">
        <f t="array" ref="J4994">IFERROR(INDEX('Retirement Calculator'!K:K,MATCH('Lorri 401b'!N4994,'Retirement Calculator'!A:A,0),0),0)</f>
        <v>0</v>
      </c>
      <c r="K4994" s="455">
        <f t="shared" ca="1" si="178"/>
        <v>-1614220850889.3396</v>
      </c>
      <c r="L4994" s="455">
        <f t="shared" ca="1" si="179"/>
        <v>-389027225064330.81</v>
      </c>
      <c r="M4994" s="471">
        <f t="shared" si="181"/>
        <v>0.05</v>
      </c>
      <c r="N4994" s="475">
        <f t="shared" si="182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80"/>
        <v>-389027225064330.81</v>
      </c>
      <c r="J4995" s="455">
        <f t="array" ref="J4995">IFERROR(INDEX('Retirement Calculator'!K:K,MATCH('Lorri 401b'!N4995,'Retirement Calculator'!A:A,0),0),0)</f>
        <v>0</v>
      </c>
      <c r="K4995" s="455">
        <f t="shared" ca="1" si="178"/>
        <v>-1620946771101.3784</v>
      </c>
      <c r="L4995" s="455">
        <f t="shared" ca="1" si="179"/>
        <v>-390648171835432.19</v>
      </c>
      <c r="M4995" s="471">
        <f t="shared" si="181"/>
        <v>0.05</v>
      </c>
      <c r="N4995" s="475">
        <f t="shared" si="182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80"/>
        <v>-390648171835432.19</v>
      </c>
      <c r="J4996" s="455">
        <f t="array" ref="J4996">IFERROR(INDEX('Retirement Calculator'!K:K,MATCH('Lorri 401b'!N4996,'Retirement Calculator'!A:A,0),0),0)</f>
        <v>0</v>
      </c>
      <c r="K4996" s="455">
        <f t="shared" ca="1" si="178"/>
        <v>-1627700715980.9675</v>
      </c>
      <c r="L4996" s="455">
        <f t="shared" ca="1" si="179"/>
        <v>-392275872551413.13</v>
      </c>
      <c r="M4996" s="471">
        <f t="shared" si="181"/>
        <v>0.05</v>
      </c>
      <c r="N4996" s="475">
        <f t="shared" si="182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80"/>
        <v>-392275872551413.13</v>
      </c>
      <c r="J4997" s="455">
        <f t="array" ref="J4997">IFERROR(INDEX('Retirement Calculator'!K:K,MATCH('Lorri 401b'!N4997,'Retirement Calculator'!A:A,0),0),0)</f>
        <v>0</v>
      </c>
      <c r="K4997" s="455">
        <f t="shared" ca="1" si="178"/>
        <v>-1634482802297.5547</v>
      </c>
      <c r="L4997" s="455">
        <f t="shared" ca="1" si="179"/>
        <v>-393910355353710.69</v>
      </c>
      <c r="M4997" s="471">
        <f t="shared" si="181"/>
        <v>0.05</v>
      </c>
      <c r="N4997" s="475">
        <f t="shared" si="182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80"/>
        <v>-393910355353710.69</v>
      </c>
      <c r="J4998" s="455">
        <f t="array" ref="J4998">IFERROR(INDEX('Retirement Calculator'!K:K,MATCH('Lorri 401b'!N4998,'Retirement Calculator'!A:A,0),0),0)</f>
        <v>0</v>
      </c>
      <c r="K4998" s="455">
        <f t="shared" ca="1" si="178"/>
        <v>-1641293147307.1279</v>
      </c>
      <c r="L4998" s="455">
        <f t="shared" ca="1" si="179"/>
        <v>-395551648501017.81</v>
      </c>
      <c r="M4998" s="471">
        <f t="shared" si="181"/>
        <v>0.05</v>
      </c>
      <c r="N4998" s="475">
        <f t="shared" si="182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80"/>
        <v>-395551648501017.81</v>
      </c>
      <c r="J4999" s="455">
        <f t="array" ref="J4999">IFERROR(INDEX('Retirement Calculator'!K:K,MATCH('Lorri 401b'!N4999,'Retirement Calculator'!A:A,0),0),0)</f>
        <v>0</v>
      </c>
      <c r="K4999" s="455">
        <f t="shared" ca="1" si="178"/>
        <v>-1648131868754.241</v>
      </c>
      <c r="L4999" s="455">
        <f t="shared" ca="1" si="179"/>
        <v>-397199780369772.06</v>
      </c>
      <c r="M4999" s="471">
        <f t="shared" si="181"/>
        <v>0.05</v>
      </c>
      <c r="N4999" s="475">
        <f t="shared" si="182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80"/>
        <v>-397199780369772.06</v>
      </c>
      <c r="J5000" s="455">
        <f t="array" ref="J5000">IFERROR(INDEX('Retirement Calculator'!K:K,MATCH('Lorri 401b'!N5000,'Retirement Calculator'!A:A,0),0),0)</f>
        <v>0</v>
      </c>
      <c r="K5000" s="455">
        <f t="shared" ca="1" si="178"/>
        <v>-1654999084874.0503</v>
      </c>
      <c r="L5000" s="455">
        <f t="shared" ca="1" si="179"/>
        <v>-398854779454646.13</v>
      </c>
      <c r="M5000" s="471">
        <f t="shared" si="181"/>
        <v>0.05</v>
      </c>
      <c r="N5000" s="475">
        <f t="shared" si="182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80"/>
        <v>-398854779454646.13</v>
      </c>
      <c r="J5001" s="455">
        <f t="array" ref="J5001">IFERROR(INDEX('Retirement Calculator'!K:K,MATCH('Lorri 401b'!N5001,'Retirement Calculator'!A:A,0),0),0)</f>
        <v>0</v>
      </c>
      <c r="K5001" s="455">
        <f t="shared" ca="1" si="178"/>
        <v>-1661894914394.3589</v>
      </c>
      <c r="L5001" s="455">
        <f t="shared" ca="1" si="179"/>
        <v>-400516674369040.5</v>
      </c>
      <c r="M5001" s="471">
        <f t="shared" si="181"/>
        <v>0.05</v>
      </c>
      <c r="N5001" s="475">
        <f t="shared" si="182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80"/>
        <v>-400516674369040.5</v>
      </c>
      <c r="J5002" s="455">
        <f t="array" ref="J5002">IFERROR(INDEX('Retirement Calculator'!K:K,MATCH('Lorri 401b'!N5002,'Retirement Calculator'!A:A,0),0),0)</f>
        <v>0</v>
      </c>
      <c r="K5002" s="455">
        <f t="shared" ca="1" si="178"/>
        <v>-1668819476537.6687</v>
      </c>
      <c r="L5002" s="455">
        <f t="shared" ca="1" si="179"/>
        <v>-402185493845578.19</v>
      </c>
      <c r="M5002" s="471">
        <f t="shared" si="181"/>
        <v>0.05</v>
      </c>
      <c r="N5002" s="475">
        <f t="shared" si="182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80"/>
        <v>-402185493845578.19</v>
      </c>
      <c r="J5003" s="455">
        <f t="array" ref="J5003">IFERROR(INDEX('Retirement Calculator'!K:K,MATCH('Lorri 401b'!N5003,'Retirement Calculator'!A:A,0),0),0)</f>
        <v>0</v>
      </c>
      <c r="K5003" s="455">
        <f t="shared" ca="1" si="178"/>
        <v>-1675772891023.2424</v>
      </c>
      <c r="L5003" s="455">
        <f t="shared" ca="1" si="179"/>
        <v>-403861266736601.44</v>
      </c>
      <c r="M5003" s="471">
        <f t="shared" si="181"/>
        <v>0.05</v>
      </c>
      <c r="N5003" s="475">
        <f t="shared" si="182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80"/>
        <v>-403861266736601.44</v>
      </c>
      <c r="J5004" s="455">
        <f t="array" ref="J5004">IFERROR(INDEX('Retirement Calculator'!K:K,MATCH('Lorri 401b'!N5004,'Retirement Calculator'!A:A,0),0),0)</f>
        <v>0</v>
      </c>
      <c r="K5004" s="455">
        <f t="shared" ca="1" si="178"/>
        <v>-1682755278069.1726</v>
      </c>
      <c r="L5004" s="455">
        <f t="shared" ca="1" si="179"/>
        <v>-405544022014670.63</v>
      </c>
      <c r="M5004" s="471">
        <f t="shared" si="181"/>
        <v>0.05</v>
      </c>
      <c r="N5004" s="475">
        <f t="shared" si="182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80"/>
        <v>-405544022014670.63</v>
      </c>
      <c r="J5005" s="455">
        <f t="array" ref="J5005">IFERROR(INDEX('Retirement Calculator'!K:K,MATCH('Lorri 401b'!N5005,'Retirement Calculator'!A:A,0),0),0)</f>
        <v>0</v>
      </c>
      <c r="K5005" s="455">
        <f t="shared" ca="1" si="178"/>
        <v>-1689766758394.4609</v>
      </c>
      <c r="L5005" s="455">
        <f t="shared" ca="1" si="179"/>
        <v>-407233788773065.06</v>
      </c>
      <c r="M5005" s="471">
        <f t="shared" si="181"/>
        <v>0.05</v>
      </c>
      <c r="N5005" s="475">
        <f t="shared" si="182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80"/>
        <v>-407233788773065.06</v>
      </c>
      <c r="J5006" s="455">
        <f t="array" ref="J5006">IFERROR(INDEX('Retirement Calculator'!K:K,MATCH('Lorri 401b'!N5006,'Retirement Calculator'!A:A,0),0),0)</f>
        <v>0</v>
      </c>
      <c r="K5006" s="455">
        <f t="shared" ca="1" si="178"/>
        <v>-1696807453221.1045</v>
      </c>
      <c r="L5006" s="455">
        <f t="shared" ca="1" si="179"/>
        <v>-408930596226286.19</v>
      </c>
      <c r="M5006" s="471">
        <f t="shared" si="181"/>
        <v>0.05</v>
      </c>
      <c r="N5006" s="475">
        <f t="shared" si="182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80"/>
        <v>-408930596226286.19</v>
      </c>
      <c r="J5007" s="455">
        <f t="array" ref="J5007">IFERROR(INDEX('Retirement Calculator'!K:K,MATCH('Lorri 401b'!N5007,'Retirement Calculator'!A:A,0),0),0)</f>
        <v>0</v>
      </c>
      <c r="K5007" s="455">
        <f t="shared" ca="1" si="178"/>
        <v>-1703877484276.1924</v>
      </c>
      <c r="L5007" s="455">
        <f t="shared" ca="1" si="179"/>
        <v>-410634473710562.38</v>
      </c>
      <c r="M5007" s="471">
        <f t="shared" si="181"/>
        <v>0.05</v>
      </c>
      <c r="N5007" s="475">
        <f t="shared" si="182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80"/>
        <v>-410634473710562.38</v>
      </c>
      <c r="J5008" s="455">
        <f t="array" ref="J5008">IFERROR(INDEX('Retirement Calculator'!K:K,MATCH('Lorri 401b'!N5008,'Retirement Calculator'!A:A,0),0),0)</f>
        <v>0</v>
      </c>
      <c r="K5008" s="455">
        <f t="shared" ca="1" si="178"/>
        <v>-1710976973794.0098</v>
      </c>
      <c r="L5008" s="455">
        <f t="shared" ca="1" si="179"/>
        <v>-412345450684356.38</v>
      </c>
      <c r="M5008" s="471">
        <f t="shared" si="181"/>
        <v>0.05</v>
      </c>
      <c r="N5008" s="475">
        <f t="shared" si="182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80"/>
        <v>-412345450684356.38</v>
      </c>
      <c r="J5009" s="455">
        <f t="array" ref="J5009">IFERROR(INDEX('Retirement Calculator'!K:K,MATCH('Lorri 401b'!N5009,'Retirement Calculator'!A:A,0),0),0)</f>
        <v>0</v>
      </c>
      <c r="K5009" s="455">
        <f t="shared" ca="1" si="178"/>
        <v>-1718106044518.1516</v>
      </c>
      <c r="L5009" s="455">
        <f t="shared" ca="1" si="179"/>
        <v>-414063556728874.5</v>
      </c>
      <c r="M5009" s="471">
        <f t="shared" si="181"/>
        <v>0.05</v>
      </c>
      <c r="N5009" s="475">
        <f t="shared" si="182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80"/>
        <v>-414063556728874.5</v>
      </c>
      <c r="J5010" s="455">
        <f t="array" ref="J5010">IFERROR(INDEX('Retirement Calculator'!K:K,MATCH('Lorri 401b'!N5010,'Retirement Calculator'!A:A,0),0),0)</f>
        <v>0</v>
      </c>
      <c r="K5010" s="455">
        <f t="shared" ca="1" si="178"/>
        <v>-1725264819703.6438</v>
      </c>
      <c r="L5010" s="455">
        <f t="shared" ca="1" si="179"/>
        <v>-415788821548578.13</v>
      </c>
      <c r="M5010" s="471">
        <f t="shared" si="181"/>
        <v>0.05</v>
      </c>
      <c r="N5010" s="475">
        <f t="shared" si="182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80"/>
        <v>-415788821548578.13</v>
      </c>
      <c r="J5011" s="455">
        <f t="array" ref="J5011">IFERROR(INDEX('Retirement Calculator'!K:K,MATCH('Lorri 401b'!N5011,'Retirement Calculator'!A:A,0),0),0)</f>
        <v>0</v>
      </c>
      <c r="K5011" s="455">
        <f t="shared" ca="1" si="178"/>
        <v>-1732453423119.0754</v>
      </c>
      <c r="L5011" s="455">
        <f t="shared" ca="1" si="179"/>
        <v>-417521274971697.19</v>
      </c>
      <c r="M5011" s="471">
        <f t="shared" si="181"/>
        <v>0.05</v>
      </c>
      <c r="N5011" s="475">
        <f t="shared" si="182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80"/>
        <v>-417521274971697.19</v>
      </c>
      <c r="J5012" s="455">
        <f t="array" ref="J5012">IFERROR(INDEX('Retirement Calculator'!K:K,MATCH('Lorri 401b'!N5012,'Retirement Calculator'!A:A,0),0),0)</f>
        <v>0</v>
      </c>
      <c r="K5012" s="455">
        <f t="shared" ca="1" si="178"/>
        <v>-1739671979048.7383</v>
      </c>
      <c r="L5012" s="455">
        <f t="shared" ca="1" si="179"/>
        <v>-419260946950745.94</v>
      </c>
      <c r="M5012" s="471">
        <f t="shared" si="181"/>
        <v>0.05</v>
      </c>
      <c r="N5012" s="475">
        <f t="shared" si="182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80"/>
        <v>-419260946950745.94</v>
      </c>
      <c r="J5013" s="455">
        <f t="array" ref="J5013">IFERROR(INDEX('Retirement Calculator'!K:K,MATCH('Lorri 401b'!N5013,'Retirement Calculator'!A:A,0),0),0)</f>
        <v>0</v>
      </c>
      <c r="K5013" s="455">
        <f t="shared" ca="1" si="178"/>
        <v>-1746920612294.7747</v>
      </c>
      <c r="L5013" s="455">
        <f t="shared" ca="1" si="179"/>
        <v>-421007867563040.69</v>
      </c>
      <c r="M5013" s="471">
        <f t="shared" si="181"/>
        <v>0.05</v>
      </c>
      <c r="N5013" s="475">
        <f t="shared" si="182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80"/>
        <v>-421007867563040.69</v>
      </c>
      <c r="J5014" s="455">
        <f t="array" ref="J5014">IFERROR(INDEX('Retirement Calculator'!K:K,MATCH('Lorri 401b'!N5014,'Retirement Calculator'!A:A,0),0),0)</f>
        <v>0</v>
      </c>
      <c r="K5014" s="455">
        <f t="shared" ca="1" si="178"/>
        <v>-1754199448179.3362</v>
      </c>
      <c r="L5014" s="455">
        <f t="shared" ca="1" si="179"/>
        <v>-422762067011220</v>
      </c>
      <c r="M5014" s="471">
        <f t="shared" si="181"/>
        <v>0.05</v>
      </c>
      <c r="N5014" s="475">
        <f t="shared" si="182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80"/>
        <v>-422762067011220</v>
      </c>
      <c r="J5015" s="455">
        <f t="array" ref="J5015">IFERROR(INDEX('Retirement Calculator'!K:K,MATCH('Lorri 401b'!N5015,'Retirement Calculator'!A:A,0),0),0)</f>
        <v>0</v>
      </c>
      <c r="K5015" s="455">
        <f t="shared" ca="1" si="178"/>
        <v>-1761508612546.75</v>
      </c>
      <c r="L5015" s="455">
        <f t="shared" ca="1" si="179"/>
        <v>-424523575623766.75</v>
      </c>
      <c r="M5015" s="471">
        <f t="shared" si="181"/>
        <v>0.05</v>
      </c>
      <c r="N5015" s="475">
        <f t="shared" si="182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80"/>
        <v>-424523575623766.75</v>
      </c>
      <c r="J5016" s="455">
        <f t="array" ref="J5016">IFERROR(INDEX('Retirement Calculator'!K:K,MATCH('Lorri 401b'!N5016,'Retirement Calculator'!A:A,0),0),0)</f>
        <v>0</v>
      </c>
      <c r="K5016" s="455">
        <f t="shared" ca="1" si="178"/>
        <v>-1768848231765.6948</v>
      </c>
      <c r="L5016" s="455">
        <f t="shared" ca="1" si="179"/>
        <v>-426292423855532.44</v>
      </c>
      <c r="M5016" s="471">
        <f t="shared" si="181"/>
        <v>0.05</v>
      </c>
      <c r="N5016" s="475">
        <f t="shared" si="182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80"/>
        <v>-426292423855532.44</v>
      </c>
      <c r="J5017" s="455">
        <f t="array" ref="J5017">IFERROR(INDEX('Retirement Calculator'!K:K,MATCH('Lorri 401b'!N5017,'Retirement Calculator'!A:A,0),0),0)</f>
        <v>0</v>
      </c>
      <c r="K5017" s="455">
        <f t="shared" ca="1" si="178"/>
        <v>-1776218432731.385</v>
      </c>
      <c r="L5017" s="455">
        <f t="shared" ca="1" si="179"/>
        <v>-428068642288263.81</v>
      </c>
      <c r="M5017" s="471">
        <f t="shared" si="181"/>
        <v>0.05</v>
      </c>
      <c r="N5017" s="475">
        <f t="shared" si="182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80"/>
        <v>-428068642288263.81</v>
      </c>
      <c r="J5018" s="455">
        <f t="array" ref="J5018">IFERROR(INDEX('Retirement Calculator'!K:K,MATCH('Lorri 401b'!N5018,'Retirement Calculator'!A:A,0),0),0)</f>
        <v>0</v>
      </c>
      <c r="K5018" s="455">
        <f t="shared" ca="1" si="178"/>
        <v>-1783619342867.7659</v>
      </c>
      <c r="L5018" s="455">
        <f t="shared" ca="1" si="179"/>
        <v>-429852261631131.56</v>
      </c>
      <c r="M5018" s="471">
        <f t="shared" si="181"/>
        <v>0.05</v>
      </c>
      <c r="N5018" s="475">
        <f t="shared" si="182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80"/>
        <v>-429852261631131.56</v>
      </c>
      <c r="J5019" s="455">
        <f t="array" ref="J5019">IFERROR(INDEX('Retirement Calculator'!K:K,MATCH('Lorri 401b'!N5019,'Retirement Calculator'!A:A,0),0),0)</f>
        <v>0</v>
      </c>
      <c r="K5019" s="455">
        <f t="shared" ca="1" si="178"/>
        <v>-1791051090129.7148</v>
      </c>
      <c r="L5019" s="455">
        <f t="shared" ca="1" si="179"/>
        <v>-431643312721261.25</v>
      </c>
      <c r="M5019" s="471">
        <f t="shared" si="181"/>
        <v>0.05</v>
      </c>
      <c r="N5019" s="475">
        <f t="shared" si="182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80"/>
        <v>-431643312721261.25</v>
      </c>
      <c r="J5020" s="455">
        <f t="array" ref="J5020">IFERROR(INDEX('Retirement Calculator'!K:K,MATCH('Lorri 401b'!N5020,'Retirement Calculator'!A:A,0),0),0)</f>
        <v>0</v>
      </c>
      <c r="K5020" s="455">
        <f t="shared" ca="1" si="178"/>
        <v>-1798513803005.2551</v>
      </c>
      <c r="L5020" s="455">
        <f t="shared" ca="1" si="179"/>
        <v>-433441826524266.5</v>
      </c>
      <c r="M5020" s="471">
        <f t="shared" si="181"/>
        <v>0.05</v>
      </c>
      <c r="N5020" s="475">
        <f t="shared" si="182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80"/>
        <v>-433441826524266.5</v>
      </c>
      <c r="J5021" s="455">
        <f t="array" ref="J5021">IFERROR(INDEX('Retirement Calculator'!K:K,MATCH('Lorri 401b'!N5021,'Retirement Calculator'!A:A,0),0),0)</f>
        <v>0</v>
      </c>
      <c r="K5021" s="455">
        <f t="shared" ca="1" si="178"/>
        <v>-1806007610517.7771</v>
      </c>
      <c r="L5021" s="455">
        <f t="shared" ca="1" si="179"/>
        <v>-435247834134784.25</v>
      </c>
      <c r="M5021" s="471">
        <f t="shared" si="181"/>
        <v>0.05</v>
      </c>
      <c r="N5021" s="475">
        <f t="shared" si="182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80"/>
        <v>-435247834134784.25</v>
      </c>
      <c r="J5022" s="455">
        <f t="array" ref="J5022">IFERROR(INDEX('Retirement Calculator'!K:K,MATCH('Lorri 401b'!N5022,'Retirement Calculator'!A:A,0),0),0)</f>
        <v>0</v>
      </c>
      <c r="K5022" s="455">
        <f t="shared" ca="1" si="178"/>
        <v>-1813532642228.2676</v>
      </c>
      <c r="L5022" s="455">
        <f t="shared" ca="1" si="179"/>
        <v>-437061366777012.5</v>
      </c>
      <c r="M5022" s="471">
        <f t="shared" si="181"/>
        <v>0.05</v>
      </c>
      <c r="N5022" s="475">
        <f t="shared" si="182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80"/>
        <v>-437061366777012.5</v>
      </c>
      <c r="J5023" s="455">
        <f t="array" ref="J5023">IFERROR(INDEX('Retirement Calculator'!K:K,MATCH('Lorri 401b'!N5023,'Retirement Calculator'!A:A,0),0),0)</f>
        <v>0</v>
      </c>
      <c r="K5023" s="455">
        <f t="shared" ca="1" si="178"/>
        <v>-1821089028237.552</v>
      </c>
      <c r="L5023" s="455">
        <f t="shared" ca="1" si="179"/>
        <v>-438882455805250.06</v>
      </c>
      <c r="M5023" s="471">
        <f t="shared" si="181"/>
        <v>0.05</v>
      </c>
      <c r="N5023" s="475">
        <f t="shared" si="182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80"/>
        <v>-438882455805250.06</v>
      </c>
      <c r="J5024" s="455">
        <f t="array" ref="J5024">IFERROR(INDEX('Retirement Calculator'!K:K,MATCH('Lorri 401b'!N5024,'Retirement Calculator'!A:A,0),0),0)</f>
        <v>0</v>
      </c>
      <c r="K5024" s="455">
        <f t="shared" ca="1" si="178"/>
        <v>-1828676899188.542</v>
      </c>
      <c r="L5024" s="455">
        <f t="shared" ca="1" si="179"/>
        <v>-440711132704438.63</v>
      </c>
      <c r="M5024" s="471">
        <f t="shared" si="181"/>
        <v>0.05</v>
      </c>
      <c r="N5024" s="475">
        <f t="shared" si="182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80"/>
        <v>-440711132704438.63</v>
      </c>
      <c r="J5025" s="455">
        <f t="array" ref="J5025">IFERROR(INDEX('Retirement Calculator'!K:K,MATCH('Lorri 401b'!N5025,'Retirement Calculator'!A:A,0),0),0)</f>
        <v>0</v>
      </c>
      <c r="K5025" s="455">
        <f t="shared" ca="1" si="178"/>
        <v>-1836296386268.4941</v>
      </c>
      <c r="L5025" s="455">
        <f t="shared" ca="1" si="179"/>
        <v>-442547429090707.13</v>
      </c>
      <c r="M5025" s="471">
        <f t="shared" si="181"/>
        <v>0.05</v>
      </c>
      <c r="N5025" s="475">
        <f t="shared" si="182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80"/>
        <v>-442547429090707.13</v>
      </c>
      <c r="J5026" s="455">
        <f t="array" ref="J5026">IFERROR(INDEX('Retirement Calculator'!K:K,MATCH('Lorri 401b'!N5026,'Retirement Calculator'!A:A,0),0),0)</f>
        <v>0</v>
      </c>
      <c r="K5026" s="455">
        <f t="shared" ca="1" si="178"/>
        <v>-1843947621211.2795</v>
      </c>
      <c r="L5026" s="455">
        <f t="shared" ca="1" si="179"/>
        <v>-444391376711918.38</v>
      </c>
      <c r="M5026" s="471">
        <f t="shared" si="181"/>
        <v>0.05</v>
      </c>
      <c r="N5026" s="475">
        <f t="shared" si="182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80"/>
        <v>-444391376711918.38</v>
      </c>
      <c r="J5027" s="455">
        <f t="array" ref="J5027">IFERROR(INDEX('Retirement Calculator'!K:K,MATCH('Lorri 401b'!N5027,'Retirement Calculator'!A:A,0),0),0)</f>
        <v>0</v>
      </c>
      <c r="K5027" s="455">
        <f t="shared" ca="1" si="178"/>
        <v>-1851630736299.6602</v>
      </c>
      <c r="L5027" s="455">
        <f t="shared" ca="1" si="179"/>
        <v>-446243007448218.06</v>
      </c>
      <c r="M5027" s="471">
        <f t="shared" si="181"/>
        <v>0.05</v>
      </c>
      <c r="N5027" s="475">
        <f t="shared" si="182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80"/>
        <v>-446243007448218.06</v>
      </c>
      <c r="J5028" s="455">
        <f t="array" ref="J5028">IFERROR(INDEX('Retirement Calculator'!K:K,MATCH('Lorri 401b'!N5028,'Retirement Calculator'!A:A,0),0),0)</f>
        <v>0</v>
      </c>
      <c r="K5028" s="455">
        <f t="shared" ca="1" si="178"/>
        <v>-1859345864367.5754</v>
      </c>
      <c r="L5028" s="455">
        <f t="shared" ca="1" si="179"/>
        <v>-448102353312585.63</v>
      </c>
      <c r="M5028" s="471">
        <f t="shared" si="181"/>
        <v>0.05</v>
      </c>
      <c r="N5028" s="475">
        <f t="shared" si="182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80"/>
        <v>-448102353312585.63</v>
      </c>
      <c r="J5029" s="455">
        <f t="array" ref="J5029">IFERROR(INDEX('Retirement Calculator'!K:K,MATCH('Lorri 401b'!N5029,'Retirement Calculator'!A:A,0),0),0)</f>
        <v>0</v>
      </c>
      <c r="K5029" s="455">
        <f t="shared" ca="1" si="178"/>
        <v>-1867093138802.4397</v>
      </c>
      <c r="L5029" s="455">
        <f t="shared" ca="1" si="179"/>
        <v>-449969446451388.06</v>
      </c>
      <c r="M5029" s="471">
        <f t="shared" si="181"/>
        <v>0.05</v>
      </c>
      <c r="N5029" s="475">
        <f t="shared" si="182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80"/>
        <v>-449969446451388.06</v>
      </c>
      <c r="J5030" s="455">
        <f t="array" ref="J5030">IFERROR(INDEX('Retirement Calculator'!K:K,MATCH('Lorri 401b'!N5030,'Retirement Calculator'!A:A,0),0),0)</f>
        <v>0</v>
      </c>
      <c r="K5030" s="455">
        <f t="shared" ca="1" si="178"/>
        <v>-1874872693547.4504</v>
      </c>
      <c r="L5030" s="455">
        <f t="shared" ca="1" si="179"/>
        <v>-451844319144935.5</v>
      </c>
      <c r="M5030" s="471">
        <f t="shared" si="181"/>
        <v>0.05</v>
      </c>
      <c r="N5030" s="475">
        <f t="shared" si="182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80"/>
        <v>-451844319144935.5</v>
      </c>
      <c r="J5031" s="455">
        <f t="array" ref="J5031">IFERROR(INDEX('Retirement Calculator'!K:K,MATCH('Lorri 401b'!N5031,'Retirement Calculator'!A:A,0),0),0)</f>
        <v>0</v>
      </c>
      <c r="K5031" s="455">
        <f t="shared" ca="1" si="178"/>
        <v>-1882684663103.8977</v>
      </c>
      <c r="L5031" s="455">
        <f t="shared" ca="1" si="179"/>
        <v>-453727003808039.38</v>
      </c>
      <c r="M5031" s="471">
        <f t="shared" si="181"/>
        <v>0.05</v>
      </c>
      <c r="N5031" s="475">
        <f t="shared" si="182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80"/>
        <v>-453727003808039.38</v>
      </c>
      <c r="J5032" s="455">
        <f t="array" ref="J5032">IFERROR(INDEX('Retirement Calculator'!K:K,MATCH('Lorri 401b'!N5032,'Retirement Calculator'!A:A,0),0),0)</f>
        <v>0</v>
      </c>
      <c r="K5032" s="455">
        <f t="shared" ca="1" si="178"/>
        <v>-1890529182533.4971</v>
      </c>
      <c r="L5032" s="455">
        <f t="shared" ca="1" si="179"/>
        <v>-455617532990572.88</v>
      </c>
      <c r="M5032" s="471">
        <f t="shared" si="181"/>
        <v>0.05</v>
      </c>
      <c r="N5032" s="475">
        <f t="shared" si="182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80"/>
        <v>-455617532990572.88</v>
      </c>
      <c r="J5033" s="455">
        <f t="array" ref="J5033">IFERROR(INDEX('Retirement Calculator'!K:K,MATCH('Lorri 401b'!N5033,'Retirement Calculator'!A:A,0),0),0)</f>
        <v>0</v>
      </c>
      <c r="K5033" s="455">
        <f t="shared" ca="1" si="178"/>
        <v>-1898406387460.7205</v>
      </c>
      <c r="L5033" s="455">
        <f t="shared" ca="1" si="179"/>
        <v>-457515939378033.63</v>
      </c>
      <c r="M5033" s="471">
        <f t="shared" si="181"/>
        <v>0.05</v>
      </c>
      <c r="N5033" s="475">
        <f t="shared" si="182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80"/>
        <v>-457515939378033.63</v>
      </c>
      <c r="J5034" s="455">
        <f t="array" ref="J5034">IFERROR(INDEX('Retirement Calculator'!K:K,MATCH('Lorri 401b'!N5034,'Retirement Calculator'!A:A,0),0),0)</f>
        <v>0</v>
      </c>
      <c r="K5034" s="455">
        <f t="shared" ca="1" si="178"/>
        <v>-1906316414075.1399</v>
      </c>
      <c r="L5034" s="455">
        <f t="shared" ca="1" si="179"/>
        <v>-459422255792108.75</v>
      </c>
      <c r="M5034" s="471">
        <f t="shared" si="181"/>
        <v>0.05</v>
      </c>
      <c r="N5034" s="475">
        <f t="shared" si="182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80"/>
        <v>-459422255792108.75</v>
      </c>
      <c r="J5035" s="455">
        <f t="array" ref="J5035">IFERROR(INDEX('Retirement Calculator'!K:K,MATCH('Lorri 401b'!N5035,'Retirement Calculator'!A:A,0),0),0)</f>
        <v>0</v>
      </c>
      <c r="K5035" s="455">
        <f t="shared" ca="1" si="178"/>
        <v>-1914259399133.7861</v>
      </c>
      <c r="L5035" s="455">
        <f t="shared" ca="1" si="179"/>
        <v>-461336515191242.56</v>
      </c>
      <c r="M5035" s="471">
        <f t="shared" si="181"/>
        <v>0.05</v>
      </c>
      <c r="N5035" s="475">
        <f t="shared" si="182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80"/>
        <v>-461336515191242.56</v>
      </c>
      <c r="J5036" s="455">
        <f t="array" ref="J5036">IFERROR(INDEX('Retirement Calculator'!K:K,MATCH('Lorri 401b'!N5036,'Retirement Calculator'!A:A,0),0),0)</f>
        <v>0</v>
      </c>
      <c r="K5036" s="455">
        <f t="shared" ca="1" si="178"/>
        <v>-1922235479963.5105</v>
      </c>
      <c r="L5036" s="455">
        <f t="shared" ca="1" si="179"/>
        <v>-463258750671206.06</v>
      </c>
      <c r="M5036" s="471">
        <f t="shared" si="181"/>
        <v>0.05</v>
      </c>
      <c r="N5036" s="475">
        <f t="shared" si="182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80"/>
        <v>-463258750671206.06</v>
      </c>
      <c r="J5037" s="455">
        <f t="array" ref="J5037">IFERROR(INDEX('Retirement Calculator'!K:K,MATCH('Lorri 401b'!N5037,'Retirement Calculator'!A:A,0),0),0)</f>
        <v>0</v>
      </c>
      <c r="K5037" s="455">
        <f t="shared" ca="1" si="178"/>
        <v>-1930244794463.3586</v>
      </c>
      <c r="L5037" s="455">
        <f t="shared" ca="1" si="179"/>
        <v>-465188995465669.44</v>
      </c>
      <c r="M5037" s="471">
        <f t="shared" si="181"/>
        <v>0.05</v>
      </c>
      <c r="N5037" s="475">
        <f t="shared" si="182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80"/>
        <v>-465188995465669.44</v>
      </c>
      <c r="J5038" s="455">
        <f t="array" ref="J5038">IFERROR(INDEX('Retirement Calculator'!K:K,MATCH('Lorri 401b'!N5038,'Retirement Calculator'!A:A,0),0),0)</f>
        <v>0</v>
      </c>
      <c r="K5038" s="455">
        <f t="shared" ca="1" si="178"/>
        <v>-1938287481106.9561</v>
      </c>
      <c r="L5038" s="455">
        <f t="shared" ca="1" si="179"/>
        <v>-467127282946776.38</v>
      </c>
      <c r="M5038" s="471">
        <f t="shared" si="181"/>
        <v>0.05</v>
      </c>
      <c r="N5038" s="475">
        <f t="shared" si="182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80"/>
        <v>-467127282946776.38</v>
      </c>
      <c r="J5039" s="455">
        <f t="array" ref="J5039">IFERROR(INDEX('Retirement Calculator'!K:K,MATCH('Lorri 401b'!N5039,'Retirement Calculator'!A:A,0),0),0)</f>
        <v>0</v>
      </c>
      <c r="K5039" s="455">
        <f t="shared" ca="1" si="178"/>
        <v>-1946363678944.9016</v>
      </c>
      <c r="L5039" s="455">
        <f t="shared" ca="1" si="179"/>
        <v>-469073646625721.25</v>
      </c>
      <c r="M5039" s="471">
        <f t="shared" si="181"/>
        <v>0.05</v>
      </c>
      <c r="N5039" s="475">
        <f t="shared" si="182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80"/>
        <v>-469073646625721.25</v>
      </c>
      <c r="J5040" s="455">
        <f t="array" ref="J5040">IFERROR(INDEX('Retirement Calculator'!K:K,MATCH('Lorri 401b'!N5040,'Retirement Calculator'!A:A,0),0),0)</f>
        <v>0</v>
      </c>
      <c r="K5040" s="455">
        <f t="shared" ca="1" si="178"/>
        <v>-1954473527607.1719</v>
      </c>
      <c r="L5040" s="455">
        <f t="shared" ca="1" si="179"/>
        <v>-471028120153328.44</v>
      </c>
      <c r="M5040" s="471">
        <f t="shared" si="181"/>
        <v>0.05</v>
      </c>
      <c r="N5040" s="475">
        <f t="shared" si="182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80"/>
        <v>-471028120153328.44</v>
      </c>
      <c r="J5041" s="455">
        <f t="array" ref="J5041">IFERROR(INDEX('Retirement Calculator'!K:K,MATCH('Lorri 401b'!N5041,'Retirement Calculator'!A:A,0),0),0)</f>
        <v>0</v>
      </c>
      <c r="K5041" s="455">
        <f t="shared" ca="1" si="178"/>
        <v>-1962617167305.5354</v>
      </c>
      <c r="L5041" s="455">
        <f t="shared" ca="1" si="179"/>
        <v>-472990737320634</v>
      </c>
      <c r="M5041" s="471">
        <f t="shared" si="181"/>
        <v>0.05</v>
      </c>
      <c r="N5041" s="475">
        <f t="shared" si="182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80"/>
        <v>-472990737320634</v>
      </c>
      <c r="J5042" s="455">
        <f t="array" ref="J5042">IFERROR(INDEX('Retirement Calculator'!K:K,MATCH('Lorri 401b'!N5042,'Retirement Calculator'!A:A,0),0),0)</f>
        <v>0</v>
      </c>
      <c r="K5042" s="455">
        <f t="shared" ca="1" si="178"/>
        <v>-1970794738835.9749</v>
      </c>
      <c r="L5042" s="455">
        <f t="shared" ca="1" si="179"/>
        <v>-474961532059470</v>
      </c>
      <c r="M5042" s="471">
        <f t="shared" si="181"/>
        <v>0.05</v>
      </c>
      <c r="N5042" s="475">
        <f t="shared" si="182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80"/>
        <v>-474961532059470</v>
      </c>
      <c r="J5043" s="455">
        <f t="array" ref="J5043">IFERROR(INDEX('Retirement Calculator'!K:K,MATCH('Lorri 401b'!N5043,'Retirement Calculator'!A:A,0),0),0)</f>
        <v>0</v>
      </c>
      <c r="K5043" s="455">
        <f t="shared" ca="1" si="178"/>
        <v>-1979006383581.125</v>
      </c>
      <c r="L5043" s="455">
        <f t="shared" ca="1" si="179"/>
        <v>-476940538443051.13</v>
      </c>
      <c r="M5043" s="471">
        <f t="shared" si="181"/>
        <v>0.05</v>
      </c>
      <c r="N5043" s="475">
        <f t="shared" si="182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80"/>
        <v>-476940538443051.13</v>
      </c>
      <c r="J5044" s="455">
        <f t="array" ref="J5044">IFERROR(INDEX('Retirement Calculator'!K:K,MATCH('Lorri 401b'!N5044,'Retirement Calculator'!A:A,0),0),0)</f>
        <v>0</v>
      </c>
      <c r="K5044" s="455">
        <f t="shared" ca="1" si="178"/>
        <v>-1987252243512.7129</v>
      </c>
      <c r="L5044" s="455">
        <f t="shared" ca="1" si="179"/>
        <v>-478927790686563.81</v>
      </c>
      <c r="M5044" s="471">
        <f t="shared" si="181"/>
        <v>0.05</v>
      </c>
      <c r="N5044" s="475">
        <f t="shared" si="182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80"/>
        <v>-478927790686563.81</v>
      </c>
      <c r="J5045" s="455">
        <f t="array" ref="J5045">IFERROR(INDEX('Retirement Calculator'!K:K,MATCH('Lorri 401b'!N5045,'Retirement Calculator'!A:A,0),0),0)</f>
        <v>0</v>
      </c>
      <c r="K5045" s="455">
        <f t="shared" ca="1" si="178"/>
        <v>-1995532461194.0159</v>
      </c>
      <c r="L5045" s="455">
        <f t="shared" ca="1" si="179"/>
        <v>-480923323147757.81</v>
      </c>
      <c r="M5045" s="471">
        <f t="shared" si="181"/>
        <v>0.05</v>
      </c>
      <c r="N5045" s="475">
        <f t="shared" si="182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80"/>
        <v>-480923323147757.81</v>
      </c>
      <c r="J5046" s="455">
        <f t="array" ref="J5046">IFERROR(INDEX('Retirement Calculator'!K:K,MATCH('Lorri 401b'!N5046,'Retirement Calculator'!A:A,0),0),0)</f>
        <v>0</v>
      </c>
      <c r="K5046" s="455">
        <f t="shared" ca="1" si="178"/>
        <v>-2003847179782.3242</v>
      </c>
      <c r="L5046" s="455">
        <f t="shared" ca="1" si="179"/>
        <v>-482927170327540.13</v>
      </c>
      <c r="M5046" s="471">
        <f t="shared" si="181"/>
        <v>0.05</v>
      </c>
      <c r="N5046" s="475">
        <f t="shared" si="182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80"/>
        <v>-482927170327540.13</v>
      </c>
      <c r="J5047" s="455">
        <f t="array" ref="J5047">IFERROR(INDEX('Retirement Calculator'!K:K,MATCH('Lorri 401b'!N5047,'Retirement Calculator'!A:A,0),0),0)</f>
        <v>0</v>
      </c>
      <c r="K5047" s="455">
        <f t="shared" ca="1" si="178"/>
        <v>-2012196543031.4175</v>
      </c>
      <c r="L5047" s="455">
        <f t="shared" ca="1" si="179"/>
        <v>-484939366870571.56</v>
      </c>
      <c r="M5047" s="471">
        <f t="shared" si="181"/>
        <v>0.05</v>
      </c>
      <c r="N5047" s="475">
        <f t="shared" si="182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80"/>
        <v>-484939366870571.56</v>
      </c>
      <c r="J5048" s="455">
        <f t="array" ref="J5048">IFERROR(INDEX('Retirement Calculator'!K:K,MATCH('Lorri 401b'!N5048,'Retirement Calculator'!A:A,0),0),0)</f>
        <v>0</v>
      </c>
      <c r="K5048" s="455">
        <f t="shared" ca="1" si="178"/>
        <v>-2020580695294.0481</v>
      </c>
      <c r="L5048" s="455">
        <f t="shared" ca="1" si="179"/>
        <v>-486959947565865.63</v>
      </c>
      <c r="M5048" s="471">
        <f t="shared" si="181"/>
        <v>0.05</v>
      </c>
      <c r="N5048" s="475">
        <f t="shared" si="182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80"/>
        <v>-486959947565865.63</v>
      </c>
      <c r="J5049" s="455">
        <f t="array" ref="J5049">IFERROR(INDEX('Retirement Calculator'!K:K,MATCH('Lorri 401b'!N5049,'Retirement Calculator'!A:A,0),0),0)</f>
        <v>0</v>
      </c>
      <c r="K5049" s="455">
        <f t="shared" ca="1" si="178"/>
        <v>-2028999781524.4402</v>
      </c>
      <c r="L5049" s="455">
        <f t="shared" ca="1" si="179"/>
        <v>-488988947347390.06</v>
      </c>
      <c r="M5049" s="471">
        <f t="shared" si="181"/>
        <v>0.05</v>
      </c>
      <c r="N5049" s="475">
        <f t="shared" si="182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80"/>
        <v>-488988947347390.06</v>
      </c>
      <c r="J5050" s="455">
        <f t="array" ref="J5050">IFERROR(INDEX('Retirement Calculator'!K:K,MATCH('Lorri 401b'!N5050,'Retirement Calculator'!A:A,0),0),0)</f>
        <v>0</v>
      </c>
      <c r="K5050" s="455">
        <f t="shared" ca="1" si="178"/>
        <v>-2037453947280.792</v>
      </c>
      <c r="L5050" s="455">
        <f t="shared" ca="1" si="179"/>
        <v>-491026401294670.88</v>
      </c>
      <c r="M5050" s="471">
        <f t="shared" si="181"/>
        <v>0.05</v>
      </c>
      <c r="N5050" s="475">
        <f t="shared" si="182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80"/>
        <v>-491026401294670.88</v>
      </c>
      <c r="J5051" s="455">
        <f t="array" ref="J5051">IFERROR(INDEX('Retirement Calculator'!K:K,MATCH('Lorri 401b'!N5051,'Retirement Calculator'!A:A,0),0),0)</f>
        <v>0</v>
      </c>
      <c r="K5051" s="455">
        <f t="shared" ca="1" si="178"/>
        <v>-2045943338727.7952</v>
      </c>
      <c r="L5051" s="455">
        <f t="shared" ca="1" si="179"/>
        <v>-493072344633398.69</v>
      </c>
      <c r="M5051" s="471">
        <f t="shared" si="181"/>
        <v>0.05</v>
      </c>
      <c r="N5051" s="475">
        <f t="shared" si="182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80"/>
        <v>-493072344633398.69</v>
      </c>
      <c r="J5052" s="455">
        <f t="array" ref="J5052">IFERROR(INDEX('Retirement Calculator'!K:K,MATCH('Lorri 401b'!N5052,'Retirement Calculator'!A:A,0),0),0)</f>
        <v>0</v>
      </c>
      <c r="K5052" s="455">
        <f t="shared" ca="1" si="178"/>
        <v>-2054468102639.1611</v>
      </c>
      <c r="L5052" s="455">
        <f t="shared" ca="1" si="179"/>
        <v>-495126812736037.88</v>
      </c>
      <c r="M5052" s="471">
        <f t="shared" si="181"/>
        <v>0.05</v>
      </c>
      <c r="N5052" s="475">
        <f t="shared" si="182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80"/>
        <v>-495126812736037.88</v>
      </c>
      <c r="J5053" s="455">
        <f t="array" ref="J5053">IFERROR(INDEX('Retirement Calculator'!K:K,MATCH('Lorri 401b'!N5053,'Retirement Calculator'!A:A,0),0),0)</f>
        <v>0</v>
      </c>
      <c r="K5053" s="455">
        <f t="shared" ca="1" si="178"/>
        <v>-2063028386400.1575</v>
      </c>
      <c r="L5053" s="455">
        <f t="shared" ca="1" si="179"/>
        <v>-497189841122438.06</v>
      </c>
      <c r="M5053" s="471">
        <f t="shared" si="181"/>
        <v>0.05</v>
      </c>
      <c r="N5053" s="475">
        <f t="shared" si="182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80"/>
        <v>-497189841122438.06</v>
      </c>
      <c r="J5054" s="455">
        <f t="array" ref="J5054">IFERROR(INDEX('Retirement Calculator'!K:K,MATCH('Lorri 401b'!N5054,'Retirement Calculator'!A:A,0),0),0)</f>
        <v>0</v>
      </c>
      <c r="K5054" s="455">
        <f t="shared" ca="1" si="178"/>
        <v>-2071624338010.1584</v>
      </c>
      <c r="L5054" s="455">
        <f t="shared" ca="1" si="179"/>
        <v>-499261465460448.25</v>
      </c>
      <c r="M5054" s="471">
        <f t="shared" si="181"/>
        <v>0.05</v>
      </c>
      <c r="N5054" s="475">
        <f t="shared" si="182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80"/>
        <v>-499261465460448.25</v>
      </c>
      <c r="J5055" s="455">
        <f t="array" ref="J5055">IFERROR(INDEX('Retirement Calculator'!K:K,MATCH('Lorri 401b'!N5055,'Retirement Calculator'!A:A,0),0),0)</f>
        <v>0</v>
      </c>
      <c r="K5055" s="455">
        <f t="shared" ca="1" si="178"/>
        <v>-2080256106085.2009</v>
      </c>
      <c r="L5055" s="455">
        <f t="shared" ca="1" si="179"/>
        <v>-501341721566533.44</v>
      </c>
      <c r="M5055" s="471">
        <f t="shared" si="181"/>
        <v>0.05</v>
      </c>
      <c r="N5055" s="475">
        <f t="shared" si="182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80"/>
        <v>-501341721566533.44</v>
      </c>
      <c r="J5056" s="455">
        <f t="array" ref="J5056">IFERROR(INDEX('Retirement Calculator'!K:K,MATCH('Lorri 401b'!N5056,'Retirement Calculator'!A:A,0),0),0)</f>
        <v>0</v>
      </c>
      <c r="K5056" s="455">
        <f t="shared" ca="1" si="178"/>
        <v>-2088923839860.5557</v>
      </c>
      <c r="L5056" s="455">
        <f t="shared" ca="1" si="179"/>
        <v>-503430645406394</v>
      </c>
      <c r="M5056" s="471">
        <f t="shared" si="181"/>
        <v>0.05</v>
      </c>
      <c r="N5056" s="475">
        <f t="shared" si="182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80"/>
        <v>-503430645406394</v>
      </c>
      <c r="J5057" s="455">
        <f t="array" ref="J5057">IFERROR(INDEX('Retirement Calculator'!K:K,MATCH('Lorri 401b'!N5057,'Retirement Calculator'!A:A,0),0),0)</f>
        <v>0</v>
      </c>
      <c r="K5057" s="455">
        <f t="shared" ca="1" si="178"/>
        <v>-2097627689193.3083</v>
      </c>
      <c r="L5057" s="455">
        <f t="shared" ca="1" si="179"/>
        <v>-505528273095587.31</v>
      </c>
      <c r="M5057" s="471">
        <f t="shared" si="181"/>
        <v>0.05</v>
      </c>
      <c r="N5057" s="475">
        <f t="shared" si="182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80"/>
        <v>-505528273095587.31</v>
      </c>
      <c r="J5058" s="455">
        <f t="array" ref="J5058">IFERROR(INDEX('Retirement Calculator'!K:K,MATCH('Lorri 401b'!N5058,'Retirement Calculator'!A:A,0),0),0)</f>
        <v>0</v>
      </c>
      <c r="K5058" s="455">
        <f t="shared" ca="1" si="178"/>
        <v>-2106367804564.9468</v>
      </c>
      <c r="L5058" s="455">
        <f t="shared" ca="1" si="179"/>
        <v>-507634640900152.25</v>
      </c>
      <c r="M5058" s="471">
        <f t="shared" si="181"/>
        <v>0.05</v>
      </c>
      <c r="N5058" s="475">
        <f t="shared" si="182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80"/>
        <v>-507634640900152.25</v>
      </c>
      <c r="J5059" s="455">
        <f t="array" ref="J5059">IFERROR(INDEX('Retirement Calculator'!K:K,MATCH('Lorri 401b'!N5059,'Retirement Calculator'!A:A,0),0),0)</f>
        <v>0</v>
      </c>
      <c r="K5059" s="455">
        <f t="shared" ca="1" si="178"/>
        <v>-2115144337083.9678</v>
      </c>
      <c r="L5059" s="455">
        <f t="shared" ca="1" si="179"/>
        <v>-509749785237236.19</v>
      </c>
      <c r="M5059" s="471">
        <f t="shared" si="181"/>
        <v>0.05</v>
      </c>
      <c r="N5059" s="475">
        <f t="shared" si="182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80"/>
        <v>-509749785237236.19</v>
      </c>
      <c r="J5060" s="455">
        <f t="array" ref="J5060">IFERROR(INDEX('Retirement Calculator'!K:K,MATCH('Lorri 401b'!N5060,'Retirement Calculator'!A:A,0),0),0)</f>
        <v>0</v>
      </c>
      <c r="K5060" s="455">
        <f t="shared" ca="1" si="178"/>
        <v>-2123957438488.4841</v>
      </c>
      <c r="L5060" s="455">
        <f t="shared" ca="1" si="179"/>
        <v>-511873742675724.69</v>
      </c>
      <c r="M5060" s="471">
        <f t="shared" si="181"/>
        <v>0.05</v>
      </c>
      <c r="N5060" s="475">
        <f t="shared" si="182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80"/>
        <v>-511873742675724.69</v>
      </c>
      <c r="J5061" s="455">
        <f t="array" ref="J5061">IFERROR(INDEX('Retirement Calculator'!K:K,MATCH('Lorri 401b'!N5061,'Retirement Calculator'!A:A,0),0),0)</f>
        <v>0</v>
      </c>
      <c r="K5061" s="455">
        <f t="shared" ca="1" si="178"/>
        <v>-2132807261148.8528</v>
      </c>
      <c r="L5061" s="455">
        <f t="shared" ca="1" si="179"/>
        <v>-514006549936873.56</v>
      </c>
      <c r="M5061" s="471">
        <f t="shared" si="181"/>
        <v>0.05</v>
      </c>
      <c r="N5061" s="475">
        <f t="shared" si="182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80"/>
        <v>-514006549936873.56</v>
      </c>
      <c r="J5062" s="455">
        <f t="array" ref="J5062">IFERROR(INDEX('Retirement Calculator'!K:K,MATCH('Lorri 401b'!N5062,'Retirement Calculator'!A:A,0),0),0)</f>
        <v>0</v>
      </c>
      <c r="K5062" s="455">
        <f t="shared" ca="1" si="178"/>
        <v>-2141693958070.3064</v>
      </c>
      <c r="L5062" s="455">
        <f t="shared" ca="1" si="179"/>
        <v>-516148243894943.88</v>
      </c>
      <c r="M5062" s="471">
        <f t="shared" si="181"/>
        <v>0.05</v>
      </c>
      <c r="N5062" s="475">
        <f t="shared" si="182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80"/>
        <v>-516148243894943.88</v>
      </c>
      <c r="J5063" s="455">
        <f t="array" ref="J5063">IFERROR(INDEX('Retirement Calculator'!K:K,MATCH('Lorri 401b'!N5063,'Retirement Calculator'!A:A,0),0),0)</f>
        <v>0</v>
      </c>
      <c r="K5063" s="455">
        <f t="shared" ca="1" si="178"/>
        <v>-2150617682895.5994</v>
      </c>
      <c r="L5063" s="455">
        <f t="shared" ca="1" si="179"/>
        <v>-518298861577839.5</v>
      </c>
      <c r="M5063" s="471">
        <f t="shared" si="181"/>
        <v>0.05</v>
      </c>
      <c r="N5063" s="475">
        <f t="shared" si="182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80"/>
        <v>-518298861577839.5</v>
      </c>
      <c r="J5064" s="455">
        <f t="array" ref="J5064">IFERROR(INDEX('Retirement Calculator'!K:K,MATCH('Lorri 401b'!N5064,'Retirement Calculator'!A:A,0),0),0)</f>
        <v>0</v>
      </c>
      <c r="K5064" s="455">
        <f t="shared" ca="1" si="178"/>
        <v>-2159578589907.6646</v>
      </c>
      <c r="L5064" s="455">
        <f t="shared" ca="1" si="179"/>
        <v>-520458440167747.19</v>
      </c>
      <c r="M5064" s="471">
        <f t="shared" si="181"/>
        <v>0.05</v>
      </c>
      <c r="N5064" s="475">
        <f t="shared" si="182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80"/>
        <v>-520458440167747.19</v>
      </c>
      <c r="J5065" s="455">
        <f t="array" ref="J5065">IFERROR(INDEX('Retirement Calculator'!K:K,MATCH('Lorri 401b'!N5065,'Retirement Calculator'!A:A,0),0),0)</f>
        <v>0</v>
      </c>
      <c r="K5065" s="455">
        <f t="shared" ca="1" si="178"/>
        <v>-2168576834032.28</v>
      </c>
      <c r="L5065" s="455">
        <f t="shared" ca="1" si="179"/>
        <v>-522627017001779.44</v>
      </c>
      <c r="M5065" s="471">
        <f t="shared" si="181"/>
        <v>0.05</v>
      </c>
      <c r="N5065" s="475">
        <f t="shared" si="182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80"/>
        <v>-522627017001779.44</v>
      </c>
      <c r="J5066" s="455">
        <f t="array" ref="J5066">IFERROR(INDEX('Retirement Calculator'!K:K,MATCH('Lorri 401b'!N5066,'Retirement Calculator'!A:A,0),0),0)</f>
        <v>0</v>
      </c>
      <c r="K5066" s="455">
        <f t="shared" ca="1" si="178"/>
        <v>-2177612570840.7476</v>
      </c>
      <c r="L5066" s="455">
        <f t="shared" ca="1" si="179"/>
        <v>-524804629572620.19</v>
      </c>
      <c r="M5066" s="471">
        <f t="shared" si="181"/>
        <v>0.05</v>
      </c>
      <c r="N5066" s="475">
        <f t="shared" si="182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80"/>
        <v>-524804629572620.19</v>
      </c>
      <c r="J5067" s="455">
        <f t="array" ref="J5067">IFERROR(INDEX('Retirement Calculator'!K:K,MATCH('Lorri 401b'!N5067,'Retirement Calculator'!A:A,0),0),0)</f>
        <v>0</v>
      </c>
      <c r="K5067" s="455">
        <f t="shared" ca="1" si="178"/>
        <v>-2186685956552.5837</v>
      </c>
      <c r="L5067" s="455">
        <f t="shared" ca="1" si="179"/>
        <v>-526991315529172.75</v>
      </c>
      <c r="M5067" s="471">
        <f t="shared" si="181"/>
        <v>0.05</v>
      </c>
      <c r="N5067" s="475">
        <f t="shared" si="182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80"/>
        <v>-526991315529172.75</v>
      </c>
      <c r="J5068" s="455">
        <f t="array" ref="J5068">IFERROR(INDEX('Retirement Calculator'!K:K,MATCH('Lorri 401b'!N5068,'Retirement Calculator'!A:A,0),0),0)</f>
        <v>0</v>
      </c>
      <c r="K5068" s="455">
        <f t="shared" ca="1" si="178"/>
        <v>-2195797148038.2197</v>
      </c>
      <c r="L5068" s="455">
        <f t="shared" ca="1" si="179"/>
        <v>-529187112677211</v>
      </c>
      <c r="M5068" s="471">
        <f t="shared" si="181"/>
        <v>0.05</v>
      </c>
      <c r="N5068" s="475">
        <f t="shared" si="182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80"/>
        <v>-529187112677211</v>
      </c>
      <c r="J5069" s="455">
        <f t="array" ref="J5069">IFERROR(INDEX('Retirement Calculator'!K:K,MATCH('Lorri 401b'!N5069,'Retirement Calculator'!A:A,0),0),0)</f>
        <v>0</v>
      </c>
      <c r="K5069" s="455">
        <f t="shared" ca="1" si="178"/>
        <v>-2204946302821.7124</v>
      </c>
      <c r="L5069" s="455">
        <f t="shared" ca="1" si="179"/>
        <v>-531392058980032.69</v>
      </c>
      <c r="M5069" s="471">
        <f t="shared" si="181"/>
        <v>0.05</v>
      </c>
      <c r="N5069" s="475">
        <f t="shared" si="182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80"/>
        <v>-531392058980032.69</v>
      </c>
      <c r="J5070" s="455">
        <f t="array" ref="J5070">IFERROR(INDEX('Retirement Calculator'!K:K,MATCH('Lorri 401b'!N5070,'Retirement Calculator'!A:A,0),0),0)</f>
        <v>0</v>
      </c>
      <c r="K5070" s="455">
        <f t="shared" ca="1" si="178"/>
        <v>-2214133579083.4697</v>
      </c>
      <c r="L5070" s="455">
        <f t="shared" ca="1" si="179"/>
        <v>-533606192559116.19</v>
      </c>
      <c r="M5070" s="471">
        <f t="shared" si="181"/>
        <v>0.05</v>
      </c>
      <c r="N5070" s="475">
        <f t="shared" si="182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80"/>
        <v>-533606192559116.19</v>
      </c>
      <c r="J5071" s="455">
        <f t="array" ref="J5071">IFERROR(INDEX('Retirement Calculator'!K:K,MATCH('Lorri 401b'!N5071,'Retirement Calculator'!A:A,0),0),0)</f>
        <v>0</v>
      </c>
      <c r="K5071" s="455">
        <f t="shared" ca="1" si="178"/>
        <v>-2223359135662.9839</v>
      </c>
      <c r="L5071" s="455">
        <f t="shared" ca="1" si="179"/>
        <v>-535829551694779.19</v>
      </c>
      <c r="M5071" s="471">
        <f t="shared" si="181"/>
        <v>0.05</v>
      </c>
      <c r="N5071" s="475">
        <f t="shared" si="182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80"/>
        <v>-535829551694779.19</v>
      </c>
      <c r="J5072" s="455">
        <f t="array" ref="J5072">IFERROR(INDEX('Retirement Calculator'!K:K,MATCH('Lorri 401b'!N5072,'Retirement Calculator'!A:A,0),0),0)</f>
        <v>0</v>
      </c>
      <c r="K5072" s="455">
        <f t="shared" ca="1" si="178"/>
        <v>-2232623132061.5801</v>
      </c>
      <c r="L5072" s="455">
        <f t="shared" ca="1" si="179"/>
        <v>-538062174826840.75</v>
      </c>
      <c r="M5072" s="471">
        <f t="shared" si="181"/>
        <v>0.05</v>
      </c>
      <c r="N5072" s="475">
        <f t="shared" si="182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80"/>
        <v>-538062174826840.75</v>
      </c>
      <c r="J5073" s="455">
        <f t="array" ref="J5073">IFERROR(INDEX('Retirement Calculator'!K:K,MATCH('Lorri 401b'!N5073,'Retirement Calculator'!A:A,0),0),0)</f>
        <v>0</v>
      </c>
      <c r="K5073" s="455">
        <f t="shared" ca="1" si="178"/>
        <v>-2241925728445.1694</v>
      </c>
      <c r="L5073" s="455">
        <f t="shared" ca="1" si="179"/>
        <v>-540304100555285.94</v>
      </c>
      <c r="M5073" s="471">
        <f t="shared" si="181"/>
        <v>0.05</v>
      </c>
      <c r="N5073" s="475">
        <f t="shared" si="182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80"/>
        <v>-540304100555285.94</v>
      </c>
      <c r="J5074" s="455">
        <f t="array" ref="J5074">IFERROR(INDEX('Retirement Calculator'!K:K,MATCH('Lorri 401b'!N5074,'Retirement Calculator'!A:A,0),0),0)</f>
        <v>0</v>
      </c>
      <c r="K5074" s="455">
        <f t="shared" ca="1" si="178"/>
        <v>-2251267085647.0244</v>
      </c>
      <c r="L5074" s="455">
        <f t="shared" ca="1" si="179"/>
        <v>-542555367640932.94</v>
      </c>
      <c r="M5074" s="471">
        <f t="shared" si="181"/>
        <v>0.05</v>
      </c>
      <c r="N5074" s="475">
        <f t="shared" si="182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80"/>
        <v>-542555367640932.94</v>
      </c>
      <c r="J5075" s="455">
        <f t="array" ref="J5075">IFERROR(INDEX('Retirement Calculator'!K:K,MATCH('Lorri 401b'!N5075,'Retirement Calculator'!A:A,0),0),0)</f>
        <v>0</v>
      </c>
      <c r="K5075" s="455">
        <f t="shared" ca="1" si="178"/>
        <v>-2260647365170.5542</v>
      </c>
      <c r="L5075" s="455">
        <f t="shared" ca="1" si="179"/>
        <v>-544816015006103.5</v>
      </c>
      <c r="M5075" s="471">
        <f t="shared" si="181"/>
        <v>0.05</v>
      </c>
      <c r="N5075" s="475">
        <f t="shared" si="182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80"/>
        <v>-544816015006103.5</v>
      </c>
      <c r="J5076" s="455">
        <f t="array" ref="J5076">IFERROR(INDEX('Retirement Calculator'!K:K,MATCH('Lorri 401b'!N5076,'Retirement Calculator'!A:A,0),0),0)</f>
        <v>0</v>
      </c>
      <c r="K5076" s="455">
        <f t="shared" ca="1" si="178"/>
        <v>-2270066729192.0977</v>
      </c>
      <c r="L5076" s="455">
        <f t="shared" ca="1" si="179"/>
        <v>-547086081735295.63</v>
      </c>
      <c r="M5076" s="471">
        <f t="shared" si="181"/>
        <v>0.05</v>
      </c>
      <c r="N5076" s="475">
        <f t="shared" si="182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80"/>
        <v>-547086081735295.63</v>
      </c>
      <c r="J5077" s="455">
        <f t="array" ref="J5077">IFERROR(INDEX('Retirement Calculator'!K:K,MATCH('Lorri 401b'!N5077,'Retirement Calculator'!A:A,0),0),0)</f>
        <v>0</v>
      </c>
      <c r="K5077" s="455">
        <f t="shared" ca="1" si="178"/>
        <v>-2279525340563.7319</v>
      </c>
      <c r="L5077" s="455">
        <f t="shared" ca="1" si="179"/>
        <v>-549365607075859.38</v>
      </c>
      <c r="M5077" s="471">
        <f t="shared" si="181"/>
        <v>0.05</v>
      </c>
      <c r="N5077" s="475">
        <f t="shared" si="182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80"/>
        <v>-549365607075859.38</v>
      </c>
      <c r="J5078" s="455">
        <f t="array" ref="J5078">IFERROR(INDEX('Retirement Calculator'!K:K,MATCH('Lorri 401b'!N5078,'Retirement Calculator'!A:A,0),0),0)</f>
        <v>0</v>
      </c>
      <c r="K5078" s="455">
        <f t="shared" ca="1" si="178"/>
        <v>-2289023362816.0806</v>
      </c>
      <c r="L5078" s="455">
        <f t="shared" ca="1" si="179"/>
        <v>-551654630438675.44</v>
      </c>
      <c r="M5078" s="471">
        <f t="shared" si="181"/>
        <v>0.05</v>
      </c>
      <c r="N5078" s="475">
        <f t="shared" si="182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80"/>
        <v>-551654630438675.44</v>
      </c>
      <c r="J5079" s="455">
        <f t="array" ref="J5079">IFERROR(INDEX('Retirement Calculator'!K:K,MATCH('Lorri 401b'!N5079,'Retirement Calculator'!A:A,0),0),0)</f>
        <v>0</v>
      </c>
      <c r="K5079" s="455">
        <f t="shared" ca="1" si="178"/>
        <v>-2298560960161.1479</v>
      </c>
      <c r="L5079" s="455">
        <f t="shared" ca="1" si="179"/>
        <v>-553953191398836.56</v>
      </c>
      <c r="M5079" s="471">
        <f t="shared" si="181"/>
        <v>0.05</v>
      </c>
      <c r="N5079" s="475">
        <f t="shared" si="182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80"/>
        <v>-553953191398836.56</v>
      </c>
      <c r="J5080" s="455">
        <f t="array" ref="J5080">IFERROR(INDEX('Retirement Calculator'!K:K,MATCH('Lorri 401b'!N5080,'Retirement Calculator'!A:A,0),0),0)</f>
        <v>0</v>
      </c>
      <c r="K5080" s="455">
        <f t="shared" ca="1" si="178"/>
        <v>-2308138297495.1523</v>
      </c>
      <c r="L5080" s="455">
        <f t="shared" ca="1" si="179"/>
        <v>-556261329696331.69</v>
      </c>
      <c r="M5080" s="471">
        <f t="shared" si="181"/>
        <v>0.05</v>
      </c>
      <c r="N5080" s="475">
        <f t="shared" si="182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80"/>
        <v>-556261329696331.69</v>
      </c>
      <c r="J5081" s="455">
        <f t="array" ref="J5081">IFERROR(INDEX('Retirement Calculator'!K:K,MATCH('Lorri 401b'!N5081,'Retirement Calculator'!A:A,0),0),0)</f>
        <v>0</v>
      </c>
      <c r="K5081" s="455">
        <f t="shared" ca="1" si="178"/>
        <v>-2317755540401.3818</v>
      </c>
      <c r="L5081" s="455">
        <f t="shared" ca="1" si="179"/>
        <v>-558579085236733.06</v>
      </c>
      <c r="M5081" s="471">
        <f t="shared" si="181"/>
        <v>0.05</v>
      </c>
      <c r="N5081" s="475">
        <f t="shared" si="182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80"/>
        <v>-558579085236733.06</v>
      </c>
      <c r="J5082" s="455">
        <f t="array" ref="J5082">IFERROR(INDEX('Retirement Calculator'!K:K,MATCH('Lorri 401b'!N5082,'Retirement Calculator'!A:A,0),0),0)</f>
        <v>0</v>
      </c>
      <c r="K5082" s="455">
        <f t="shared" ca="1" si="178"/>
        <v>-2327412855153.0542</v>
      </c>
      <c r="L5082" s="455">
        <f t="shared" ca="1" si="179"/>
        <v>-560906498091886.13</v>
      </c>
      <c r="M5082" s="471">
        <f t="shared" si="181"/>
        <v>0.05</v>
      </c>
      <c r="N5082" s="475">
        <f t="shared" si="182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80"/>
        <v>-560906498091886.13</v>
      </c>
      <c r="J5083" s="455">
        <f t="array" ref="J5083">IFERROR(INDEX('Retirement Calculator'!K:K,MATCH('Lorri 401b'!N5083,'Retirement Calculator'!A:A,0),0),0)</f>
        <v>0</v>
      </c>
      <c r="K5083" s="455">
        <f t="shared" ca="1" si="178"/>
        <v>-2337110408716.1924</v>
      </c>
      <c r="L5083" s="455">
        <f t="shared" ca="1" si="179"/>
        <v>-563243608500602.38</v>
      </c>
      <c r="M5083" s="471">
        <f t="shared" si="181"/>
        <v>0.05</v>
      </c>
      <c r="N5083" s="475">
        <f t="shared" si="182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80"/>
        <v>-563243608500602.38</v>
      </c>
      <c r="J5084" s="455">
        <f t="array" ref="J5084">IFERROR(INDEX('Retirement Calculator'!K:K,MATCH('Lorri 401b'!N5084,'Retirement Calculator'!A:A,0),0),0)</f>
        <v>0</v>
      </c>
      <c r="K5084" s="455">
        <f t="shared" ca="1" si="178"/>
        <v>-2346848368752.5098</v>
      </c>
      <c r="L5084" s="455">
        <f t="shared" ca="1" si="179"/>
        <v>-565590456869354.88</v>
      </c>
      <c r="M5084" s="471">
        <f t="shared" si="181"/>
        <v>0.05</v>
      </c>
      <c r="N5084" s="475">
        <f t="shared" si="182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80"/>
        <v>-565590456869354.88</v>
      </c>
      <c r="J5085" s="455">
        <f t="array" ref="J5085">IFERROR(INDEX('Retirement Calculator'!K:K,MATCH('Lorri 401b'!N5085,'Retirement Calculator'!A:A,0),0),0)</f>
        <v>0</v>
      </c>
      <c r="K5085" s="455">
        <f t="shared" ca="1" si="178"/>
        <v>-2356626903622.312</v>
      </c>
      <c r="L5085" s="455">
        <f t="shared" ca="1" si="179"/>
        <v>-567947083772977.13</v>
      </c>
      <c r="M5085" s="471">
        <f t="shared" si="181"/>
        <v>0.05</v>
      </c>
      <c r="N5085" s="475">
        <f t="shared" si="182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80"/>
        <v>-567947083772977.13</v>
      </c>
      <c r="J5086" s="455">
        <f t="array" ref="J5086">IFERROR(INDEX('Retirement Calculator'!K:K,MATCH('Lorri 401b'!N5086,'Retirement Calculator'!A:A,0),0),0)</f>
        <v>0</v>
      </c>
      <c r="K5086" s="455">
        <f t="shared" ca="1" si="178"/>
        <v>-2366446182387.4048</v>
      </c>
      <c r="L5086" s="455">
        <f t="shared" ca="1" si="179"/>
        <v>-570313529955364.5</v>
      </c>
      <c r="M5086" s="471">
        <f t="shared" si="181"/>
        <v>0.05</v>
      </c>
      <c r="N5086" s="475">
        <f t="shared" si="182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80"/>
        <v>-570313529955364.5</v>
      </c>
      <c r="J5087" s="455">
        <f t="array" ref="J5087">IFERROR(INDEX('Retirement Calculator'!K:K,MATCH('Lorri 401b'!N5087,'Retirement Calculator'!A:A,0),0),0)</f>
        <v>0</v>
      </c>
      <c r="K5087" s="455">
        <f t="shared" ca="1" si="178"/>
        <v>-2376306374814.0186</v>
      </c>
      <c r="L5087" s="455">
        <f t="shared" ca="1" si="179"/>
        <v>-572689836330178.5</v>
      </c>
      <c r="M5087" s="471">
        <f t="shared" si="181"/>
        <v>0.05</v>
      </c>
      <c r="N5087" s="475">
        <f t="shared" si="182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80"/>
        <v>-572689836330178.5</v>
      </c>
      <c r="J5088" s="455">
        <f t="array" ref="J5088">IFERROR(INDEX('Retirement Calculator'!K:K,MATCH('Lorri 401b'!N5088,'Retirement Calculator'!A:A,0),0),0)</f>
        <v>0</v>
      </c>
      <c r="K5088" s="455">
        <f t="shared" ca="1" si="178"/>
        <v>-2386207651375.7437</v>
      </c>
      <c r="L5088" s="455">
        <f t="shared" ca="1" si="179"/>
        <v>-575076043981554.25</v>
      </c>
      <c r="M5088" s="471">
        <f t="shared" si="181"/>
        <v>0.05</v>
      </c>
      <c r="N5088" s="475">
        <f t="shared" si="182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80"/>
        <v>-575076043981554.25</v>
      </c>
      <c r="J5089" s="455">
        <f t="array" ref="J5089">IFERROR(INDEX('Retirement Calculator'!K:K,MATCH('Lorri 401b'!N5089,'Retirement Calculator'!A:A,0),0),0)</f>
        <v>0</v>
      </c>
      <c r="K5089" s="455">
        <f t="shared" ca="1" si="178"/>
        <v>-2396150183256.4761</v>
      </c>
      <c r="L5089" s="455">
        <f t="shared" ca="1" si="179"/>
        <v>-577472194164810.75</v>
      </c>
      <c r="M5089" s="471">
        <f t="shared" si="181"/>
        <v>0.05</v>
      </c>
      <c r="N5089" s="475">
        <f t="shared" si="182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80"/>
        <v>-577472194164810.75</v>
      </c>
      <c r="J5090" s="455">
        <f t="array" ref="J5090">IFERROR(INDEX('Retirement Calculator'!K:K,MATCH('Lorri 401b'!N5090,'Retirement Calculator'!A:A,0),0),0)</f>
        <v>0</v>
      </c>
      <c r="K5090" s="455">
        <f t="shared" ca="1" si="178"/>
        <v>-2406134142353.3779</v>
      </c>
      <c r="L5090" s="455">
        <f t="shared" ca="1" si="179"/>
        <v>-579878328307164.13</v>
      </c>
      <c r="M5090" s="471">
        <f t="shared" si="181"/>
        <v>0.05</v>
      </c>
      <c r="N5090" s="475">
        <f t="shared" si="182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80"/>
        <v>-579878328307164.13</v>
      </c>
      <c r="J5091" s="455">
        <f t="array" ref="J5091">IFERROR(INDEX('Retirement Calculator'!K:K,MATCH('Lorri 401b'!N5091,'Retirement Calculator'!A:A,0),0),0)</f>
        <v>0</v>
      </c>
      <c r="K5091" s="455">
        <f t="shared" ca="1" si="178"/>
        <v>-2416159701279.8506</v>
      </c>
      <c r="L5091" s="455">
        <f t="shared" ca="1" si="179"/>
        <v>-582294488008444</v>
      </c>
      <c r="M5091" s="471">
        <f t="shared" si="181"/>
        <v>0.05</v>
      </c>
      <c r="N5091" s="475">
        <f t="shared" si="182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80"/>
        <v>-582294488008444</v>
      </c>
      <c r="J5092" s="455">
        <f t="array" ref="J5092">IFERROR(INDEX('Retirement Calculator'!K:K,MATCH('Lorri 401b'!N5092,'Retirement Calculator'!A:A,0),0),0)</f>
        <v>0</v>
      </c>
      <c r="K5092" s="455">
        <f t="shared" ca="1" si="178"/>
        <v>-2426227033368.5166</v>
      </c>
      <c r="L5092" s="455">
        <f t="shared" ca="1" si="179"/>
        <v>-584720715041812.5</v>
      </c>
      <c r="M5092" s="471">
        <f t="shared" si="181"/>
        <v>0.05</v>
      </c>
      <c r="N5092" s="475">
        <f t="shared" si="182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80"/>
        <v>-584720715041812.5</v>
      </c>
      <c r="J5093" s="455">
        <f t="array" ref="J5093">IFERROR(INDEX('Retirement Calculator'!K:K,MATCH('Lorri 401b'!N5093,'Retirement Calculator'!A:A,0),0),0)</f>
        <v>0</v>
      </c>
      <c r="K5093" s="455">
        <f t="shared" ca="1" si="178"/>
        <v>-2436336312674.2188</v>
      </c>
      <c r="L5093" s="455">
        <f t="shared" ca="1" si="179"/>
        <v>-587157051354486.75</v>
      </c>
      <c r="M5093" s="471">
        <f t="shared" si="181"/>
        <v>0.05</v>
      </c>
      <c r="N5093" s="475">
        <f t="shared" si="182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80"/>
        <v>-587157051354486.75</v>
      </c>
      <c r="J5094" s="455">
        <f t="array" ref="J5094">IFERROR(INDEX('Retirement Calculator'!K:K,MATCH('Lorri 401b'!N5094,'Retirement Calculator'!A:A,0),0),0)</f>
        <v>0</v>
      </c>
      <c r="K5094" s="455">
        <f t="shared" ca="1" si="178"/>
        <v>-2446487713977.0283</v>
      </c>
      <c r="L5094" s="455">
        <f t="shared" ca="1" si="179"/>
        <v>-589603539068463.75</v>
      </c>
      <c r="M5094" s="471">
        <f t="shared" si="181"/>
        <v>0.05</v>
      </c>
      <c r="N5094" s="475">
        <f t="shared" si="182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80"/>
        <v>-589603539068463.75</v>
      </c>
      <c r="J5095" s="455">
        <f t="array" ref="J5095">IFERROR(INDEX('Retirement Calculator'!K:K,MATCH('Lorri 401b'!N5095,'Retirement Calculator'!A:A,0),0),0)</f>
        <v>0</v>
      </c>
      <c r="K5095" s="455">
        <f t="shared" ca="1" si="178"/>
        <v>-2456681412785.2656</v>
      </c>
      <c r="L5095" s="455">
        <f t="shared" ca="1" si="179"/>
        <v>-592060220481249</v>
      </c>
      <c r="M5095" s="471">
        <f t="shared" si="181"/>
        <v>0.05</v>
      </c>
      <c r="N5095" s="475">
        <f t="shared" si="182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80"/>
        <v>-592060220481249</v>
      </c>
      <c r="J5096" s="455">
        <f t="array" ref="J5096">IFERROR(INDEX('Retirement Calculator'!K:K,MATCH('Lorri 401b'!N5096,'Retirement Calculator'!A:A,0),0),0)</f>
        <v>0</v>
      </c>
      <c r="K5096" s="455">
        <f t="shared" ca="1" si="178"/>
        <v>-2466917585338.5376</v>
      </c>
      <c r="L5096" s="455">
        <f t="shared" ca="1" si="179"/>
        <v>-594527138066587.5</v>
      </c>
      <c r="M5096" s="471">
        <f t="shared" si="181"/>
        <v>0.05</v>
      </c>
      <c r="N5096" s="475">
        <f t="shared" si="182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80"/>
        <v>-594527138066587.5</v>
      </c>
      <c r="J5097" s="455">
        <f t="array" ref="J5097">IFERROR(INDEX('Retirement Calculator'!K:K,MATCH('Lorri 401b'!N5097,'Retirement Calculator'!A:A,0),0),0)</f>
        <v>0</v>
      </c>
      <c r="K5097" s="455">
        <f t="shared" ca="1" si="178"/>
        <v>-2477196408610.7813</v>
      </c>
      <c r="L5097" s="455">
        <f t="shared" ca="1" si="179"/>
        <v>-597004334475198.25</v>
      </c>
      <c r="M5097" s="471">
        <f t="shared" si="181"/>
        <v>0.05</v>
      </c>
      <c r="N5097" s="475">
        <f t="shared" si="182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80"/>
        <v>-597004334475198.25</v>
      </c>
      <c r="J5098" s="455">
        <f t="array" ref="J5098">IFERROR(INDEX('Retirement Calculator'!K:K,MATCH('Lorri 401b'!N5098,'Retirement Calculator'!A:A,0),0),0)</f>
        <v>0</v>
      </c>
      <c r="K5098" s="455">
        <f t="shared" ca="1" si="178"/>
        <v>-2487518060313.3262</v>
      </c>
      <c r="L5098" s="455">
        <f t="shared" ca="1" si="179"/>
        <v>-599491852535511.63</v>
      </c>
      <c r="M5098" s="471">
        <f t="shared" si="181"/>
        <v>0.05</v>
      </c>
      <c r="N5098" s="475">
        <f t="shared" si="182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80"/>
        <v>-599491852535511.63</v>
      </c>
      <c r="J5099" s="455">
        <f t="array" ref="J5099">IFERROR(INDEX('Retirement Calculator'!K:K,MATCH('Lorri 401b'!N5099,'Retirement Calculator'!A:A,0),0),0)</f>
        <v>0</v>
      </c>
      <c r="K5099" s="455">
        <f t="shared" ca="1" si="178"/>
        <v>-2497882718897.9648</v>
      </c>
      <c r="L5099" s="455">
        <f t="shared" ca="1" si="179"/>
        <v>-601989735254409.63</v>
      </c>
      <c r="M5099" s="471">
        <f t="shared" si="181"/>
        <v>0.05</v>
      </c>
      <c r="N5099" s="475">
        <f t="shared" si="182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80"/>
        <v>-601989735254409.63</v>
      </c>
      <c r="J5100" s="455">
        <f t="array" ref="J5100">IFERROR(INDEX('Retirement Calculator'!K:K,MATCH('Lorri 401b'!N5100,'Retirement Calculator'!A:A,0),0),0)</f>
        <v>0</v>
      </c>
      <c r="K5100" s="455">
        <f t="shared" ca="1" si="178"/>
        <v>-2508290563560.04</v>
      </c>
      <c r="L5100" s="455">
        <f t="shared" ca="1" si="179"/>
        <v>-604498025817969.63</v>
      </c>
      <c r="M5100" s="471">
        <f t="shared" si="181"/>
        <v>0.05</v>
      </c>
      <c r="N5100" s="475">
        <f t="shared" si="182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80"/>
        <v>-604498025817969.63</v>
      </c>
      <c r="J5101" s="455">
        <f t="array" ref="J5101">IFERROR(INDEX('Retirement Calculator'!K:K,MATCH('Lorri 401b'!N5101,'Retirement Calculator'!A:A,0),0),0)</f>
        <v>0</v>
      </c>
      <c r="K5101" s="455">
        <f t="shared" ca="1" si="178"/>
        <v>-2518741774241.54</v>
      </c>
      <c r="L5101" s="455">
        <f t="shared" ca="1" si="179"/>
        <v>-607016767592211.13</v>
      </c>
      <c r="M5101" s="471">
        <f t="shared" si="181"/>
        <v>0.05</v>
      </c>
      <c r="N5101" s="475">
        <f t="shared" si="182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80"/>
        <v>-607016767592211.13</v>
      </c>
      <c r="J5102" s="455">
        <f t="array" ref="J5102">IFERROR(INDEX('Retirement Calculator'!K:K,MATCH('Lorri 401b'!N5102,'Retirement Calculator'!A:A,0),0),0)</f>
        <v>0</v>
      </c>
      <c r="K5102" s="455">
        <f t="shared" ca="1" si="178"/>
        <v>-2529236531634.2129</v>
      </c>
      <c r="L5102" s="455">
        <f t="shared" ca="1" si="179"/>
        <v>-609546004123845.38</v>
      </c>
      <c r="M5102" s="471">
        <f t="shared" si="181"/>
        <v>0.05</v>
      </c>
      <c r="N5102" s="475">
        <f t="shared" si="182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80"/>
        <v>-609546004123845.38</v>
      </c>
      <c r="J5103" s="455">
        <f t="array" ref="J5103">IFERROR(INDEX('Retirement Calculator'!K:K,MATCH('Lorri 401b'!N5103,'Retirement Calculator'!A:A,0),0),0)</f>
        <v>0</v>
      </c>
      <c r="K5103" s="455">
        <f t="shared" ca="1" si="178"/>
        <v>-2539775017182.689</v>
      </c>
      <c r="L5103" s="455">
        <f t="shared" ca="1" si="179"/>
        <v>-612085779141028.13</v>
      </c>
      <c r="M5103" s="471">
        <f t="shared" si="181"/>
        <v>0.05</v>
      </c>
      <c r="N5103" s="475">
        <f t="shared" si="182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80"/>
        <v>-612085779141028.13</v>
      </c>
      <c r="J5104" s="455">
        <f t="array" ref="J5104">IFERROR(INDEX('Retirement Calculator'!K:K,MATCH('Lorri 401b'!N5104,'Retirement Calculator'!A:A,0),0),0)</f>
        <v>0</v>
      </c>
      <c r="K5104" s="455">
        <f t="shared" ca="1" si="178"/>
        <v>-2550357413087.6172</v>
      </c>
      <c r="L5104" s="455">
        <f t="shared" ca="1" si="179"/>
        <v>-614636136554115.75</v>
      </c>
      <c r="M5104" s="471">
        <f t="shared" si="181"/>
        <v>0.05</v>
      </c>
      <c r="N5104" s="475">
        <f t="shared" si="182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80"/>
        <v>-614636136554115.75</v>
      </c>
      <c r="J5105" s="455">
        <f t="array" ref="J5105">IFERROR(INDEX('Retirement Calculator'!K:K,MATCH('Lorri 401b'!N5105,'Retirement Calculator'!A:A,0),0),0)</f>
        <v>0</v>
      </c>
      <c r="K5105" s="455">
        <f t="shared" ca="1" si="178"/>
        <v>-2560983902308.8154</v>
      </c>
      <c r="L5105" s="455">
        <f t="shared" ca="1" si="179"/>
        <v>-617197120456424.63</v>
      </c>
      <c r="M5105" s="471">
        <f t="shared" si="181"/>
        <v>0.05</v>
      </c>
      <c r="N5105" s="475">
        <f t="shared" si="182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80"/>
        <v>-617197120456424.63</v>
      </c>
      <c r="J5106" s="455">
        <f t="array" ref="J5106">IFERROR(INDEX('Retirement Calculator'!K:K,MATCH('Lorri 401b'!N5106,'Retirement Calculator'!A:A,0),0),0)</f>
        <v>0</v>
      </c>
      <c r="K5106" s="455">
        <f t="shared" ca="1" si="178"/>
        <v>-2571654668568.436</v>
      </c>
      <c r="L5106" s="455">
        <f t="shared" ca="1" si="179"/>
        <v>-619768775124993</v>
      </c>
      <c r="M5106" s="471">
        <f t="shared" si="181"/>
        <v>0.05</v>
      </c>
      <c r="N5106" s="475">
        <f t="shared" si="182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80"/>
        <v>-619768775124993</v>
      </c>
      <c r="J5107" s="455">
        <f t="array" ref="J5107">IFERROR(INDEX('Retirement Calculator'!K:K,MATCH('Lorri 401b'!N5107,'Retirement Calculator'!A:A,0),0),0)</f>
        <v>0</v>
      </c>
      <c r="K5107" s="455">
        <f t="shared" ca="1" si="178"/>
        <v>-2582369896354.1377</v>
      </c>
      <c r="L5107" s="455">
        <f t="shared" ca="1" si="179"/>
        <v>-622351145021347.13</v>
      </c>
      <c r="M5107" s="471">
        <f t="shared" si="181"/>
        <v>0.05</v>
      </c>
      <c r="N5107" s="475">
        <f t="shared" si="182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80"/>
        <v>-622351145021347.13</v>
      </c>
      <c r="J5108" s="455">
        <f t="array" ref="J5108">IFERROR(INDEX('Retirement Calculator'!K:K,MATCH('Lorri 401b'!N5108,'Retirement Calculator'!A:A,0),0),0)</f>
        <v>0</v>
      </c>
      <c r="K5108" s="455">
        <f t="shared" ref="K5108:K5362" ca="1" si="183">IPMT(M5108/12,1,12,-I5108+J5108,,0)</f>
        <v>-2593129770922.2798</v>
      </c>
      <c r="L5108" s="455">
        <f t="shared" ref="L5108:L5362" ca="1" si="184">I5108-J5108+K5108</f>
        <v>-624944274792269.38</v>
      </c>
      <c r="M5108" s="471">
        <f t="shared" si="181"/>
        <v>0.05</v>
      </c>
      <c r="N5108" s="475">
        <f t="shared" si="182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185">L5108</f>
        <v>-624944274792269.38</v>
      </c>
      <c r="J5109" s="455">
        <f t="array" ref="J5109">IFERROR(INDEX('Retirement Calculator'!K:K,MATCH('Lorri 401b'!N5109,'Retirement Calculator'!A:A,0),0),0)</f>
        <v>0</v>
      </c>
      <c r="K5109" s="455">
        <f t="shared" ca="1" si="183"/>
        <v>-2603934478301.1226</v>
      </c>
      <c r="L5109" s="455">
        <f t="shared" ca="1" si="184"/>
        <v>-627548209270570.5</v>
      </c>
      <c r="M5109" s="471">
        <f t="shared" ref="M5109:M5363" si="186">M5108</f>
        <v>0.05</v>
      </c>
      <c r="N5109" s="475">
        <f t="shared" ref="N5109:N5363" si="187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185"/>
        <v>-627548209270570.5</v>
      </c>
      <c r="J5110" s="455">
        <f t="array" ref="J5110">IFERROR(INDEX('Retirement Calculator'!K:K,MATCH('Lorri 401b'!N5110,'Retirement Calculator'!A:A,0),0),0)</f>
        <v>0</v>
      </c>
      <c r="K5110" s="455">
        <f t="shared" ca="1" si="183"/>
        <v>-2614784205294.0439</v>
      </c>
      <c r="L5110" s="455">
        <f t="shared" ca="1" si="184"/>
        <v>-630162993475864.5</v>
      </c>
      <c r="M5110" s="471">
        <f t="shared" si="186"/>
        <v>0.05</v>
      </c>
      <c r="N5110" s="475">
        <f t="shared" si="187"/>
        <v>206577</v>
      </c>
    </row>
    <row r="5111" spans="7:14" ht="11.25" customHeight="1" x14ac:dyDescent="0.3">
      <c r="G5111" s="470"/>
      <c r="H5111" s="470">
        <v>5104</v>
      </c>
      <c r="I5111" s="455">
        <f t="shared" ca="1" si="185"/>
        <v>-630162993475864.5</v>
      </c>
      <c r="J5111" s="455">
        <f t="array" ref="J5111">IFERROR(INDEX('Retirement Calculator'!K:K,MATCH('Lorri 401b'!N5111,'Retirement Calculator'!A:A,0),0),0)</f>
        <v>0</v>
      </c>
      <c r="K5111" s="455">
        <f t="shared" ca="1" si="183"/>
        <v>-2625679139482.7686</v>
      </c>
      <c r="L5111" s="455">
        <f t="shared" ca="1" si="184"/>
        <v>-632788672615347.25</v>
      </c>
      <c r="M5111" s="471">
        <f t="shared" si="186"/>
        <v>0.05</v>
      </c>
      <c r="N5111" s="475">
        <f t="shared" si="187"/>
        <v>206608</v>
      </c>
    </row>
    <row r="5112" spans="7:14" ht="11.25" customHeight="1" x14ac:dyDescent="0.3">
      <c r="G5112" s="470"/>
      <c r="H5112" s="470">
        <v>5105</v>
      </c>
      <c r="I5112" s="455">
        <f t="shared" ca="1" si="185"/>
        <v>-632788672615347.25</v>
      </c>
      <c r="J5112" s="455">
        <f t="array" ref="J5112">IFERROR(INDEX('Retirement Calculator'!K:K,MATCH('Lorri 401b'!N5112,'Retirement Calculator'!A:A,0),0),0)</f>
        <v>0</v>
      </c>
      <c r="K5112" s="455">
        <f t="shared" ca="1" si="183"/>
        <v>-2636619469230.6133</v>
      </c>
      <c r="L5112" s="455">
        <f t="shared" ca="1" si="184"/>
        <v>-635425292084577.88</v>
      </c>
      <c r="M5112" s="471">
        <f t="shared" si="186"/>
        <v>0.05</v>
      </c>
      <c r="N5112" s="475">
        <f t="shared" si="187"/>
        <v>206638</v>
      </c>
    </row>
    <row r="5113" spans="7:14" ht="11.25" customHeight="1" x14ac:dyDescent="0.3">
      <c r="G5113" s="470"/>
      <c r="H5113" s="470">
        <v>5106</v>
      </c>
      <c r="I5113" s="455">
        <f t="shared" ca="1" si="185"/>
        <v>-635425292084577.88</v>
      </c>
      <c r="J5113" s="455">
        <f t="array" ref="J5113">IFERROR(INDEX('Retirement Calculator'!K:K,MATCH('Lorri 401b'!N5113,'Retirement Calculator'!A:A,0),0),0)</f>
        <v>0</v>
      </c>
      <c r="K5113" s="455">
        <f t="shared" ca="1" si="183"/>
        <v>-2647605383685.7412</v>
      </c>
      <c r="L5113" s="455">
        <f t="shared" ca="1" si="184"/>
        <v>-638072897468263.63</v>
      </c>
      <c r="M5113" s="471">
        <f t="shared" si="186"/>
        <v>0.05</v>
      </c>
      <c r="N5113" s="475">
        <f t="shared" si="187"/>
        <v>206669</v>
      </c>
    </row>
    <row r="5114" spans="7:14" ht="11.25" customHeight="1" x14ac:dyDescent="0.3">
      <c r="G5114" s="470"/>
      <c r="H5114" s="470">
        <v>5107</v>
      </c>
      <c r="I5114" s="455">
        <f t="shared" ca="1" si="185"/>
        <v>-638072897468263.63</v>
      </c>
      <c r="J5114" s="455">
        <f t="array" ref="J5114">IFERROR(INDEX('Retirement Calculator'!K:K,MATCH('Lorri 401b'!N5114,'Retirement Calculator'!A:A,0),0),0)</f>
        <v>0</v>
      </c>
      <c r="K5114" s="455">
        <f t="shared" ca="1" si="183"/>
        <v>-2658637072784.4316</v>
      </c>
      <c r="L5114" s="455">
        <f t="shared" ca="1" si="184"/>
        <v>-640731534541048</v>
      </c>
      <c r="M5114" s="471">
        <f t="shared" si="186"/>
        <v>0.05</v>
      </c>
      <c r="N5114" s="475">
        <f t="shared" si="187"/>
        <v>206699</v>
      </c>
    </row>
    <row r="5115" spans="7:14" ht="11.25" customHeight="1" x14ac:dyDescent="0.3">
      <c r="G5115" s="470"/>
      <c r="H5115" s="470">
        <v>5108</v>
      </c>
      <c r="I5115" s="455">
        <f t="shared" ca="1" si="185"/>
        <v>-640731534541048</v>
      </c>
      <c r="J5115" s="455">
        <f t="array" ref="J5115">IFERROR(INDEX('Retirement Calculator'!K:K,MATCH('Lorri 401b'!N5115,'Retirement Calculator'!A:A,0),0),0)</f>
        <v>0</v>
      </c>
      <c r="K5115" s="455">
        <f t="shared" ca="1" si="183"/>
        <v>-2669714727254.3667</v>
      </c>
      <c r="L5115" s="455">
        <f t="shared" ca="1" si="184"/>
        <v>-643401249268302.38</v>
      </c>
      <c r="M5115" s="471">
        <f t="shared" si="186"/>
        <v>0.05</v>
      </c>
      <c r="N5115" s="475">
        <f t="shared" si="187"/>
        <v>206730</v>
      </c>
    </row>
    <row r="5116" spans="7:14" ht="11.25" customHeight="1" x14ac:dyDescent="0.3">
      <c r="G5116" s="470"/>
      <c r="H5116" s="470">
        <v>5109</v>
      </c>
      <c r="I5116" s="455">
        <f t="shared" ca="1" si="185"/>
        <v>-643401249268302.38</v>
      </c>
      <c r="J5116" s="455">
        <f t="array" ref="J5116">IFERROR(INDEX('Retirement Calculator'!K:K,MATCH('Lorri 401b'!N5116,'Retirement Calculator'!A:A,0),0),0)</f>
        <v>0</v>
      </c>
      <c r="K5116" s="455">
        <f t="shared" ca="1" si="183"/>
        <v>-2680838538617.9268</v>
      </c>
      <c r="L5116" s="455">
        <f t="shared" ca="1" si="184"/>
        <v>-646082087806920.25</v>
      </c>
      <c r="M5116" s="471">
        <f t="shared" si="186"/>
        <v>0.05</v>
      </c>
      <c r="N5116" s="475">
        <f t="shared" si="187"/>
        <v>206761</v>
      </c>
    </row>
    <row r="5117" spans="7:14" ht="11.25" customHeight="1" x14ac:dyDescent="0.3">
      <c r="G5117" s="470"/>
      <c r="H5117" s="470">
        <v>5110</v>
      </c>
      <c r="I5117" s="455">
        <f t="shared" ca="1" si="185"/>
        <v>-646082087806920.25</v>
      </c>
      <c r="J5117" s="455">
        <f t="array" ref="J5117">IFERROR(INDEX('Retirement Calculator'!K:K,MATCH('Lorri 401b'!N5117,'Retirement Calculator'!A:A,0),0),0)</f>
        <v>0</v>
      </c>
      <c r="K5117" s="455">
        <f t="shared" ca="1" si="183"/>
        <v>-2692008699195.501</v>
      </c>
      <c r="L5117" s="455">
        <f t="shared" ca="1" si="184"/>
        <v>-648774096506115.75</v>
      </c>
      <c r="M5117" s="471">
        <f t="shared" si="186"/>
        <v>0.05</v>
      </c>
      <c r="N5117" s="475">
        <f t="shared" si="187"/>
        <v>206789</v>
      </c>
    </row>
    <row r="5118" spans="7:14" ht="11.25" customHeight="1" x14ac:dyDescent="0.3">
      <c r="G5118" s="470"/>
      <c r="H5118" s="470">
        <v>5111</v>
      </c>
      <c r="I5118" s="455">
        <f t="shared" ca="1" si="185"/>
        <v>-648774096506115.75</v>
      </c>
      <c r="J5118" s="455">
        <f t="array" ref="J5118">IFERROR(INDEX('Retirement Calculator'!K:K,MATCH('Lorri 401b'!N5118,'Retirement Calculator'!A:A,0),0),0)</f>
        <v>0</v>
      </c>
      <c r="K5118" s="455">
        <f t="shared" ca="1" si="183"/>
        <v>-2703225402108.8154</v>
      </c>
      <c r="L5118" s="455">
        <f t="shared" ca="1" si="184"/>
        <v>-651477321908224.63</v>
      </c>
      <c r="M5118" s="471">
        <f t="shared" si="186"/>
        <v>0.05</v>
      </c>
      <c r="N5118" s="475">
        <f t="shared" si="187"/>
        <v>206820</v>
      </c>
    </row>
    <row r="5119" spans="7:14" ht="11.25" customHeight="1" x14ac:dyDescent="0.3">
      <c r="G5119" s="470"/>
      <c r="H5119" s="470">
        <v>5112</v>
      </c>
      <c r="I5119" s="455">
        <f t="shared" ca="1" si="185"/>
        <v>-651477321908224.63</v>
      </c>
      <c r="J5119" s="455">
        <f t="array" ref="J5119">IFERROR(INDEX('Retirement Calculator'!K:K,MATCH('Lorri 401b'!N5119,'Retirement Calculator'!A:A,0),0),0)</f>
        <v>0</v>
      </c>
      <c r="K5119" s="455">
        <f t="shared" ca="1" si="183"/>
        <v>-2714488841284.269</v>
      </c>
      <c r="L5119" s="455">
        <f t="shared" ca="1" si="184"/>
        <v>-654191810749508.88</v>
      </c>
      <c r="M5119" s="471">
        <f t="shared" si="186"/>
        <v>0.05</v>
      </c>
      <c r="N5119" s="475">
        <f t="shared" si="187"/>
        <v>206850</v>
      </c>
    </row>
    <row r="5120" spans="7:14" ht="11.25" customHeight="1" x14ac:dyDescent="0.3">
      <c r="G5120" s="470"/>
      <c r="H5120" s="470">
        <v>5113</v>
      </c>
      <c r="I5120" s="455">
        <f t="shared" ca="1" si="185"/>
        <v>-654191810749508.88</v>
      </c>
      <c r="J5120" s="455">
        <f t="array" ref="J5120">IFERROR(INDEX('Retirement Calculator'!K:K,MATCH('Lorri 401b'!N5120,'Retirement Calculator'!A:A,0),0),0)</f>
        <v>0</v>
      </c>
      <c r="K5120" s="455">
        <f t="shared" ca="1" si="183"/>
        <v>-2725799211456.2871</v>
      </c>
      <c r="L5120" s="455">
        <f t="shared" ca="1" si="184"/>
        <v>-656917609960965.13</v>
      </c>
      <c r="M5120" s="471">
        <f t="shared" si="186"/>
        <v>0.05</v>
      </c>
      <c r="N5120" s="475">
        <f t="shared" si="187"/>
        <v>206881</v>
      </c>
    </row>
    <row r="5121" spans="7:14" ht="11.25" customHeight="1" x14ac:dyDescent="0.3">
      <c r="G5121" s="470"/>
      <c r="H5121" s="470">
        <v>5114</v>
      </c>
      <c r="I5121" s="455">
        <f t="shared" ca="1" si="185"/>
        <v>-656917609960965.13</v>
      </c>
      <c r="J5121" s="455">
        <f t="array" ref="J5121">IFERROR(INDEX('Retirement Calculator'!K:K,MATCH('Lorri 401b'!N5121,'Retirement Calculator'!A:A,0),0),0)</f>
        <v>0</v>
      </c>
      <c r="K5121" s="455">
        <f t="shared" ca="1" si="183"/>
        <v>-2737156708170.688</v>
      </c>
      <c r="L5121" s="455">
        <f t="shared" ca="1" si="184"/>
        <v>-659654766669135.88</v>
      </c>
      <c r="M5121" s="471">
        <f t="shared" si="186"/>
        <v>0.05</v>
      </c>
      <c r="N5121" s="475">
        <f t="shared" si="187"/>
        <v>206911</v>
      </c>
    </row>
    <row r="5122" spans="7:14" ht="11.25" customHeight="1" x14ac:dyDescent="0.3">
      <c r="G5122" s="470"/>
      <c r="H5122" s="470">
        <v>5115</v>
      </c>
      <c r="I5122" s="455">
        <f t="shared" ca="1" si="185"/>
        <v>-659654766669135.88</v>
      </c>
      <c r="J5122" s="455">
        <f t="array" ref="J5122">IFERROR(INDEX('Retirement Calculator'!K:K,MATCH('Lorri 401b'!N5122,'Retirement Calculator'!A:A,0),0),0)</f>
        <v>0</v>
      </c>
      <c r="K5122" s="455">
        <f t="shared" ca="1" si="183"/>
        <v>-2748561527788.0659</v>
      </c>
      <c r="L5122" s="455">
        <f t="shared" ca="1" si="184"/>
        <v>-662403328196924</v>
      </c>
      <c r="M5122" s="471">
        <f t="shared" si="186"/>
        <v>0.05</v>
      </c>
      <c r="N5122" s="475">
        <f t="shared" si="187"/>
        <v>206942</v>
      </c>
    </row>
    <row r="5123" spans="7:14" ht="11.25" customHeight="1" x14ac:dyDescent="0.3">
      <c r="G5123" s="470"/>
      <c r="H5123" s="470">
        <v>5116</v>
      </c>
      <c r="I5123" s="455">
        <f t="shared" ca="1" si="185"/>
        <v>-662403328196924</v>
      </c>
      <c r="J5123" s="455">
        <f t="array" ref="J5123">IFERROR(INDEX('Retirement Calculator'!K:K,MATCH('Lorri 401b'!N5123,'Retirement Calculator'!A:A,0),0),0)</f>
        <v>0</v>
      </c>
      <c r="K5123" s="455">
        <f t="shared" ca="1" si="183"/>
        <v>-2760013867487.1831</v>
      </c>
      <c r="L5123" s="455">
        <f t="shared" ca="1" si="184"/>
        <v>-665163342064411.13</v>
      </c>
      <c r="M5123" s="471">
        <f t="shared" si="186"/>
        <v>0.05</v>
      </c>
      <c r="N5123" s="475">
        <f t="shared" si="187"/>
        <v>206973</v>
      </c>
    </row>
    <row r="5124" spans="7:14" ht="11.25" customHeight="1" x14ac:dyDescent="0.3">
      <c r="G5124" s="470"/>
      <c r="H5124" s="470">
        <v>5117</v>
      </c>
      <c r="I5124" s="455">
        <f t="shared" ca="1" si="185"/>
        <v>-665163342064411.13</v>
      </c>
      <c r="J5124" s="455">
        <f t="array" ref="J5124">IFERROR(INDEX('Retirement Calculator'!K:K,MATCH('Lorri 401b'!N5124,'Retirement Calculator'!A:A,0),0),0)</f>
        <v>0</v>
      </c>
      <c r="K5124" s="455">
        <f t="shared" ca="1" si="183"/>
        <v>-2771513925268.3799</v>
      </c>
      <c r="L5124" s="455">
        <f t="shared" ca="1" si="184"/>
        <v>-667934855989679.5</v>
      </c>
      <c r="M5124" s="471">
        <f t="shared" si="186"/>
        <v>0.05</v>
      </c>
      <c r="N5124" s="475">
        <f t="shared" si="187"/>
        <v>207003</v>
      </c>
    </row>
    <row r="5125" spans="7:14" ht="11.25" customHeight="1" x14ac:dyDescent="0.3">
      <c r="G5125" s="470"/>
      <c r="H5125" s="470">
        <v>5118</v>
      </c>
      <c r="I5125" s="455">
        <f t="shared" ca="1" si="185"/>
        <v>-667934855989679.5</v>
      </c>
      <c r="J5125" s="455">
        <f t="array" ref="J5125">IFERROR(INDEX('Retirement Calculator'!K:K,MATCH('Lorri 401b'!N5125,'Retirement Calculator'!A:A,0),0),0)</f>
        <v>0</v>
      </c>
      <c r="K5125" s="455">
        <f t="shared" ca="1" si="183"/>
        <v>-2783061899956.998</v>
      </c>
      <c r="L5125" s="455">
        <f t="shared" ca="1" si="184"/>
        <v>-670717917889636.5</v>
      </c>
      <c r="M5125" s="471">
        <f t="shared" si="186"/>
        <v>0.05</v>
      </c>
      <c r="N5125" s="475">
        <f t="shared" si="187"/>
        <v>207034</v>
      </c>
    </row>
    <row r="5126" spans="7:14" ht="11.25" customHeight="1" x14ac:dyDescent="0.3">
      <c r="G5126" s="470"/>
      <c r="H5126" s="470">
        <v>5119</v>
      </c>
      <c r="I5126" s="455">
        <f t="shared" ca="1" si="185"/>
        <v>-670717917889636.5</v>
      </c>
      <c r="J5126" s="455">
        <f t="array" ref="J5126">IFERROR(INDEX('Retirement Calculator'!K:K,MATCH('Lorri 401b'!N5126,'Retirement Calculator'!A:A,0),0),0)</f>
        <v>0</v>
      </c>
      <c r="K5126" s="455">
        <f t="shared" ca="1" si="183"/>
        <v>-2794657991206.8188</v>
      </c>
      <c r="L5126" s="455">
        <f t="shared" ca="1" si="184"/>
        <v>-673512575880843.38</v>
      </c>
      <c r="M5126" s="471">
        <f t="shared" si="186"/>
        <v>0.05</v>
      </c>
      <c r="N5126" s="475">
        <f t="shared" si="187"/>
        <v>207064</v>
      </c>
    </row>
    <row r="5127" spans="7:14" ht="11.25" customHeight="1" x14ac:dyDescent="0.3">
      <c r="G5127" s="470"/>
      <c r="H5127" s="470">
        <v>5120</v>
      </c>
      <c r="I5127" s="455">
        <f t="shared" ca="1" si="185"/>
        <v>-673512575880843.38</v>
      </c>
      <c r="J5127" s="455">
        <f t="array" ref="J5127">IFERROR(INDEX('Retirement Calculator'!K:K,MATCH('Lorri 401b'!N5127,'Retirement Calculator'!A:A,0),0),0)</f>
        <v>0</v>
      </c>
      <c r="K5127" s="455">
        <f t="shared" ca="1" si="183"/>
        <v>-2806302399503.5142</v>
      </c>
      <c r="L5127" s="455">
        <f t="shared" ca="1" si="184"/>
        <v>-676318878280346.88</v>
      </c>
      <c r="M5127" s="471">
        <f t="shared" si="186"/>
        <v>0.05</v>
      </c>
      <c r="N5127" s="475">
        <f t="shared" si="187"/>
        <v>207095</v>
      </c>
    </row>
    <row r="5128" spans="7:14" ht="11.25" customHeight="1" x14ac:dyDescent="0.3">
      <c r="G5128" s="470"/>
      <c r="H5128" s="470">
        <v>5121</v>
      </c>
      <c r="I5128" s="455">
        <f t="shared" ca="1" si="185"/>
        <v>-676318878280346.88</v>
      </c>
      <c r="J5128" s="455">
        <f t="array" ref="J5128">IFERROR(INDEX('Retirement Calculator'!K:K,MATCH('Lorri 401b'!N5128,'Retirement Calculator'!A:A,0),0),0)</f>
        <v>0</v>
      </c>
      <c r="K5128" s="455">
        <f t="shared" ca="1" si="183"/>
        <v>-2817995326168.1118</v>
      </c>
      <c r="L5128" s="455">
        <f t="shared" ca="1" si="184"/>
        <v>-679136873606515</v>
      </c>
      <c r="M5128" s="471">
        <f t="shared" si="186"/>
        <v>0.05</v>
      </c>
      <c r="N5128" s="475">
        <f t="shared" si="187"/>
        <v>207126</v>
      </c>
    </row>
    <row r="5129" spans="7:14" ht="11.25" customHeight="1" x14ac:dyDescent="0.3">
      <c r="G5129" s="470"/>
      <c r="H5129" s="470">
        <v>5122</v>
      </c>
      <c r="I5129" s="455">
        <f t="shared" ca="1" si="185"/>
        <v>-679136873606515</v>
      </c>
      <c r="J5129" s="455">
        <f t="array" ref="J5129">IFERROR(INDEX('Retirement Calculator'!K:K,MATCH('Lorri 401b'!N5129,'Retirement Calculator'!A:A,0),0),0)</f>
        <v>0</v>
      </c>
      <c r="K5129" s="455">
        <f t="shared" ca="1" si="183"/>
        <v>-2829736973360.479</v>
      </c>
      <c r="L5129" s="455">
        <f t="shared" ca="1" si="184"/>
        <v>-681966610579875.5</v>
      </c>
      <c r="M5129" s="471">
        <f t="shared" si="186"/>
        <v>0.05</v>
      </c>
      <c r="N5129" s="475">
        <f t="shared" si="187"/>
        <v>207154</v>
      </c>
    </row>
    <row r="5130" spans="7:14" ht="11.25" customHeight="1" x14ac:dyDescent="0.3">
      <c r="G5130" s="470"/>
      <c r="H5130" s="470">
        <v>5123</v>
      </c>
      <c r="I5130" s="455">
        <f t="shared" ca="1" si="185"/>
        <v>-681966610579875.5</v>
      </c>
      <c r="J5130" s="455">
        <f t="array" ref="J5130">IFERROR(INDEX('Retirement Calculator'!K:K,MATCH('Lorri 401b'!N5130,'Retirement Calculator'!A:A,0),0),0)</f>
        <v>0</v>
      </c>
      <c r="K5130" s="455">
        <f t="shared" ca="1" si="183"/>
        <v>-2841527544082.8145</v>
      </c>
      <c r="L5130" s="455">
        <f t="shared" ca="1" si="184"/>
        <v>-684808138123958.38</v>
      </c>
      <c r="M5130" s="471">
        <f t="shared" si="186"/>
        <v>0.05</v>
      </c>
      <c r="N5130" s="475">
        <f t="shared" si="187"/>
        <v>207185</v>
      </c>
    </row>
    <row r="5131" spans="7:14" ht="11.25" customHeight="1" x14ac:dyDescent="0.3">
      <c r="G5131" s="470"/>
      <c r="H5131" s="470">
        <v>5124</v>
      </c>
      <c r="I5131" s="455">
        <f t="shared" ca="1" si="185"/>
        <v>-684808138123958.38</v>
      </c>
      <c r="J5131" s="455">
        <f t="array" ref="J5131">IFERROR(INDEX('Retirement Calculator'!K:K,MATCH('Lorri 401b'!N5131,'Retirement Calculator'!A:A,0),0),0)</f>
        <v>0</v>
      </c>
      <c r="K5131" s="455">
        <f t="shared" ca="1" si="183"/>
        <v>-2853367242183.1597</v>
      </c>
      <c r="L5131" s="455">
        <f t="shared" ca="1" si="184"/>
        <v>-687661505366141.5</v>
      </c>
      <c r="M5131" s="471">
        <f t="shared" si="186"/>
        <v>0.05</v>
      </c>
      <c r="N5131" s="475">
        <f t="shared" si="187"/>
        <v>207215</v>
      </c>
    </row>
    <row r="5132" spans="7:14" ht="11.25" customHeight="1" x14ac:dyDescent="0.3">
      <c r="G5132" s="470"/>
      <c r="H5132" s="470">
        <v>5125</v>
      </c>
      <c r="I5132" s="455">
        <f t="shared" ca="1" si="185"/>
        <v>-687661505366141.5</v>
      </c>
      <c r="J5132" s="455">
        <f t="array" ref="J5132">IFERROR(INDEX('Retirement Calculator'!K:K,MATCH('Lorri 401b'!N5132,'Retirement Calculator'!A:A,0),0),0)</f>
        <v>0</v>
      </c>
      <c r="K5132" s="455">
        <f t="shared" ca="1" si="183"/>
        <v>-2865256272358.9229</v>
      </c>
      <c r="L5132" s="455">
        <f t="shared" ca="1" si="184"/>
        <v>-690526761638500.38</v>
      </c>
      <c r="M5132" s="471">
        <f t="shared" si="186"/>
        <v>0.05</v>
      </c>
      <c r="N5132" s="475">
        <f t="shared" si="187"/>
        <v>207246</v>
      </c>
    </row>
    <row r="5133" spans="7:14" ht="11.25" customHeight="1" x14ac:dyDescent="0.3">
      <c r="G5133" s="470"/>
      <c r="H5133" s="470">
        <v>5126</v>
      </c>
      <c r="I5133" s="455">
        <f t="shared" ca="1" si="185"/>
        <v>-690526761638500.38</v>
      </c>
      <c r="J5133" s="455">
        <f t="array" ref="J5133">IFERROR(INDEX('Retirement Calculator'!K:K,MATCH('Lorri 401b'!N5133,'Retirement Calculator'!A:A,0),0),0)</f>
        <v>0</v>
      </c>
      <c r="K5133" s="455">
        <f t="shared" ca="1" si="183"/>
        <v>-2877194840160.418</v>
      </c>
      <c r="L5133" s="455">
        <f t="shared" ca="1" si="184"/>
        <v>-693403956478660.75</v>
      </c>
      <c r="M5133" s="471">
        <f t="shared" si="186"/>
        <v>0.05</v>
      </c>
      <c r="N5133" s="475">
        <f t="shared" si="187"/>
        <v>207276</v>
      </c>
    </row>
    <row r="5134" spans="7:14" ht="11.25" customHeight="1" x14ac:dyDescent="0.3">
      <c r="G5134" s="470"/>
      <c r="H5134" s="470">
        <v>5127</v>
      </c>
      <c r="I5134" s="455">
        <f t="shared" ca="1" si="185"/>
        <v>-693403956478660.75</v>
      </c>
      <c r="J5134" s="455">
        <f t="array" ref="J5134">IFERROR(INDEX('Retirement Calculator'!K:K,MATCH('Lorri 401b'!N5134,'Retirement Calculator'!A:A,0),0),0)</f>
        <v>0</v>
      </c>
      <c r="K5134" s="455">
        <f t="shared" ca="1" si="183"/>
        <v>-2889183151994.4199</v>
      </c>
      <c r="L5134" s="455">
        <f t="shared" ca="1" si="184"/>
        <v>-696293139630655.13</v>
      </c>
      <c r="M5134" s="471">
        <f t="shared" si="186"/>
        <v>0.05</v>
      </c>
      <c r="N5134" s="475">
        <f t="shared" si="187"/>
        <v>207307</v>
      </c>
    </row>
    <row r="5135" spans="7:14" ht="11.25" customHeight="1" x14ac:dyDescent="0.3">
      <c r="G5135" s="470"/>
      <c r="H5135" s="470">
        <v>5128</v>
      </c>
      <c r="I5135" s="455">
        <f t="shared" ca="1" si="185"/>
        <v>-696293139630655.13</v>
      </c>
      <c r="J5135" s="455">
        <f t="array" ref="J5135">IFERROR(INDEX('Retirement Calculator'!K:K,MATCH('Lorri 401b'!N5135,'Retirement Calculator'!A:A,0),0),0)</f>
        <v>0</v>
      </c>
      <c r="K5135" s="455">
        <f t="shared" ca="1" si="183"/>
        <v>-2901221415127.7295</v>
      </c>
      <c r="L5135" s="455">
        <f t="shared" ca="1" si="184"/>
        <v>-699194361045782.88</v>
      </c>
      <c r="M5135" s="471">
        <f t="shared" si="186"/>
        <v>0.05</v>
      </c>
      <c r="N5135" s="475">
        <f t="shared" si="187"/>
        <v>207338</v>
      </c>
    </row>
    <row r="5136" spans="7:14" ht="11.25" customHeight="1" x14ac:dyDescent="0.3">
      <c r="G5136" s="470"/>
      <c r="H5136" s="470">
        <v>5129</v>
      </c>
      <c r="I5136" s="455">
        <f t="shared" ca="1" si="185"/>
        <v>-699194361045782.88</v>
      </c>
      <c r="J5136" s="455">
        <f t="array" ref="J5136">IFERROR(INDEX('Retirement Calculator'!K:K,MATCH('Lorri 401b'!N5136,'Retirement Calculator'!A:A,0),0),0)</f>
        <v>0</v>
      </c>
      <c r="K5136" s="455">
        <f t="shared" ca="1" si="183"/>
        <v>-2913309837690.7617</v>
      </c>
      <c r="L5136" s="455">
        <f t="shared" ca="1" si="184"/>
        <v>-702107670883473.63</v>
      </c>
      <c r="M5136" s="471">
        <f t="shared" si="186"/>
        <v>0.05</v>
      </c>
      <c r="N5136" s="475">
        <f t="shared" si="187"/>
        <v>207368</v>
      </c>
    </row>
    <row r="5137" spans="7:14" ht="11.25" customHeight="1" x14ac:dyDescent="0.3">
      <c r="G5137" s="470"/>
      <c r="H5137" s="470">
        <v>5130</v>
      </c>
      <c r="I5137" s="455">
        <f t="shared" ca="1" si="185"/>
        <v>-702107670883473.63</v>
      </c>
      <c r="J5137" s="455">
        <f t="array" ref="J5137">IFERROR(INDEX('Retirement Calculator'!K:K,MATCH('Lorri 401b'!N5137,'Retirement Calculator'!A:A,0),0),0)</f>
        <v>0</v>
      </c>
      <c r="K5137" s="455">
        <f t="shared" ca="1" si="183"/>
        <v>-2925448628681.1401</v>
      </c>
      <c r="L5137" s="455">
        <f t="shared" ca="1" si="184"/>
        <v>-705033119512154.75</v>
      </c>
      <c r="M5137" s="471">
        <f t="shared" si="186"/>
        <v>0.05</v>
      </c>
      <c r="N5137" s="475">
        <f t="shared" si="187"/>
        <v>207399</v>
      </c>
    </row>
    <row r="5138" spans="7:14" ht="11.25" customHeight="1" x14ac:dyDescent="0.3">
      <c r="G5138" s="470"/>
      <c r="H5138" s="470">
        <v>5131</v>
      </c>
      <c r="I5138" s="455">
        <f t="shared" ca="1" si="185"/>
        <v>-705033119512154.75</v>
      </c>
      <c r="J5138" s="455">
        <f t="array" ref="J5138">IFERROR(INDEX('Retirement Calculator'!K:K,MATCH('Lorri 401b'!N5138,'Retirement Calculator'!A:A,0),0),0)</f>
        <v>0</v>
      </c>
      <c r="K5138" s="455">
        <f t="shared" ca="1" si="183"/>
        <v>-2937637997967.3115</v>
      </c>
      <c r="L5138" s="455">
        <f t="shared" ca="1" si="184"/>
        <v>-707970757510122</v>
      </c>
      <c r="M5138" s="471">
        <f t="shared" si="186"/>
        <v>0.05</v>
      </c>
      <c r="N5138" s="475">
        <f t="shared" si="187"/>
        <v>207429</v>
      </c>
    </row>
    <row r="5139" spans="7:14" ht="11.25" customHeight="1" x14ac:dyDescent="0.3">
      <c r="G5139" s="470"/>
      <c r="H5139" s="470">
        <v>5132</v>
      </c>
      <c r="I5139" s="455">
        <f t="shared" ca="1" si="185"/>
        <v>-707970757510122</v>
      </c>
      <c r="J5139" s="455">
        <f t="array" ref="J5139">IFERROR(INDEX('Retirement Calculator'!K:K,MATCH('Lorri 401b'!N5139,'Retirement Calculator'!A:A,0),0),0)</f>
        <v>0</v>
      </c>
      <c r="K5139" s="455">
        <f t="shared" ca="1" si="183"/>
        <v>-2949878156292.1748</v>
      </c>
      <c r="L5139" s="455">
        <f t="shared" ca="1" si="184"/>
        <v>-710920635666414.13</v>
      </c>
      <c r="M5139" s="471">
        <f t="shared" si="186"/>
        <v>0.05</v>
      </c>
      <c r="N5139" s="475">
        <f t="shared" si="187"/>
        <v>207460</v>
      </c>
    </row>
    <row r="5140" spans="7:14" ht="11.25" customHeight="1" x14ac:dyDescent="0.3">
      <c r="G5140" s="470"/>
      <c r="H5140" s="470">
        <v>5133</v>
      </c>
      <c r="I5140" s="455">
        <f t="shared" ca="1" si="185"/>
        <v>-710920635666414.13</v>
      </c>
      <c r="J5140" s="455">
        <f t="array" ref="J5140">IFERROR(INDEX('Retirement Calculator'!K:K,MATCH('Lorri 401b'!N5140,'Retirement Calculator'!A:A,0),0),0)</f>
        <v>0</v>
      </c>
      <c r="K5140" s="455">
        <f t="shared" ca="1" si="183"/>
        <v>-2962169315276.7256</v>
      </c>
      <c r="L5140" s="455">
        <f t="shared" ca="1" si="184"/>
        <v>-713882804981690.88</v>
      </c>
      <c r="M5140" s="471">
        <f t="shared" si="186"/>
        <v>0.05</v>
      </c>
      <c r="N5140" s="475">
        <f t="shared" si="187"/>
        <v>207491</v>
      </c>
    </row>
    <row r="5141" spans="7:14" ht="11.25" customHeight="1" x14ac:dyDescent="0.3">
      <c r="G5141" s="470"/>
      <c r="H5141" s="470">
        <v>5134</v>
      </c>
      <c r="I5141" s="455">
        <f t="shared" ca="1" si="185"/>
        <v>-713882804981690.88</v>
      </c>
      <c r="J5141" s="455">
        <f t="array" ref="J5141">IFERROR(INDEX('Retirement Calculator'!K:K,MATCH('Lorri 401b'!N5141,'Retirement Calculator'!A:A,0),0),0)</f>
        <v>0</v>
      </c>
      <c r="K5141" s="455">
        <f t="shared" ca="1" si="183"/>
        <v>-2974511687423.7119</v>
      </c>
      <c r="L5141" s="455">
        <f t="shared" ca="1" si="184"/>
        <v>-716857316669114.63</v>
      </c>
      <c r="M5141" s="471">
        <f t="shared" si="186"/>
        <v>0.05</v>
      </c>
      <c r="N5141" s="475">
        <f t="shared" si="187"/>
        <v>207520</v>
      </c>
    </row>
    <row r="5142" spans="7:14" ht="11.25" customHeight="1" x14ac:dyDescent="0.3">
      <c r="G5142" s="470"/>
      <c r="H5142" s="470">
        <v>5135</v>
      </c>
      <c r="I5142" s="455">
        <f t="shared" ca="1" si="185"/>
        <v>-716857316669114.63</v>
      </c>
      <c r="J5142" s="455">
        <f t="array" ref="J5142">IFERROR(INDEX('Retirement Calculator'!K:K,MATCH('Lorri 401b'!N5142,'Retirement Calculator'!A:A,0),0),0)</f>
        <v>0</v>
      </c>
      <c r="K5142" s="455">
        <f t="shared" ca="1" si="183"/>
        <v>-2986905486121.311</v>
      </c>
      <c r="L5142" s="455">
        <f t="shared" ca="1" si="184"/>
        <v>-719844222155235.88</v>
      </c>
      <c r="M5142" s="471">
        <f t="shared" si="186"/>
        <v>0.05</v>
      </c>
      <c r="N5142" s="475">
        <f t="shared" si="187"/>
        <v>207551</v>
      </c>
    </row>
    <row r="5143" spans="7:14" ht="11.25" customHeight="1" x14ac:dyDescent="0.3">
      <c r="G5143" s="470"/>
      <c r="H5143" s="470">
        <v>5136</v>
      </c>
      <c r="I5143" s="455">
        <f t="shared" ca="1" si="185"/>
        <v>-719844222155235.88</v>
      </c>
      <c r="J5143" s="455">
        <f t="array" ref="J5143">IFERROR(INDEX('Retirement Calculator'!K:K,MATCH('Lorri 401b'!N5143,'Retirement Calculator'!A:A,0),0),0)</f>
        <v>0</v>
      </c>
      <c r="K5143" s="455">
        <f t="shared" ca="1" si="183"/>
        <v>-2999350925646.8159</v>
      </c>
      <c r="L5143" s="455">
        <f t="shared" ca="1" si="184"/>
        <v>-722843573080882.75</v>
      </c>
      <c r="M5143" s="471">
        <f t="shared" si="186"/>
        <v>0.05</v>
      </c>
      <c r="N5143" s="475">
        <f t="shared" si="187"/>
        <v>207581</v>
      </c>
    </row>
    <row r="5144" spans="7:14" ht="11.25" customHeight="1" x14ac:dyDescent="0.3">
      <c r="G5144" s="470"/>
      <c r="H5144" s="470">
        <v>5137</v>
      </c>
      <c r="I5144" s="455">
        <f t="shared" ca="1" si="185"/>
        <v>-722843573080882.75</v>
      </c>
      <c r="J5144" s="455">
        <f t="array" ref="J5144">IFERROR(INDEX('Retirement Calculator'!K:K,MATCH('Lorri 401b'!N5144,'Retirement Calculator'!A:A,0),0),0)</f>
        <v>0</v>
      </c>
      <c r="K5144" s="455">
        <f t="shared" ca="1" si="183"/>
        <v>-3011848221170.3447</v>
      </c>
      <c r="L5144" s="455">
        <f t="shared" ca="1" si="184"/>
        <v>-725855421302053.13</v>
      </c>
      <c r="M5144" s="471">
        <f t="shared" si="186"/>
        <v>0.05</v>
      </c>
      <c r="N5144" s="475">
        <f t="shared" si="187"/>
        <v>207612</v>
      </c>
    </row>
    <row r="5145" spans="7:14" ht="11.25" customHeight="1" x14ac:dyDescent="0.3">
      <c r="G5145" s="470"/>
      <c r="H5145" s="470">
        <v>5138</v>
      </c>
      <c r="I5145" s="455">
        <f t="shared" ca="1" si="185"/>
        <v>-725855421302053.13</v>
      </c>
      <c r="J5145" s="455">
        <f t="array" ref="J5145">IFERROR(INDEX('Retirement Calculator'!K:K,MATCH('Lorri 401b'!N5145,'Retirement Calculator'!A:A,0),0),0)</f>
        <v>0</v>
      </c>
      <c r="K5145" s="455">
        <f t="shared" ca="1" si="183"/>
        <v>-3024397588758.5547</v>
      </c>
      <c r="L5145" s="455">
        <f t="shared" ca="1" si="184"/>
        <v>-728879818890811.63</v>
      </c>
      <c r="M5145" s="471">
        <f t="shared" si="186"/>
        <v>0.05</v>
      </c>
      <c r="N5145" s="475">
        <f t="shared" si="187"/>
        <v>207642</v>
      </c>
    </row>
    <row r="5146" spans="7:14" ht="11.25" customHeight="1" x14ac:dyDescent="0.3">
      <c r="G5146" s="470"/>
      <c r="H5146" s="470">
        <v>5139</v>
      </c>
      <c r="I5146" s="455">
        <f t="shared" ca="1" si="185"/>
        <v>-728879818890811.63</v>
      </c>
      <c r="J5146" s="455">
        <f t="array" ref="J5146">IFERROR(INDEX('Retirement Calculator'!K:K,MATCH('Lorri 401b'!N5146,'Retirement Calculator'!A:A,0),0),0)</f>
        <v>0</v>
      </c>
      <c r="K5146" s="455">
        <f t="shared" ca="1" si="183"/>
        <v>-3036999245378.3818</v>
      </c>
      <c r="L5146" s="455">
        <f t="shared" ca="1" si="184"/>
        <v>-731916818136190</v>
      </c>
      <c r="M5146" s="471">
        <f t="shared" si="186"/>
        <v>0.05</v>
      </c>
      <c r="N5146" s="475">
        <f t="shared" si="187"/>
        <v>207673</v>
      </c>
    </row>
    <row r="5147" spans="7:14" ht="11.25" customHeight="1" x14ac:dyDescent="0.3">
      <c r="G5147" s="470"/>
      <c r="H5147" s="470">
        <v>5140</v>
      </c>
      <c r="I5147" s="455">
        <f t="shared" ca="1" si="185"/>
        <v>-731916818136190</v>
      </c>
      <c r="J5147" s="455">
        <f t="array" ref="J5147">IFERROR(INDEX('Retirement Calculator'!K:K,MATCH('Lorri 401b'!N5147,'Retirement Calculator'!A:A,0),0),0)</f>
        <v>0</v>
      </c>
      <c r="K5147" s="455">
        <f t="shared" ca="1" si="183"/>
        <v>-3049653408900.7915</v>
      </c>
      <c r="L5147" s="455">
        <f t="shared" ca="1" si="184"/>
        <v>-734966471545090.75</v>
      </c>
      <c r="M5147" s="471">
        <f t="shared" si="186"/>
        <v>0.05</v>
      </c>
      <c r="N5147" s="475">
        <f t="shared" si="187"/>
        <v>207704</v>
      </c>
    </row>
    <row r="5148" spans="7:14" ht="11.25" customHeight="1" x14ac:dyDescent="0.3">
      <c r="G5148" s="470"/>
      <c r="H5148" s="470">
        <v>5141</v>
      </c>
      <c r="I5148" s="455">
        <f t="shared" ca="1" si="185"/>
        <v>-734966471545090.75</v>
      </c>
      <c r="J5148" s="455">
        <f t="array" ref="J5148">IFERROR(INDEX('Retirement Calculator'!K:K,MATCH('Lorri 401b'!N5148,'Retirement Calculator'!A:A,0),0),0)</f>
        <v>0</v>
      </c>
      <c r="K5148" s="455">
        <f t="shared" ca="1" si="183"/>
        <v>-3062360298104.5449</v>
      </c>
      <c r="L5148" s="455">
        <f t="shared" ca="1" si="184"/>
        <v>-738028831843195.25</v>
      </c>
      <c r="M5148" s="471">
        <f t="shared" si="186"/>
        <v>0.05</v>
      </c>
      <c r="N5148" s="475">
        <f t="shared" si="187"/>
        <v>207734</v>
      </c>
    </row>
    <row r="5149" spans="7:14" ht="11.25" customHeight="1" x14ac:dyDescent="0.3">
      <c r="G5149" s="470"/>
      <c r="H5149" s="470">
        <v>5142</v>
      </c>
      <c r="I5149" s="455">
        <f t="shared" ca="1" si="185"/>
        <v>-738028831843195.25</v>
      </c>
      <c r="J5149" s="455">
        <f t="array" ref="J5149">IFERROR(INDEX('Retirement Calculator'!K:K,MATCH('Lorri 401b'!N5149,'Retirement Calculator'!A:A,0),0),0)</f>
        <v>0</v>
      </c>
      <c r="K5149" s="455">
        <f t="shared" ca="1" si="183"/>
        <v>-3075120132679.98</v>
      </c>
      <c r="L5149" s="455">
        <f t="shared" ca="1" si="184"/>
        <v>-741103951975875.25</v>
      </c>
      <c r="M5149" s="471">
        <f t="shared" si="186"/>
        <v>0.05</v>
      </c>
      <c r="N5149" s="475">
        <f t="shared" si="187"/>
        <v>207765</v>
      </c>
    </row>
    <row r="5150" spans="7:14" ht="11.25" customHeight="1" x14ac:dyDescent="0.3">
      <c r="G5150" s="470"/>
      <c r="H5150" s="470">
        <v>5143</v>
      </c>
      <c r="I5150" s="455">
        <f t="shared" ca="1" si="185"/>
        <v>-741103951975875.25</v>
      </c>
      <c r="J5150" s="455">
        <f t="array" ref="J5150">IFERROR(INDEX('Retirement Calculator'!K:K,MATCH('Lorri 401b'!N5150,'Retirement Calculator'!A:A,0),0),0)</f>
        <v>0</v>
      </c>
      <c r="K5150" s="455">
        <f t="shared" ca="1" si="183"/>
        <v>-3087933133232.8135</v>
      </c>
      <c r="L5150" s="455">
        <f t="shared" ca="1" si="184"/>
        <v>-744191885109108.13</v>
      </c>
      <c r="M5150" s="471">
        <f t="shared" si="186"/>
        <v>0.05</v>
      </c>
      <c r="N5150" s="475">
        <f t="shared" si="187"/>
        <v>207795</v>
      </c>
    </row>
    <row r="5151" spans="7:14" ht="11.25" customHeight="1" x14ac:dyDescent="0.3">
      <c r="G5151" s="470"/>
      <c r="H5151" s="470">
        <v>5144</v>
      </c>
      <c r="I5151" s="455">
        <f t="shared" ca="1" si="185"/>
        <v>-744191885109108.13</v>
      </c>
      <c r="J5151" s="455">
        <f t="array" ref="J5151">IFERROR(INDEX('Retirement Calculator'!K:K,MATCH('Lorri 401b'!N5151,'Retirement Calculator'!A:A,0),0),0)</f>
        <v>0</v>
      </c>
      <c r="K5151" s="455">
        <f t="shared" ca="1" si="183"/>
        <v>-3100799521287.9507</v>
      </c>
      <c r="L5151" s="455">
        <f t="shared" ca="1" si="184"/>
        <v>-747292684630396.13</v>
      </c>
      <c r="M5151" s="471">
        <f t="shared" si="186"/>
        <v>0.05</v>
      </c>
      <c r="N5151" s="475">
        <f t="shared" si="187"/>
        <v>207826</v>
      </c>
    </row>
    <row r="5152" spans="7:14" ht="11.25" customHeight="1" x14ac:dyDescent="0.3">
      <c r="G5152" s="470"/>
      <c r="H5152" s="470">
        <v>5145</v>
      </c>
      <c r="I5152" s="455">
        <f t="shared" ca="1" si="185"/>
        <v>-747292684630396.13</v>
      </c>
      <c r="J5152" s="455">
        <f t="array" ref="J5152">IFERROR(INDEX('Retirement Calculator'!K:K,MATCH('Lorri 401b'!N5152,'Retirement Calculator'!A:A,0),0),0)</f>
        <v>0</v>
      </c>
      <c r="K5152" s="455">
        <f t="shared" ca="1" si="183"/>
        <v>-3113719519293.3174</v>
      </c>
      <c r="L5152" s="455">
        <f t="shared" ca="1" si="184"/>
        <v>-750406404149689.5</v>
      </c>
      <c r="M5152" s="471">
        <f t="shared" si="186"/>
        <v>0.05</v>
      </c>
      <c r="N5152" s="475">
        <f t="shared" si="187"/>
        <v>207857</v>
      </c>
    </row>
    <row r="5153" spans="7:14" ht="11.25" customHeight="1" x14ac:dyDescent="0.3">
      <c r="G5153" s="470"/>
      <c r="H5153" s="470">
        <v>5146</v>
      </c>
      <c r="I5153" s="455">
        <f t="shared" ca="1" si="185"/>
        <v>-750406404149689.5</v>
      </c>
      <c r="J5153" s="455">
        <f t="array" ref="J5153">IFERROR(INDEX('Retirement Calculator'!K:K,MATCH('Lorri 401b'!N5153,'Retirement Calculator'!A:A,0),0),0)</f>
        <v>0</v>
      </c>
      <c r="K5153" s="455">
        <f t="shared" ca="1" si="183"/>
        <v>-3126693350623.7061</v>
      </c>
      <c r="L5153" s="455">
        <f t="shared" ca="1" si="184"/>
        <v>-753533097500313.25</v>
      </c>
      <c r="M5153" s="471">
        <f t="shared" si="186"/>
        <v>0.05</v>
      </c>
      <c r="N5153" s="475">
        <f t="shared" si="187"/>
        <v>207885</v>
      </c>
    </row>
    <row r="5154" spans="7:14" ht="11.25" customHeight="1" x14ac:dyDescent="0.3">
      <c r="G5154" s="470"/>
      <c r="H5154" s="470">
        <v>5147</v>
      </c>
      <c r="I5154" s="455">
        <f t="shared" ca="1" si="185"/>
        <v>-753533097500313.25</v>
      </c>
      <c r="J5154" s="455">
        <f t="array" ref="J5154">IFERROR(INDEX('Retirement Calculator'!K:K,MATCH('Lorri 401b'!N5154,'Retirement Calculator'!A:A,0),0),0)</f>
        <v>0</v>
      </c>
      <c r="K5154" s="455">
        <f t="shared" ca="1" si="183"/>
        <v>-3139721239584.6387</v>
      </c>
      <c r="L5154" s="455">
        <f t="shared" ca="1" si="184"/>
        <v>-756672818739897.88</v>
      </c>
      <c r="M5154" s="471">
        <f t="shared" si="186"/>
        <v>0.05</v>
      </c>
      <c r="N5154" s="475">
        <f t="shared" si="187"/>
        <v>207916</v>
      </c>
    </row>
    <row r="5155" spans="7:14" ht="11.25" customHeight="1" x14ac:dyDescent="0.3">
      <c r="G5155" s="470"/>
      <c r="H5155" s="470">
        <v>5148</v>
      </c>
      <c r="I5155" s="455">
        <f t="shared" ca="1" si="185"/>
        <v>-756672818739897.88</v>
      </c>
      <c r="J5155" s="455">
        <f t="array" ref="J5155">IFERROR(INDEX('Retirement Calculator'!K:K,MATCH('Lorri 401b'!N5155,'Retirement Calculator'!A:A,0),0),0)</f>
        <v>0</v>
      </c>
      <c r="K5155" s="455">
        <f t="shared" ca="1" si="183"/>
        <v>-3152803411416.2412</v>
      </c>
      <c r="L5155" s="455">
        <f t="shared" ca="1" si="184"/>
        <v>-759825622151314.13</v>
      </c>
      <c r="M5155" s="471">
        <f t="shared" si="186"/>
        <v>0.05</v>
      </c>
      <c r="N5155" s="475">
        <f t="shared" si="187"/>
        <v>207946</v>
      </c>
    </row>
    <row r="5156" spans="7:14" ht="11.25" customHeight="1" x14ac:dyDescent="0.3">
      <c r="G5156" s="470"/>
      <c r="H5156" s="470">
        <v>5149</v>
      </c>
      <c r="I5156" s="455">
        <f t="shared" ca="1" si="185"/>
        <v>-759825622151314.13</v>
      </c>
      <c r="J5156" s="455">
        <f t="array" ref="J5156">IFERROR(INDEX('Retirement Calculator'!K:K,MATCH('Lorri 401b'!N5156,'Retirement Calculator'!A:A,0),0),0)</f>
        <v>0</v>
      </c>
      <c r="K5156" s="455">
        <f t="shared" ca="1" si="183"/>
        <v>-3165940092297.1421</v>
      </c>
      <c r="L5156" s="455">
        <f t="shared" ca="1" si="184"/>
        <v>-762991562243611.25</v>
      </c>
      <c r="M5156" s="471">
        <f t="shared" si="186"/>
        <v>0.05</v>
      </c>
      <c r="N5156" s="475">
        <f t="shared" si="187"/>
        <v>207977</v>
      </c>
    </row>
    <row r="5157" spans="7:14" ht="11.25" customHeight="1" x14ac:dyDescent="0.3">
      <c r="G5157" s="470"/>
      <c r="H5157" s="470">
        <v>5150</v>
      </c>
      <c r="I5157" s="455">
        <f t="shared" ca="1" si="185"/>
        <v>-762991562243611.25</v>
      </c>
      <c r="J5157" s="455">
        <f t="array" ref="J5157">IFERROR(INDEX('Retirement Calculator'!K:K,MATCH('Lorri 401b'!N5157,'Retirement Calculator'!A:A,0),0),0)</f>
        <v>0</v>
      </c>
      <c r="K5157" s="455">
        <f t="shared" ca="1" si="183"/>
        <v>-3179131509348.3804</v>
      </c>
      <c r="L5157" s="455">
        <f t="shared" ca="1" si="184"/>
        <v>-766170693752959.63</v>
      </c>
      <c r="M5157" s="471">
        <f t="shared" si="186"/>
        <v>0.05</v>
      </c>
      <c r="N5157" s="475">
        <f t="shared" si="187"/>
        <v>208007</v>
      </c>
    </row>
    <row r="5158" spans="7:14" ht="11.25" customHeight="1" x14ac:dyDescent="0.3">
      <c r="G5158" s="470"/>
      <c r="H5158" s="470">
        <v>5151</v>
      </c>
      <c r="I5158" s="455">
        <f t="shared" ca="1" si="185"/>
        <v>-766170693752959.63</v>
      </c>
      <c r="J5158" s="455">
        <f t="array" ref="J5158">IFERROR(INDEX('Retirement Calculator'!K:K,MATCH('Lorri 401b'!N5158,'Retirement Calculator'!A:A,0),0),0)</f>
        <v>0</v>
      </c>
      <c r="K5158" s="455">
        <f t="shared" ca="1" si="183"/>
        <v>-3192377890637.3315</v>
      </c>
      <c r="L5158" s="455">
        <f t="shared" ca="1" si="184"/>
        <v>-769363071643597</v>
      </c>
      <c r="M5158" s="471">
        <f t="shared" si="186"/>
        <v>0.05</v>
      </c>
      <c r="N5158" s="475">
        <f t="shared" si="187"/>
        <v>208038</v>
      </c>
    </row>
    <row r="5159" spans="7:14" ht="11.25" customHeight="1" x14ac:dyDescent="0.3">
      <c r="G5159" s="470"/>
      <c r="H5159" s="470">
        <v>5152</v>
      </c>
      <c r="I5159" s="455">
        <f t="shared" ca="1" si="185"/>
        <v>-769363071643597</v>
      </c>
      <c r="J5159" s="455">
        <f t="array" ref="J5159">IFERROR(INDEX('Retirement Calculator'!K:K,MATCH('Lorri 401b'!N5159,'Retirement Calculator'!A:A,0),0),0)</f>
        <v>0</v>
      </c>
      <c r="K5159" s="455">
        <f t="shared" ca="1" si="183"/>
        <v>-3205679465181.6543</v>
      </c>
      <c r="L5159" s="455">
        <f t="shared" ca="1" si="184"/>
        <v>-772568751108778.63</v>
      </c>
      <c r="M5159" s="471">
        <f t="shared" si="186"/>
        <v>0.05</v>
      </c>
      <c r="N5159" s="475">
        <f t="shared" si="187"/>
        <v>208069</v>
      </c>
    </row>
    <row r="5160" spans="7:14" ht="11.25" customHeight="1" x14ac:dyDescent="0.3">
      <c r="G5160" s="470"/>
      <c r="H5160" s="470">
        <v>5153</v>
      </c>
      <c r="I5160" s="455">
        <f t="shared" ca="1" si="185"/>
        <v>-772568751108778.63</v>
      </c>
      <c r="J5160" s="455">
        <f t="array" ref="J5160">IFERROR(INDEX('Retirement Calculator'!K:K,MATCH('Lorri 401b'!N5160,'Retirement Calculator'!A:A,0),0),0)</f>
        <v>0</v>
      </c>
      <c r="K5160" s="455">
        <f t="shared" ca="1" si="183"/>
        <v>-3219036462953.2441</v>
      </c>
      <c r="L5160" s="455">
        <f t="shared" ca="1" si="184"/>
        <v>-775787787571731.88</v>
      </c>
      <c r="M5160" s="471">
        <f t="shared" si="186"/>
        <v>0.05</v>
      </c>
      <c r="N5160" s="475">
        <f t="shared" si="187"/>
        <v>208099</v>
      </c>
    </row>
    <row r="5161" spans="7:14" ht="11.25" customHeight="1" x14ac:dyDescent="0.3">
      <c r="G5161" s="470"/>
      <c r="H5161" s="470">
        <v>5154</v>
      </c>
      <c r="I5161" s="455">
        <f t="shared" ca="1" si="185"/>
        <v>-775787787571731.88</v>
      </c>
      <c r="J5161" s="455">
        <f t="array" ref="J5161">IFERROR(INDEX('Retirement Calculator'!K:K,MATCH('Lorri 401b'!N5161,'Retirement Calculator'!A:A,0),0),0)</f>
        <v>0</v>
      </c>
      <c r="K5161" s="455">
        <f t="shared" ca="1" si="183"/>
        <v>-3232449114882.2163</v>
      </c>
      <c r="L5161" s="455">
        <f t="shared" ca="1" si="184"/>
        <v>-779020236686614.13</v>
      </c>
      <c r="M5161" s="471">
        <f t="shared" si="186"/>
        <v>0.05</v>
      </c>
      <c r="N5161" s="475">
        <f t="shared" si="187"/>
        <v>208130</v>
      </c>
    </row>
    <row r="5162" spans="7:14" ht="11.25" customHeight="1" x14ac:dyDescent="0.3">
      <c r="G5162" s="470"/>
      <c r="H5162" s="470">
        <v>5155</v>
      </c>
      <c r="I5162" s="455">
        <f t="shared" ca="1" si="185"/>
        <v>-779020236686614.13</v>
      </c>
      <c r="J5162" s="455">
        <f t="array" ref="J5162">IFERROR(INDEX('Retirement Calculator'!K:K,MATCH('Lorri 401b'!N5162,'Retirement Calculator'!A:A,0),0),0)</f>
        <v>0</v>
      </c>
      <c r="K5162" s="455">
        <f t="shared" ca="1" si="183"/>
        <v>-3245917652860.8921</v>
      </c>
      <c r="L5162" s="455">
        <f t="shared" ca="1" si="184"/>
        <v>-782266154339475</v>
      </c>
      <c r="M5162" s="471">
        <f t="shared" si="186"/>
        <v>0.05</v>
      </c>
      <c r="N5162" s="475">
        <f t="shared" si="187"/>
        <v>208160</v>
      </c>
    </row>
    <row r="5163" spans="7:14" ht="11.25" customHeight="1" x14ac:dyDescent="0.3">
      <c r="G5163" s="470"/>
      <c r="H5163" s="470">
        <v>5156</v>
      </c>
      <c r="I5163" s="455">
        <f t="shared" ca="1" si="185"/>
        <v>-782266154339475</v>
      </c>
      <c r="J5163" s="455">
        <f t="array" ref="J5163">IFERROR(INDEX('Retirement Calculator'!K:K,MATCH('Lorri 401b'!N5163,'Retirement Calculator'!A:A,0),0),0)</f>
        <v>0</v>
      </c>
      <c r="K5163" s="455">
        <f t="shared" ca="1" si="183"/>
        <v>-3259442309747.8125</v>
      </c>
      <c r="L5163" s="455">
        <f t="shared" ca="1" si="184"/>
        <v>-785525596649222.75</v>
      </c>
      <c r="M5163" s="471">
        <f t="shared" si="186"/>
        <v>0.05</v>
      </c>
      <c r="N5163" s="475">
        <f t="shared" si="187"/>
        <v>208191</v>
      </c>
    </row>
    <row r="5164" spans="7:14" ht="11.25" customHeight="1" x14ac:dyDescent="0.3">
      <c r="G5164" s="470"/>
      <c r="H5164" s="470">
        <v>5157</v>
      </c>
      <c r="I5164" s="455">
        <f t="shared" ca="1" si="185"/>
        <v>-785525596649222.75</v>
      </c>
      <c r="J5164" s="455">
        <f t="array" ref="J5164">IFERROR(INDEX('Retirement Calculator'!K:K,MATCH('Lorri 401b'!N5164,'Retirement Calculator'!A:A,0),0),0)</f>
        <v>0</v>
      </c>
      <c r="K5164" s="455">
        <f t="shared" ca="1" si="183"/>
        <v>-3273023319371.7612</v>
      </c>
      <c r="L5164" s="455">
        <f t="shared" ca="1" si="184"/>
        <v>-788798619968594.5</v>
      </c>
      <c r="M5164" s="471">
        <f t="shared" si="186"/>
        <v>0.05</v>
      </c>
      <c r="N5164" s="475">
        <f t="shared" si="187"/>
        <v>208222</v>
      </c>
    </row>
    <row r="5165" spans="7:14" ht="11.25" customHeight="1" x14ac:dyDescent="0.3">
      <c r="G5165" s="470"/>
      <c r="H5165" s="470">
        <v>5158</v>
      </c>
      <c r="I5165" s="455">
        <f t="shared" ca="1" si="185"/>
        <v>-788798619968594.5</v>
      </c>
      <c r="J5165" s="455">
        <f t="array" ref="J5165">IFERROR(INDEX('Retirement Calculator'!K:K,MATCH('Lorri 401b'!N5165,'Retirement Calculator'!A:A,0),0),0)</f>
        <v>0</v>
      </c>
      <c r="K5165" s="455">
        <f t="shared" ca="1" si="183"/>
        <v>-3286660916535.8105</v>
      </c>
      <c r="L5165" s="455">
        <f t="shared" ca="1" si="184"/>
        <v>-792085280885130.25</v>
      </c>
      <c r="M5165" s="471">
        <f t="shared" si="186"/>
        <v>0.05</v>
      </c>
      <c r="N5165" s="475">
        <f t="shared" si="187"/>
        <v>208250</v>
      </c>
    </row>
    <row r="5166" spans="7:14" ht="11.25" customHeight="1" x14ac:dyDescent="0.3">
      <c r="G5166" s="470"/>
      <c r="H5166" s="470">
        <v>5159</v>
      </c>
      <c r="I5166" s="455">
        <f t="shared" ca="1" si="185"/>
        <v>-792085280885130.25</v>
      </c>
      <c r="J5166" s="455">
        <f t="array" ref="J5166">IFERROR(INDEX('Retirement Calculator'!K:K,MATCH('Lorri 401b'!N5166,'Retirement Calculator'!A:A,0),0),0)</f>
        <v>0</v>
      </c>
      <c r="K5166" s="455">
        <f t="shared" ca="1" si="183"/>
        <v>-3300355337021.376</v>
      </c>
      <c r="L5166" s="455">
        <f t="shared" ca="1" si="184"/>
        <v>-795385636222151.63</v>
      </c>
      <c r="M5166" s="471">
        <f t="shared" si="186"/>
        <v>0.05</v>
      </c>
      <c r="N5166" s="475">
        <f t="shared" si="187"/>
        <v>208281</v>
      </c>
    </row>
    <row r="5167" spans="7:14" ht="11.25" customHeight="1" x14ac:dyDescent="0.3">
      <c r="G5167" s="470"/>
      <c r="H5167" s="470">
        <v>5160</v>
      </c>
      <c r="I5167" s="455">
        <f t="shared" ca="1" si="185"/>
        <v>-795385636222151.63</v>
      </c>
      <c r="J5167" s="455">
        <f t="array" ref="J5167">IFERROR(INDEX('Retirement Calculator'!K:K,MATCH('Lorri 401b'!N5167,'Retirement Calculator'!A:A,0),0),0)</f>
        <v>0</v>
      </c>
      <c r="K5167" s="455">
        <f t="shared" ca="1" si="183"/>
        <v>-3314106817592.2983</v>
      </c>
      <c r="L5167" s="455">
        <f t="shared" ca="1" si="184"/>
        <v>-798699743039743.88</v>
      </c>
      <c r="M5167" s="471">
        <f t="shared" si="186"/>
        <v>0.05</v>
      </c>
      <c r="N5167" s="475">
        <f t="shared" si="187"/>
        <v>208311</v>
      </c>
    </row>
    <row r="5168" spans="7:14" ht="11.25" customHeight="1" x14ac:dyDescent="0.3">
      <c r="G5168" s="470"/>
      <c r="H5168" s="470">
        <v>5161</v>
      </c>
      <c r="I5168" s="455">
        <f t="shared" ca="1" si="185"/>
        <v>-798699743039743.88</v>
      </c>
      <c r="J5168" s="455">
        <f t="array" ref="J5168">IFERROR(INDEX('Retirement Calculator'!K:K,MATCH('Lorri 401b'!N5168,'Retirement Calculator'!A:A,0),0),0)</f>
        <v>0</v>
      </c>
      <c r="K5168" s="455">
        <f t="shared" ca="1" si="183"/>
        <v>-3327915595998.9326</v>
      </c>
      <c r="L5168" s="455">
        <f t="shared" ca="1" si="184"/>
        <v>-802027658635742.75</v>
      </c>
      <c r="M5168" s="471">
        <f t="shared" si="186"/>
        <v>0.05</v>
      </c>
      <c r="N5168" s="475">
        <f t="shared" si="187"/>
        <v>208342</v>
      </c>
    </row>
    <row r="5169" spans="7:14" ht="11.25" customHeight="1" x14ac:dyDescent="0.3">
      <c r="G5169" s="470"/>
      <c r="H5169" s="470">
        <v>5162</v>
      </c>
      <c r="I5169" s="455">
        <f t="shared" ca="1" si="185"/>
        <v>-802027658635742.75</v>
      </c>
      <c r="J5169" s="455">
        <f t="array" ref="J5169">IFERROR(INDEX('Retirement Calculator'!K:K,MATCH('Lorri 401b'!N5169,'Retirement Calculator'!A:A,0),0),0)</f>
        <v>0</v>
      </c>
      <c r="K5169" s="455">
        <f t="shared" ca="1" si="183"/>
        <v>-3341781910982.2612</v>
      </c>
      <c r="L5169" s="455">
        <f t="shared" ca="1" si="184"/>
        <v>-805369440546725</v>
      </c>
      <c r="M5169" s="471">
        <f t="shared" si="186"/>
        <v>0.05</v>
      </c>
      <c r="N5169" s="475">
        <f t="shared" si="187"/>
        <v>208372</v>
      </c>
    </row>
    <row r="5170" spans="7:14" ht="11.25" customHeight="1" x14ac:dyDescent="0.3">
      <c r="G5170" s="470"/>
      <c r="H5170" s="470">
        <v>5163</v>
      </c>
      <c r="I5170" s="455">
        <f t="shared" ca="1" si="185"/>
        <v>-805369440546725</v>
      </c>
      <c r="J5170" s="455">
        <f t="array" ref="J5170">IFERROR(INDEX('Retirement Calculator'!K:K,MATCH('Lorri 401b'!N5170,'Retirement Calculator'!A:A,0),0),0)</f>
        <v>0</v>
      </c>
      <c r="K5170" s="455">
        <f t="shared" ca="1" si="183"/>
        <v>-3355706002278.021</v>
      </c>
      <c r="L5170" s="455">
        <f t="shared" ca="1" si="184"/>
        <v>-808725146549003</v>
      </c>
      <c r="M5170" s="471">
        <f t="shared" si="186"/>
        <v>0.05</v>
      </c>
      <c r="N5170" s="475">
        <f t="shared" si="187"/>
        <v>208403</v>
      </c>
    </row>
    <row r="5171" spans="7:14" ht="11.25" customHeight="1" x14ac:dyDescent="0.3">
      <c r="G5171" s="470"/>
      <c r="H5171" s="470">
        <v>5164</v>
      </c>
      <c r="I5171" s="455">
        <f t="shared" ca="1" si="185"/>
        <v>-808725146549003</v>
      </c>
      <c r="J5171" s="455">
        <f t="array" ref="J5171">IFERROR(INDEX('Retirement Calculator'!K:K,MATCH('Lorri 401b'!N5171,'Retirement Calculator'!A:A,0),0),0)</f>
        <v>0</v>
      </c>
      <c r="K5171" s="455">
        <f t="shared" ca="1" si="183"/>
        <v>-3369688110620.8457</v>
      </c>
      <c r="L5171" s="455">
        <f t="shared" ca="1" si="184"/>
        <v>-812094834659623.88</v>
      </c>
      <c r="M5171" s="471">
        <f t="shared" si="186"/>
        <v>0.05</v>
      </c>
      <c r="N5171" s="475">
        <f t="shared" si="187"/>
        <v>208434</v>
      </c>
    </row>
    <row r="5172" spans="7:14" ht="11.25" customHeight="1" x14ac:dyDescent="0.3">
      <c r="G5172" s="470"/>
      <c r="H5172" s="470">
        <v>5165</v>
      </c>
      <c r="I5172" s="455">
        <f t="shared" ca="1" si="185"/>
        <v>-812094834659623.88</v>
      </c>
      <c r="J5172" s="455">
        <f t="array" ref="J5172">IFERROR(INDEX('Retirement Calculator'!K:K,MATCH('Lorri 401b'!N5172,'Retirement Calculator'!A:A,0),0),0)</f>
        <v>0</v>
      </c>
      <c r="K5172" s="455">
        <f t="shared" ca="1" si="183"/>
        <v>-3383728477748.4326</v>
      </c>
      <c r="L5172" s="455">
        <f t="shared" ca="1" si="184"/>
        <v>-815478563137372.25</v>
      </c>
      <c r="M5172" s="471">
        <f t="shared" si="186"/>
        <v>0.05</v>
      </c>
      <c r="N5172" s="475">
        <f t="shared" si="187"/>
        <v>208464</v>
      </c>
    </row>
    <row r="5173" spans="7:14" ht="11.25" customHeight="1" x14ac:dyDescent="0.3">
      <c r="G5173" s="470"/>
      <c r="H5173" s="470">
        <v>5166</v>
      </c>
      <c r="I5173" s="455">
        <f t="shared" ca="1" si="185"/>
        <v>-815478563137372.25</v>
      </c>
      <c r="J5173" s="455">
        <f t="array" ref="J5173">IFERROR(INDEX('Retirement Calculator'!K:K,MATCH('Lorri 401b'!N5173,'Retirement Calculator'!A:A,0),0),0)</f>
        <v>0</v>
      </c>
      <c r="K5173" s="455">
        <f t="shared" ca="1" si="183"/>
        <v>-3397827346405.7178</v>
      </c>
      <c r="L5173" s="455">
        <f t="shared" ca="1" si="184"/>
        <v>-818876390483778</v>
      </c>
      <c r="M5173" s="471">
        <f t="shared" si="186"/>
        <v>0.05</v>
      </c>
      <c r="N5173" s="475">
        <f t="shared" si="187"/>
        <v>208495</v>
      </c>
    </row>
    <row r="5174" spans="7:14" ht="11.25" customHeight="1" x14ac:dyDescent="0.3">
      <c r="G5174" s="470"/>
      <c r="H5174" s="470">
        <v>5167</v>
      </c>
      <c r="I5174" s="455">
        <f t="shared" ca="1" si="185"/>
        <v>-818876390483778</v>
      </c>
      <c r="J5174" s="455">
        <f t="array" ref="J5174">IFERROR(INDEX('Retirement Calculator'!K:K,MATCH('Lorri 401b'!N5174,'Retirement Calculator'!A:A,0),0),0)</f>
        <v>0</v>
      </c>
      <c r="K5174" s="455">
        <f t="shared" ca="1" si="183"/>
        <v>-3411984960349.0752</v>
      </c>
      <c r="L5174" s="455">
        <f t="shared" ca="1" si="184"/>
        <v>-822288375444127.13</v>
      </c>
      <c r="M5174" s="471">
        <f t="shared" si="186"/>
        <v>0.05</v>
      </c>
      <c r="N5174" s="475">
        <f t="shared" si="187"/>
        <v>208525</v>
      </c>
    </row>
    <row r="5175" spans="7:14" ht="11.25" customHeight="1" x14ac:dyDescent="0.3">
      <c r="G5175" s="470"/>
      <c r="H5175" s="470">
        <v>5168</v>
      </c>
      <c r="I5175" s="455">
        <f t="shared" ca="1" si="185"/>
        <v>-822288375444127.13</v>
      </c>
      <c r="J5175" s="455">
        <f t="array" ref="J5175">IFERROR(INDEX('Retirement Calculator'!K:K,MATCH('Lorri 401b'!N5175,'Retirement Calculator'!A:A,0),0),0)</f>
        <v>0</v>
      </c>
      <c r="K5175" s="455">
        <f t="shared" ca="1" si="183"/>
        <v>-3426201564350.5298</v>
      </c>
      <c r="L5175" s="455">
        <f t="shared" ca="1" si="184"/>
        <v>-825714577008477.63</v>
      </c>
      <c r="M5175" s="471">
        <f t="shared" si="186"/>
        <v>0.05</v>
      </c>
      <c r="N5175" s="475">
        <f t="shared" si="187"/>
        <v>208556</v>
      </c>
    </row>
    <row r="5176" spans="7:14" ht="11.25" customHeight="1" x14ac:dyDescent="0.3">
      <c r="G5176" s="470"/>
      <c r="H5176" s="470">
        <v>5169</v>
      </c>
      <c r="I5176" s="455">
        <f t="shared" ca="1" si="185"/>
        <v>-825714577008477.63</v>
      </c>
      <c r="J5176" s="455">
        <f t="array" ref="J5176">IFERROR(INDEX('Retirement Calculator'!K:K,MATCH('Lorri 401b'!N5176,'Retirement Calculator'!A:A,0),0),0)</f>
        <v>0</v>
      </c>
      <c r="K5176" s="455">
        <f t="shared" ca="1" si="183"/>
        <v>-3440477404201.9902</v>
      </c>
      <c r="L5176" s="455">
        <f t="shared" ca="1" si="184"/>
        <v>-829155054412679.63</v>
      </c>
      <c r="M5176" s="471">
        <f t="shared" si="186"/>
        <v>0.05</v>
      </c>
      <c r="N5176" s="475">
        <f t="shared" si="187"/>
        <v>208587</v>
      </c>
    </row>
    <row r="5177" spans="7:14" ht="11.25" customHeight="1" x14ac:dyDescent="0.3">
      <c r="G5177" s="470"/>
      <c r="H5177" s="470">
        <v>5170</v>
      </c>
      <c r="I5177" s="455">
        <f t="shared" ca="1" si="185"/>
        <v>-829155054412679.63</v>
      </c>
      <c r="J5177" s="455">
        <f t="array" ref="J5177">IFERROR(INDEX('Retirement Calculator'!K:K,MATCH('Lorri 401b'!N5177,'Retirement Calculator'!A:A,0),0),0)</f>
        <v>0</v>
      </c>
      <c r="K5177" s="455">
        <f t="shared" ca="1" si="183"/>
        <v>-3454812726719.4985</v>
      </c>
      <c r="L5177" s="455">
        <f t="shared" ca="1" si="184"/>
        <v>-832609867139399.13</v>
      </c>
      <c r="M5177" s="471">
        <f t="shared" si="186"/>
        <v>0.05</v>
      </c>
      <c r="N5177" s="475">
        <f t="shared" si="187"/>
        <v>208615</v>
      </c>
    </row>
    <row r="5178" spans="7:14" ht="11.25" customHeight="1" x14ac:dyDescent="0.3">
      <c r="G5178" s="470"/>
      <c r="H5178" s="470">
        <v>5171</v>
      </c>
      <c r="I5178" s="455">
        <f t="shared" ca="1" si="185"/>
        <v>-832609867139399.13</v>
      </c>
      <c r="J5178" s="455">
        <f t="array" ref="J5178">IFERROR(INDEX('Retirement Calculator'!K:K,MATCH('Lorri 401b'!N5178,'Retirement Calculator'!A:A,0),0),0)</f>
        <v>0</v>
      </c>
      <c r="K5178" s="455">
        <f t="shared" ca="1" si="183"/>
        <v>-3469207779747.4961</v>
      </c>
      <c r="L5178" s="455">
        <f t="shared" ca="1" si="184"/>
        <v>-836079074919146.63</v>
      </c>
      <c r="M5178" s="471">
        <f t="shared" si="186"/>
        <v>0.05</v>
      </c>
      <c r="N5178" s="475">
        <f t="shared" si="187"/>
        <v>208646</v>
      </c>
    </row>
    <row r="5179" spans="7:14" ht="11.25" customHeight="1" x14ac:dyDescent="0.3">
      <c r="G5179" s="470"/>
      <c r="H5179" s="470">
        <v>5172</v>
      </c>
      <c r="I5179" s="455">
        <f t="shared" ca="1" si="185"/>
        <v>-836079074919146.63</v>
      </c>
      <c r="J5179" s="455">
        <f t="array" ref="J5179">IFERROR(INDEX('Retirement Calculator'!K:K,MATCH('Lorri 401b'!N5179,'Retirement Calculator'!A:A,0),0),0)</f>
        <v>0</v>
      </c>
      <c r="K5179" s="455">
        <f t="shared" ca="1" si="183"/>
        <v>-3483662812163.1108</v>
      </c>
      <c r="L5179" s="455">
        <f t="shared" ca="1" si="184"/>
        <v>-839562737731309.75</v>
      </c>
      <c r="M5179" s="471">
        <f t="shared" si="186"/>
        <v>0.05</v>
      </c>
      <c r="N5179" s="475">
        <f t="shared" si="187"/>
        <v>208676</v>
      </c>
    </row>
    <row r="5180" spans="7:14" ht="11.25" customHeight="1" x14ac:dyDescent="0.3">
      <c r="G5180" s="470"/>
      <c r="H5180" s="470">
        <v>5173</v>
      </c>
      <c r="I5180" s="455">
        <f t="shared" ca="1" si="185"/>
        <v>-839562737731309.75</v>
      </c>
      <c r="J5180" s="455">
        <f t="array" ref="J5180">IFERROR(INDEX('Retirement Calculator'!K:K,MATCH('Lorri 401b'!N5180,'Retirement Calculator'!A:A,0),0),0)</f>
        <v>0</v>
      </c>
      <c r="K5180" s="455">
        <f t="shared" ca="1" si="183"/>
        <v>-3498178073880.457</v>
      </c>
      <c r="L5180" s="455">
        <f t="shared" ca="1" si="184"/>
        <v>-843060915805190.25</v>
      </c>
      <c r="M5180" s="471">
        <f t="shared" si="186"/>
        <v>0.05</v>
      </c>
      <c r="N5180" s="475">
        <f t="shared" si="187"/>
        <v>208707</v>
      </c>
    </row>
    <row r="5181" spans="7:14" ht="11.25" customHeight="1" x14ac:dyDescent="0.3">
      <c r="G5181" s="470"/>
      <c r="H5181" s="470">
        <v>5174</v>
      </c>
      <c r="I5181" s="455">
        <f t="shared" ca="1" si="185"/>
        <v>-843060915805190.25</v>
      </c>
      <c r="J5181" s="455">
        <f t="array" ref="J5181">IFERROR(INDEX('Retirement Calculator'!K:K,MATCH('Lorri 401b'!N5181,'Retirement Calculator'!A:A,0),0),0)</f>
        <v>0</v>
      </c>
      <c r="K5181" s="455">
        <f t="shared" ca="1" si="183"/>
        <v>-3512753815854.9595</v>
      </c>
      <c r="L5181" s="455">
        <f t="shared" ca="1" si="184"/>
        <v>-846573669621045.25</v>
      </c>
      <c r="M5181" s="471">
        <f t="shared" si="186"/>
        <v>0.05</v>
      </c>
      <c r="N5181" s="475">
        <f t="shared" si="187"/>
        <v>208737</v>
      </c>
    </row>
    <row r="5182" spans="7:14" ht="11.25" customHeight="1" x14ac:dyDescent="0.3">
      <c r="G5182" s="470"/>
      <c r="H5182" s="470">
        <v>5175</v>
      </c>
      <c r="I5182" s="455">
        <f t="shared" ca="1" si="185"/>
        <v>-846573669621045.25</v>
      </c>
      <c r="J5182" s="455">
        <f t="array" ref="J5182">IFERROR(INDEX('Retirement Calculator'!K:K,MATCH('Lorri 401b'!N5182,'Retirement Calculator'!A:A,0),0),0)</f>
        <v>0</v>
      </c>
      <c r="K5182" s="455">
        <f t="shared" ca="1" si="183"/>
        <v>-3527390290087.6885</v>
      </c>
      <c r="L5182" s="455">
        <f t="shared" ca="1" si="184"/>
        <v>-850101059911133</v>
      </c>
      <c r="M5182" s="471">
        <f t="shared" si="186"/>
        <v>0.05</v>
      </c>
      <c r="N5182" s="475">
        <f t="shared" si="187"/>
        <v>208768</v>
      </c>
    </row>
    <row r="5183" spans="7:14" ht="11.25" customHeight="1" x14ac:dyDescent="0.3">
      <c r="G5183" s="470"/>
      <c r="H5183" s="470">
        <v>5176</v>
      </c>
      <c r="I5183" s="455">
        <f t="shared" ca="1" si="185"/>
        <v>-850101059911133</v>
      </c>
      <c r="J5183" s="455">
        <f t="array" ref="J5183">IFERROR(INDEX('Retirement Calculator'!K:K,MATCH('Lorri 401b'!N5183,'Retirement Calculator'!A:A,0),0),0)</f>
        <v>0</v>
      </c>
      <c r="K5183" s="455">
        <f t="shared" ca="1" si="183"/>
        <v>-3542087749629.7207</v>
      </c>
      <c r="L5183" s="455">
        <f t="shared" ca="1" si="184"/>
        <v>-853643147660762.75</v>
      </c>
      <c r="M5183" s="471">
        <f t="shared" si="186"/>
        <v>0.05</v>
      </c>
      <c r="N5183" s="475">
        <f t="shared" si="187"/>
        <v>208799</v>
      </c>
    </row>
    <row r="5184" spans="7:14" ht="11.25" customHeight="1" x14ac:dyDescent="0.3">
      <c r="G5184" s="470"/>
      <c r="H5184" s="470">
        <v>5177</v>
      </c>
      <c r="I5184" s="455">
        <f t="shared" ca="1" si="185"/>
        <v>-853643147660762.75</v>
      </c>
      <c r="J5184" s="455">
        <f t="array" ref="J5184">IFERROR(INDEX('Retirement Calculator'!K:K,MATCH('Lorri 401b'!N5184,'Retirement Calculator'!A:A,0),0),0)</f>
        <v>0</v>
      </c>
      <c r="K5184" s="455">
        <f t="shared" ca="1" si="183"/>
        <v>-3556846448586.5112</v>
      </c>
      <c r="L5184" s="455">
        <f t="shared" ca="1" si="184"/>
        <v>-857199994109349.25</v>
      </c>
      <c r="M5184" s="471">
        <f t="shared" si="186"/>
        <v>0.05</v>
      </c>
      <c r="N5184" s="475">
        <f t="shared" si="187"/>
        <v>208829</v>
      </c>
    </row>
    <row r="5185" spans="7:14" ht="11.25" customHeight="1" x14ac:dyDescent="0.3">
      <c r="G5185" s="470"/>
      <c r="H5185" s="470">
        <v>5178</v>
      </c>
      <c r="I5185" s="455">
        <f t="shared" ca="1" si="185"/>
        <v>-857199994109349.25</v>
      </c>
      <c r="J5185" s="455">
        <f t="array" ref="J5185">IFERROR(INDEX('Retirement Calculator'!K:K,MATCH('Lorri 401b'!N5185,'Retirement Calculator'!A:A,0),0),0)</f>
        <v>0</v>
      </c>
      <c r="K5185" s="455">
        <f t="shared" ca="1" si="183"/>
        <v>-3571666642122.2886</v>
      </c>
      <c r="L5185" s="455">
        <f t="shared" ca="1" si="184"/>
        <v>-860771660751471.5</v>
      </c>
      <c r="M5185" s="471">
        <f t="shared" si="186"/>
        <v>0.05</v>
      </c>
      <c r="N5185" s="475">
        <f t="shared" si="187"/>
        <v>208860</v>
      </c>
    </row>
    <row r="5186" spans="7:14" ht="11.25" customHeight="1" x14ac:dyDescent="0.3">
      <c r="G5186" s="470"/>
      <c r="H5186" s="470">
        <v>5179</v>
      </c>
      <c r="I5186" s="455">
        <f t="shared" ca="1" si="185"/>
        <v>-860771660751471.5</v>
      </c>
      <c r="J5186" s="455">
        <f t="array" ref="J5186">IFERROR(INDEX('Retirement Calculator'!K:K,MATCH('Lorri 401b'!N5186,'Retirement Calculator'!A:A,0),0),0)</f>
        <v>0</v>
      </c>
      <c r="K5186" s="455">
        <f t="shared" ca="1" si="183"/>
        <v>-3586548586464.4644</v>
      </c>
      <c r="L5186" s="455">
        <f t="shared" ca="1" si="184"/>
        <v>-864358209337936</v>
      </c>
      <c r="M5186" s="471">
        <f t="shared" si="186"/>
        <v>0.05</v>
      </c>
      <c r="N5186" s="475">
        <f t="shared" si="187"/>
        <v>208890</v>
      </c>
    </row>
    <row r="5187" spans="7:14" ht="11.25" customHeight="1" x14ac:dyDescent="0.3">
      <c r="G5187" s="470"/>
      <c r="H5187" s="470">
        <v>5180</v>
      </c>
      <c r="I5187" s="455">
        <f t="shared" ca="1" si="185"/>
        <v>-864358209337936</v>
      </c>
      <c r="J5187" s="455">
        <f t="array" ref="J5187">IFERROR(INDEX('Retirement Calculator'!K:K,MATCH('Lorri 401b'!N5187,'Retirement Calculator'!A:A,0),0),0)</f>
        <v>0</v>
      </c>
      <c r="K5187" s="455">
        <f t="shared" ca="1" si="183"/>
        <v>-3601492538908.0664</v>
      </c>
      <c r="L5187" s="455">
        <f t="shared" ca="1" si="184"/>
        <v>-867959701876844.13</v>
      </c>
      <c r="M5187" s="471">
        <f t="shared" si="186"/>
        <v>0.05</v>
      </c>
      <c r="N5187" s="475">
        <f t="shared" si="187"/>
        <v>208921</v>
      </c>
    </row>
    <row r="5188" spans="7:14" ht="11.25" customHeight="1" x14ac:dyDescent="0.3">
      <c r="G5188" s="470"/>
      <c r="H5188" s="470">
        <v>5181</v>
      </c>
      <c r="I5188" s="455">
        <f t="shared" ca="1" si="185"/>
        <v>-867959701876844.13</v>
      </c>
      <c r="J5188" s="455">
        <f t="array" ref="J5188">IFERROR(INDEX('Retirement Calculator'!K:K,MATCH('Lorri 401b'!N5188,'Retirement Calculator'!A:A,0),0),0)</f>
        <v>0</v>
      </c>
      <c r="K5188" s="455">
        <f t="shared" ca="1" si="183"/>
        <v>-3616498757820.1836</v>
      </c>
      <c r="L5188" s="455">
        <f t="shared" ca="1" si="184"/>
        <v>-871576200634664.25</v>
      </c>
      <c r="M5188" s="471">
        <f t="shared" si="186"/>
        <v>0.05</v>
      </c>
      <c r="N5188" s="475">
        <f t="shared" si="187"/>
        <v>208952</v>
      </c>
    </row>
    <row r="5189" spans="7:14" ht="11.25" customHeight="1" x14ac:dyDescent="0.3">
      <c r="G5189" s="470"/>
      <c r="H5189" s="470">
        <v>5182</v>
      </c>
      <c r="I5189" s="455">
        <f t="shared" ca="1" si="185"/>
        <v>-871576200634664.25</v>
      </c>
      <c r="J5189" s="455">
        <f t="array" ref="J5189">IFERROR(INDEX('Retirement Calculator'!K:K,MATCH('Lorri 401b'!N5189,'Retirement Calculator'!A:A,0),0),0)</f>
        <v>0</v>
      </c>
      <c r="K5189" s="455">
        <f t="shared" ca="1" si="183"/>
        <v>-3631567502644.4341</v>
      </c>
      <c r="L5189" s="455">
        <f t="shared" ca="1" si="184"/>
        <v>-875207768137308.63</v>
      </c>
      <c r="M5189" s="471">
        <f t="shared" si="186"/>
        <v>0.05</v>
      </c>
      <c r="N5189" s="475">
        <f t="shared" si="187"/>
        <v>208981</v>
      </c>
    </row>
    <row r="5190" spans="7:14" ht="11.25" customHeight="1" x14ac:dyDescent="0.3">
      <c r="G5190" s="470"/>
      <c r="H5190" s="470">
        <v>5183</v>
      </c>
      <c r="I5190" s="455">
        <f t="shared" ca="1" si="185"/>
        <v>-875207768137308.63</v>
      </c>
      <c r="J5190" s="455">
        <f t="array" ref="J5190">IFERROR(INDEX('Retirement Calculator'!K:K,MATCH('Lorri 401b'!N5190,'Retirement Calculator'!A:A,0),0),0)</f>
        <v>0</v>
      </c>
      <c r="K5190" s="455">
        <f t="shared" ca="1" si="183"/>
        <v>-3646699033905.4526</v>
      </c>
      <c r="L5190" s="455">
        <f t="shared" ca="1" si="184"/>
        <v>-878854467171214.13</v>
      </c>
      <c r="M5190" s="471">
        <f t="shared" si="186"/>
        <v>0.05</v>
      </c>
      <c r="N5190" s="475">
        <f t="shared" si="187"/>
        <v>209012</v>
      </c>
    </row>
    <row r="5191" spans="7:14" ht="11.25" customHeight="1" x14ac:dyDescent="0.3">
      <c r="G5191" s="470"/>
      <c r="H5191" s="470">
        <v>5184</v>
      </c>
      <c r="I5191" s="455">
        <f t="shared" ca="1" si="185"/>
        <v>-878854467171214.13</v>
      </c>
      <c r="J5191" s="455">
        <f t="array" ref="J5191">IFERROR(INDEX('Retirement Calculator'!K:K,MATCH('Lorri 401b'!N5191,'Retirement Calculator'!A:A,0),0),0)</f>
        <v>0</v>
      </c>
      <c r="K5191" s="455">
        <f t="shared" ca="1" si="183"/>
        <v>-3661893613213.3921</v>
      </c>
      <c r="L5191" s="455">
        <f t="shared" ca="1" si="184"/>
        <v>-882516360784427.5</v>
      </c>
      <c r="M5191" s="471">
        <f t="shared" si="186"/>
        <v>0.05</v>
      </c>
      <c r="N5191" s="475">
        <f t="shared" si="187"/>
        <v>209042</v>
      </c>
    </row>
    <row r="5192" spans="7:14" ht="11.25" customHeight="1" x14ac:dyDescent="0.3">
      <c r="G5192" s="470"/>
      <c r="H5192" s="470">
        <v>5185</v>
      </c>
      <c r="I5192" s="455">
        <f t="shared" ca="1" si="185"/>
        <v>-882516360784427.5</v>
      </c>
      <c r="J5192" s="455">
        <f t="array" ref="J5192">IFERROR(INDEX('Retirement Calculator'!K:K,MATCH('Lorri 401b'!N5192,'Retirement Calculator'!A:A,0),0),0)</f>
        <v>0</v>
      </c>
      <c r="K5192" s="455">
        <f t="shared" ca="1" si="183"/>
        <v>-3677151503268.4478</v>
      </c>
      <c r="L5192" s="455">
        <f t="shared" ca="1" si="184"/>
        <v>-886193512287696</v>
      </c>
      <c r="M5192" s="471">
        <f t="shared" si="186"/>
        <v>0.05</v>
      </c>
      <c r="N5192" s="475">
        <f t="shared" si="187"/>
        <v>209073</v>
      </c>
    </row>
    <row r="5193" spans="7:14" ht="11.25" customHeight="1" x14ac:dyDescent="0.3">
      <c r="G5193" s="470"/>
      <c r="H5193" s="470">
        <v>5186</v>
      </c>
      <c r="I5193" s="455">
        <f t="shared" ca="1" si="185"/>
        <v>-886193512287696</v>
      </c>
      <c r="J5193" s="455">
        <f t="array" ref="J5193">IFERROR(INDEX('Retirement Calculator'!K:K,MATCH('Lorri 401b'!N5193,'Retirement Calculator'!A:A,0),0),0)</f>
        <v>0</v>
      </c>
      <c r="K5193" s="455">
        <f t="shared" ca="1" si="183"/>
        <v>-3692472967865.3994</v>
      </c>
      <c r="L5193" s="455">
        <f t="shared" ca="1" si="184"/>
        <v>-889885985255561.38</v>
      </c>
      <c r="M5193" s="471">
        <f t="shared" si="186"/>
        <v>0.05</v>
      </c>
      <c r="N5193" s="475">
        <f t="shared" si="187"/>
        <v>209103</v>
      </c>
    </row>
    <row r="5194" spans="7:14" ht="11.25" customHeight="1" x14ac:dyDescent="0.3">
      <c r="G5194" s="470"/>
      <c r="H5194" s="470">
        <v>5187</v>
      </c>
      <c r="I5194" s="455">
        <f t="shared" ca="1" si="185"/>
        <v>-889885985255561.38</v>
      </c>
      <c r="J5194" s="455">
        <f t="array" ref="J5194">IFERROR(INDEX('Retirement Calculator'!K:K,MATCH('Lorri 401b'!N5194,'Retirement Calculator'!A:A,0),0),0)</f>
        <v>0</v>
      </c>
      <c r="K5194" s="455">
        <f t="shared" ca="1" si="183"/>
        <v>-3707858271898.1724</v>
      </c>
      <c r="L5194" s="455">
        <f t="shared" ca="1" si="184"/>
        <v>-893593843527459.5</v>
      </c>
      <c r="M5194" s="471">
        <f t="shared" si="186"/>
        <v>0.05</v>
      </c>
      <c r="N5194" s="475">
        <f t="shared" si="187"/>
        <v>209134</v>
      </c>
    </row>
    <row r="5195" spans="7:14" ht="11.25" customHeight="1" x14ac:dyDescent="0.3">
      <c r="G5195" s="470"/>
      <c r="H5195" s="470">
        <v>5188</v>
      </c>
      <c r="I5195" s="455">
        <f t="shared" ca="1" si="185"/>
        <v>-893593843527459.5</v>
      </c>
      <c r="J5195" s="455">
        <f t="array" ref="J5195">IFERROR(INDEX('Retirement Calculator'!K:K,MATCH('Lorri 401b'!N5195,'Retirement Calculator'!A:A,0),0),0)</f>
        <v>0</v>
      </c>
      <c r="K5195" s="455">
        <f t="shared" ca="1" si="183"/>
        <v>-3723307681364.4146</v>
      </c>
      <c r="L5195" s="455">
        <f t="shared" ca="1" si="184"/>
        <v>-897317151208823.88</v>
      </c>
      <c r="M5195" s="471">
        <f t="shared" si="186"/>
        <v>0.05</v>
      </c>
      <c r="N5195" s="475">
        <f t="shared" si="187"/>
        <v>209165</v>
      </c>
    </row>
    <row r="5196" spans="7:14" ht="11.25" customHeight="1" x14ac:dyDescent="0.3">
      <c r="G5196" s="470"/>
      <c r="H5196" s="470">
        <v>5189</v>
      </c>
      <c r="I5196" s="455">
        <f t="shared" ca="1" si="185"/>
        <v>-897317151208823.88</v>
      </c>
      <c r="J5196" s="455">
        <f t="array" ref="J5196">IFERROR(INDEX('Retirement Calculator'!K:K,MATCH('Lorri 401b'!N5196,'Retirement Calculator'!A:A,0),0),0)</f>
        <v>0</v>
      </c>
      <c r="K5196" s="455">
        <f t="shared" ca="1" si="183"/>
        <v>-3738821463370.0996</v>
      </c>
      <c r="L5196" s="455">
        <f t="shared" ca="1" si="184"/>
        <v>-901055972672194</v>
      </c>
      <c r="M5196" s="471">
        <f t="shared" si="186"/>
        <v>0.05</v>
      </c>
      <c r="N5196" s="475">
        <f t="shared" si="187"/>
        <v>209195</v>
      </c>
    </row>
    <row r="5197" spans="7:14" ht="11.25" customHeight="1" x14ac:dyDescent="0.3">
      <c r="G5197" s="470"/>
      <c r="H5197" s="470">
        <v>5190</v>
      </c>
      <c r="I5197" s="455">
        <f t="shared" ca="1" si="185"/>
        <v>-901055972672194</v>
      </c>
      <c r="J5197" s="455">
        <f t="array" ref="J5197">IFERROR(INDEX('Retirement Calculator'!K:K,MATCH('Lorri 401b'!N5197,'Retirement Calculator'!A:A,0),0),0)</f>
        <v>0</v>
      </c>
      <c r="K5197" s="455">
        <f t="shared" ca="1" si="183"/>
        <v>-3754399886134.1416</v>
      </c>
      <c r="L5197" s="455">
        <f t="shared" ca="1" si="184"/>
        <v>-904810372558328.13</v>
      </c>
      <c r="M5197" s="471">
        <f t="shared" si="186"/>
        <v>0.05</v>
      </c>
      <c r="N5197" s="475">
        <f t="shared" si="187"/>
        <v>209226</v>
      </c>
    </row>
    <row r="5198" spans="7:14" ht="11.25" customHeight="1" x14ac:dyDescent="0.3">
      <c r="G5198" s="470"/>
      <c r="H5198" s="470">
        <v>5191</v>
      </c>
      <c r="I5198" s="455">
        <f t="shared" ca="1" si="185"/>
        <v>-904810372558328.13</v>
      </c>
      <c r="J5198" s="455">
        <f t="array" ref="J5198">IFERROR(INDEX('Retirement Calculator'!K:K,MATCH('Lorri 401b'!N5198,'Retirement Calculator'!A:A,0),0),0)</f>
        <v>0</v>
      </c>
      <c r="K5198" s="455">
        <f t="shared" ca="1" si="183"/>
        <v>-3770043218993.0337</v>
      </c>
      <c r="L5198" s="455">
        <f t="shared" ca="1" si="184"/>
        <v>-908580415777321.13</v>
      </c>
      <c r="M5198" s="471">
        <f t="shared" si="186"/>
        <v>0.05</v>
      </c>
      <c r="N5198" s="475">
        <f t="shared" si="187"/>
        <v>209256</v>
      </c>
    </row>
    <row r="5199" spans="7:14" ht="11.25" customHeight="1" x14ac:dyDescent="0.3">
      <c r="G5199" s="470"/>
      <c r="H5199" s="470">
        <v>5192</v>
      </c>
      <c r="I5199" s="455">
        <f t="shared" ca="1" si="185"/>
        <v>-908580415777321.13</v>
      </c>
      <c r="J5199" s="455">
        <f t="array" ref="J5199">IFERROR(INDEX('Retirement Calculator'!K:K,MATCH('Lorri 401b'!N5199,'Retirement Calculator'!A:A,0),0),0)</f>
        <v>0</v>
      </c>
      <c r="K5199" s="455">
        <f t="shared" ca="1" si="183"/>
        <v>-3785751732405.5054</v>
      </c>
      <c r="L5199" s="455">
        <f t="shared" ca="1" si="184"/>
        <v>-912366167509726.63</v>
      </c>
      <c r="M5199" s="471">
        <f t="shared" si="186"/>
        <v>0.05</v>
      </c>
      <c r="N5199" s="475">
        <f t="shared" si="187"/>
        <v>209287</v>
      </c>
    </row>
    <row r="5200" spans="7:14" ht="11.25" customHeight="1" x14ac:dyDescent="0.3">
      <c r="G5200" s="470"/>
      <c r="H5200" s="470">
        <v>5193</v>
      </c>
      <c r="I5200" s="455">
        <f t="shared" ca="1" si="185"/>
        <v>-912366167509726.63</v>
      </c>
      <c r="J5200" s="455">
        <f t="array" ref="J5200">IFERROR(INDEX('Retirement Calculator'!K:K,MATCH('Lorri 401b'!N5200,'Retirement Calculator'!A:A,0),0),0)</f>
        <v>0</v>
      </c>
      <c r="K5200" s="455">
        <f t="shared" ca="1" si="183"/>
        <v>-3801525697957.1938</v>
      </c>
      <c r="L5200" s="455">
        <f t="shared" ca="1" si="184"/>
        <v>-916167693207683.88</v>
      </c>
      <c r="M5200" s="471">
        <f t="shared" si="186"/>
        <v>0.05</v>
      </c>
      <c r="N5200" s="475">
        <f t="shared" si="187"/>
        <v>209318</v>
      </c>
    </row>
    <row r="5201" spans="7:14" ht="11.25" customHeight="1" x14ac:dyDescent="0.3">
      <c r="G5201" s="470"/>
      <c r="H5201" s="470">
        <v>5194</v>
      </c>
      <c r="I5201" s="455">
        <f t="shared" ca="1" si="185"/>
        <v>-916167693207683.88</v>
      </c>
      <c r="J5201" s="455">
        <f t="array" ref="J5201">IFERROR(INDEX('Retirement Calculator'!K:K,MATCH('Lorri 401b'!N5201,'Retirement Calculator'!A:A,0),0),0)</f>
        <v>0</v>
      </c>
      <c r="K5201" s="455">
        <f t="shared" ca="1" si="183"/>
        <v>-3817365388365.3496</v>
      </c>
      <c r="L5201" s="455">
        <f t="shared" ca="1" si="184"/>
        <v>-919985058596049.25</v>
      </c>
      <c r="M5201" s="471">
        <f t="shared" si="186"/>
        <v>0.05</v>
      </c>
      <c r="N5201" s="475">
        <f t="shared" si="187"/>
        <v>209346</v>
      </c>
    </row>
    <row r="5202" spans="7:14" ht="11.25" customHeight="1" x14ac:dyDescent="0.3">
      <c r="G5202" s="470"/>
      <c r="H5202" s="470">
        <v>5195</v>
      </c>
      <c r="I5202" s="455">
        <f t="shared" ca="1" si="185"/>
        <v>-919985058596049.25</v>
      </c>
      <c r="J5202" s="455">
        <f t="array" ref="J5202">IFERROR(INDEX('Retirement Calculator'!K:K,MATCH('Lorri 401b'!N5202,'Retirement Calculator'!A:A,0),0),0)</f>
        <v>0</v>
      </c>
      <c r="K5202" s="455">
        <f t="shared" ca="1" si="183"/>
        <v>-3833271077483.5386</v>
      </c>
      <c r="L5202" s="455">
        <f t="shared" ca="1" si="184"/>
        <v>-923818329673532.75</v>
      </c>
      <c r="M5202" s="471">
        <f t="shared" si="186"/>
        <v>0.05</v>
      </c>
      <c r="N5202" s="475">
        <f t="shared" si="187"/>
        <v>209377</v>
      </c>
    </row>
    <row r="5203" spans="7:14" ht="11.25" customHeight="1" x14ac:dyDescent="0.3">
      <c r="G5203" s="470"/>
      <c r="H5203" s="470">
        <v>5196</v>
      </c>
      <c r="I5203" s="455">
        <f t="shared" ca="1" si="185"/>
        <v>-923818329673532.75</v>
      </c>
      <c r="J5203" s="455">
        <f t="array" ref="J5203">IFERROR(INDEX('Retirement Calculator'!K:K,MATCH('Lorri 401b'!N5203,'Retirement Calculator'!A:A,0),0),0)</f>
        <v>0</v>
      </c>
      <c r="K5203" s="455">
        <f t="shared" ca="1" si="183"/>
        <v>-3849243040306.3867</v>
      </c>
      <c r="L5203" s="455">
        <f t="shared" ca="1" si="184"/>
        <v>-927667572713839.13</v>
      </c>
      <c r="M5203" s="471">
        <f t="shared" si="186"/>
        <v>0.05</v>
      </c>
      <c r="N5203" s="475">
        <f t="shared" si="187"/>
        <v>209407</v>
      </c>
    </row>
    <row r="5204" spans="7:14" ht="11.25" customHeight="1" x14ac:dyDescent="0.3">
      <c r="G5204" s="470"/>
      <c r="H5204" s="470">
        <v>5197</v>
      </c>
      <c r="I5204" s="455">
        <f t="shared" ca="1" si="185"/>
        <v>-927667572713839.13</v>
      </c>
      <c r="J5204" s="455">
        <f t="array" ref="J5204">IFERROR(INDEX('Retirement Calculator'!K:K,MATCH('Lorri 401b'!N5204,'Retirement Calculator'!A:A,0),0),0)</f>
        <v>0</v>
      </c>
      <c r="K5204" s="455">
        <f t="shared" ca="1" si="183"/>
        <v>-3865281552974.3291</v>
      </c>
      <c r="L5204" s="455">
        <f t="shared" ca="1" si="184"/>
        <v>-931532854266813.5</v>
      </c>
      <c r="M5204" s="471">
        <f t="shared" si="186"/>
        <v>0.05</v>
      </c>
      <c r="N5204" s="475">
        <f t="shared" si="187"/>
        <v>209438</v>
      </c>
    </row>
    <row r="5205" spans="7:14" ht="11.25" customHeight="1" x14ac:dyDescent="0.3">
      <c r="G5205" s="470"/>
      <c r="H5205" s="470">
        <v>5198</v>
      </c>
      <c r="I5205" s="455">
        <f t="shared" ca="1" si="185"/>
        <v>-931532854266813.5</v>
      </c>
      <c r="J5205" s="455">
        <f t="array" ref="J5205">IFERROR(INDEX('Retirement Calculator'!K:K,MATCH('Lorri 401b'!N5205,'Retirement Calculator'!A:A,0),0),0)</f>
        <v>0</v>
      </c>
      <c r="K5205" s="455">
        <f t="shared" ca="1" si="183"/>
        <v>-3881386892778.3892</v>
      </c>
      <c r="L5205" s="455">
        <f t="shared" ca="1" si="184"/>
        <v>-935414241159591.88</v>
      </c>
      <c r="M5205" s="471">
        <f t="shared" si="186"/>
        <v>0.05</v>
      </c>
      <c r="N5205" s="475">
        <f t="shared" si="187"/>
        <v>209468</v>
      </c>
    </row>
    <row r="5206" spans="7:14" ht="11.25" customHeight="1" x14ac:dyDescent="0.3">
      <c r="G5206" s="470"/>
      <c r="H5206" s="470">
        <v>5199</v>
      </c>
      <c r="I5206" s="455">
        <f t="shared" ca="1" si="185"/>
        <v>-935414241159591.88</v>
      </c>
      <c r="J5206" s="455">
        <f t="array" ref="J5206">IFERROR(INDEX('Retirement Calculator'!K:K,MATCH('Lorri 401b'!N5206,'Retirement Calculator'!A:A,0),0),0)</f>
        <v>0</v>
      </c>
      <c r="K5206" s="455">
        <f t="shared" ca="1" si="183"/>
        <v>-3897559338164.9668</v>
      </c>
      <c r="L5206" s="455">
        <f t="shared" ca="1" si="184"/>
        <v>-939311800497756.88</v>
      </c>
      <c r="M5206" s="471">
        <f t="shared" si="186"/>
        <v>0.05</v>
      </c>
      <c r="N5206" s="475">
        <f t="shared" si="187"/>
        <v>209499</v>
      </c>
    </row>
    <row r="5207" spans="7:14" ht="11.25" customHeight="1" x14ac:dyDescent="0.3">
      <c r="G5207" s="470"/>
      <c r="H5207" s="470">
        <v>5200</v>
      </c>
      <c r="I5207" s="455">
        <f t="shared" ca="1" si="185"/>
        <v>-939311800497756.88</v>
      </c>
      <c r="J5207" s="455">
        <f t="array" ref="J5207">IFERROR(INDEX('Retirement Calculator'!K:K,MATCH('Lorri 401b'!N5207,'Retirement Calculator'!A:A,0),0),0)</f>
        <v>0</v>
      </c>
      <c r="K5207" s="455">
        <f t="shared" ca="1" si="183"/>
        <v>-3913799168740.6528</v>
      </c>
      <c r="L5207" s="455">
        <f t="shared" ca="1" si="184"/>
        <v>-943225599666497.5</v>
      </c>
      <c r="M5207" s="471">
        <f t="shared" si="186"/>
        <v>0.05</v>
      </c>
      <c r="N5207" s="475">
        <f t="shared" si="187"/>
        <v>209530</v>
      </c>
    </row>
    <row r="5208" spans="7:14" ht="11.25" customHeight="1" x14ac:dyDescent="0.3">
      <c r="G5208" s="470"/>
      <c r="H5208" s="470">
        <v>5201</v>
      </c>
      <c r="I5208" s="455">
        <f t="shared" ca="1" si="185"/>
        <v>-943225599666497.5</v>
      </c>
      <c r="J5208" s="455">
        <f t="array" ref="J5208">IFERROR(INDEX('Retirement Calculator'!K:K,MATCH('Lorri 401b'!N5208,'Retirement Calculator'!A:A,0),0),0)</f>
        <v>0</v>
      </c>
      <c r="K5208" s="455">
        <f t="shared" ca="1" si="183"/>
        <v>-3930106665277.0723</v>
      </c>
      <c r="L5208" s="455">
        <f t="shared" ca="1" si="184"/>
        <v>-947155706331774.63</v>
      </c>
      <c r="M5208" s="471">
        <f t="shared" si="186"/>
        <v>0.05</v>
      </c>
      <c r="N5208" s="475">
        <f t="shared" si="187"/>
        <v>209560</v>
      </c>
    </row>
    <row r="5209" spans="7:14" ht="11.25" customHeight="1" x14ac:dyDescent="0.3">
      <c r="G5209" s="470"/>
      <c r="H5209" s="470">
        <v>5202</v>
      </c>
      <c r="I5209" s="455">
        <f t="shared" ca="1" si="185"/>
        <v>-947155706331774.63</v>
      </c>
      <c r="J5209" s="455">
        <f t="array" ref="J5209">IFERROR(INDEX('Retirement Calculator'!K:K,MATCH('Lorri 401b'!N5209,'Retirement Calculator'!A:A,0),0),0)</f>
        <v>0</v>
      </c>
      <c r="K5209" s="455">
        <f t="shared" ca="1" si="183"/>
        <v>-3946482109715.7275</v>
      </c>
      <c r="L5209" s="455">
        <f t="shared" ca="1" si="184"/>
        <v>-951102188441490.38</v>
      </c>
      <c r="M5209" s="471">
        <f t="shared" si="186"/>
        <v>0.05</v>
      </c>
      <c r="N5209" s="475">
        <f t="shared" si="187"/>
        <v>209591</v>
      </c>
    </row>
    <row r="5210" spans="7:14" ht="11.25" customHeight="1" x14ac:dyDescent="0.3">
      <c r="G5210" s="470"/>
      <c r="H5210" s="470">
        <v>5203</v>
      </c>
      <c r="I5210" s="455">
        <f t="shared" ca="1" si="185"/>
        <v>-951102188441490.38</v>
      </c>
      <c r="J5210" s="455">
        <f t="array" ref="J5210">IFERROR(INDEX('Retirement Calculator'!K:K,MATCH('Lorri 401b'!N5210,'Retirement Calculator'!A:A,0),0),0)</f>
        <v>0</v>
      </c>
      <c r="K5210" s="455">
        <f t="shared" ca="1" si="183"/>
        <v>-3962925785172.8765</v>
      </c>
      <c r="L5210" s="455">
        <f t="shared" ca="1" si="184"/>
        <v>-955065114226663.25</v>
      </c>
      <c r="M5210" s="471">
        <f t="shared" si="186"/>
        <v>0.05</v>
      </c>
      <c r="N5210" s="475">
        <f t="shared" si="187"/>
        <v>209621</v>
      </c>
    </row>
    <row r="5211" spans="7:14" ht="11.25" customHeight="1" x14ac:dyDescent="0.3">
      <c r="G5211" s="470"/>
      <c r="H5211" s="470">
        <v>5204</v>
      </c>
      <c r="I5211" s="455">
        <f t="shared" ca="1" si="185"/>
        <v>-955065114226663.25</v>
      </c>
      <c r="J5211" s="455">
        <f t="array" ref="J5211">IFERROR(INDEX('Retirement Calculator'!K:K,MATCH('Lorri 401b'!N5211,'Retirement Calculator'!A:A,0),0),0)</f>
        <v>0</v>
      </c>
      <c r="K5211" s="455">
        <f t="shared" ca="1" si="183"/>
        <v>-3979437975944.4302</v>
      </c>
      <c r="L5211" s="455">
        <f t="shared" ca="1" si="184"/>
        <v>-959044552202607.63</v>
      </c>
      <c r="M5211" s="471">
        <f t="shared" si="186"/>
        <v>0.05</v>
      </c>
      <c r="N5211" s="475">
        <f t="shared" si="187"/>
        <v>209652</v>
      </c>
    </row>
    <row r="5212" spans="7:14" ht="11.25" customHeight="1" x14ac:dyDescent="0.3">
      <c r="G5212" s="470"/>
      <c r="H5212" s="470">
        <v>5205</v>
      </c>
      <c r="I5212" s="455">
        <f t="shared" ca="1" si="185"/>
        <v>-959044552202607.63</v>
      </c>
      <c r="J5212" s="455">
        <f t="array" ref="J5212">IFERROR(INDEX('Retirement Calculator'!K:K,MATCH('Lorri 401b'!N5212,'Retirement Calculator'!A:A,0),0),0)</f>
        <v>0</v>
      </c>
      <c r="K5212" s="455">
        <f t="shared" ca="1" si="183"/>
        <v>-3996018967510.8652</v>
      </c>
      <c r="L5212" s="455">
        <f t="shared" ca="1" si="184"/>
        <v>-963040571170118.5</v>
      </c>
      <c r="M5212" s="471">
        <f t="shared" si="186"/>
        <v>0.05</v>
      </c>
      <c r="N5212" s="475">
        <f t="shared" si="187"/>
        <v>209683</v>
      </c>
    </row>
    <row r="5213" spans="7:14" ht="11.25" customHeight="1" x14ac:dyDescent="0.3">
      <c r="G5213" s="470"/>
      <c r="H5213" s="470">
        <v>5206</v>
      </c>
      <c r="I5213" s="455">
        <f t="shared" ca="1" si="185"/>
        <v>-963040571170118.5</v>
      </c>
      <c r="J5213" s="455">
        <f t="array" ref="J5213">IFERROR(INDEX('Retirement Calculator'!K:K,MATCH('Lorri 401b'!N5213,'Retirement Calculator'!A:A,0),0),0)</f>
        <v>0</v>
      </c>
      <c r="K5213" s="455">
        <f t="shared" ca="1" si="183"/>
        <v>-4012669046542.1602</v>
      </c>
      <c r="L5213" s="455">
        <f t="shared" ca="1" si="184"/>
        <v>-967053240216660.63</v>
      </c>
      <c r="M5213" s="471">
        <f t="shared" si="186"/>
        <v>0.05</v>
      </c>
      <c r="N5213" s="475">
        <f t="shared" si="187"/>
        <v>209711</v>
      </c>
    </row>
    <row r="5214" spans="7:14" ht="11.25" customHeight="1" x14ac:dyDescent="0.3">
      <c r="G5214" s="470"/>
      <c r="H5214" s="470">
        <v>5207</v>
      </c>
      <c r="I5214" s="455">
        <f t="shared" ca="1" si="185"/>
        <v>-967053240216660.63</v>
      </c>
      <c r="J5214" s="455">
        <f t="array" ref="J5214">IFERROR(INDEX('Retirement Calculator'!K:K,MATCH('Lorri 401b'!N5214,'Retirement Calculator'!A:A,0),0),0)</f>
        <v>0</v>
      </c>
      <c r="K5214" s="455">
        <f t="shared" ca="1" si="183"/>
        <v>-4029388500902.7524</v>
      </c>
      <c r="L5214" s="455">
        <f t="shared" ca="1" si="184"/>
        <v>-971082628717563.38</v>
      </c>
      <c r="M5214" s="471">
        <f t="shared" si="186"/>
        <v>0.05</v>
      </c>
      <c r="N5214" s="475">
        <f t="shared" si="187"/>
        <v>209742</v>
      </c>
    </row>
    <row r="5215" spans="7:14" ht="11.25" customHeight="1" x14ac:dyDescent="0.3">
      <c r="G5215" s="470"/>
      <c r="H5215" s="470">
        <v>5208</v>
      </c>
      <c r="I5215" s="455">
        <f t="shared" ca="1" si="185"/>
        <v>-971082628717563.38</v>
      </c>
      <c r="J5215" s="455">
        <f t="array" ref="J5215">IFERROR(INDEX('Retirement Calculator'!K:K,MATCH('Lorri 401b'!N5215,'Retirement Calculator'!A:A,0),0),0)</f>
        <v>0</v>
      </c>
      <c r="K5215" s="455">
        <f t="shared" ca="1" si="183"/>
        <v>-4046177619656.5146</v>
      </c>
      <c r="L5215" s="455">
        <f t="shared" ca="1" si="184"/>
        <v>-975128806337219.88</v>
      </c>
      <c r="M5215" s="471">
        <f t="shared" si="186"/>
        <v>0.05</v>
      </c>
      <c r="N5215" s="475">
        <f t="shared" si="187"/>
        <v>209772</v>
      </c>
    </row>
    <row r="5216" spans="7:14" ht="11.25" customHeight="1" x14ac:dyDescent="0.3">
      <c r="G5216" s="470"/>
      <c r="H5216" s="470">
        <v>5209</v>
      </c>
      <c r="I5216" s="455">
        <f t="shared" ca="1" si="185"/>
        <v>-975128806337219.88</v>
      </c>
      <c r="J5216" s="455">
        <f t="array" ref="J5216">IFERROR(INDEX('Retirement Calculator'!K:K,MATCH('Lorri 401b'!N5216,'Retirement Calculator'!A:A,0),0),0)</f>
        <v>0</v>
      </c>
      <c r="K5216" s="455">
        <f t="shared" ca="1" si="183"/>
        <v>-4063036693071.749</v>
      </c>
      <c r="L5216" s="455">
        <f t="shared" ca="1" si="184"/>
        <v>-979191843030291.63</v>
      </c>
      <c r="M5216" s="471">
        <f t="shared" si="186"/>
        <v>0.05</v>
      </c>
      <c r="N5216" s="475">
        <f t="shared" si="187"/>
        <v>209803</v>
      </c>
    </row>
    <row r="5217" spans="7:14" ht="11.25" customHeight="1" x14ac:dyDescent="0.3">
      <c r="G5217" s="470"/>
      <c r="H5217" s="470">
        <v>5210</v>
      </c>
      <c r="I5217" s="455">
        <f t="shared" ca="1" si="185"/>
        <v>-979191843030291.63</v>
      </c>
      <c r="J5217" s="455">
        <f t="array" ref="J5217">IFERROR(INDEX('Retirement Calculator'!K:K,MATCH('Lorri 401b'!N5217,'Retirement Calculator'!A:A,0),0),0)</f>
        <v>0</v>
      </c>
      <c r="K5217" s="455">
        <f t="shared" ca="1" si="183"/>
        <v>-4079966012626.2148</v>
      </c>
      <c r="L5217" s="455">
        <f t="shared" ca="1" si="184"/>
        <v>-983271809042917.88</v>
      </c>
      <c r="M5217" s="471">
        <f t="shared" si="186"/>
        <v>0.05</v>
      </c>
      <c r="N5217" s="475">
        <f t="shared" si="187"/>
        <v>209833</v>
      </c>
    </row>
    <row r="5218" spans="7:14" ht="11.25" customHeight="1" x14ac:dyDescent="0.3">
      <c r="G5218" s="470"/>
      <c r="H5218" s="470">
        <v>5211</v>
      </c>
      <c r="I5218" s="455">
        <f t="shared" ca="1" si="185"/>
        <v>-983271809042917.88</v>
      </c>
      <c r="J5218" s="455">
        <f t="array" ref="J5218">IFERROR(INDEX('Retirement Calculator'!K:K,MATCH('Lorri 401b'!N5218,'Retirement Calculator'!A:A,0),0),0)</f>
        <v>0</v>
      </c>
      <c r="K5218" s="455">
        <f t="shared" ca="1" si="183"/>
        <v>-4096965871012.1577</v>
      </c>
      <c r="L5218" s="455">
        <f t="shared" ca="1" si="184"/>
        <v>-987368774913930</v>
      </c>
      <c r="M5218" s="471">
        <f t="shared" si="186"/>
        <v>0.05</v>
      </c>
      <c r="N5218" s="475">
        <f t="shared" si="187"/>
        <v>209864</v>
      </c>
    </row>
    <row r="5219" spans="7:14" ht="11.25" customHeight="1" x14ac:dyDescent="0.3">
      <c r="G5219" s="470"/>
      <c r="H5219" s="470">
        <v>5212</v>
      </c>
      <c r="I5219" s="455">
        <f t="shared" ca="1" si="185"/>
        <v>-987368774913930</v>
      </c>
      <c r="J5219" s="455">
        <f t="array" ref="J5219">IFERROR(INDEX('Retirement Calculator'!K:K,MATCH('Lorri 401b'!N5219,'Retirement Calculator'!A:A,0),0),0)</f>
        <v>0</v>
      </c>
      <c r="K5219" s="455">
        <f t="shared" ca="1" si="183"/>
        <v>-4114036562141.375</v>
      </c>
      <c r="L5219" s="455">
        <f t="shared" ca="1" si="184"/>
        <v>-991482811476071.38</v>
      </c>
      <c r="M5219" s="471">
        <f t="shared" si="186"/>
        <v>0.05</v>
      </c>
      <c r="N5219" s="475">
        <f t="shared" si="187"/>
        <v>209895</v>
      </c>
    </row>
    <row r="5220" spans="7:14" ht="11.25" customHeight="1" x14ac:dyDescent="0.3">
      <c r="G5220" s="470"/>
      <c r="H5220" s="470">
        <v>5213</v>
      </c>
      <c r="I5220" s="455">
        <f t="shared" ca="1" si="185"/>
        <v>-991482811476071.38</v>
      </c>
      <c r="J5220" s="455">
        <f t="array" ref="J5220">IFERROR(INDEX('Retirement Calculator'!K:K,MATCH('Lorri 401b'!N5220,'Retirement Calculator'!A:A,0),0),0)</f>
        <v>0</v>
      </c>
      <c r="K5220" s="455">
        <f t="shared" ca="1" si="183"/>
        <v>-4131178381150.2974</v>
      </c>
      <c r="L5220" s="455">
        <f t="shared" ca="1" si="184"/>
        <v>-995613989857221.63</v>
      </c>
      <c r="M5220" s="471">
        <f t="shared" si="186"/>
        <v>0.05</v>
      </c>
      <c r="N5220" s="475">
        <f t="shared" si="187"/>
        <v>209925</v>
      </c>
    </row>
    <row r="5221" spans="7:14" ht="11.25" customHeight="1" x14ac:dyDescent="0.3">
      <c r="G5221" s="470"/>
      <c r="H5221" s="470">
        <v>5214</v>
      </c>
      <c r="I5221" s="455">
        <f t="shared" ca="1" si="185"/>
        <v>-995613989857221.63</v>
      </c>
      <c r="J5221" s="455">
        <f t="array" ref="J5221">IFERROR(INDEX('Retirement Calculator'!K:K,MATCH('Lorri 401b'!N5221,'Retirement Calculator'!A:A,0),0),0)</f>
        <v>0</v>
      </c>
      <c r="K5221" s="455">
        <f t="shared" ca="1" si="183"/>
        <v>-4148391624405.0898</v>
      </c>
      <c r="L5221" s="455">
        <f t="shared" ca="1" si="184"/>
        <v>-999762381481626.75</v>
      </c>
      <c r="M5221" s="471">
        <f t="shared" si="186"/>
        <v>0.05</v>
      </c>
      <c r="N5221" s="475">
        <f t="shared" si="187"/>
        <v>209956</v>
      </c>
    </row>
    <row r="5222" spans="7:14" ht="11.25" customHeight="1" x14ac:dyDescent="0.3">
      <c r="G5222" s="470"/>
      <c r="H5222" s="470">
        <v>5215</v>
      </c>
      <c r="I5222" s="455">
        <f t="shared" ca="1" si="185"/>
        <v>-999762381481626.75</v>
      </c>
      <c r="J5222" s="455">
        <f t="array" ref="J5222">IFERROR(INDEX('Retirement Calculator'!K:K,MATCH('Lorri 401b'!N5222,'Retirement Calculator'!A:A,0),0),0)</f>
        <v>0</v>
      </c>
      <c r="K5222" s="455">
        <f t="shared" ca="1" si="183"/>
        <v>-4165676589506.7773</v>
      </c>
      <c r="L5222" s="455">
        <f t="shared" ca="1" si="184"/>
        <v>-1003928058071133.5</v>
      </c>
      <c r="M5222" s="471">
        <f t="shared" si="186"/>
        <v>0.05</v>
      </c>
      <c r="N5222" s="475">
        <f t="shared" si="187"/>
        <v>209986</v>
      </c>
    </row>
    <row r="5223" spans="7:14" ht="11.25" customHeight="1" x14ac:dyDescent="0.3">
      <c r="G5223" s="470"/>
      <c r="H5223" s="470">
        <v>5216</v>
      </c>
      <c r="I5223" s="455">
        <f t="shared" ca="1" si="185"/>
        <v>-1003928058071133.5</v>
      </c>
      <c r="J5223" s="455">
        <f t="array" ref="J5223">IFERROR(INDEX('Retirement Calculator'!K:K,MATCH('Lorri 401b'!N5223,'Retirement Calculator'!A:A,0),0),0)</f>
        <v>0</v>
      </c>
      <c r="K5223" s="455">
        <f t="shared" ca="1" si="183"/>
        <v>-4183033575296.3896</v>
      </c>
      <c r="L5223" s="455">
        <f t="shared" ca="1" si="184"/>
        <v>-1008111091646429.9</v>
      </c>
      <c r="M5223" s="471">
        <f t="shared" si="186"/>
        <v>0.05</v>
      </c>
      <c r="N5223" s="475">
        <f t="shared" si="187"/>
        <v>210017</v>
      </c>
    </row>
    <row r="5224" spans="7:14" ht="11.25" customHeight="1" x14ac:dyDescent="0.3">
      <c r="G5224" s="470"/>
      <c r="H5224" s="470">
        <v>5217</v>
      </c>
      <c r="I5224" s="455">
        <f t="shared" ca="1" si="185"/>
        <v>-1008111091646429.9</v>
      </c>
      <c r="J5224" s="455">
        <f t="array" ref="J5224">IFERROR(INDEX('Retirement Calculator'!K:K,MATCH('Lorri 401b'!N5224,'Retirement Calculator'!A:A,0),0),0)</f>
        <v>0</v>
      </c>
      <c r="K5224" s="455">
        <f t="shared" ca="1" si="183"/>
        <v>-4200462881860.1245</v>
      </c>
      <c r="L5224" s="455">
        <f t="shared" ca="1" si="184"/>
        <v>-1012311554528290</v>
      </c>
      <c r="M5224" s="471">
        <f t="shared" si="186"/>
        <v>0.05</v>
      </c>
      <c r="N5224" s="475">
        <f t="shared" si="187"/>
        <v>210048</v>
      </c>
    </row>
    <row r="5225" spans="7:14" ht="11.25" customHeight="1" x14ac:dyDescent="0.3">
      <c r="G5225" s="470"/>
      <c r="H5225" s="470">
        <v>5218</v>
      </c>
      <c r="I5225" s="455">
        <f t="shared" ca="1" si="185"/>
        <v>-1012311554528290</v>
      </c>
      <c r="J5225" s="455">
        <f t="array" ref="J5225">IFERROR(INDEX('Retirement Calculator'!K:K,MATCH('Lorri 401b'!N5225,'Retirement Calculator'!A:A,0),0),0)</f>
        <v>0</v>
      </c>
      <c r="K5225" s="455">
        <f t="shared" ca="1" si="183"/>
        <v>-4217964810534.5415</v>
      </c>
      <c r="L5225" s="455">
        <f t="shared" ca="1" si="184"/>
        <v>-1016529519338824.5</v>
      </c>
      <c r="M5225" s="471">
        <f t="shared" si="186"/>
        <v>0.05</v>
      </c>
      <c r="N5225" s="475">
        <f t="shared" si="187"/>
        <v>210076</v>
      </c>
    </row>
    <row r="5226" spans="7:14" ht="11.25" customHeight="1" x14ac:dyDescent="0.3">
      <c r="G5226" s="470"/>
      <c r="H5226" s="470">
        <v>5219</v>
      </c>
      <c r="I5226" s="455">
        <f t="shared" ca="1" si="185"/>
        <v>-1016529519338824.5</v>
      </c>
      <c r="J5226" s="455">
        <f t="array" ref="J5226">IFERROR(INDEX('Retirement Calculator'!K:K,MATCH('Lorri 401b'!N5226,'Retirement Calculator'!A:A,0),0),0)</f>
        <v>0</v>
      </c>
      <c r="K5226" s="455">
        <f t="shared" ca="1" si="183"/>
        <v>-4235539663911.7686</v>
      </c>
      <c r="L5226" s="455">
        <f t="shared" ca="1" si="184"/>
        <v>-1020765059002736.3</v>
      </c>
      <c r="M5226" s="471">
        <f t="shared" si="186"/>
        <v>0.05</v>
      </c>
      <c r="N5226" s="475">
        <f t="shared" si="187"/>
        <v>210107</v>
      </c>
    </row>
    <row r="5227" spans="7:14" ht="11.25" customHeight="1" x14ac:dyDescent="0.3">
      <c r="G5227" s="470"/>
      <c r="H5227" s="470">
        <v>5220</v>
      </c>
      <c r="I5227" s="455">
        <f t="shared" ca="1" si="185"/>
        <v>-1020765059002736.3</v>
      </c>
      <c r="J5227" s="455">
        <f t="array" ref="J5227">IFERROR(INDEX('Retirement Calculator'!K:K,MATCH('Lorri 401b'!N5227,'Retirement Calculator'!A:A,0),0),0)</f>
        <v>0</v>
      </c>
      <c r="K5227" s="455">
        <f t="shared" ca="1" si="183"/>
        <v>-4253187745844.7344</v>
      </c>
      <c r="L5227" s="455">
        <f t="shared" ca="1" si="184"/>
        <v>-1025018246748581</v>
      </c>
      <c r="M5227" s="471">
        <f t="shared" si="186"/>
        <v>0.05</v>
      </c>
      <c r="N5227" s="475">
        <f t="shared" si="187"/>
        <v>210137</v>
      </c>
    </row>
    <row r="5228" spans="7:14" ht="11.25" customHeight="1" x14ac:dyDescent="0.3">
      <c r="G5228" s="470"/>
      <c r="H5228" s="470">
        <v>5221</v>
      </c>
      <c r="I5228" s="455">
        <f t="shared" ca="1" si="185"/>
        <v>-1025018246748581</v>
      </c>
      <c r="J5228" s="455">
        <f t="array" ref="J5228">IFERROR(INDEX('Retirement Calculator'!K:K,MATCH('Lorri 401b'!N5228,'Retirement Calculator'!A:A,0),0),0)</f>
        <v>0</v>
      </c>
      <c r="K5228" s="455">
        <f t="shared" ca="1" si="183"/>
        <v>-4270909361452.4209</v>
      </c>
      <c r="L5228" s="455">
        <f t="shared" ca="1" si="184"/>
        <v>-1029289156110033.4</v>
      </c>
      <c r="M5228" s="471">
        <f t="shared" si="186"/>
        <v>0.05</v>
      </c>
      <c r="N5228" s="475">
        <f t="shared" si="187"/>
        <v>210168</v>
      </c>
    </row>
    <row r="5229" spans="7:14" ht="11.25" customHeight="1" x14ac:dyDescent="0.3">
      <c r="G5229" s="470"/>
      <c r="H5229" s="470">
        <v>5222</v>
      </c>
      <c r="I5229" s="455">
        <f t="shared" ca="1" si="185"/>
        <v>-1029289156110033.4</v>
      </c>
      <c r="J5229" s="455">
        <f t="array" ref="J5229">IFERROR(INDEX('Retirement Calculator'!K:K,MATCH('Lorri 401b'!N5229,'Retirement Calculator'!A:A,0),0),0)</f>
        <v>0</v>
      </c>
      <c r="K5229" s="455">
        <f t="shared" ca="1" si="183"/>
        <v>-4288704817125.1392</v>
      </c>
      <c r="L5229" s="455">
        <f t="shared" ca="1" si="184"/>
        <v>-1033577860927158.5</v>
      </c>
      <c r="M5229" s="471">
        <f t="shared" si="186"/>
        <v>0.05</v>
      </c>
      <c r="N5229" s="475">
        <f t="shared" si="187"/>
        <v>210198</v>
      </c>
    </row>
    <row r="5230" spans="7:14" ht="11.25" customHeight="1" x14ac:dyDescent="0.3">
      <c r="G5230" s="470"/>
      <c r="H5230" s="470">
        <v>5223</v>
      </c>
      <c r="I5230" s="455">
        <f t="shared" ca="1" si="185"/>
        <v>-1033577860927158.5</v>
      </c>
      <c r="J5230" s="455">
        <f t="array" ref="J5230">IFERROR(INDEX('Retirement Calculator'!K:K,MATCH('Lorri 401b'!N5230,'Retirement Calculator'!A:A,0),0),0)</f>
        <v>0</v>
      </c>
      <c r="K5230" s="455">
        <f t="shared" ca="1" si="183"/>
        <v>-4306574420529.8271</v>
      </c>
      <c r="L5230" s="455">
        <f t="shared" ca="1" si="184"/>
        <v>-1037884435347688.4</v>
      </c>
      <c r="M5230" s="471">
        <f t="shared" si="186"/>
        <v>0.05</v>
      </c>
      <c r="N5230" s="475">
        <f t="shared" si="187"/>
        <v>210229</v>
      </c>
    </row>
    <row r="5231" spans="7:14" ht="11.25" customHeight="1" x14ac:dyDescent="0.3">
      <c r="G5231" s="470"/>
      <c r="H5231" s="470">
        <v>5224</v>
      </c>
      <c r="I5231" s="455">
        <f t="shared" ca="1" si="185"/>
        <v>-1037884435347688.4</v>
      </c>
      <c r="J5231" s="455">
        <f t="array" ref="J5231">IFERROR(INDEX('Retirement Calculator'!K:K,MATCH('Lorri 401b'!N5231,'Retirement Calculator'!A:A,0),0),0)</f>
        <v>0</v>
      </c>
      <c r="K5231" s="455">
        <f t="shared" ca="1" si="183"/>
        <v>-4324518480615.3677</v>
      </c>
      <c r="L5231" s="455">
        <f t="shared" ca="1" si="184"/>
        <v>-1042208953828303.8</v>
      </c>
      <c r="M5231" s="471">
        <f t="shared" si="186"/>
        <v>0.05</v>
      </c>
      <c r="N5231" s="475">
        <f t="shared" si="187"/>
        <v>210260</v>
      </c>
    </row>
    <row r="5232" spans="7:14" ht="11.25" customHeight="1" x14ac:dyDescent="0.3">
      <c r="G5232" s="470"/>
      <c r="H5232" s="470">
        <v>5225</v>
      </c>
      <c r="I5232" s="455">
        <f t="shared" ca="1" si="185"/>
        <v>-1042208953828303.8</v>
      </c>
      <c r="J5232" s="455">
        <f t="array" ref="J5232">IFERROR(INDEX('Retirement Calculator'!K:K,MATCH('Lorri 401b'!N5232,'Retirement Calculator'!A:A,0),0),0)</f>
        <v>0</v>
      </c>
      <c r="K5232" s="455">
        <f t="shared" ca="1" si="183"/>
        <v>-4342537307617.9326</v>
      </c>
      <c r="L5232" s="455">
        <f t="shared" ca="1" si="184"/>
        <v>-1046551491135921.6</v>
      </c>
      <c r="M5232" s="471">
        <f t="shared" si="186"/>
        <v>0.05</v>
      </c>
      <c r="N5232" s="475">
        <f t="shared" si="187"/>
        <v>210290</v>
      </c>
    </row>
    <row r="5233" spans="7:14" ht="11.25" customHeight="1" x14ac:dyDescent="0.3">
      <c r="G5233" s="470"/>
      <c r="H5233" s="470">
        <v>5226</v>
      </c>
      <c r="I5233" s="455">
        <f t="shared" ca="1" si="185"/>
        <v>-1046551491135921.6</v>
      </c>
      <c r="J5233" s="455">
        <f t="array" ref="J5233">IFERROR(INDEX('Retirement Calculator'!K:K,MATCH('Lorri 401b'!N5233,'Retirement Calculator'!A:A,0),0),0)</f>
        <v>0</v>
      </c>
      <c r="K5233" s="455">
        <f t="shared" ca="1" si="183"/>
        <v>-4360631213066.3398</v>
      </c>
      <c r="L5233" s="455">
        <f t="shared" ca="1" si="184"/>
        <v>-1050912122348988</v>
      </c>
      <c r="M5233" s="471">
        <f t="shared" si="186"/>
        <v>0.05</v>
      </c>
      <c r="N5233" s="475">
        <f t="shared" si="187"/>
        <v>210321</v>
      </c>
    </row>
    <row r="5234" spans="7:14" ht="11.25" customHeight="1" x14ac:dyDescent="0.3">
      <c r="G5234" s="470"/>
      <c r="H5234" s="470">
        <v>5227</v>
      </c>
      <c r="I5234" s="455">
        <f t="shared" ca="1" si="185"/>
        <v>-1050912122348988</v>
      </c>
      <c r="J5234" s="455">
        <f t="array" ref="J5234">IFERROR(INDEX('Retirement Calculator'!K:K,MATCH('Lorri 401b'!N5234,'Retirement Calculator'!A:A,0),0),0)</f>
        <v>0</v>
      </c>
      <c r="K5234" s="455">
        <f t="shared" ca="1" si="183"/>
        <v>-4378800509787.4497</v>
      </c>
      <c r="L5234" s="455">
        <f t="shared" ca="1" si="184"/>
        <v>-1055290922858775.5</v>
      </c>
      <c r="M5234" s="471">
        <f t="shared" si="186"/>
        <v>0.05</v>
      </c>
      <c r="N5234" s="475">
        <f t="shared" si="187"/>
        <v>210351</v>
      </c>
    </row>
    <row r="5235" spans="7:14" ht="11.25" customHeight="1" x14ac:dyDescent="0.3">
      <c r="G5235" s="470"/>
      <c r="H5235" s="470">
        <v>5228</v>
      </c>
      <c r="I5235" s="455">
        <f t="shared" ca="1" si="185"/>
        <v>-1055290922858775.5</v>
      </c>
      <c r="J5235" s="455">
        <f t="array" ref="J5235">IFERROR(INDEX('Retirement Calculator'!K:K,MATCH('Lorri 401b'!N5235,'Retirement Calculator'!A:A,0),0),0)</f>
        <v>0</v>
      </c>
      <c r="K5235" s="455">
        <f t="shared" ca="1" si="183"/>
        <v>-4397045511911.5649</v>
      </c>
      <c r="L5235" s="455">
        <f t="shared" ca="1" si="184"/>
        <v>-1059687968370687.1</v>
      </c>
      <c r="M5235" s="471">
        <f t="shared" si="186"/>
        <v>0.05</v>
      </c>
      <c r="N5235" s="475">
        <f t="shared" si="187"/>
        <v>210382</v>
      </c>
    </row>
    <row r="5236" spans="7:14" ht="11.25" customHeight="1" x14ac:dyDescent="0.3">
      <c r="G5236" s="470"/>
      <c r="H5236" s="470">
        <v>5229</v>
      </c>
      <c r="I5236" s="455">
        <f t="shared" ca="1" si="185"/>
        <v>-1059687968370687.1</v>
      </c>
      <c r="J5236" s="455">
        <f t="array" ref="J5236">IFERROR(INDEX('Retirement Calculator'!K:K,MATCH('Lorri 401b'!N5236,'Retirement Calculator'!A:A,0),0),0)</f>
        <v>0</v>
      </c>
      <c r="K5236" s="455">
        <f t="shared" ca="1" si="183"/>
        <v>-4415366534877.8633</v>
      </c>
      <c r="L5236" s="455">
        <f t="shared" ca="1" si="184"/>
        <v>-1064103334905565</v>
      </c>
      <c r="M5236" s="471">
        <f t="shared" si="186"/>
        <v>0.05</v>
      </c>
      <c r="N5236" s="475">
        <f t="shared" si="187"/>
        <v>210413</v>
      </c>
    </row>
    <row r="5237" spans="7:14" ht="11.25" customHeight="1" x14ac:dyDescent="0.3">
      <c r="G5237" s="470"/>
      <c r="H5237" s="470">
        <v>5230</v>
      </c>
      <c r="I5237" s="455">
        <f t="shared" ca="1" si="185"/>
        <v>-1064103334905565</v>
      </c>
      <c r="J5237" s="455">
        <f t="array" ref="J5237">IFERROR(INDEX('Retirement Calculator'!K:K,MATCH('Lorri 401b'!N5237,'Retirement Calculator'!A:A,0),0),0)</f>
        <v>0</v>
      </c>
      <c r="K5237" s="455">
        <f t="shared" ca="1" si="183"/>
        <v>-4433763895439.8545</v>
      </c>
      <c r="L5237" s="455">
        <f t="shared" ca="1" si="184"/>
        <v>-1068537098801004.9</v>
      </c>
      <c r="M5237" s="471">
        <f t="shared" si="186"/>
        <v>0.05</v>
      </c>
      <c r="N5237" s="475">
        <f t="shared" si="187"/>
        <v>210442</v>
      </c>
    </row>
    <row r="5238" spans="7:14" ht="11.25" customHeight="1" x14ac:dyDescent="0.3">
      <c r="G5238" s="470"/>
      <c r="H5238" s="470">
        <v>5231</v>
      </c>
      <c r="I5238" s="455">
        <f t="shared" ca="1" si="185"/>
        <v>-1068537098801004.9</v>
      </c>
      <c r="J5238" s="455">
        <f t="array" ref="J5238">IFERROR(INDEX('Retirement Calculator'!K:K,MATCH('Lorri 401b'!N5238,'Retirement Calculator'!A:A,0),0),0)</f>
        <v>0</v>
      </c>
      <c r="K5238" s="455">
        <f t="shared" ca="1" si="183"/>
        <v>-4452237911670.8545</v>
      </c>
      <c r="L5238" s="455">
        <f t="shared" ca="1" si="184"/>
        <v>-1072989336712675.8</v>
      </c>
      <c r="M5238" s="471">
        <f t="shared" si="186"/>
        <v>0.05</v>
      </c>
      <c r="N5238" s="475">
        <f t="shared" si="187"/>
        <v>210473</v>
      </c>
    </row>
    <row r="5239" spans="7:14" ht="11.25" customHeight="1" x14ac:dyDescent="0.3">
      <c r="G5239" s="470"/>
      <c r="H5239" s="470">
        <v>5232</v>
      </c>
      <c r="I5239" s="455">
        <f t="shared" ca="1" si="185"/>
        <v>-1072989336712675.8</v>
      </c>
      <c r="J5239" s="455">
        <f t="array" ref="J5239">IFERROR(INDEX('Retirement Calculator'!K:K,MATCH('Lorri 401b'!N5239,'Retirement Calculator'!A:A,0),0),0)</f>
        <v>0</v>
      </c>
      <c r="K5239" s="455">
        <f t="shared" ca="1" si="183"/>
        <v>-4470788902969.4824</v>
      </c>
      <c r="L5239" s="455">
        <f t="shared" ca="1" si="184"/>
        <v>-1077460125615645.3</v>
      </c>
      <c r="M5239" s="471">
        <f t="shared" si="186"/>
        <v>0.05</v>
      </c>
      <c r="N5239" s="475">
        <f t="shared" si="187"/>
        <v>210503</v>
      </c>
    </row>
    <row r="5240" spans="7:14" ht="11.25" customHeight="1" x14ac:dyDescent="0.3">
      <c r="G5240" s="470"/>
      <c r="H5240" s="470">
        <v>5233</v>
      </c>
      <c r="I5240" s="455">
        <f t="shared" ca="1" si="185"/>
        <v>-1077460125615645.3</v>
      </c>
      <c r="J5240" s="455">
        <f t="array" ref="J5240">IFERROR(INDEX('Retirement Calculator'!K:K,MATCH('Lorri 401b'!N5240,'Retirement Calculator'!A:A,0),0),0)</f>
        <v>0</v>
      </c>
      <c r="K5240" s="455">
        <f t="shared" ca="1" si="183"/>
        <v>-4489417190065.1875</v>
      </c>
      <c r="L5240" s="455">
        <f t="shared" ca="1" si="184"/>
        <v>-1081949542805710.5</v>
      </c>
      <c r="M5240" s="471">
        <f t="shared" si="186"/>
        <v>0.05</v>
      </c>
      <c r="N5240" s="475">
        <f t="shared" si="187"/>
        <v>210534</v>
      </c>
    </row>
    <row r="5241" spans="7:14" ht="11.25" customHeight="1" x14ac:dyDescent="0.3">
      <c r="G5241" s="470"/>
      <c r="H5241" s="470">
        <v>5234</v>
      </c>
      <c r="I5241" s="455">
        <f t="shared" ca="1" si="185"/>
        <v>-1081949542805710.5</v>
      </c>
      <c r="J5241" s="455">
        <f t="array" ref="J5241">IFERROR(INDEX('Retirement Calculator'!K:K,MATCH('Lorri 401b'!N5241,'Retirement Calculator'!A:A,0),0),0)</f>
        <v>0</v>
      </c>
      <c r="K5241" s="455">
        <f t="shared" ca="1" si="183"/>
        <v>-4508123095023.7939</v>
      </c>
      <c r="L5241" s="455">
        <f t="shared" ca="1" si="184"/>
        <v>-1086457665900734.3</v>
      </c>
      <c r="M5241" s="471">
        <f t="shared" si="186"/>
        <v>0.05</v>
      </c>
      <c r="N5241" s="475">
        <f t="shared" si="187"/>
        <v>210564</v>
      </c>
    </row>
    <row r="5242" spans="7:14" ht="11.25" customHeight="1" x14ac:dyDescent="0.3">
      <c r="G5242" s="470"/>
      <c r="H5242" s="470">
        <v>5235</v>
      </c>
      <c r="I5242" s="455">
        <f t="shared" ca="1" si="185"/>
        <v>-1086457665900734.3</v>
      </c>
      <c r="J5242" s="455">
        <f t="array" ref="J5242">IFERROR(INDEX('Retirement Calculator'!K:K,MATCH('Lorri 401b'!N5242,'Retirement Calculator'!A:A,0),0),0)</f>
        <v>0</v>
      </c>
      <c r="K5242" s="455">
        <f t="shared" ca="1" si="183"/>
        <v>-4526906941253.0596</v>
      </c>
      <c r="L5242" s="455">
        <f t="shared" ca="1" si="184"/>
        <v>-1090984572841987.3</v>
      </c>
      <c r="M5242" s="471">
        <f t="shared" si="186"/>
        <v>0.05</v>
      </c>
      <c r="N5242" s="475">
        <f t="shared" si="187"/>
        <v>210595</v>
      </c>
    </row>
    <row r="5243" spans="7:14" ht="11.25" customHeight="1" x14ac:dyDescent="0.3">
      <c r="G5243" s="470"/>
      <c r="H5243" s="470">
        <v>5236</v>
      </c>
      <c r="I5243" s="455">
        <f t="shared" ca="1" si="185"/>
        <v>-1090984572841987.3</v>
      </c>
      <c r="J5243" s="455">
        <f t="array" ref="J5243">IFERROR(INDEX('Retirement Calculator'!K:K,MATCH('Lorri 401b'!N5243,'Retirement Calculator'!A:A,0),0),0)</f>
        <v>0</v>
      </c>
      <c r="K5243" s="455">
        <f t="shared" ca="1" si="183"/>
        <v>-4545769053508.2803</v>
      </c>
      <c r="L5243" s="455">
        <f t="shared" ca="1" si="184"/>
        <v>-1095530341895495.5</v>
      </c>
      <c r="M5243" s="471">
        <f t="shared" si="186"/>
        <v>0.05</v>
      </c>
      <c r="N5243" s="475">
        <f t="shared" si="187"/>
        <v>210626</v>
      </c>
    </row>
    <row r="5244" spans="7:14" ht="11.25" customHeight="1" x14ac:dyDescent="0.3">
      <c r="G5244" s="470"/>
      <c r="H5244" s="470">
        <v>5237</v>
      </c>
      <c r="I5244" s="455">
        <f t="shared" ca="1" si="185"/>
        <v>-1095530341895495.5</v>
      </c>
      <c r="J5244" s="455">
        <f t="array" ref="J5244">IFERROR(INDEX('Retirement Calculator'!K:K,MATCH('Lorri 401b'!N5244,'Retirement Calculator'!A:A,0),0),0)</f>
        <v>0</v>
      </c>
      <c r="K5244" s="455">
        <f t="shared" ca="1" si="183"/>
        <v>-4564709757897.8975</v>
      </c>
      <c r="L5244" s="455">
        <f t="shared" ca="1" si="184"/>
        <v>-1100095051653393.4</v>
      </c>
      <c r="M5244" s="471">
        <f t="shared" si="186"/>
        <v>0.05</v>
      </c>
      <c r="N5244" s="475">
        <f t="shared" si="187"/>
        <v>210656</v>
      </c>
    </row>
    <row r="5245" spans="7:14" ht="11.25" customHeight="1" x14ac:dyDescent="0.3">
      <c r="G5245" s="470"/>
      <c r="H5245" s="470">
        <v>5238</v>
      </c>
      <c r="I5245" s="455">
        <f t="shared" ca="1" si="185"/>
        <v>-1100095051653393.4</v>
      </c>
      <c r="J5245" s="455">
        <f t="array" ref="J5245">IFERROR(INDEX('Retirement Calculator'!K:K,MATCH('Lorri 401b'!N5245,'Retirement Calculator'!A:A,0),0),0)</f>
        <v>0</v>
      </c>
      <c r="K5245" s="455">
        <f t="shared" ca="1" si="183"/>
        <v>-4583729381889.1387</v>
      </c>
      <c r="L5245" s="455">
        <f t="shared" ca="1" si="184"/>
        <v>-1104678781035282.5</v>
      </c>
      <c r="M5245" s="471">
        <f t="shared" si="186"/>
        <v>0.05</v>
      </c>
      <c r="N5245" s="475">
        <f t="shared" si="187"/>
        <v>210687</v>
      </c>
    </row>
    <row r="5246" spans="7:14" ht="11.25" customHeight="1" x14ac:dyDescent="0.3">
      <c r="G5246" s="470"/>
      <c r="H5246" s="470">
        <v>5239</v>
      </c>
      <c r="I5246" s="455">
        <f t="shared" ca="1" si="185"/>
        <v>-1104678781035282.5</v>
      </c>
      <c r="J5246" s="455">
        <f t="array" ref="J5246">IFERROR(INDEX('Retirement Calculator'!K:K,MATCH('Lorri 401b'!N5246,'Retirement Calculator'!A:A,0),0),0)</f>
        <v>0</v>
      </c>
      <c r="K5246" s="455">
        <f t="shared" ca="1" si="183"/>
        <v>-4602828254313.6768</v>
      </c>
      <c r="L5246" s="455">
        <f t="shared" ca="1" si="184"/>
        <v>-1109281609289596.1</v>
      </c>
      <c r="M5246" s="471">
        <f t="shared" si="186"/>
        <v>0.05</v>
      </c>
      <c r="N5246" s="475">
        <f t="shared" si="187"/>
        <v>210717</v>
      </c>
    </row>
    <row r="5247" spans="7:14" ht="11.25" customHeight="1" x14ac:dyDescent="0.3">
      <c r="G5247" s="470"/>
      <c r="H5247" s="470">
        <v>5240</v>
      </c>
      <c r="I5247" s="455">
        <f t="shared" ca="1" si="185"/>
        <v>-1109281609289596.1</v>
      </c>
      <c r="J5247" s="455">
        <f t="array" ref="J5247">IFERROR(INDEX('Retirement Calculator'!K:K,MATCH('Lorri 401b'!N5247,'Retirement Calculator'!A:A,0),0),0)</f>
        <v>0</v>
      </c>
      <c r="K5247" s="455">
        <f t="shared" ca="1" si="183"/>
        <v>-4622006705373.3174</v>
      </c>
      <c r="L5247" s="455">
        <f t="shared" ca="1" si="184"/>
        <v>-1113903615994969.5</v>
      </c>
      <c r="M5247" s="471">
        <f t="shared" si="186"/>
        <v>0.05</v>
      </c>
      <c r="N5247" s="475">
        <f t="shared" si="187"/>
        <v>210748</v>
      </c>
    </row>
    <row r="5248" spans="7:14" ht="11.25" customHeight="1" x14ac:dyDescent="0.3">
      <c r="G5248" s="470"/>
      <c r="H5248" s="470">
        <v>5241</v>
      </c>
      <c r="I5248" s="455">
        <f t="shared" ca="1" si="185"/>
        <v>-1113903615994969.5</v>
      </c>
      <c r="J5248" s="455">
        <f t="array" ref="J5248">IFERROR(INDEX('Retirement Calculator'!K:K,MATCH('Lorri 401b'!N5248,'Retirement Calculator'!A:A,0),0),0)</f>
        <v>0</v>
      </c>
      <c r="K5248" s="455">
        <f t="shared" ca="1" si="183"/>
        <v>-4641265066645.7061</v>
      </c>
      <c r="L5248" s="455">
        <f t="shared" ca="1" si="184"/>
        <v>-1118544881061615.3</v>
      </c>
      <c r="M5248" s="471">
        <f t="shared" si="186"/>
        <v>0.05</v>
      </c>
      <c r="N5248" s="475">
        <f t="shared" si="187"/>
        <v>210779</v>
      </c>
    </row>
    <row r="5249" spans="7:14" ht="11.25" customHeight="1" x14ac:dyDescent="0.3">
      <c r="G5249" s="470"/>
      <c r="H5249" s="470">
        <v>5242</v>
      </c>
      <c r="I5249" s="455">
        <f t="shared" ca="1" si="185"/>
        <v>-1118544881061615.3</v>
      </c>
      <c r="J5249" s="455">
        <f t="array" ref="J5249">IFERROR(INDEX('Retirement Calculator'!K:K,MATCH('Lorri 401b'!N5249,'Retirement Calculator'!A:A,0),0),0)</f>
        <v>0</v>
      </c>
      <c r="K5249" s="455">
        <f t="shared" ca="1" si="183"/>
        <v>-4660603671090.0645</v>
      </c>
      <c r="L5249" s="455">
        <f t="shared" ca="1" si="184"/>
        <v>-1123205484732705.4</v>
      </c>
      <c r="M5249" s="471">
        <f t="shared" si="186"/>
        <v>0.05</v>
      </c>
      <c r="N5249" s="475">
        <f t="shared" si="187"/>
        <v>210807</v>
      </c>
    </row>
    <row r="5250" spans="7:14" ht="11.25" customHeight="1" x14ac:dyDescent="0.3">
      <c r="G5250" s="470"/>
      <c r="H5250" s="470">
        <v>5243</v>
      </c>
      <c r="I5250" s="455">
        <f t="shared" ca="1" si="185"/>
        <v>-1123205484732705.4</v>
      </c>
      <c r="J5250" s="455">
        <f t="array" ref="J5250">IFERROR(INDEX('Retirement Calculator'!K:K,MATCH('Lorri 401b'!N5250,'Retirement Calculator'!A:A,0),0),0)</f>
        <v>0</v>
      </c>
      <c r="K5250" s="455">
        <f t="shared" ca="1" si="183"/>
        <v>-4680022853052.9395</v>
      </c>
      <c r="L5250" s="455">
        <f t="shared" ca="1" si="184"/>
        <v>-1127885507585758.3</v>
      </c>
      <c r="M5250" s="471">
        <f t="shared" si="186"/>
        <v>0.05</v>
      </c>
      <c r="N5250" s="475">
        <f t="shared" si="187"/>
        <v>210838</v>
      </c>
    </row>
    <row r="5251" spans="7:14" ht="11.25" customHeight="1" x14ac:dyDescent="0.3">
      <c r="G5251" s="470"/>
      <c r="H5251" s="470">
        <v>5244</v>
      </c>
      <c r="I5251" s="455">
        <f t="shared" ca="1" si="185"/>
        <v>-1127885507585758.3</v>
      </c>
      <c r="J5251" s="455">
        <f t="array" ref="J5251">IFERROR(INDEX('Retirement Calculator'!K:K,MATCH('Lorri 401b'!N5251,'Retirement Calculator'!A:A,0),0),0)</f>
        <v>0</v>
      </c>
      <c r="K5251" s="455">
        <f t="shared" ca="1" si="183"/>
        <v>-4699522948273.9922</v>
      </c>
      <c r="L5251" s="455">
        <f t="shared" ca="1" si="184"/>
        <v>-1132585030534032.3</v>
      </c>
      <c r="M5251" s="471">
        <f t="shared" si="186"/>
        <v>0.05</v>
      </c>
      <c r="N5251" s="475">
        <f t="shared" si="187"/>
        <v>210868</v>
      </c>
    </row>
    <row r="5252" spans="7:14" ht="11.25" customHeight="1" x14ac:dyDescent="0.3">
      <c r="G5252" s="470"/>
      <c r="H5252" s="470">
        <v>5245</v>
      </c>
      <c r="I5252" s="455">
        <f t="shared" ca="1" si="185"/>
        <v>-1132585030534032.3</v>
      </c>
      <c r="J5252" s="455">
        <f t="array" ref="J5252">IFERROR(INDEX('Retirement Calculator'!K:K,MATCH('Lorri 401b'!N5252,'Retirement Calculator'!A:A,0),0),0)</f>
        <v>0</v>
      </c>
      <c r="K5252" s="455">
        <f t="shared" ca="1" si="183"/>
        <v>-4719104293891.8008</v>
      </c>
      <c r="L5252" s="455">
        <f t="shared" ca="1" si="184"/>
        <v>-1137304134827924</v>
      </c>
      <c r="M5252" s="471">
        <f t="shared" si="186"/>
        <v>0.05</v>
      </c>
      <c r="N5252" s="475">
        <f t="shared" si="187"/>
        <v>210899</v>
      </c>
    </row>
    <row r="5253" spans="7:14" ht="11.25" customHeight="1" x14ac:dyDescent="0.3">
      <c r="G5253" s="470"/>
      <c r="H5253" s="470">
        <v>5246</v>
      </c>
      <c r="I5253" s="455">
        <f t="shared" ca="1" si="185"/>
        <v>-1137304134827924</v>
      </c>
      <c r="J5253" s="455">
        <f t="array" ref="J5253">IFERROR(INDEX('Retirement Calculator'!K:K,MATCH('Lorri 401b'!N5253,'Retirement Calculator'!A:A,0),0),0)</f>
        <v>0</v>
      </c>
      <c r="K5253" s="455">
        <f t="shared" ca="1" si="183"/>
        <v>-4738767228449.6836</v>
      </c>
      <c r="L5253" s="455">
        <f t="shared" ca="1" si="184"/>
        <v>-1142042902056373.8</v>
      </c>
      <c r="M5253" s="471">
        <f t="shared" si="186"/>
        <v>0.05</v>
      </c>
      <c r="N5253" s="475">
        <f t="shared" si="187"/>
        <v>210929</v>
      </c>
    </row>
    <row r="5254" spans="7:14" ht="11.25" customHeight="1" x14ac:dyDescent="0.3">
      <c r="G5254" s="470"/>
      <c r="H5254" s="470">
        <v>5247</v>
      </c>
      <c r="I5254" s="455">
        <f t="shared" ca="1" si="185"/>
        <v>-1142042902056373.8</v>
      </c>
      <c r="J5254" s="455">
        <f t="array" ref="J5254">IFERROR(INDEX('Retirement Calculator'!K:K,MATCH('Lorri 401b'!N5254,'Retirement Calculator'!A:A,0),0),0)</f>
        <v>0</v>
      </c>
      <c r="K5254" s="455">
        <f t="shared" ca="1" si="183"/>
        <v>-4758512091901.5576</v>
      </c>
      <c r="L5254" s="455">
        <f t="shared" ca="1" si="184"/>
        <v>-1146801414148275.3</v>
      </c>
      <c r="M5254" s="471">
        <f t="shared" si="186"/>
        <v>0.05</v>
      </c>
      <c r="N5254" s="475">
        <f t="shared" si="187"/>
        <v>210960</v>
      </c>
    </row>
    <row r="5255" spans="7:14" ht="11.25" customHeight="1" x14ac:dyDescent="0.3">
      <c r="G5255" s="470"/>
      <c r="H5255" s="470">
        <v>5248</v>
      </c>
      <c r="I5255" s="455">
        <f t="shared" ca="1" si="185"/>
        <v>-1146801414148275.3</v>
      </c>
      <c r="J5255" s="455">
        <f t="array" ref="J5255">IFERROR(INDEX('Retirement Calculator'!K:K,MATCH('Lorri 401b'!N5255,'Retirement Calculator'!A:A,0),0),0)</f>
        <v>0</v>
      </c>
      <c r="K5255" s="455">
        <f t="shared" ca="1" si="183"/>
        <v>-4778339225617.8135</v>
      </c>
      <c r="L5255" s="455">
        <f t="shared" ca="1" si="184"/>
        <v>-1151579753373893</v>
      </c>
      <c r="M5255" s="471">
        <f t="shared" si="186"/>
        <v>0.05</v>
      </c>
      <c r="N5255" s="475">
        <f t="shared" si="187"/>
        <v>210991</v>
      </c>
    </row>
    <row r="5256" spans="7:14" ht="11.25" customHeight="1" x14ac:dyDescent="0.3">
      <c r="G5256" s="470"/>
      <c r="H5256" s="470">
        <v>5249</v>
      </c>
      <c r="I5256" s="455">
        <f t="shared" ca="1" si="185"/>
        <v>-1151579753373893</v>
      </c>
      <c r="J5256" s="455">
        <f t="array" ref="J5256">IFERROR(INDEX('Retirement Calculator'!K:K,MATCH('Lorri 401b'!N5256,'Retirement Calculator'!A:A,0),0),0)</f>
        <v>0</v>
      </c>
      <c r="K5256" s="455">
        <f t="shared" ca="1" si="183"/>
        <v>-4798248972391.2207</v>
      </c>
      <c r="L5256" s="455">
        <f t="shared" ca="1" si="184"/>
        <v>-1156378002346284.3</v>
      </c>
      <c r="M5256" s="471">
        <f t="shared" si="186"/>
        <v>0.05</v>
      </c>
      <c r="N5256" s="475">
        <f t="shared" si="187"/>
        <v>211021</v>
      </c>
    </row>
    <row r="5257" spans="7:14" ht="11.25" customHeight="1" x14ac:dyDescent="0.3">
      <c r="G5257" s="470"/>
      <c r="H5257" s="470">
        <v>5250</v>
      </c>
      <c r="I5257" s="455">
        <f t="shared" ca="1" si="185"/>
        <v>-1156378002346284.3</v>
      </c>
      <c r="J5257" s="455">
        <f t="array" ref="J5257">IFERROR(INDEX('Retirement Calculator'!K:K,MATCH('Lorri 401b'!N5257,'Retirement Calculator'!A:A,0),0),0)</f>
        <v>0</v>
      </c>
      <c r="K5257" s="455">
        <f t="shared" ca="1" si="183"/>
        <v>-4818241676442.8506</v>
      </c>
      <c r="L5257" s="455">
        <f t="shared" ca="1" si="184"/>
        <v>-1161196244022727</v>
      </c>
      <c r="M5257" s="471">
        <f t="shared" si="186"/>
        <v>0.05</v>
      </c>
      <c r="N5257" s="475">
        <f t="shared" si="187"/>
        <v>211052</v>
      </c>
    </row>
    <row r="5258" spans="7:14" ht="11.25" customHeight="1" x14ac:dyDescent="0.3">
      <c r="G5258" s="470"/>
      <c r="H5258" s="470">
        <v>5251</v>
      </c>
      <c r="I5258" s="455">
        <f t="shared" ca="1" si="185"/>
        <v>-1161196244022727</v>
      </c>
      <c r="J5258" s="455">
        <f t="array" ref="J5258">IFERROR(INDEX('Retirement Calculator'!K:K,MATCH('Lorri 401b'!N5258,'Retirement Calculator'!A:A,0),0),0)</f>
        <v>0</v>
      </c>
      <c r="K5258" s="455">
        <f t="shared" ca="1" si="183"/>
        <v>-4838317683428.0293</v>
      </c>
      <c r="L5258" s="455">
        <f t="shared" ca="1" si="184"/>
        <v>-1166034561706155</v>
      </c>
      <c r="M5258" s="471">
        <f t="shared" si="186"/>
        <v>0.05</v>
      </c>
      <c r="N5258" s="475">
        <f t="shared" si="187"/>
        <v>211082</v>
      </c>
    </row>
    <row r="5259" spans="7:14" ht="11.25" customHeight="1" x14ac:dyDescent="0.3">
      <c r="G5259" s="470"/>
      <c r="H5259" s="470">
        <v>5252</v>
      </c>
      <c r="I5259" s="455">
        <f t="shared" ca="1" si="185"/>
        <v>-1166034561706155</v>
      </c>
      <c r="J5259" s="455">
        <f t="array" ref="J5259">IFERROR(INDEX('Retirement Calculator'!K:K,MATCH('Lorri 401b'!N5259,'Retirement Calculator'!A:A,0),0),0)</f>
        <v>0</v>
      </c>
      <c r="K5259" s="455">
        <f t="shared" ca="1" si="183"/>
        <v>-4858477340442.3125</v>
      </c>
      <c r="L5259" s="455">
        <f t="shared" ca="1" si="184"/>
        <v>-1170893039046597.3</v>
      </c>
      <c r="M5259" s="471">
        <f t="shared" si="186"/>
        <v>0.05</v>
      </c>
      <c r="N5259" s="475">
        <f t="shared" si="187"/>
        <v>211113</v>
      </c>
    </row>
    <row r="5260" spans="7:14" ht="11.25" customHeight="1" x14ac:dyDescent="0.3">
      <c r="G5260" s="470"/>
      <c r="H5260" s="470">
        <v>5253</v>
      </c>
      <c r="I5260" s="455">
        <f t="shared" ca="1" si="185"/>
        <v>-1170893039046597.3</v>
      </c>
      <c r="J5260" s="455">
        <f t="array" ref="J5260">IFERROR(INDEX('Retirement Calculator'!K:K,MATCH('Lorri 401b'!N5260,'Retirement Calculator'!A:A,0),0),0)</f>
        <v>0</v>
      </c>
      <c r="K5260" s="455">
        <f t="shared" ca="1" si="183"/>
        <v>-4878720996027.4883</v>
      </c>
      <c r="L5260" s="455">
        <f t="shared" ca="1" si="184"/>
        <v>-1175771760042624.8</v>
      </c>
      <c r="M5260" s="471">
        <f t="shared" si="186"/>
        <v>0.05</v>
      </c>
      <c r="N5260" s="475">
        <f t="shared" si="187"/>
        <v>211144</v>
      </c>
    </row>
    <row r="5261" spans="7:14" ht="11.25" customHeight="1" x14ac:dyDescent="0.3">
      <c r="G5261" s="470"/>
      <c r="H5261" s="470">
        <v>5254</v>
      </c>
      <c r="I5261" s="455">
        <f t="shared" ca="1" si="185"/>
        <v>-1175771760042624.8</v>
      </c>
      <c r="J5261" s="455">
        <f t="array" ref="J5261">IFERROR(INDEX('Retirement Calculator'!K:K,MATCH('Lorri 401b'!N5261,'Retirement Calculator'!A:A,0),0),0)</f>
        <v>0</v>
      </c>
      <c r="K5261" s="455">
        <f t="shared" ca="1" si="183"/>
        <v>-4899049000177.6035</v>
      </c>
      <c r="L5261" s="455">
        <f t="shared" ca="1" si="184"/>
        <v>-1180670809042802.3</v>
      </c>
      <c r="M5261" s="471">
        <f t="shared" si="186"/>
        <v>0.05</v>
      </c>
      <c r="N5261" s="475">
        <f t="shared" si="187"/>
        <v>211172</v>
      </c>
    </row>
    <row r="5262" spans="7:14" ht="11.25" customHeight="1" x14ac:dyDescent="0.3">
      <c r="G5262" s="470"/>
      <c r="H5262" s="470">
        <v>5255</v>
      </c>
      <c r="I5262" s="455">
        <f t="shared" ca="1" si="185"/>
        <v>-1180670809042802.3</v>
      </c>
      <c r="J5262" s="455">
        <f t="array" ref="J5262">IFERROR(INDEX('Retirement Calculator'!K:K,MATCH('Lorri 401b'!N5262,'Retirement Calculator'!A:A,0),0),0)</f>
        <v>0</v>
      </c>
      <c r="K5262" s="455">
        <f t="shared" ca="1" si="183"/>
        <v>-4919461704345.0098</v>
      </c>
      <c r="L5262" s="455">
        <f t="shared" ca="1" si="184"/>
        <v>-1185590270747147.3</v>
      </c>
      <c r="M5262" s="471">
        <f t="shared" si="186"/>
        <v>0.05</v>
      </c>
      <c r="N5262" s="475">
        <f t="shared" si="187"/>
        <v>211203</v>
      </c>
    </row>
    <row r="5263" spans="7:14" ht="11.25" customHeight="1" x14ac:dyDescent="0.3">
      <c r="G5263" s="470"/>
      <c r="H5263" s="470">
        <v>5256</v>
      </c>
      <c r="I5263" s="455">
        <f t="shared" ca="1" si="185"/>
        <v>-1185590270747147.3</v>
      </c>
      <c r="J5263" s="455">
        <f t="array" ref="J5263">IFERROR(INDEX('Retirement Calculator'!K:K,MATCH('Lorri 401b'!N5263,'Retirement Calculator'!A:A,0),0),0)</f>
        <v>0</v>
      </c>
      <c r="K5263" s="455">
        <f t="shared" ca="1" si="183"/>
        <v>-4939959461446.4473</v>
      </c>
      <c r="L5263" s="455">
        <f t="shared" ca="1" si="184"/>
        <v>-1190530230208593.8</v>
      </c>
      <c r="M5263" s="471">
        <f t="shared" si="186"/>
        <v>0.05</v>
      </c>
      <c r="N5263" s="475">
        <f t="shared" si="187"/>
        <v>211233</v>
      </c>
    </row>
    <row r="5264" spans="7:14" ht="11.25" customHeight="1" x14ac:dyDescent="0.3">
      <c r="G5264" s="470"/>
      <c r="H5264" s="470">
        <v>5257</v>
      </c>
      <c r="I5264" s="455">
        <f t="shared" ca="1" si="185"/>
        <v>-1190530230208593.8</v>
      </c>
      <c r="J5264" s="455">
        <f t="array" ref="J5264">IFERROR(INDEX('Retirement Calculator'!K:K,MATCH('Lorri 401b'!N5264,'Retirement Calculator'!A:A,0),0),0)</f>
        <v>0</v>
      </c>
      <c r="K5264" s="455">
        <f t="shared" ca="1" si="183"/>
        <v>-4960542625869.1406</v>
      </c>
      <c r="L5264" s="455">
        <f t="shared" ca="1" si="184"/>
        <v>-1195490772834463</v>
      </c>
      <c r="M5264" s="471">
        <f t="shared" si="186"/>
        <v>0.05</v>
      </c>
      <c r="N5264" s="475">
        <f t="shared" si="187"/>
        <v>211264</v>
      </c>
    </row>
    <row r="5265" spans="7:14" ht="11.25" customHeight="1" x14ac:dyDescent="0.3">
      <c r="G5265" s="470"/>
      <c r="H5265" s="470">
        <v>5258</v>
      </c>
      <c r="I5265" s="455">
        <f t="shared" ca="1" si="185"/>
        <v>-1195490772834463</v>
      </c>
      <c r="J5265" s="455">
        <f t="array" ref="J5265">IFERROR(INDEX('Retirement Calculator'!K:K,MATCH('Lorri 401b'!N5265,'Retirement Calculator'!A:A,0),0),0)</f>
        <v>0</v>
      </c>
      <c r="K5265" s="455">
        <f t="shared" ca="1" si="183"/>
        <v>-4981211553476.9287</v>
      </c>
      <c r="L5265" s="455">
        <f t="shared" ca="1" si="184"/>
        <v>-1200471984387940</v>
      </c>
      <c r="M5265" s="471">
        <f t="shared" si="186"/>
        <v>0.05</v>
      </c>
      <c r="N5265" s="475">
        <f t="shared" si="187"/>
        <v>211294</v>
      </c>
    </row>
    <row r="5266" spans="7:14" ht="11.25" customHeight="1" x14ac:dyDescent="0.3">
      <c r="G5266" s="470"/>
      <c r="H5266" s="470">
        <v>5259</v>
      </c>
      <c r="I5266" s="455">
        <f t="shared" ca="1" si="185"/>
        <v>-1200471984387940</v>
      </c>
      <c r="J5266" s="455">
        <f t="array" ref="J5266">IFERROR(INDEX('Retirement Calculator'!K:K,MATCH('Lorri 401b'!N5266,'Retirement Calculator'!A:A,0),0),0)</f>
        <v>0</v>
      </c>
      <c r="K5266" s="455">
        <f t="shared" ca="1" si="183"/>
        <v>-5001966601616.417</v>
      </c>
      <c r="L5266" s="455">
        <f t="shared" ca="1" si="184"/>
        <v>-1205473950989556.5</v>
      </c>
      <c r="M5266" s="471">
        <f t="shared" si="186"/>
        <v>0.05</v>
      </c>
      <c r="N5266" s="475">
        <f t="shared" si="187"/>
        <v>211325</v>
      </c>
    </row>
    <row r="5267" spans="7:14" ht="11.25" customHeight="1" x14ac:dyDescent="0.3">
      <c r="G5267" s="470"/>
      <c r="H5267" s="470">
        <v>5260</v>
      </c>
      <c r="I5267" s="455">
        <f t="shared" ca="1" si="185"/>
        <v>-1205473950989556.5</v>
      </c>
      <c r="J5267" s="455">
        <f t="array" ref="J5267">IFERROR(INDEX('Retirement Calculator'!K:K,MATCH('Lorri 401b'!N5267,'Retirement Calculator'!A:A,0),0),0)</f>
        <v>0</v>
      </c>
      <c r="K5267" s="455">
        <f t="shared" ca="1" si="183"/>
        <v>-5022808129123.1523</v>
      </c>
      <c r="L5267" s="455">
        <f t="shared" ca="1" si="184"/>
        <v>-1210496759118679.8</v>
      </c>
      <c r="M5267" s="471">
        <f t="shared" si="186"/>
        <v>0.05</v>
      </c>
      <c r="N5267" s="475">
        <f t="shared" si="187"/>
        <v>211356</v>
      </c>
    </row>
    <row r="5268" spans="7:14" ht="11.25" customHeight="1" x14ac:dyDescent="0.3">
      <c r="G5268" s="470"/>
      <c r="H5268" s="470">
        <v>5261</v>
      </c>
      <c r="I5268" s="455">
        <f t="shared" ca="1" si="185"/>
        <v>-1210496759118679.8</v>
      </c>
      <c r="J5268" s="455">
        <f t="array" ref="J5268">IFERROR(INDEX('Retirement Calculator'!K:K,MATCH('Lorri 401b'!N5268,'Retirement Calculator'!A:A,0),0),0)</f>
        <v>0</v>
      </c>
      <c r="K5268" s="455">
        <f t="shared" ca="1" si="183"/>
        <v>-5043736496327.832</v>
      </c>
      <c r="L5268" s="455">
        <f t="shared" ca="1" si="184"/>
        <v>-1215540495615007.5</v>
      </c>
      <c r="M5268" s="471">
        <f t="shared" si="186"/>
        <v>0.05</v>
      </c>
      <c r="N5268" s="475">
        <f t="shared" si="187"/>
        <v>211386</v>
      </c>
    </row>
    <row r="5269" spans="7:14" ht="11.25" customHeight="1" x14ac:dyDescent="0.3">
      <c r="G5269" s="470"/>
      <c r="H5269" s="470">
        <v>5262</v>
      </c>
      <c r="I5269" s="455">
        <f t="shared" ca="1" si="185"/>
        <v>-1215540495615007.5</v>
      </c>
      <c r="J5269" s="455">
        <f t="array" ref="J5269">IFERROR(INDEX('Retirement Calculator'!K:K,MATCH('Lorri 401b'!N5269,'Retirement Calculator'!A:A,0),0),0)</f>
        <v>0</v>
      </c>
      <c r="K5269" s="455">
        <f t="shared" ca="1" si="183"/>
        <v>-5064752065062.5313</v>
      </c>
      <c r="L5269" s="455">
        <f t="shared" ca="1" si="184"/>
        <v>-1220605247680070</v>
      </c>
      <c r="M5269" s="471">
        <f t="shared" si="186"/>
        <v>0.05</v>
      </c>
      <c r="N5269" s="475">
        <f t="shared" si="187"/>
        <v>211417</v>
      </c>
    </row>
    <row r="5270" spans="7:14" ht="11.25" customHeight="1" x14ac:dyDescent="0.3">
      <c r="G5270" s="470"/>
      <c r="H5270" s="470">
        <v>5263</v>
      </c>
      <c r="I5270" s="455">
        <f t="shared" ca="1" si="185"/>
        <v>-1220605247680070</v>
      </c>
      <c r="J5270" s="455">
        <f t="array" ref="J5270">IFERROR(INDEX('Retirement Calculator'!K:K,MATCH('Lorri 401b'!N5270,'Retirement Calculator'!A:A,0),0),0)</f>
        <v>0</v>
      </c>
      <c r="K5270" s="455">
        <f t="shared" ca="1" si="183"/>
        <v>-5085855198666.958</v>
      </c>
      <c r="L5270" s="455">
        <f t="shared" ca="1" si="184"/>
        <v>-1225691102878737</v>
      </c>
      <c r="M5270" s="471">
        <f t="shared" si="186"/>
        <v>0.05</v>
      </c>
      <c r="N5270" s="475">
        <f t="shared" si="187"/>
        <v>211447</v>
      </c>
    </row>
    <row r="5271" spans="7:14" ht="11.25" customHeight="1" x14ac:dyDescent="0.3">
      <c r="G5271" s="470"/>
      <c r="H5271" s="470">
        <v>5264</v>
      </c>
      <c r="I5271" s="455">
        <f t="shared" ca="1" si="185"/>
        <v>-1225691102878737</v>
      </c>
      <c r="J5271" s="455">
        <f t="array" ref="J5271">IFERROR(INDEX('Retirement Calculator'!K:K,MATCH('Lorri 401b'!N5271,'Retirement Calculator'!A:A,0),0),0)</f>
        <v>0</v>
      </c>
      <c r="K5271" s="455">
        <f t="shared" ca="1" si="183"/>
        <v>-5107046261994.7373</v>
      </c>
      <c r="L5271" s="455">
        <f t="shared" ca="1" si="184"/>
        <v>-1230798149140731.8</v>
      </c>
      <c r="M5271" s="471">
        <f t="shared" si="186"/>
        <v>0.05</v>
      </c>
      <c r="N5271" s="475">
        <f t="shared" si="187"/>
        <v>211478</v>
      </c>
    </row>
    <row r="5272" spans="7:14" ht="11.25" customHeight="1" x14ac:dyDescent="0.3">
      <c r="G5272" s="470"/>
      <c r="H5272" s="470">
        <v>5265</v>
      </c>
      <c r="I5272" s="455">
        <f t="shared" ca="1" si="185"/>
        <v>-1230798149140731.8</v>
      </c>
      <c r="J5272" s="455">
        <f t="array" ref="J5272">IFERROR(INDEX('Retirement Calculator'!K:K,MATCH('Lorri 401b'!N5272,'Retirement Calculator'!A:A,0),0),0)</f>
        <v>0</v>
      </c>
      <c r="K5272" s="455">
        <f t="shared" ca="1" si="183"/>
        <v>-5128325621419.7158</v>
      </c>
      <c r="L5272" s="455">
        <f t="shared" ca="1" si="184"/>
        <v>-1235926474762151.5</v>
      </c>
      <c r="M5272" s="471">
        <f t="shared" si="186"/>
        <v>0.05</v>
      </c>
      <c r="N5272" s="475">
        <f t="shared" si="187"/>
        <v>211509</v>
      </c>
    </row>
    <row r="5273" spans="7:14" ht="11.25" customHeight="1" x14ac:dyDescent="0.3">
      <c r="G5273" s="470"/>
      <c r="H5273" s="470">
        <v>5266</v>
      </c>
      <c r="I5273" s="455">
        <f t="shared" ca="1" si="185"/>
        <v>-1235926474762151.5</v>
      </c>
      <c r="J5273" s="455">
        <f t="array" ref="J5273">IFERROR(INDEX('Retirement Calculator'!K:K,MATCH('Lorri 401b'!N5273,'Retirement Calculator'!A:A,0),0),0)</f>
        <v>0</v>
      </c>
      <c r="K5273" s="455">
        <f t="shared" ca="1" si="183"/>
        <v>-5149693644842.2979</v>
      </c>
      <c r="L5273" s="455">
        <f t="shared" ca="1" si="184"/>
        <v>-1241076168406993.8</v>
      </c>
      <c r="M5273" s="471">
        <f t="shared" si="186"/>
        <v>0.05</v>
      </c>
      <c r="N5273" s="475">
        <f t="shared" si="187"/>
        <v>211537</v>
      </c>
    </row>
    <row r="5274" spans="7:14" ht="11.25" customHeight="1" x14ac:dyDescent="0.3">
      <c r="G5274" s="470"/>
      <c r="H5274" s="470">
        <v>5267</v>
      </c>
      <c r="I5274" s="455">
        <f t="shared" ca="1" si="185"/>
        <v>-1241076168406993.8</v>
      </c>
      <c r="J5274" s="455">
        <f t="array" ref="J5274">IFERROR(INDEX('Retirement Calculator'!K:K,MATCH('Lorri 401b'!N5274,'Retirement Calculator'!A:A,0),0),0)</f>
        <v>0</v>
      </c>
      <c r="K5274" s="455">
        <f t="shared" ca="1" si="183"/>
        <v>-5171150701695.8076</v>
      </c>
      <c r="L5274" s="455">
        <f t="shared" ca="1" si="184"/>
        <v>-1246247319108689.5</v>
      </c>
      <c r="M5274" s="471">
        <f t="shared" si="186"/>
        <v>0.05</v>
      </c>
      <c r="N5274" s="475">
        <f t="shared" si="187"/>
        <v>211568</v>
      </c>
    </row>
    <row r="5275" spans="7:14" ht="11.25" customHeight="1" x14ac:dyDescent="0.3">
      <c r="G5275" s="470"/>
      <c r="H5275" s="470">
        <v>5268</v>
      </c>
      <c r="I5275" s="455">
        <f t="shared" ca="1" si="185"/>
        <v>-1246247319108689.5</v>
      </c>
      <c r="J5275" s="455">
        <f t="array" ref="J5275">IFERROR(INDEX('Retirement Calculator'!K:K,MATCH('Lorri 401b'!N5275,'Retirement Calculator'!A:A,0),0),0)</f>
        <v>0</v>
      </c>
      <c r="K5275" s="455">
        <f t="shared" ca="1" si="183"/>
        <v>-5192697162952.873</v>
      </c>
      <c r="L5275" s="455">
        <f t="shared" ca="1" si="184"/>
        <v>-1251440016271642.3</v>
      </c>
      <c r="M5275" s="471">
        <f t="shared" si="186"/>
        <v>0.05</v>
      </c>
      <c r="N5275" s="475">
        <f t="shared" si="187"/>
        <v>211598</v>
      </c>
    </row>
    <row r="5276" spans="7:14" ht="11.25" customHeight="1" x14ac:dyDescent="0.3">
      <c r="G5276" s="470"/>
      <c r="H5276" s="470">
        <v>5269</v>
      </c>
      <c r="I5276" s="455">
        <f t="shared" ca="1" si="185"/>
        <v>-1251440016271642.3</v>
      </c>
      <c r="J5276" s="455">
        <f t="array" ref="J5276">IFERROR(INDEX('Retirement Calculator'!K:K,MATCH('Lorri 401b'!N5276,'Retirement Calculator'!A:A,0),0),0)</f>
        <v>0</v>
      </c>
      <c r="K5276" s="455">
        <f t="shared" ca="1" si="183"/>
        <v>-5214333401131.8428</v>
      </c>
      <c r="L5276" s="455">
        <f t="shared" ca="1" si="184"/>
        <v>-1256654349672774</v>
      </c>
      <c r="M5276" s="471">
        <f t="shared" si="186"/>
        <v>0.05</v>
      </c>
      <c r="N5276" s="475">
        <f t="shared" si="187"/>
        <v>211629</v>
      </c>
    </row>
    <row r="5277" spans="7:14" ht="11.25" customHeight="1" x14ac:dyDescent="0.3">
      <c r="G5277" s="470"/>
      <c r="H5277" s="470">
        <v>5270</v>
      </c>
      <c r="I5277" s="455">
        <f t="shared" ca="1" si="185"/>
        <v>-1256654349672774</v>
      </c>
      <c r="J5277" s="455">
        <f t="array" ref="J5277">IFERROR(INDEX('Retirement Calculator'!K:K,MATCH('Lorri 401b'!N5277,'Retirement Calculator'!A:A,0),0),0)</f>
        <v>0</v>
      </c>
      <c r="K5277" s="455">
        <f t="shared" ca="1" si="183"/>
        <v>-5236059790303.2246</v>
      </c>
      <c r="L5277" s="455">
        <f t="shared" ca="1" si="184"/>
        <v>-1261890409463077.3</v>
      </c>
      <c r="M5277" s="471">
        <f t="shared" si="186"/>
        <v>0.05</v>
      </c>
      <c r="N5277" s="475">
        <f t="shared" si="187"/>
        <v>211659</v>
      </c>
    </row>
    <row r="5278" spans="7:14" ht="11.25" customHeight="1" x14ac:dyDescent="0.3">
      <c r="G5278" s="470"/>
      <c r="H5278" s="470">
        <v>5271</v>
      </c>
      <c r="I5278" s="455">
        <f t="shared" ca="1" si="185"/>
        <v>-1261890409463077.3</v>
      </c>
      <c r="J5278" s="455">
        <f t="array" ref="J5278">IFERROR(INDEX('Retirement Calculator'!K:K,MATCH('Lorri 401b'!N5278,'Retirement Calculator'!A:A,0),0),0)</f>
        <v>0</v>
      </c>
      <c r="K5278" s="455">
        <f t="shared" ca="1" si="183"/>
        <v>-5257876706096.1553</v>
      </c>
      <c r="L5278" s="455">
        <f t="shared" ca="1" si="184"/>
        <v>-1267148286169173.5</v>
      </c>
      <c r="M5278" s="471">
        <f t="shared" si="186"/>
        <v>0.05</v>
      </c>
      <c r="N5278" s="475">
        <f t="shared" si="187"/>
        <v>211690</v>
      </c>
    </row>
    <row r="5279" spans="7:14" ht="11.25" customHeight="1" x14ac:dyDescent="0.3">
      <c r="G5279" s="470"/>
      <c r="H5279" s="470">
        <v>5272</v>
      </c>
      <c r="I5279" s="455">
        <f t="shared" ca="1" si="185"/>
        <v>-1267148286169173.5</v>
      </c>
      <c r="J5279" s="455">
        <f t="array" ref="J5279">IFERROR(INDEX('Retirement Calculator'!K:K,MATCH('Lorri 401b'!N5279,'Retirement Calculator'!A:A,0),0),0)</f>
        <v>0</v>
      </c>
      <c r="K5279" s="455">
        <f t="shared" ca="1" si="183"/>
        <v>-5279784525704.8896</v>
      </c>
      <c r="L5279" s="455">
        <f t="shared" ca="1" si="184"/>
        <v>-1272428070694878.5</v>
      </c>
      <c r="M5279" s="471">
        <f t="shared" si="186"/>
        <v>0.05</v>
      </c>
      <c r="N5279" s="475">
        <f t="shared" si="187"/>
        <v>211721</v>
      </c>
    </row>
    <row r="5280" spans="7:14" ht="11.25" customHeight="1" x14ac:dyDescent="0.3">
      <c r="G5280" s="470"/>
      <c r="H5280" s="470">
        <v>5273</v>
      </c>
      <c r="I5280" s="455">
        <f t="shared" ca="1" si="185"/>
        <v>-1272428070694878.5</v>
      </c>
      <c r="J5280" s="455">
        <f t="array" ref="J5280">IFERROR(INDEX('Retirement Calculator'!K:K,MATCH('Lorri 401b'!N5280,'Retirement Calculator'!A:A,0),0),0)</f>
        <v>0</v>
      </c>
      <c r="K5280" s="455">
        <f t="shared" ca="1" si="183"/>
        <v>-5301783627895.3271</v>
      </c>
      <c r="L5280" s="455">
        <f t="shared" ca="1" si="184"/>
        <v>-1277729854322773.8</v>
      </c>
      <c r="M5280" s="471">
        <f t="shared" si="186"/>
        <v>0.05</v>
      </c>
      <c r="N5280" s="475">
        <f t="shared" si="187"/>
        <v>211751</v>
      </c>
    </row>
    <row r="5281" spans="7:14" ht="11.25" customHeight="1" x14ac:dyDescent="0.3">
      <c r="G5281" s="470"/>
      <c r="H5281" s="470">
        <v>5274</v>
      </c>
      <c r="I5281" s="455">
        <f t="shared" ca="1" si="185"/>
        <v>-1277729854322773.8</v>
      </c>
      <c r="J5281" s="455">
        <f t="array" ref="J5281">IFERROR(INDEX('Retirement Calculator'!K:K,MATCH('Lorri 401b'!N5281,'Retirement Calculator'!A:A,0),0),0)</f>
        <v>0</v>
      </c>
      <c r="K5281" s="455">
        <f t="shared" ca="1" si="183"/>
        <v>-5323874393011.5576</v>
      </c>
      <c r="L5281" s="455">
        <f t="shared" ca="1" si="184"/>
        <v>-1283053728715785.3</v>
      </c>
      <c r="M5281" s="471">
        <f t="shared" si="186"/>
        <v>0.05</v>
      </c>
      <c r="N5281" s="475">
        <f t="shared" si="187"/>
        <v>211782</v>
      </c>
    </row>
    <row r="5282" spans="7:14" ht="11.25" customHeight="1" x14ac:dyDescent="0.3">
      <c r="G5282" s="470"/>
      <c r="H5282" s="470">
        <v>5275</v>
      </c>
      <c r="I5282" s="455">
        <f t="shared" ca="1" si="185"/>
        <v>-1283053728715785.3</v>
      </c>
      <c r="J5282" s="455">
        <f t="array" ref="J5282">IFERROR(INDEX('Retirement Calculator'!K:K,MATCH('Lorri 401b'!N5282,'Retirement Calculator'!A:A,0),0),0)</f>
        <v>0</v>
      </c>
      <c r="K5282" s="455">
        <f t="shared" ca="1" si="183"/>
        <v>-5346057202982.4385</v>
      </c>
      <c r="L5282" s="455">
        <f t="shared" ca="1" si="184"/>
        <v>-1288399785918767.8</v>
      </c>
      <c r="M5282" s="471">
        <f t="shared" si="186"/>
        <v>0.05</v>
      </c>
      <c r="N5282" s="475">
        <f t="shared" si="187"/>
        <v>211812</v>
      </c>
    </row>
    <row r="5283" spans="7:14" ht="11.25" customHeight="1" x14ac:dyDescent="0.3">
      <c r="G5283" s="470"/>
      <c r="H5283" s="470">
        <v>5276</v>
      </c>
      <c r="I5283" s="455">
        <f t="shared" ca="1" si="185"/>
        <v>-1288399785918767.8</v>
      </c>
      <c r="J5283" s="455">
        <f t="array" ref="J5283">IFERROR(INDEX('Retirement Calculator'!K:K,MATCH('Lorri 401b'!N5283,'Retirement Calculator'!A:A,0),0),0)</f>
        <v>0</v>
      </c>
      <c r="K5283" s="455">
        <f t="shared" ca="1" si="183"/>
        <v>-5368332441328.1992</v>
      </c>
      <c r="L5283" s="455">
        <f t="shared" ca="1" si="184"/>
        <v>-1293768118360096</v>
      </c>
      <c r="M5283" s="471">
        <f t="shared" si="186"/>
        <v>0.05</v>
      </c>
      <c r="N5283" s="475">
        <f t="shared" si="187"/>
        <v>211843</v>
      </c>
    </row>
    <row r="5284" spans="7:14" ht="11.25" customHeight="1" x14ac:dyDescent="0.3">
      <c r="G5284" s="470"/>
      <c r="H5284" s="470">
        <v>5277</v>
      </c>
      <c r="I5284" s="455">
        <f t="shared" ca="1" si="185"/>
        <v>-1293768118360096</v>
      </c>
      <c r="J5284" s="455">
        <f t="array" ref="J5284">IFERROR(INDEX('Retirement Calculator'!K:K,MATCH('Lorri 401b'!N5284,'Retirement Calculator'!A:A,0),0),0)</f>
        <v>0</v>
      </c>
      <c r="K5284" s="455">
        <f t="shared" ca="1" si="183"/>
        <v>-5390700493167.0664</v>
      </c>
      <c r="L5284" s="455">
        <f t="shared" ca="1" si="184"/>
        <v>-1299158818853263</v>
      </c>
      <c r="M5284" s="471">
        <f t="shared" si="186"/>
        <v>0.05</v>
      </c>
      <c r="N5284" s="475">
        <f t="shared" si="187"/>
        <v>211874</v>
      </c>
    </row>
    <row r="5285" spans="7:14" ht="11.25" customHeight="1" x14ac:dyDescent="0.3">
      <c r="G5285" s="470"/>
      <c r="H5285" s="470">
        <v>5278</v>
      </c>
      <c r="I5285" s="455">
        <f t="shared" ca="1" si="185"/>
        <v>-1299158818853263</v>
      </c>
      <c r="J5285" s="455">
        <f t="array" ref="J5285">IFERROR(INDEX('Retirement Calculator'!K:K,MATCH('Lorri 401b'!N5285,'Retirement Calculator'!A:A,0),0),0)</f>
        <v>0</v>
      </c>
      <c r="K5285" s="455">
        <f t="shared" ca="1" si="183"/>
        <v>-5413161745221.9287</v>
      </c>
      <c r="L5285" s="455">
        <f t="shared" ca="1" si="184"/>
        <v>-1304571980598485</v>
      </c>
      <c r="M5285" s="471">
        <f t="shared" si="186"/>
        <v>0.05</v>
      </c>
      <c r="N5285" s="475">
        <f t="shared" si="187"/>
        <v>211903</v>
      </c>
    </row>
    <row r="5286" spans="7:14" ht="11.25" customHeight="1" x14ac:dyDescent="0.3">
      <c r="G5286" s="470"/>
      <c r="H5286" s="470">
        <v>5279</v>
      </c>
      <c r="I5286" s="455">
        <f t="shared" ca="1" si="185"/>
        <v>-1304571980598485</v>
      </c>
      <c r="J5286" s="455">
        <f t="array" ref="J5286">IFERROR(INDEX('Retirement Calculator'!K:K,MATCH('Lorri 401b'!N5286,'Retirement Calculator'!A:A,0),0),0)</f>
        <v>0</v>
      </c>
      <c r="K5286" s="455">
        <f t="shared" ca="1" si="183"/>
        <v>-5435716585827.0205</v>
      </c>
      <c r="L5286" s="455">
        <f t="shared" ca="1" si="184"/>
        <v>-1310007697184312</v>
      </c>
      <c r="M5286" s="471">
        <f t="shared" si="186"/>
        <v>0.05</v>
      </c>
      <c r="N5286" s="475">
        <f t="shared" si="187"/>
        <v>211934</v>
      </c>
    </row>
    <row r="5287" spans="7:14" ht="11.25" customHeight="1" x14ac:dyDescent="0.3">
      <c r="G5287" s="470"/>
      <c r="H5287" s="470">
        <v>5280</v>
      </c>
      <c r="I5287" s="455">
        <f t="shared" ca="1" si="185"/>
        <v>-1310007697184312</v>
      </c>
      <c r="J5287" s="455">
        <f t="array" ref="J5287">IFERROR(INDEX('Retirement Calculator'!K:K,MATCH('Lorri 401b'!N5287,'Retirement Calculator'!A:A,0),0),0)</f>
        <v>0</v>
      </c>
      <c r="K5287" s="455">
        <f t="shared" ca="1" si="183"/>
        <v>-5458365404934.6328</v>
      </c>
      <c r="L5287" s="455">
        <f t="shared" ca="1" si="184"/>
        <v>-1315466062589246.8</v>
      </c>
      <c r="M5287" s="471">
        <f t="shared" si="186"/>
        <v>0.05</v>
      </c>
      <c r="N5287" s="475">
        <f t="shared" si="187"/>
        <v>211964</v>
      </c>
    </row>
    <row r="5288" spans="7:14" ht="11.25" customHeight="1" x14ac:dyDescent="0.3">
      <c r="G5288" s="470"/>
      <c r="H5288" s="470">
        <v>5281</v>
      </c>
      <c r="I5288" s="455">
        <f t="shared" ca="1" si="185"/>
        <v>-1315466062589246.8</v>
      </c>
      <c r="J5288" s="455">
        <f t="array" ref="J5288">IFERROR(INDEX('Retirement Calculator'!K:K,MATCH('Lorri 401b'!N5288,'Retirement Calculator'!A:A,0),0),0)</f>
        <v>0</v>
      </c>
      <c r="K5288" s="455">
        <f t="shared" ca="1" si="183"/>
        <v>-5481108594121.8613</v>
      </c>
      <c r="L5288" s="455">
        <f t="shared" ca="1" si="184"/>
        <v>-1320947171183368.5</v>
      </c>
      <c r="M5288" s="471">
        <f t="shared" si="186"/>
        <v>0.05</v>
      </c>
      <c r="N5288" s="475">
        <f t="shared" si="187"/>
        <v>211995</v>
      </c>
    </row>
    <row r="5289" spans="7:14" ht="11.25" customHeight="1" x14ac:dyDescent="0.3">
      <c r="G5289" s="470"/>
      <c r="H5289" s="470">
        <v>5282</v>
      </c>
      <c r="I5289" s="455">
        <f t="shared" ca="1" si="185"/>
        <v>-1320947171183368.5</v>
      </c>
      <c r="J5289" s="455">
        <f t="array" ref="J5289">IFERROR(INDEX('Retirement Calculator'!K:K,MATCH('Lorri 401b'!N5289,'Retirement Calculator'!A:A,0),0),0)</f>
        <v>0</v>
      </c>
      <c r="K5289" s="455">
        <f t="shared" ca="1" si="183"/>
        <v>-5503946546597.3691</v>
      </c>
      <c r="L5289" s="455">
        <f t="shared" ca="1" si="184"/>
        <v>-1326451117729965.8</v>
      </c>
      <c r="M5289" s="471">
        <f t="shared" si="186"/>
        <v>0.05</v>
      </c>
      <c r="N5289" s="475">
        <f t="shared" si="187"/>
        <v>212025</v>
      </c>
    </row>
    <row r="5290" spans="7:14" ht="11.25" customHeight="1" x14ac:dyDescent="0.3">
      <c r="G5290" s="470"/>
      <c r="H5290" s="470">
        <v>5283</v>
      </c>
      <c r="I5290" s="455">
        <f t="shared" ca="1" si="185"/>
        <v>-1326451117729965.8</v>
      </c>
      <c r="J5290" s="455">
        <f t="array" ref="J5290">IFERROR(INDEX('Retirement Calculator'!K:K,MATCH('Lorri 401b'!N5290,'Retirement Calculator'!A:A,0),0),0)</f>
        <v>0</v>
      </c>
      <c r="K5290" s="455">
        <f t="shared" ca="1" si="183"/>
        <v>-5526879657208.1904</v>
      </c>
      <c r="L5290" s="455">
        <f t="shared" ca="1" si="184"/>
        <v>-1331977997387174</v>
      </c>
      <c r="M5290" s="471">
        <f t="shared" si="186"/>
        <v>0.05</v>
      </c>
      <c r="N5290" s="475">
        <f t="shared" si="187"/>
        <v>212056</v>
      </c>
    </row>
    <row r="5291" spans="7:14" ht="11.25" customHeight="1" x14ac:dyDescent="0.3">
      <c r="G5291" s="470"/>
      <c r="H5291" s="470">
        <v>5284</v>
      </c>
      <c r="I5291" s="455">
        <f t="shared" ca="1" si="185"/>
        <v>-1331977997387174</v>
      </c>
      <c r="J5291" s="455">
        <f t="array" ref="J5291">IFERROR(INDEX('Retirement Calculator'!K:K,MATCH('Lorri 401b'!N5291,'Retirement Calculator'!A:A,0),0),0)</f>
        <v>0</v>
      </c>
      <c r="K5291" s="455">
        <f t="shared" ca="1" si="183"/>
        <v>-5549908322446.5586</v>
      </c>
      <c r="L5291" s="455">
        <f t="shared" ca="1" si="184"/>
        <v>-1337527905709620.5</v>
      </c>
      <c r="M5291" s="471">
        <f t="shared" si="186"/>
        <v>0.05</v>
      </c>
      <c r="N5291" s="475">
        <f t="shared" si="187"/>
        <v>212087</v>
      </c>
    </row>
    <row r="5292" spans="7:14" ht="11.25" customHeight="1" x14ac:dyDescent="0.3">
      <c r="G5292" s="470"/>
      <c r="H5292" s="470">
        <v>5285</v>
      </c>
      <c r="I5292" s="455">
        <f t="shared" ca="1" si="185"/>
        <v>-1337527905709620.5</v>
      </c>
      <c r="J5292" s="455">
        <f t="array" ref="J5292">IFERROR(INDEX('Retirement Calculator'!K:K,MATCH('Lorri 401b'!N5292,'Retirement Calculator'!A:A,0),0),0)</f>
        <v>0</v>
      </c>
      <c r="K5292" s="455">
        <f t="shared" ca="1" si="183"/>
        <v>-5573032940456.752</v>
      </c>
      <c r="L5292" s="455">
        <f t="shared" ca="1" si="184"/>
        <v>-1343100938650077.3</v>
      </c>
      <c r="M5292" s="471">
        <f t="shared" si="186"/>
        <v>0.05</v>
      </c>
      <c r="N5292" s="475">
        <f t="shared" si="187"/>
        <v>212117</v>
      </c>
    </row>
    <row r="5293" spans="7:14" ht="11.25" customHeight="1" x14ac:dyDescent="0.3">
      <c r="G5293" s="470"/>
      <c r="H5293" s="470">
        <v>5286</v>
      </c>
      <c r="I5293" s="455">
        <f t="shared" ca="1" si="185"/>
        <v>-1343100938650077.3</v>
      </c>
      <c r="J5293" s="455">
        <f t="array" ref="J5293">IFERROR(INDEX('Retirement Calculator'!K:K,MATCH('Lorri 401b'!N5293,'Retirement Calculator'!A:A,0),0),0)</f>
        <v>0</v>
      </c>
      <c r="K5293" s="455">
        <f t="shared" ca="1" si="183"/>
        <v>-5596253911041.9883</v>
      </c>
      <c r="L5293" s="455">
        <f t="shared" ca="1" si="184"/>
        <v>-1348697192561119.3</v>
      </c>
      <c r="M5293" s="471">
        <f t="shared" si="186"/>
        <v>0.05</v>
      </c>
      <c r="N5293" s="475">
        <f t="shared" si="187"/>
        <v>212148</v>
      </c>
    </row>
    <row r="5294" spans="7:14" ht="11.25" customHeight="1" x14ac:dyDescent="0.3">
      <c r="G5294" s="470"/>
      <c r="H5294" s="470">
        <v>5287</v>
      </c>
      <c r="I5294" s="455">
        <f t="shared" ca="1" si="185"/>
        <v>-1348697192561119.3</v>
      </c>
      <c r="J5294" s="455">
        <f t="array" ref="J5294">IFERROR(INDEX('Retirement Calculator'!K:K,MATCH('Lorri 401b'!N5294,'Retirement Calculator'!A:A,0),0),0)</f>
        <v>0</v>
      </c>
      <c r="K5294" s="455">
        <f t="shared" ca="1" si="183"/>
        <v>-5619571635671.3301</v>
      </c>
      <c r="L5294" s="455">
        <f t="shared" ca="1" si="184"/>
        <v>-1354316764196790.5</v>
      </c>
      <c r="M5294" s="471">
        <f t="shared" si="186"/>
        <v>0.05</v>
      </c>
      <c r="N5294" s="475">
        <f t="shared" si="187"/>
        <v>212178</v>
      </c>
    </row>
    <row r="5295" spans="7:14" ht="11.25" customHeight="1" x14ac:dyDescent="0.3">
      <c r="G5295" s="470"/>
      <c r="H5295" s="470">
        <v>5288</v>
      </c>
      <c r="I5295" s="455">
        <f t="shared" ca="1" si="185"/>
        <v>-1354316764196790.5</v>
      </c>
      <c r="J5295" s="455">
        <f t="array" ref="J5295">IFERROR(INDEX('Retirement Calculator'!K:K,MATCH('Lorri 401b'!N5295,'Retirement Calculator'!A:A,0),0),0)</f>
        <v>0</v>
      </c>
      <c r="K5295" s="455">
        <f t="shared" ca="1" si="183"/>
        <v>-5642986517486.627</v>
      </c>
      <c r="L5295" s="455">
        <f t="shared" ca="1" si="184"/>
        <v>-1359959750714277.3</v>
      </c>
      <c r="M5295" s="471">
        <f t="shared" si="186"/>
        <v>0.05</v>
      </c>
      <c r="N5295" s="475">
        <f t="shared" si="187"/>
        <v>212209</v>
      </c>
    </row>
    <row r="5296" spans="7:14" ht="11.25" customHeight="1" x14ac:dyDescent="0.3">
      <c r="G5296" s="470"/>
      <c r="H5296" s="470">
        <v>5289</v>
      </c>
      <c r="I5296" s="455">
        <f t="shared" ca="1" si="185"/>
        <v>-1359959750714277.3</v>
      </c>
      <c r="J5296" s="455">
        <f t="array" ref="J5296">IFERROR(INDEX('Retirement Calculator'!K:K,MATCH('Lorri 401b'!N5296,'Retirement Calculator'!A:A,0),0),0)</f>
        <v>0</v>
      </c>
      <c r="K5296" s="455">
        <f t="shared" ca="1" si="183"/>
        <v>-5666498961309.4883</v>
      </c>
      <c r="L5296" s="455">
        <f t="shared" ca="1" si="184"/>
        <v>-1365626249675586.8</v>
      </c>
      <c r="M5296" s="471">
        <f t="shared" si="186"/>
        <v>0.05</v>
      </c>
      <c r="N5296" s="475">
        <f t="shared" si="187"/>
        <v>212240</v>
      </c>
    </row>
    <row r="5297" spans="7:14" ht="11.25" customHeight="1" x14ac:dyDescent="0.3">
      <c r="G5297" s="470"/>
      <c r="H5297" s="470">
        <v>5290</v>
      </c>
      <c r="I5297" s="455">
        <f t="shared" ca="1" si="185"/>
        <v>-1365626249675586.8</v>
      </c>
      <c r="J5297" s="455">
        <f t="array" ref="J5297">IFERROR(INDEX('Retirement Calculator'!K:K,MATCH('Lorri 401b'!N5297,'Retirement Calculator'!A:A,0),0),0)</f>
        <v>0</v>
      </c>
      <c r="K5297" s="455">
        <f t="shared" ca="1" si="183"/>
        <v>-5690109373648.2783</v>
      </c>
      <c r="L5297" s="455">
        <f t="shared" ca="1" si="184"/>
        <v>-1371316359049235</v>
      </c>
      <c r="M5297" s="471">
        <f t="shared" si="186"/>
        <v>0.05</v>
      </c>
      <c r="N5297" s="475">
        <f t="shared" si="187"/>
        <v>212268</v>
      </c>
    </row>
    <row r="5298" spans="7:14" ht="11.25" customHeight="1" x14ac:dyDescent="0.3">
      <c r="G5298" s="470"/>
      <c r="H5298" s="470">
        <v>5291</v>
      </c>
      <c r="I5298" s="455">
        <f t="shared" ca="1" si="185"/>
        <v>-1371316359049235</v>
      </c>
      <c r="J5298" s="455">
        <f t="array" ref="J5298">IFERROR(INDEX('Retirement Calculator'!K:K,MATCH('Lorri 401b'!N5298,'Retirement Calculator'!A:A,0),0),0)</f>
        <v>0</v>
      </c>
      <c r="K5298" s="455">
        <f t="shared" ca="1" si="183"/>
        <v>-5713818162705.1455</v>
      </c>
      <c r="L5298" s="455">
        <f t="shared" ca="1" si="184"/>
        <v>-1377030177211940.3</v>
      </c>
      <c r="M5298" s="471">
        <f t="shared" si="186"/>
        <v>0.05</v>
      </c>
      <c r="N5298" s="475">
        <f t="shared" si="187"/>
        <v>212299</v>
      </c>
    </row>
    <row r="5299" spans="7:14" ht="11.25" customHeight="1" x14ac:dyDescent="0.3">
      <c r="G5299" s="470"/>
      <c r="H5299" s="470">
        <v>5292</v>
      </c>
      <c r="I5299" s="455">
        <f t="shared" ca="1" si="185"/>
        <v>-1377030177211940.3</v>
      </c>
      <c r="J5299" s="455">
        <f t="array" ref="J5299">IFERROR(INDEX('Retirement Calculator'!K:K,MATCH('Lorri 401b'!N5299,'Retirement Calculator'!A:A,0),0),0)</f>
        <v>0</v>
      </c>
      <c r="K5299" s="455">
        <f t="shared" ca="1" si="183"/>
        <v>-5737625738383.084</v>
      </c>
      <c r="L5299" s="455">
        <f t="shared" ca="1" si="184"/>
        <v>-1382767802950323.3</v>
      </c>
      <c r="M5299" s="471">
        <f t="shared" si="186"/>
        <v>0.05</v>
      </c>
      <c r="N5299" s="475">
        <f t="shared" si="187"/>
        <v>212329</v>
      </c>
    </row>
    <row r="5300" spans="7:14" ht="11.25" customHeight="1" x14ac:dyDescent="0.3">
      <c r="G5300" s="470"/>
      <c r="H5300" s="470">
        <v>5293</v>
      </c>
      <c r="I5300" s="455">
        <f t="shared" ca="1" si="185"/>
        <v>-1382767802950323.3</v>
      </c>
      <c r="J5300" s="455">
        <f t="array" ref="J5300">IFERROR(INDEX('Retirement Calculator'!K:K,MATCH('Lorri 401b'!N5300,'Retirement Calculator'!A:A,0),0),0)</f>
        <v>0</v>
      </c>
      <c r="K5300" s="455">
        <f t="shared" ca="1" si="183"/>
        <v>-5761532512293.0137</v>
      </c>
      <c r="L5300" s="455">
        <f t="shared" ca="1" si="184"/>
        <v>-1388529335462616.3</v>
      </c>
      <c r="M5300" s="471">
        <f t="shared" si="186"/>
        <v>0.05</v>
      </c>
      <c r="N5300" s="475">
        <f t="shared" si="187"/>
        <v>212360</v>
      </c>
    </row>
    <row r="5301" spans="7:14" ht="11.25" customHeight="1" x14ac:dyDescent="0.3">
      <c r="G5301" s="470"/>
      <c r="H5301" s="470">
        <v>5294</v>
      </c>
      <c r="I5301" s="455">
        <f t="shared" ca="1" si="185"/>
        <v>-1388529335462616.3</v>
      </c>
      <c r="J5301" s="455">
        <f t="array" ref="J5301">IFERROR(INDEX('Retirement Calculator'!K:K,MATCH('Lorri 401b'!N5301,'Retirement Calculator'!A:A,0),0),0)</f>
        <v>0</v>
      </c>
      <c r="K5301" s="455">
        <f t="shared" ca="1" si="183"/>
        <v>-5785538897760.9014</v>
      </c>
      <c r="L5301" s="455">
        <f t="shared" ca="1" si="184"/>
        <v>-1394314874360377.3</v>
      </c>
      <c r="M5301" s="471">
        <f t="shared" si="186"/>
        <v>0.05</v>
      </c>
      <c r="N5301" s="475">
        <f t="shared" si="187"/>
        <v>212390</v>
      </c>
    </row>
    <row r="5302" spans="7:14" ht="11.25" customHeight="1" x14ac:dyDescent="0.3">
      <c r="G5302" s="470"/>
      <c r="H5302" s="470">
        <v>5295</v>
      </c>
      <c r="I5302" s="455">
        <f t="shared" ca="1" si="185"/>
        <v>-1394314874360377.3</v>
      </c>
      <c r="J5302" s="455">
        <f t="array" ref="J5302">IFERROR(INDEX('Retirement Calculator'!K:K,MATCH('Lorri 401b'!N5302,'Retirement Calculator'!A:A,0),0),0)</f>
        <v>0</v>
      </c>
      <c r="K5302" s="455">
        <f t="shared" ca="1" si="183"/>
        <v>-5809645309834.9053</v>
      </c>
      <c r="L5302" s="455">
        <f t="shared" ca="1" si="184"/>
        <v>-1400124519670212.3</v>
      </c>
      <c r="M5302" s="471">
        <f t="shared" si="186"/>
        <v>0.05</v>
      </c>
      <c r="N5302" s="475">
        <f t="shared" si="187"/>
        <v>212421</v>
      </c>
    </row>
    <row r="5303" spans="7:14" ht="11.25" customHeight="1" x14ac:dyDescent="0.3">
      <c r="G5303" s="470"/>
      <c r="H5303" s="470">
        <v>5296</v>
      </c>
      <c r="I5303" s="455">
        <f t="shared" ca="1" si="185"/>
        <v>-1400124519670212.3</v>
      </c>
      <c r="J5303" s="455">
        <f t="array" ref="J5303">IFERROR(INDEX('Retirement Calculator'!K:K,MATCH('Lorri 401b'!N5303,'Retirement Calculator'!A:A,0),0),0)</f>
        <v>0</v>
      </c>
      <c r="K5303" s="455">
        <f t="shared" ca="1" si="183"/>
        <v>-5833852165292.5508</v>
      </c>
      <c r="L5303" s="455">
        <f t="shared" ca="1" si="184"/>
        <v>-1405958371835504.8</v>
      </c>
      <c r="M5303" s="471">
        <f t="shared" si="186"/>
        <v>0.05</v>
      </c>
      <c r="N5303" s="475">
        <f t="shared" si="187"/>
        <v>212452</v>
      </c>
    </row>
    <row r="5304" spans="7:14" ht="11.25" customHeight="1" x14ac:dyDescent="0.3">
      <c r="G5304" s="470"/>
      <c r="H5304" s="470">
        <v>5297</v>
      </c>
      <c r="I5304" s="455">
        <f t="shared" ca="1" si="185"/>
        <v>-1405958371835504.8</v>
      </c>
      <c r="J5304" s="455">
        <f t="array" ref="J5304">IFERROR(INDEX('Retirement Calculator'!K:K,MATCH('Lorri 401b'!N5304,'Retirement Calculator'!A:A,0),0),0)</f>
        <v>0</v>
      </c>
      <c r="K5304" s="455">
        <f t="shared" ca="1" si="183"/>
        <v>-5858159882647.9365</v>
      </c>
      <c r="L5304" s="455">
        <f t="shared" ca="1" si="184"/>
        <v>-1411816531718152.8</v>
      </c>
      <c r="M5304" s="471">
        <f t="shared" si="186"/>
        <v>0.05</v>
      </c>
      <c r="N5304" s="475">
        <f t="shared" si="187"/>
        <v>212482</v>
      </c>
    </row>
    <row r="5305" spans="7:14" ht="11.25" customHeight="1" x14ac:dyDescent="0.3">
      <c r="G5305" s="470"/>
      <c r="H5305" s="470">
        <v>5298</v>
      </c>
      <c r="I5305" s="455">
        <f t="shared" ca="1" si="185"/>
        <v>-1411816531718152.8</v>
      </c>
      <c r="J5305" s="455">
        <f t="array" ref="J5305">IFERROR(INDEX('Retirement Calculator'!K:K,MATCH('Lorri 401b'!N5305,'Retirement Calculator'!A:A,0),0),0)</f>
        <v>0</v>
      </c>
      <c r="K5305" s="455">
        <f t="shared" ca="1" si="183"/>
        <v>-5882568882158.9697</v>
      </c>
      <c r="L5305" s="455">
        <f t="shared" ca="1" si="184"/>
        <v>-1417699100600311.8</v>
      </c>
      <c r="M5305" s="471">
        <f t="shared" si="186"/>
        <v>0.05</v>
      </c>
      <c r="N5305" s="475">
        <f t="shared" si="187"/>
        <v>212513</v>
      </c>
    </row>
    <row r="5306" spans="7:14" ht="11.25" customHeight="1" x14ac:dyDescent="0.3">
      <c r="G5306" s="470"/>
      <c r="H5306" s="470">
        <v>5299</v>
      </c>
      <c r="I5306" s="455">
        <f t="shared" ca="1" si="185"/>
        <v>-1417699100600311.8</v>
      </c>
      <c r="J5306" s="455">
        <f t="array" ref="J5306">IFERROR(INDEX('Retirement Calculator'!K:K,MATCH('Lorri 401b'!N5306,'Retirement Calculator'!A:A,0),0),0)</f>
        <v>0</v>
      </c>
      <c r="K5306" s="455">
        <f t="shared" ca="1" si="183"/>
        <v>-5907079585834.6318</v>
      </c>
      <c r="L5306" s="455">
        <f t="shared" ca="1" si="184"/>
        <v>-1423606180186146.5</v>
      </c>
      <c r="M5306" s="471">
        <f t="shared" si="186"/>
        <v>0.05</v>
      </c>
      <c r="N5306" s="475">
        <f t="shared" si="187"/>
        <v>212543</v>
      </c>
    </row>
    <row r="5307" spans="7:14" ht="11.25" customHeight="1" x14ac:dyDescent="0.3">
      <c r="G5307" s="470"/>
      <c r="H5307" s="470">
        <v>5300</v>
      </c>
      <c r="I5307" s="455">
        <f t="shared" ca="1" si="185"/>
        <v>-1423606180186146.5</v>
      </c>
      <c r="J5307" s="455">
        <f t="array" ref="J5307">IFERROR(INDEX('Retirement Calculator'!K:K,MATCH('Lorri 401b'!N5307,'Retirement Calculator'!A:A,0),0),0)</f>
        <v>0</v>
      </c>
      <c r="K5307" s="455">
        <f t="shared" ca="1" si="183"/>
        <v>-5931692417442.2773</v>
      </c>
      <c r="L5307" s="455">
        <f t="shared" ca="1" si="184"/>
        <v>-1429537872603588.8</v>
      </c>
      <c r="M5307" s="471">
        <f t="shared" si="186"/>
        <v>0.05</v>
      </c>
      <c r="N5307" s="475">
        <f t="shared" si="187"/>
        <v>212574</v>
      </c>
    </row>
    <row r="5308" spans="7:14" ht="11.25" customHeight="1" x14ac:dyDescent="0.3">
      <c r="G5308" s="470"/>
      <c r="H5308" s="470">
        <v>5301</v>
      </c>
      <c r="I5308" s="455">
        <f t="shared" ca="1" si="185"/>
        <v>-1429537872603588.8</v>
      </c>
      <c r="J5308" s="455">
        <f t="array" ref="J5308">IFERROR(INDEX('Retirement Calculator'!K:K,MATCH('Lorri 401b'!N5308,'Retirement Calculator'!A:A,0),0),0)</f>
        <v>0</v>
      </c>
      <c r="K5308" s="455">
        <f t="shared" ca="1" si="183"/>
        <v>-5956407802514.9531</v>
      </c>
      <c r="L5308" s="455">
        <f t="shared" ca="1" si="184"/>
        <v>-1435494280406103.8</v>
      </c>
      <c r="M5308" s="471">
        <f t="shared" si="186"/>
        <v>0.05</v>
      </c>
      <c r="N5308" s="475">
        <f t="shared" si="187"/>
        <v>212605</v>
      </c>
    </row>
    <row r="5309" spans="7:14" ht="11.25" customHeight="1" x14ac:dyDescent="0.3">
      <c r="G5309" s="470"/>
      <c r="H5309" s="470">
        <v>5302</v>
      </c>
      <c r="I5309" s="455">
        <f t="shared" ca="1" si="185"/>
        <v>-1435494280406103.8</v>
      </c>
      <c r="J5309" s="455">
        <f t="array" ref="J5309">IFERROR(INDEX('Retirement Calculator'!K:K,MATCH('Lorri 401b'!N5309,'Retirement Calculator'!A:A,0),0),0)</f>
        <v>0</v>
      </c>
      <c r="K5309" s="455">
        <f t="shared" ca="1" si="183"/>
        <v>-5981226168358.7656</v>
      </c>
      <c r="L5309" s="455">
        <f t="shared" ca="1" si="184"/>
        <v>-1441475506574462.5</v>
      </c>
      <c r="M5309" s="471">
        <f t="shared" si="186"/>
        <v>0.05</v>
      </c>
      <c r="N5309" s="475">
        <f t="shared" si="187"/>
        <v>212633</v>
      </c>
    </row>
    <row r="5310" spans="7:14" ht="11.25" customHeight="1" x14ac:dyDescent="0.3">
      <c r="G5310" s="470"/>
      <c r="H5310" s="470">
        <v>5303</v>
      </c>
      <c r="I5310" s="455">
        <f t="shared" ca="1" si="185"/>
        <v>-1441475506574462.5</v>
      </c>
      <c r="J5310" s="455">
        <f t="array" ref="J5310">IFERROR(INDEX('Retirement Calculator'!K:K,MATCH('Lorri 401b'!N5310,'Retirement Calculator'!A:A,0),0),0)</f>
        <v>0</v>
      </c>
      <c r="K5310" s="455">
        <f t="shared" ca="1" si="183"/>
        <v>-6006147944060.2607</v>
      </c>
      <c r="L5310" s="455">
        <f t="shared" ca="1" si="184"/>
        <v>-1447481654518522.8</v>
      </c>
      <c r="M5310" s="471">
        <f t="shared" si="186"/>
        <v>0.05</v>
      </c>
      <c r="N5310" s="475">
        <f t="shared" si="187"/>
        <v>212664</v>
      </c>
    </row>
    <row r="5311" spans="7:14" ht="11.25" customHeight="1" x14ac:dyDescent="0.3">
      <c r="G5311" s="470"/>
      <c r="H5311" s="470">
        <v>5304</v>
      </c>
      <c r="I5311" s="455">
        <f t="shared" ca="1" si="185"/>
        <v>-1447481654518522.8</v>
      </c>
      <c r="J5311" s="455">
        <f t="array" ref="J5311">IFERROR(INDEX('Retirement Calculator'!K:K,MATCH('Lorri 401b'!N5311,'Retirement Calculator'!A:A,0),0),0)</f>
        <v>0</v>
      </c>
      <c r="K5311" s="455">
        <f t="shared" ca="1" si="183"/>
        <v>-6031173560493.8447</v>
      </c>
      <c r="L5311" s="455">
        <f t="shared" ca="1" si="184"/>
        <v>-1453512828079016.5</v>
      </c>
      <c r="M5311" s="471">
        <f t="shared" si="186"/>
        <v>0.05</v>
      </c>
      <c r="N5311" s="475">
        <f t="shared" si="187"/>
        <v>212694</v>
      </c>
    </row>
    <row r="5312" spans="7:14" ht="11.25" customHeight="1" x14ac:dyDescent="0.3">
      <c r="G5312" s="470"/>
      <c r="H5312" s="470">
        <v>5305</v>
      </c>
      <c r="I5312" s="455">
        <f t="shared" ca="1" si="185"/>
        <v>-1453512828079016.5</v>
      </c>
      <c r="J5312" s="455">
        <f t="array" ref="J5312">IFERROR(INDEX('Retirement Calculator'!K:K,MATCH('Lorri 401b'!N5312,'Retirement Calculator'!A:A,0),0),0)</f>
        <v>0</v>
      </c>
      <c r="K5312" s="455">
        <f t="shared" ca="1" si="183"/>
        <v>-6056303450329.2354</v>
      </c>
      <c r="L5312" s="455">
        <f t="shared" ca="1" si="184"/>
        <v>-1459569131529345.8</v>
      </c>
      <c r="M5312" s="471">
        <f t="shared" si="186"/>
        <v>0.05</v>
      </c>
      <c r="N5312" s="475">
        <f t="shared" si="187"/>
        <v>212725</v>
      </c>
    </row>
    <row r="5313" spans="7:14" ht="11.25" customHeight="1" x14ac:dyDescent="0.3">
      <c r="G5313" s="470"/>
      <c r="H5313" s="470">
        <v>5306</v>
      </c>
      <c r="I5313" s="455">
        <f t="shared" ca="1" si="185"/>
        <v>-1459569131529345.8</v>
      </c>
      <c r="J5313" s="455">
        <f t="array" ref="J5313">IFERROR(INDEX('Retirement Calculator'!K:K,MATCH('Lorri 401b'!N5313,'Retirement Calculator'!A:A,0),0),0)</f>
        <v>0</v>
      </c>
      <c r="K5313" s="455">
        <f t="shared" ca="1" si="183"/>
        <v>-6081538048038.9404</v>
      </c>
      <c r="L5313" s="455">
        <f t="shared" ca="1" si="184"/>
        <v>-1465650669577384.8</v>
      </c>
      <c r="M5313" s="471">
        <f t="shared" si="186"/>
        <v>0.05</v>
      </c>
      <c r="N5313" s="475">
        <f t="shared" si="187"/>
        <v>212755</v>
      </c>
    </row>
    <row r="5314" spans="7:14" ht="11.25" customHeight="1" x14ac:dyDescent="0.3">
      <c r="G5314" s="470"/>
      <c r="H5314" s="470">
        <v>5307</v>
      </c>
      <c r="I5314" s="455">
        <f t="shared" ca="1" si="185"/>
        <v>-1465650669577384.8</v>
      </c>
      <c r="J5314" s="455">
        <f t="array" ref="J5314">IFERROR(INDEX('Retirement Calculator'!K:K,MATCH('Lorri 401b'!N5314,'Retirement Calculator'!A:A,0),0),0)</f>
        <v>0</v>
      </c>
      <c r="K5314" s="455">
        <f t="shared" ca="1" si="183"/>
        <v>-6106877789905.7695</v>
      </c>
      <c r="L5314" s="455">
        <f t="shared" ca="1" si="184"/>
        <v>-1471757547367290.5</v>
      </c>
      <c r="M5314" s="471">
        <f t="shared" si="186"/>
        <v>0.05</v>
      </c>
      <c r="N5314" s="475">
        <f t="shared" si="187"/>
        <v>212786</v>
      </c>
    </row>
    <row r="5315" spans="7:14" ht="11.25" customHeight="1" x14ac:dyDescent="0.3">
      <c r="G5315" s="470"/>
      <c r="H5315" s="470">
        <v>5308</v>
      </c>
      <c r="I5315" s="455">
        <f t="shared" ca="1" si="185"/>
        <v>-1471757547367290.5</v>
      </c>
      <c r="J5315" s="455">
        <f t="array" ref="J5315">IFERROR(INDEX('Retirement Calculator'!K:K,MATCH('Lorri 401b'!N5315,'Retirement Calculator'!A:A,0),0),0)</f>
        <v>0</v>
      </c>
      <c r="K5315" s="455">
        <f t="shared" ca="1" si="183"/>
        <v>-6132323114030.377</v>
      </c>
      <c r="L5315" s="455">
        <f t="shared" ca="1" si="184"/>
        <v>-1477889870481321</v>
      </c>
      <c r="M5315" s="471">
        <f t="shared" si="186"/>
        <v>0.05</v>
      </c>
      <c r="N5315" s="475">
        <f t="shared" si="187"/>
        <v>212817</v>
      </c>
    </row>
    <row r="5316" spans="7:14" ht="11.25" customHeight="1" x14ac:dyDescent="0.3">
      <c r="G5316" s="470"/>
      <c r="H5316" s="470">
        <v>5309</v>
      </c>
      <c r="I5316" s="455">
        <f t="shared" ca="1" si="185"/>
        <v>-1477889870481321</v>
      </c>
      <c r="J5316" s="455">
        <f t="array" ref="J5316">IFERROR(INDEX('Retirement Calculator'!K:K,MATCH('Lorri 401b'!N5316,'Retirement Calculator'!A:A,0),0),0)</f>
        <v>0</v>
      </c>
      <c r="K5316" s="455">
        <f t="shared" ca="1" si="183"/>
        <v>-6157874460338.8379</v>
      </c>
      <c r="L5316" s="455">
        <f t="shared" ca="1" si="184"/>
        <v>-1484047744941659.8</v>
      </c>
      <c r="M5316" s="471">
        <f t="shared" si="186"/>
        <v>0.05</v>
      </c>
      <c r="N5316" s="475">
        <f t="shared" si="187"/>
        <v>212847</v>
      </c>
    </row>
    <row r="5317" spans="7:14" ht="11.25" customHeight="1" x14ac:dyDescent="0.3">
      <c r="G5317" s="470"/>
      <c r="H5317" s="470">
        <v>5310</v>
      </c>
      <c r="I5317" s="455">
        <f t="shared" ca="1" si="185"/>
        <v>-1484047744941659.8</v>
      </c>
      <c r="J5317" s="455">
        <f t="array" ref="J5317">IFERROR(INDEX('Retirement Calculator'!K:K,MATCH('Lorri 401b'!N5317,'Retirement Calculator'!A:A,0),0),0)</f>
        <v>0</v>
      </c>
      <c r="K5317" s="455">
        <f t="shared" ca="1" si="183"/>
        <v>-6183532270590.249</v>
      </c>
      <c r="L5317" s="455">
        <f t="shared" ca="1" si="184"/>
        <v>-1490231277212250</v>
      </c>
      <c r="M5317" s="471">
        <f t="shared" si="186"/>
        <v>0.05</v>
      </c>
      <c r="N5317" s="475">
        <f t="shared" si="187"/>
        <v>212878</v>
      </c>
    </row>
    <row r="5318" spans="7:14" ht="11.25" customHeight="1" x14ac:dyDescent="0.3">
      <c r="G5318" s="470"/>
      <c r="H5318" s="470">
        <v>5311</v>
      </c>
      <c r="I5318" s="455">
        <f t="shared" ca="1" si="185"/>
        <v>-1490231277212250</v>
      </c>
      <c r="J5318" s="455">
        <f t="array" ref="J5318">IFERROR(INDEX('Retirement Calculator'!K:K,MATCH('Lorri 401b'!N5318,'Retirement Calculator'!A:A,0),0),0)</f>
        <v>0</v>
      </c>
      <c r="K5318" s="455">
        <f t="shared" ca="1" si="183"/>
        <v>-6209296988384.375</v>
      </c>
      <c r="L5318" s="455">
        <f t="shared" ca="1" si="184"/>
        <v>-1496440574200634.5</v>
      </c>
      <c r="M5318" s="471">
        <f t="shared" si="186"/>
        <v>0.05</v>
      </c>
      <c r="N5318" s="475">
        <f t="shared" si="187"/>
        <v>212908</v>
      </c>
    </row>
    <row r="5319" spans="7:14" ht="11.25" customHeight="1" x14ac:dyDescent="0.3">
      <c r="G5319" s="470"/>
      <c r="H5319" s="470">
        <v>5312</v>
      </c>
      <c r="I5319" s="455">
        <f t="shared" ca="1" si="185"/>
        <v>-1496440574200634.5</v>
      </c>
      <c r="J5319" s="455">
        <f t="array" ref="J5319">IFERROR(INDEX('Retirement Calculator'!K:K,MATCH('Lorri 401b'!N5319,'Retirement Calculator'!A:A,0),0),0)</f>
        <v>0</v>
      </c>
      <c r="K5319" s="455">
        <f t="shared" ca="1" si="183"/>
        <v>-6235169059169.3105</v>
      </c>
      <c r="L5319" s="455">
        <f t="shared" ca="1" si="184"/>
        <v>-1502675743259803.8</v>
      </c>
      <c r="M5319" s="471">
        <f t="shared" si="186"/>
        <v>0.05</v>
      </c>
      <c r="N5319" s="475">
        <f t="shared" si="187"/>
        <v>212939</v>
      </c>
    </row>
    <row r="5320" spans="7:14" ht="11.25" customHeight="1" x14ac:dyDescent="0.3">
      <c r="G5320" s="470"/>
      <c r="H5320" s="470">
        <v>5313</v>
      </c>
      <c r="I5320" s="455">
        <f t="shared" ca="1" si="185"/>
        <v>-1502675743259803.8</v>
      </c>
      <c r="J5320" s="455">
        <f t="array" ref="J5320">IFERROR(INDEX('Retirement Calculator'!K:K,MATCH('Lorri 401b'!N5320,'Retirement Calculator'!A:A,0),0),0)</f>
        <v>0</v>
      </c>
      <c r="K5320" s="455">
        <f t="shared" ca="1" si="183"/>
        <v>-6261148930249.1826</v>
      </c>
      <c r="L5320" s="455">
        <f t="shared" ca="1" si="184"/>
        <v>-1508936892190053</v>
      </c>
      <c r="M5320" s="471">
        <f t="shared" si="186"/>
        <v>0.05</v>
      </c>
      <c r="N5320" s="475">
        <f t="shared" si="187"/>
        <v>212970</v>
      </c>
    </row>
    <row r="5321" spans="7:14" ht="11.25" customHeight="1" x14ac:dyDescent="0.3">
      <c r="G5321" s="470"/>
      <c r="H5321" s="470">
        <v>5314</v>
      </c>
      <c r="I5321" s="455">
        <f t="shared" ca="1" si="185"/>
        <v>-1508936892190053</v>
      </c>
      <c r="J5321" s="455">
        <f t="array" ref="J5321">IFERROR(INDEX('Retirement Calculator'!K:K,MATCH('Lorri 401b'!N5321,'Retirement Calculator'!A:A,0),0),0)</f>
        <v>0</v>
      </c>
      <c r="K5321" s="455">
        <f t="shared" ca="1" si="183"/>
        <v>-6287237050791.8877</v>
      </c>
      <c r="L5321" s="455">
        <f t="shared" ca="1" si="184"/>
        <v>-1515224129240845</v>
      </c>
      <c r="M5321" s="471">
        <f t="shared" si="186"/>
        <v>0.05</v>
      </c>
      <c r="N5321" s="475">
        <f t="shared" si="187"/>
        <v>212998</v>
      </c>
    </row>
    <row r="5322" spans="7:14" ht="11.25" customHeight="1" x14ac:dyDescent="0.3">
      <c r="G5322" s="470"/>
      <c r="H5322" s="470">
        <v>5315</v>
      </c>
      <c r="I5322" s="455">
        <f t="shared" ca="1" si="185"/>
        <v>-1515224129240845</v>
      </c>
      <c r="J5322" s="455">
        <f t="array" ref="J5322">IFERROR(INDEX('Retirement Calculator'!K:K,MATCH('Lorri 401b'!N5322,'Retirement Calculator'!A:A,0),0),0)</f>
        <v>0</v>
      </c>
      <c r="K5322" s="455">
        <f t="shared" ca="1" si="183"/>
        <v>-6313433871836.8545</v>
      </c>
      <c r="L5322" s="455">
        <f t="shared" ca="1" si="184"/>
        <v>-1521537563112681.8</v>
      </c>
      <c r="M5322" s="471">
        <f t="shared" si="186"/>
        <v>0.05</v>
      </c>
      <c r="N5322" s="475">
        <f t="shared" si="187"/>
        <v>213029</v>
      </c>
    </row>
    <row r="5323" spans="7:14" ht="11.25" customHeight="1" x14ac:dyDescent="0.3">
      <c r="G5323" s="470"/>
      <c r="H5323" s="470">
        <v>5316</v>
      </c>
      <c r="I5323" s="455">
        <f t="shared" ca="1" si="185"/>
        <v>-1521537563112681.8</v>
      </c>
      <c r="J5323" s="455">
        <f t="array" ref="J5323">IFERROR(INDEX('Retirement Calculator'!K:K,MATCH('Lorri 401b'!N5323,'Retirement Calculator'!A:A,0),0),0)</f>
        <v>0</v>
      </c>
      <c r="K5323" s="455">
        <f t="shared" ca="1" si="183"/>
        <v>-6339739846302.8408</v>
      </c>
      <c r="L5323" s="455">
        <f t="shared" ca="1" si="184"/>
        <v>-1527877302958984.5</v>
      </c>
      <c r="M5323" s="471">
        <f t="shared" si="186"/>
        <v>0.05</v>
      </c>
      <c r="N5323" s="475">
        <f t="shared" si="187"/>
        <v>213059</v>
      </c>
    </row>
    <row r="5324" spans="7:14" ht="11.25" customHeight="1" x14ac:dyDescent="0.3">
      <c r="G5324" s="470"/>
      <c r="H5324" s="470">
        <v>5317</v>
      </c>
      <c r="I5324" s="455">
        <f t="shared" ca="1" si="185"/>
        <v>-1527877302958984.5</v>
      </c>
      <c r="J5324" s="455">
        <f t="array" ref="J5324">IFERROR(INDEX('Retirement Calculator'!K:K,MATCH('Lorri 401b'!N5324,'Retirement Calculator'!A:A,0),0),0)</f>
        <v>0</v>
      </c>
      <c r="K5324" s="455">
        <f t="shared" ca="1" si="183"/>
        <v>-6366155428995.7686</v>
      </c>
      <c r="L5324" s="455">
        <f t="shared" ca="1" si="184"/>
        <v>-1534243458387980.3</v>
      </c>
      <c r="M5324" s="471">
        <f t="shared" si="186"/>
        <v>0.05</v>
      </c>
      <c r="N5324" s="475">
        <f t="shared" si="187"/>
        <v>213090</v>
      </c>
    </row>
    <row r="5325" spans="7:14" ht="11.25" customHeight="1" x14ac:dyDescent="0.3">
      <c r="G5325" s="470"/>
      <c r="H5325" s="470">
        <v>5318</v>
      </c>
      <c r="I5325" s="455">
        <f t="shared" ca="1" si="185"/>
        <v>-1534243458387980.3</v>
      </c>
      <c r="J5325" s="455">
        <f t="array" ref="J5325">IFERROR(INDEX('Retirement Calculator'!K:K,MATCH('Lorri 401b'!N5325,'Retirement Calculator'!A:A,0),0),0)</f>
        <v>0</v>
      </c>
      <c r="K5325" s="455">
        <f t="shared" ca="1" si="183"/>
        <v>-6392681076616.584</v>
      </c>
      <c r="L5325" s="455">
        <f t="shared" ca="1" si="184"/>
        <v>-1540636139464596.8</v>
      </c>
      <c r="M5325" s="471">
        <f t="shared" si="186"/>
        <v>0.05</v>
      </c>
      <c r="N5325" s="475">
        <f t="shared" si="187"/>
        <v>213120</v>
      </c>
    </row>
    <row r="5326" spans="7:14" ht="11.25" customHeight="1" x14ac:dyDescent="0.3">
      <c r="G5326" s="470"/>
      <c r="H5326" s="470">
        <v>5319</v>
      </c>
      <c r="I5326" s="455">
        <f t="shared" ca="1" si="185"/>
        <v>-1540636139464596.8</v>
      </c>
      <c r="J5326" s="455">
        <f t="array" ref="J5326">IFERROR(INDEX('Retirement Calculator'!K:K,MATCH('Lorri 401b'!N5326,'Retirement Calculator'!A:A,0),0),0)</f>
        <v>0</v>
      </c>
      <c r="K5326" s="455">
        <f t="shared" ca="1" si="183"/>
        <v>-6419317247769.1533</v>
      </c>
      <c r="L5326" s="455">
        <f t="shared" ca="1" si="184"/>
        <v>-1547055456712366</v>
      </c>
      <c r="M5326" s="471">
        <f t="shared" si="186"/>
        <v>0.05</v>
      </c>
      <c r="N5326" s="475">
        <f t="shared" si="187"/>
        <v>213151</v>
      </c>
    </row>
    <row r="5327" spans="7:14" ht="11.25" customHeight="1" x14ac:dyDescent="0.3">
      <c r="G5327" s="470"/>
      <c r="H5327" s="470">
        <v>5320</v>
      </c>
      <c r="I5327" s="455">
        <f t="shared" ca="1" si="185"/>
        <v>-1547055456712366</v>
      </c>
      <c r="J5327" s="455">
        <f t="array" ref="J5327">IFERROR(INDEX('Retirement Calculator'!K:K,MATCH('Lorri 401b'!N5327,'Retirement Calculator'!A:A,0),0),0)</f>
        <v>0</v>
      </c>
      <c r="K5327" s="455">
        <f t="shared" ca="1" si="183"/>
        <v>-6446064402968.1914</v>
      </c>
      <c r="L5327" s="455">
        <f t="shared" ca="1" si="184"/>
        <v>-1553501521115334.3</v>
      </c>
      <c r="M5327" s="471">
        <f t="shared" si="186"/>
        <v>0.05</v>
      </c>
      <c r="N5327" s="475">
        <f t="shared" si="187"/>
        <v>213182</v>
      </c>
    </row>
    <row r="5328" spans="7:14" ht="11.25" customHeight="1" x14ac:dyDescent="0.3">
      <c r="G5328" s="470"/>
      <c r="H5328" s="470">
        <v>5321</v>
      </c>
      <c r="I5328" s="455">
        <f t="shared" ca="1" si="185"/>
        <v>-1553501521115334.3</v>
      </c>
      <c r="J5328" s="455">
        <f t="array" ref="J5328">IFERROR(INDEX('Retirement Calculator'!K:K,MATCH('Lorri 401b'!N5328,'Retirement Calculator'!A:A,0),0),0)</f>
        <v>0</v>
      </c>
      <c r="K5328" s="455">
        <f t="shared" ca="1" si="183"/>
        <v>-6472923004647.2256</v>
      </c>
      <c r="L5328" s="455">
        <f t="shared" ca="1" si="184"/>
        <v>-1559974444119981.5</v>
      </c>
      <c r="M5328" s="471">
        <f t="shared" si="186"/>
        <v>0.05</v>
      </c>
      <c r="N5328" s="475">
        <f t="shared" si="187"/>
        <v>213212</v>
      </c>
    </row>
    <row r="5329" spans="7:14" ht="11.25" customHeight="1" x14ac:dyDescent="0.3">
      <c r="G5329" s="470"/>
      <c r="H5329" s="470">
        <v>5322</v>
      </c>
      <c r="I5329" s="455">
        <f t="shared" ca="1" si="185"/>
        <v>-1559974444119981.5</v>
      </c>
      <c r="J5329" s="455">
        <f t="array" ref="J5329">IFERROR(INDEX('Retirement Calculator'!K:K,MATCH('Lorri 401b'!N5329,'Retirement Calculator'!A:A,0),0),0)</f>
        <v>0</v>
      </c>
      <c r="K5329" s="455">
        <f t="shared" ca="1" si="183"/>
        <v>-6499893517166.5898</v>
      </c>
      <c r="L5329" s="455">
        <f t="shared" ca="1" si="184"/>
        <v>-1566474337637148</v>
      </c>
      <c r="M5329" s="471">
        <f t="shared" si="186"/>
        <v>0.05</v>
      </c>
      <c r="N5329" s="475">
        <f t="shared" si="187"/>
        <v>213243</v>
      </c>
    </row>
    <row r="5330" spans="7:14" ht="11.25" customHeight="1" x14ac:dyDescent="0.3">
      <c r="G5330" s="470"/>
      <c r="H5330" s="470">
        <v>5323</v>
      </c>
      <c r="I5330" s="455">
        <f t="shared" ca="1" si="185"/>
        <v>-1566474337637148</v>
      </c>
      <c r="J5330" s="455">
        <f t="array" ref="J5330">IFERROR(INDEX('Retirement Calculator'!K:K,MATCH('Lorri 401b'!N5330,'Retirement Calculator'!A:A,0),0),0)</f>
        <v>0</v>
      </c>
      <c r="K5330" s="455">
        <f t="shared" ca="1" si="183"/>
        <v>-6526976406821.4502</v>
      </c>
      <c r="L5330" s="455">
        <f t="shared" ca="1" si="184"/>
        <v>-1573001314043969.5</v>
      </c>
      <c r="M5330" s="471">
        <f t="shared" si="186"/>
        <v>0.05</v>
      </c>
      <c r="N5330" s="475">
        <f t="shared" si="187"/>
        <v>213273</v>
      </c>
    </row>
    <row r="5331" spans="7:14" ht="11.25" customHeight="1" x14ac:dyDescent="0.3">
      <c r="G5331" s="470"/>
      <c r="H5331" s="470">
        <v>5324</v>
      </c>
      <c r="I5331" s="455">
        <f t="shared" ca="1" si="185"/>
        <v>-1573001314043969.5</v>
      </c>
      <c r="J5331" s="455">
        <f t="array" ref="J5331">IFERROR(INDEX('Retirement Calculator'!K:K,MATCH('Lorri 401b'!N5331,'Retirement Calculator'!A:A,0),0),0)</f>
        <v>0</v>
      </c>
      <c r="K5331" s="455">
        <f t="shared" ca="1" si="183"/>
        <v>-6554172141849.873</v>
      </c>
      <c r="L5331" s="455">
        <f t="shared" ca="1" si="184"/>
        <v>-1579555486185819.3</v>
      </c>
      <c r="M5331" s="471">
        <f t="shared" si="186"/>
        <v>0.05</v>
      </c>
      <c r="N5331" s="475">
        <f t="shared" si="187"/>
        <v>213304</v>
      </c>
    </row>
    <row r="5332" spans="7:14" ht="11.25" customHeight="1" x14ac:dyDescent="0.3">
      <c r="G5332" s="470"/>
      <c r="H5332" s="470">
        <v>5325</v>
      </c>
      <c r="I5332" s="455">
        <f t="shared" ca="1" si="185"/>
        <v>-1579555486185819.3</v>
      </c>
      <c r="J5332" s="455">
        <f t="array" ref="J5332">IFERROR(INDEX('Retirement Calculator'!K:K,MATCH('Lorri 401b'!N5332,'Retirement Calculator'!A:A,0),0),0)</f>
        <v>0</v>
      </c>
      <c r="K5332" s="455">
        <f t="shared" ca="1" si="183"/>
        <v>-6581481192440.9131</v>
      </c>
      <c r="L5332" s="455">
        <f t="shared" ca="1" si="184"/>
        <v>-1586136967378260.3</v>
      </c>
      <c r="M5332" s="471">
        <f t="shared" si="186"/>
        <v>0.05</v>
      </c>
      <c r="N5332" s="475">
        <f t="shared" si="187"/>
        <v>213335</v>
      </c>
    </row>
    <row r="5333" spans="7:14" ht="11.25" customHeight="1" x14ac:dyDescent="0.3">
      <c r="G5333" s="470"/>
      <c r="H5333" s="470">
        <v>5326</v>
      </c>
      <c r="I5333" s="455">
        <f t="shared" ca="1" si="185"/>
        <v>-1586136967378260.3</v>
      </c>
      <c r="J5333" s="455">
        <f t="array" ref="J5333">IFERROR(INDEX('Retirement Calculator'!K:K,MATCH('Lorri 401b'!N5333,'Retirement Calculator'!A:A,0),0),0)</f>
        <v>0</v>
      </c>
      <c r="K5333" s="455">
        <f t="shared" ca="1" si="183"/>
        <v>-6608904030742.751</v>
      </c>
      <c r="L5333" s="455">
        <f t="shared" ca="1" si="184"/>
        <v>-1592745871409003</v>
      </c>
      <c r="M5333" s="471">
        <f t="shared" si="186"/>
        <v>0.05</v>
      </c>
      <c r="N5333" s="475">
        <f t="shared" si="187"/>
        <v>213364</v>
      </c>
    </row>
    <row r="5334" spans="7:14" ht="11.25" customHeight="1" x14ac:dyDescent="0.3">
      <c r="G5334" s="470"/>
      <c r="H5334" s="470">
        <v>5327</v>
      </c>
      <c r="I5334" s="455">
        <f t="shared" ca="1" si="185"/>
        <v>-1592745871409003</v>
      </c>
      <c r="J5334" s="455">
        <f t="array" ref="J5334">IFERROR(INDEX('Retirement Calculator'!K:K,MATCH('Lorri 401b'!N5334,'Retirement Calculator'!A:A,0),0),0)</f>
        <v>0</v>
      </c>
      <c r="K5334" s="455">
        <f t="shared" ca="1" si="183"/>
        <v>-6636441130870.8457</v>
      </c>
      <c r="L5334" s="455">
        <f t="shared" ca="1" si="184"/>
        <v>-1599382312539873.8</v>
      </c>
      <c r="M5334" s="471">
        <f t="shared" si="186"/>
        <v>0.05</v>
      </c>
      <c r="N5334" s="475">
        <f t="shared" si="187"/>
        <v>213395</v>
      </c>
    </row>
    <row r="5335" spans="7:14" ht="11.25" customHeight="1" x14ac:dyDescent="0.3">
      <c r="G5335" s="470"/>
      <c r="H5335" s="470">
        <v>5328</v>
      </c>
      <c r="I5335" s="455">
        <f t="shared" ca="1" si="185"/>
        <v>-1599382312539873.8</v>
      </c>
      <c r="J5335" s="455">
        <f t="array" ref="J5335">IFERROR(INDEX('Retirement Calculator'!K:K,MATCH('Lorri 401b'!N5335,'Retirement Calculator'!A:A,0),0),0)</f>
        <v>0</v>
      </c>
      <c r="K5335" s="455">
        <f t="shared" ca="1" si="183"/>
        <v>-6664092968916.1406</v>
      </c>
      <c r="L5335" s="455">
        <f t="shared" ca="1" si="184"/>
        <v>-1606046405508790</v>
      </c>
      <c r="M5335" s="471">
        <f t="shared" si="186"/>
        <v>0.05</v>
      </c>
      <c r="N5335" s="475">
        <f t="shared" si="187"/>
        <v>213425</v>
      </c>
    </row>
    <row r="5336" spans="7:14" ht="11.25" customHeight="1" x14ac:dyDescent="0.3">
      <c r="G5336" s="470"/>
      <c r="H5336" s="470">
        <v>5329</v>
      </c>
      <c r="I5336" s="455">
        <f t="shared" ca="1" si="185"/>
        <v>-1606046405508790</v>
      </c>
      <c r="J5336" s="455">
        <f t="array" ref="J5336">IFERROR(INDEX('Retirement Calculator'!K:K,MATCH('Lorri 401b'!N5336,'Retirement Calculator'!A:A,0),0),0)</f>
        <v>0</v>
      </c>
      <c r="K5336" s="455">
        <f t="shared" ca="1" si="183"/>
        <v>-6691860022953.292</v>
      </c>
      <c r="L5336" s="455">
        <f t="shared" ca="1" si="184"/>
        <v>-1612738265531743.3</v>
      </c>
      <c r="M5336" s="471">
        <f t="shared" si="186"/>
        <v>0.05</v>
      </c>
      <c r="N5336" s="475">
        <f t="shared" si="187"/>
        <v>213456</v>
      </c>
    </row>
    <row r="5337" spans="7:14" ht="11.25" customHeight="1" x14ac:dyDescent="0.3">
      <c r="G5337" s="470"/>
      <c r="H5337" s="470">
        <v>5330</v>
      </c>
      <c r="I5337" s="455">
        <f t="shared" ca="1" si="185"/>
        <v>-1612738265531743.3</v>
      </c>
      <c r="J5337" s="455">
        <f t="array" ref="J5337">IFERROR(INDEX('Retirement Calculator'!K:K,MATCH('Lorri 401b'!N5337,'Retirement Calculator'!A:A,0),0),0)</f>
        <v>0</v>
      </c>
      <c r="K5337" s="455">
        <f t="shared" ca="1" si="183"/>
        <v>-6719742773048.9297</v>
      </c>
      <c r="L5337" s="455">
        <f t="shared" ca="1" si="184"/>
        <v>-1619458008304792.3</v>
      </c>
      <c r="M5337" s="471">
        <f t="shared" si="186"/>
        <v>0.05</v>
      </c>
      <c r="N5337" s="475">
        <f t="shared" si="187"/>
        <v>213486</v>
      </c>
    </row>
    <row r="5338" spans="7:14" ht="11.25" customHeight="1" x14ac:dyDescent="0.3">
      <c r="G5338" s="470"/>
      <c r="H5338" s="470">
        <v>5331</v>
      </c>
      <c r="I5338" s="455">
        <f t="shared" ca="1" si="185"/>
        <v>-1619458008304792.3</v>
      </c>
      <c r="J5338" s="455">
        <f t="array" ref="J5338">IFERROR(INDEX('Retirement Calculator'!K:K,MATCH('Lorri 401b'!N5338,'Retirement Calculator'!A:A,0),0),0)</f>
        <v>0</v>
      </c>
      <c r="K5338" s="455">
        <f t="shared" ca="1" si="183"/>
        <v>-6747741701269.9678</v>
      </c>
      <c r="L5338" s="455">
        <f t="shared" ca="1" si="184"/>
        <v>-1626205750006062.3</v>
      </c>
      <c r="M5338" s="471">
        <f t="shared" si="186"/>
        <v>0.05</v>
      </c>
      <c r="N5338" s="475">
        <f t="shared" si="187"/>
        <v>213517</v>
      </c>
    </row>
    <row r="5339" spans="7:14" ht="11.25" customHeight="1" x14ac:dyDescent="0.3">
      <c r="G5339" s="470"/>
      <c r="H5339" s="470">
        <v>5332</v>
      </c>
      <c r="I5339" s="455">
        <f t="shared" ca="1" si="185"/>
        <v>-1626205750006062.3</v>
      </c>
      <c r="J5339" s="455">
        <f t="array" ref="J5339">IFERROR(INDEX('Retirement Calculator'!K:K,MATCH('Lorri 401b'!N5339,'Retirement Calculator'!A:A,0),0),0)</f>
        <v>0</v>
      </c>
      <c r="K5339" s="455">
        <f t="shared" ca="1" si="183"/>
        <v>-6775857291691.9258</v>
      </c>
      <c r="L5339" s="455">
        <f t="shared" ca="1" si="184"/>
        <v>-1632981607297754.3</v>
      </c>
      <c r="M5339" s="471">
        <f t="shared" si="186"/>
        <v>0.05</v>
      </c>
      <c r="N5339" s="475">
        <f t="shared" si="187"/>
        <v>213548</v>
      </c>
    </row>
    <row r="5340" spans="7:14" ht="11.25" customHeight="1" x14ac:dyDescent="0.3">
      <c r="G5340" s="470"/>
      <c r="H5340" s="470">
        <v>5333</v>
      </c>
      <c r="I5340" s="455">
        <f t="shared" ca="1" si="185"/>
        <v>-1632981607297754.3</v>
      </c>
      <c r="J5340" s="455">
        <f t="array" ref="J5340">IFERROR(INDEX('Retirement Calculator'!K:K,MATCH('Lorri 401b'!N5340,'Retirement Calculator'!A:A,0),0),0)</f>
        <v>0</v>
      </c>
      <c r="K5340" s="455">
        <f t="shared" ca="1" si="183"/>
        <v>-6804090030407.3096</v>
      </c>
      <c r="L5340" s="455">
        <f t="shared" ca="1" si="184"/>
        <v>-1639785697328161.5</v>
      </c>
      <c r="M5340" s="471">
        <f t="shared" si="186"/>
        <v>0.05</v>
      </c>
      <c r="N5340" s="475">
        <f t="shared" si="187"/>
        <v>213578</v>
      </c>
    </row>
    <row r="5341" spans="7:14" ht="11.25" customHeight="1" x14ac:dyDescent="0.3">
      <c r="G5341" s="470"/>
      <c r="H5341" s="470">
        <v>5334</v>
      </c>
      <c r="I5341" s="455">
        <f t="shared" ca="1" si="185"/>
        <v>-1639785697328161.5</v>
      </c>
      <c r="J5341" s="455">
        <f t="array" ref="J5341">IFERROR(INDEX('Retirement Calculator'!K:K,MATCH('Lorri 401b'!N5341,'Retirement Calculator'!A:A,0),0),0)</f>
        <v>0</v>
      </c>
      <c r="K5341" s="455">
        <f t="shared" ca="1" si="183"/>
        <v>-6832440405534.0059</v>
      </c>
      <c r="L5341" s="455">
        <f t="shared" ca="1" si="184"/>
        <v>-1646618137733695.5</v>
      </c>
      <c r="M5341" s="471">
        <f t="shared" si="186"/>
        <v>0.05</v>
      </c>
      <c r="N5341" s="475">
        <f t="shared" si="187"/>
        <v>213609</v>
      </c>
    </row>
    <row r="5342" spans="7:14" ht="11.25" customHeight="1" x14ac:dyDescent="0.3">
      <c r="G5342" s="470"/>
      <c r="H5342" s="470">
        <v>5335</v>
      </c>
      <c r="I5342" s="455">
        <f t="shared" ca="1" si="185"/>
        <v>-1646618137733695.5</v>
      </c>
      <c r="J5342" s="455">
        <f t="array" ref="J5342">IFERROR(INDEX('Retirement Calculator'!K:K,MATCH('Lorri 401b'!N5342,'Retirement Calculator'!A:A,0),0),0)</f>
        <v>0</v>
      </c>
      <c r="K5342" s="455">
        <f t="shared" ca="1" si="183"/>
        <v>-6860908907223.7314</v>
      </c>
      <c r="L5342" s="455">
        <f t="shared" ca="1" si="184"/>
        <v>-1653479046640919.3</v>
      </c>
      <c r="M5342" s="471">
        <f t="shared" si="186"/>
        <v>0.05</v>
      </c>
      <c r="N5342" s="475">
        <f t="shared" si="187"/>
        <v>213639</v>
      </c>
    </row>
    <row r="5343" spans="7:14" ht="11.25" customHeight="1" x14ac:dyDescent="0.3">
      <c r="G5343" s="470"/>
      <c r="H5343" s="470">
        <v>5336</v>
      </c>
      <c r="I5343" s="455">
        <f t="shared" ca="1" si="185"/>
        <v>-1653479046640919.3</v>
      </c>
      <c r="J5343" s="455">
        <f t="array" ref="J5343">IFERROR(INDEX('Retirement Calculator'!K:K,MATCH('Lorri 401b'!N5343,'Retirement Calculator'!A:A,0),0),0)</f>
        <v>0</v>
      </c>
      <c r="K5343" s="455">
        <f t="shared" ca="1" si="183"/>
        <v>-6889496027670.4971</v>
      </c>
      <c r="L5343" s="455">
        <f t="shared" ca="1" si="184"/>
        <v>-1660368542668589.8</v>
      </c>
      <c r="M5343" s="471">
        <f t="shared" si="186"/>
        <v>0.05</v>
      </c>
      <c r="N5343" s="475">
        <f t="shared" si="187"/>
        <v>213670</v>
      </c>
    </row>
    <row r="5344" spans="7:14" ht="11.25" customHeight="1" x14ac:dyDescent="0.3">
      <c r="G5344" s="470"/>
      <c r="H5344" s="470">
        <v>5337</v>
      </c>
      <c r="I5344" s="455">
        <f t="shared" ca="1" si="185"/>
        <v>-1660368542668589.8</v>
      </c>
      <c r="J5344" s="455">
        <f t="array" ref="J5344">IFERROR(INDEX('Retirement Calculator'!K:K,MATCH('Lorri 401b'!N5344,'Retirement Calculator'!A:A,0),0),0)</f>
        <v>0</v>
      </c>
      <c r="K5344" s="455">
        <f t="shared" ca="1" si="183"/>
        <v>-6918202261119.124</v>
      </c>
      <c r="L5344" s="455">
        <f t="shared" ca="1" si="184"/>
        <v>-1667286744929708.8</v>
      </c>
      <c r="M5344" s="471">
        <f t="shared" si="186"/>
        <v>0.05</v>
      </c>
      <c r="N5344" s="475">
        <f t="shared" si="187"/>
        <v>213701</v>
      </c>
    </row>
    <row r="5345" spans="7:14" ht="11.25" customHeight="1" x14ac:dyDescent="0.3">
      <c r="G5345" s="470"/>
      <c r="H5345" s="470">
        <v>5338</v>
      </c>
      <c r="I5345" s="455">
        <f t="shared" ca="1" si="185"/>
        <v>-1667286744929708.8</v>
      </c>
      <c r="J5345" s="455">
        <f t="array" ref="J5345">IFERROR(INDEX('Retirement Calculator'!K:K,MATCH('Lorri 401b'!N5345,'Retirement Calculator'!A:A,0),0),0)</f>
        <v>0</v>
      </c>
      <c r="K5345" s="455">
        <f t="shared" ca="1" si="183"/>
        <v>-6947028103873.7861</v>
      </c>
      <c r="L5345" s="455">
        <f t="shared" ca="1" si="184"/>
        <v>-1674233773033582.5</v>
      </c>
      <c r="M5345" s="471">
        <f t="shared" si="186"/>
        <v>0.05</v>
      </c>
      <c r="N5345" s="475">
        <f t="shared" si="187"/>
        <v>213729</v>
      </c>
    </row>
    <row r="5346" spans="7:14" ht="11.25" customHeight="1" x14ac:dyDescent="0.3">
      <c r="G5346" s="470"/>
      <c r="H5346" s="470">
        <v>5339</v>
      </c>
      <c r="I5346" s="455">
        <f t="shared" ca="1" si="185"/>
        <v>-1674233773033582.5</v>
      </c>
      <c r="J5346" s="455">
        <f t="array" ref="J5346">IFERROR(INDEX('Retirement Calculator'!K:K,MATCH('Lorri 401b'!N5346,'Retirement Calculator'!A:A,0),0),0)</f>
        <v>0</v>
      </c>
      <c r="K5346" s="455">
        <f t="shared" ca="1" si="183"/>
        <v>-6975974054306.5938</v>
      </c>
      <c r="L5346" s="455">
        <f t="shared" ca="1" si="184"/>
        <v>-1681209747087889</v>
      </c>
      <c r="M5346" s="471">
        <f t="shared" si="186"/>
        <v>0.05</v>
      </c>
      <c r="N5346" s="475">
        <f t="shared" si="187"/>
        <v>213760</v>
      </c>
    </row>
    <row r="5347" spans="7:14" ht="11.25" customHeight="1" x14ac:dyDescent="0.3">
      <c r="G5347" s="470"/>
      <c r="H5347" s="470">
        <v>5340</v>
      </c>
      <c r="I5347" s="455">
        <f t="shared" ca="1" si="185"/>
        <v>-1681209747087889</v>
      </c>
      <c r="J5347" s="455">
        <f t="array" ref="J5347">IFERROR(INDEX('Retirement Calculator'!K:K,MATCH('Lorri 401b'!N5347,'Retirement Calculator'!A:A,0),0),0)</f>
        <v>0</v>
      </c>
      <c r="K5347" s="455">
        <f t="shared" ca="1" si="183"/>
        <v>-7005040612866.2041</v>
      </c>
      <c r="L5347" s="455">
        <f t="shared" ca="1" si="184"/>
        <v>-1688214787700755.3</v>
      </c>
      <c r="M5347" s="471">
        <f t="shared" si="186"/>
        <v>0.05</v>
      </c>
      <c r="N5347" s="475">
        <f t="shared" si="187"/>
        <v>213790</v>
      </c>
    </row>
    <row r="5348" spans="7:14" ht="11.25" customHeight="1" x14ac:dyDescent="0.3">
      <c r="G5348" s="470"/>
      <c r="H5348" s="470">
        <v>5341</v>
      </c>
      <c r="I5348" s="455">
        <f t="shared" ca="1" si="185"/>
        <v>-1688214787700755.3</v>
      </c>
      <c r="J5348" s="455">
        <f t="array" ref="J5348">IFERROR(INDEX('Retirement Calculator'!K:K,MATCH('Lorri 401b'!N5348,'Retirement Calculator'!A:A,0),0),0)</f>
        <v>0</v>
      </c>
      <c r="K5348" s="455">
        <f t="shared" ca="1" si="183"/>
        <v>-7034228282086.4805</v>
      </c>
      <c r="L5348" s="455">
        <f t="shared" ca="1" si="184"/>
        <v>-1695249015982841.8</v>
      </c>
      <c r="M5348" s="471">
        <f t="shared" si="186"/>
        <v>0.05</v>
      </c>
      <c r="N5348" s="475">
        <f t="shared" si="187"/>
        <v>213821</v>
      </c>
    </row>
    <row r="5349" spans="7:14" ht="11.25" customHeight="1" x14ac:dyDescent="0.3">
      <c r="G5349" s="470"/>
      <c r="H5349" s="470">
        <v>5342</v>
      </c>
      <c r="I5349" s="455">
        <f t="shared" ca="1" si="185"/>
        <v>-1695249015982841.8</v>
      </c>
      <c r="J5349" s="455">
        <f t="array" ref="J5349">IFERROR(INDEX('Retirement Calculator'!K:K,MATCH('Lorri 401b'!N5349,'Retirement Calculator'!A:A,0),0),0)</f>
        <v>0</v>
      </c>
      <c r="K5349" s="455">
        <f t="shared" ca="1" si="183"/>
        <v>-7063537566595.1738</v>
      </c>
      <c r="L5349" s="455">
        <f t="shared" ca="1" si="184"/>
        <v>-1702312553549437</v>
      </c>
      <c r="M5349" s="471">
        <f t="shared" si="186"/>
        <v>0.05</v>
      </c>
      <c r="N5349" s="475">
        <f t="shared" si="187"/>
        <v>213851</v>
      </c>
    </row>
    <row r="5350" spans="7:14" ht="11.25" customHeight="1" x14ac:dyDescent="0.3">
      <c r="G5350" s="470"/>
      <c r="H5350" s="470">
        <v>5343</v>
      </c>
      <c r="I5350" s="455">
        <f t="shared" ca="1" si="185"/>
        <v>-1702312553549437</v>
      </c>
      <c r="J5350" s="455">
        <f t="array" ref="J5350">IFERROR(INDEX('Retirement Calculator'!K:K,MATCH('Lorri 401b'!N5350,'Retirement Calculator'!A:A,0),0),0)</f>
        <v>0</v>
      </c>
      <c r="K5350" s="455">
        <f t="shared" ca="1" si="183"/>
        <v>-7092968973122.6543</v>
      </c>
      <c r="L5350" s="455">
        <f t="shared" ca="1" si="184"/>
        <v>-1709405522522559.8</v>
      </c>
      <c r="M5350" s="471">
        <f t="shared" si="186"/>
        <v>0.05</v>
      </c>
      <c r="N5350" s="475">
        <f t="shared" si="187"/>
        <v>213882</v>
      </c>
    </row>
    <row r="5351" spans="7:14" ht="11.25" customHeight="1" x14ac:dyDescent="0.3">
      <c r="G5351" s="470"/>
      <c r="H5351" s="470">
        <v>5344</v>
      </c>
      <c r="I5351" s="455">
        <f t="shared" ca="1" si="185"/>
        <v>-1709405522522559.8</v>
      </c>
      <c r="J5351" s="455">
        <f t="array" ref="J5351">IFERROR(INDEX('Retirement Calculator'!K:K,MATCH('Lorri 401b'!N5351,'Retirement Calculator'!A:A,0),0),0)</f>
        <v>0</v>
      </c>
      <c r="K5351" s="455">
        <f t="shared" ca="1" si="183"/>
        <v>-7122523010510.665</v>
      </c>
      <c r="L5351" s="455">
        <f t="shared" ca="1" si="184"/>
        <v>-1716528045533070.5</v>
      </c>
      <c r="M5351" s="471">
        <f t="shared" si="186"/>
        <v>0.05</v>
      </c>
      <c r="N5351" s="475">
        <f t="shared" si="187"/>
        <v>213913</v>
      </c>
    </row>
    <row r="5352" spans="7:14" ht="11.25" customHeight="1" x14ac:dyDescent="0.3">
      <c r="G5352" s="470"/>
      <c r="H5352" s="470">
        <v>5345</v>
      </c>
      <c r="I5352" s="455">
        <f t="shared" ca="1" si="185"/>
        <v>-1716528045533070.5</v>
      </c>
      <c r="J5352" s="455">
        <f t="array" ref="J5352">IFERROR(INDEX('Retirement Calculator'!K:K,MATCH('Lorri 401b'!N5352,'Retirement Calculator'!A:A,0),0),0)</f>
        <v>0</v>
      </c>
      <c r="K5352" s="455">
        <f t="shared" ca="1" si="183"/>
        <v>-7152200189721.127</v>
      </c>
      <c r="L5352" s="455">
        <f t="shared" ca="1" si="184"/>
        <v>-1723680245722791.8</v>
      </c>
      <c r="M5352" s="471">
        <f t="shared" si="186"/>
        <v>0.05</v>
      </c>
      <c r="N5352" s="475">
        <f t="shared" si="187"/>
        <v>213943</v>
      </c>
    </row>
    <row r="5353" spans="7:14" ht="11.25" customHeight="1" x14ac:dyDescent="0.3">
      <c r="G5353" s="470"/>
      <c r="H5353" s="470">
        <v>5346</v>
      </c>
      <c r="I5353" s="455">
        <f t="shared" ca="1" si="185"/>
        <v>-1723680245722791.8</v>
      </c>
      <c r="J5353" s="455">
        <f t="array" ref="J5353">IFERROR(INDEX('Retirement Calculator'!K:K,MATCH('Lorri 401b'!N5353,'Retirement Calculator'!A:A,0),0),0)</f>
        <v>0</v>
      </c>
      <c r="K5353" s="455">
        <f t="shared" ca="1" si="183"/>
        <v>-7182001023844.9658</v>
      </c>
      <c r="L5353" s="455">
        <f t="shared" ca="1" si="184"/>
        <v>-1730862246746636.8</v>
      </c>
      <c r="M5353" s="471">
        <f t="shared" si="186"/>
        <v>0.05</v>
      </c>
      <c r="N5353" s="475">
        <f t="shared" si="187"/>
        <v>213974</v>
      </c>
    </row>
    <row r="5354" spans="7:14" ht="11.25" customHeight="1" x14ac:dyDescent="0.3">
      <c r="G5354" s="470"/>
      <c r="H5354" s="470">
        <v>5347</v>
      </c>
      <c r="I5354" s="455">
        <f t="shared" ca="1" si="185"/>
        <v>-1730862246746636.8</v>
      </c>
      <c r="J5354" s="455">
        <f t="array" ref="J5354">IFERROR(INDEX('Retirement Calculator'!K:K,MATCH('Lorri 401b'!N5354,'Retirement Calculator'!A:A,0),0),0)</f>
        <v>0</v>
      </c>
      <c r="K5354" s="455">
        <f t="shared" ca="1" si="183"/>
        <v>-7211926028110.9863</v>
      </c>
      <c r="L5354" s="455">
        <f t="shared" ca="1" si="184"/>
        <v>-1738074172774747.8</v>
      </c>
      <c r="M5354" s="471">
        <f t="shared" si="186"/>
        <v>0.05</v>
      </c>
      <c r="N5354" s="475">
        <f t="shared" si="187"/>
        <v>214004</v>
      </c>
    </row>
    <row r="5355" spans="7:14" ht="11.25" customHeight="1" x14ac:dyDescent="0.3">
      <c r="G5355" s="470"/>
      <c r="H5355" s="470">
        <v>5348</v>
      </c>
      <c r="I5355" s="455">
        <f t="shared" ca="1" si="185"/>
        <v>-1738074172774747.8</v>
      </c>
      <c r="J5355" s="455">
        <f t="array" ref="J5355">IFERROR(INDEX('Retirement Calculator'!K:K,MATCH('Lorri 401b'!N5355,'Retirement Calculator'!A:A,0),0),0)</f>
        <v>0</v>
      </c>
      <c r="K5355" s="455">
        <f t="shared" ca="1" si="183"/>
        <v>-7241975719894.7822</v>
      </c>
      <c r="L5355" s="455">
        <f t="shared" ca="1" si="184"/>
        <v>-1745316148494642.5</v>
      </c>
      <c r="M5355" s="471">
        <f t="shared" si="186"/>
        <v>0.05</v>
      </c>
      <c r="N5355" s="475">
        <f t="shared" si="187"/>
        <v>214035</v>
      </c>
    </row>
    <row r="5356" spans="7:14" ht="11.25" customHeight="1" x14ac:dyDescent="0.3">
      <c r="G5356" s="470"/>
      <c r="H5356" s="470">
        <v>5349</v>
      </c>
      <c r="I5356" s="455">
        <f t="shared" ca="1" si="185"/>
        <v>-1745316148494642.5</v>
      </c>
      <c r="J5356" s="455">
        <f t="array" ref="J5356">IFERROR(INDEX('Retirement Calculator'!K:K,MATCH('Lorri 401b'!N5356,'Retirement Calculator'!A:A,0),0),0)</f>
        <v>0</v>
      </c>
      <c r="K5356" s="455">
        <f t="shared" ca="1" si="183"/>
        <v>-7272150618727.6768</v>
      </c>
      <c r="L5356" s="455">
        <f t="shared" ca="1" si="184"/>
        <v>-1752588299113370.3</v>
      </c>
      <c r="M5356" s="471">
        <f t="shared" si="186"/>
        <v>0.05</v>
      </c>
      <c r="N5356" s="475">
        <f t="shared" si="187"/>
        <v>214066</v>
      </c>
    </row>
    <row r="5357" spans="7:14" ht="11.25" customHeight="1" x14ac:dyDescent="0.3">
      <c r="G5357" s="470"/>
      <c r="H5357" s="470">
        <v>5350</v>
      </c>
      <c r="I5357" s="455">
        <f t="shared" ca="1" si="185"/>
        <v>-1752588299113370.3</v>
      </c>
      <c r="J5357" s="455">
        <f t="array" ref="J5357">IFERROR(INDEX('Retirement Calculator'!K:K,MATCH('Lorri 401b'!N5357,'Retirement Calculator'!A:A,0),0),0)</f>
        <v>0</v>
      </c>
      <c r="K5357" s="455">
        <f t="shared" ca="1" si="183"/>
        <v>-7302451246305.709</v>
      </c>
      <c r="L5357" s="455">
        <f t="shared" ca="1" si="184"/>
        <v>-1759890750359676</v>
      </c>
      <c r="M5357" s="471">
        <f t="shared" si="186"/>
        <v>0.05</v>
      </c>
      <c r="N5357" s="475">
        <f t="shared" si="187"/>
        <v>214094</v>
      </c>
    </row>
    <row r="5358" spans="7:14" ht="11.25" customHeight="1" x14ac:dyDescent="0.3">
      <c r="G5358" s="470"/>
      <c r="H5358" s="470">
        <v>5351</v>
      </c>
      <c r="I5358" s="455">
        <f t="shared" ca="1" si="185"/>
        <v>-1759890750359676</v>
      </c>
      <c r="J5358" s="455">
        <f t="array" ref="J5358">IFERROR(INDEX('Retirement Calculator'!K:K,MATCH('Lorri 401b'!N5358,'Retirement Calculator'!A:A,0),0),0)</f>
        <v>0</v>
      </c>
      <c r="K5358" s="455">
        <f t="shared" ca="1" si="183"/>
        <v>-7332878126498.6484</v>
      </c>
      <c r="L5358" s="455">
        <f t="shared" ca="1" si="184"/>
        <v>-1767223628486174.8</v>
      </c>
      <c r="M5358" s="471">
        <f t="shared" si="186"/>
        <v>0.05</v>
      </c>
      <c r="N5358" s="475">
        <f t="shared" si="187"/>
        <v>214125</v>
      </c>
    </row>
    <row r="5359" spans="7:14" ht="11.25" customHeight="1" x14ac:dyDescent="0.3">
      <c r="G5359" s="470"/>
      <c r="H5359" s="470">
        <v>5352</v>
      </c>
      <c r="I5359" s="455">
        <f t="shared" ca="1" si="185"/>
        <v>-1767223628486174.8</v>
      </c>
      <c r="J5359" s="455">
        <f t="array" ref="J5359">IFERROR(INDEX('Retirement Calculator'!K:K,MATCH('Lorri 401b'!N5359,'Retirement Calculator'!A:A,0),0),0)</f>
        <v>0</v>
      </c>
      <c r="K5359" s="455">
        <f t="shared" ca="1" si="183"/>
        <v>-7363431785359.0615</v>
      </c>
      <c r="L5359" s="455">
        <f t="shared" ca="1" si="184"/>
        <v>-1774587060271533.8</v>
      </c>
      <c r="M5359" s="471">
        <f t="shared" si="186"/>
        <v>0.05</v>
      </c>
      <c r="N5359" s="475">
        <f t="shared" si="187"/>
        <v>214155</v>
      </c>
    </row>
    <row r="5360" spans="7:14" ht="11.25" customHeight="1" x14ac:dyDescent="0.3">
      <c r="G5360" s="470"/>
      <c r="H5360" s="470">
        <v>5353</v>
      </c>
      <c r="I5360" s="455">
        <f t="shared" ca="1" si="185"/>
        <v>-1774587060271533.8</v>
      </c>
      <c r="J5360" s="455">
        <f t="array" ref="J5360">IFERROR(INDEX('Retirement Calculator'!K:K,MATCH('Lorri 401b'!N5360,'Retirement Calculator'!A:A,0),0),0)</f>
        <v>0</v>
      </c>
      <c r="K5360" s="455">
        <f t="shared" ca="1" si="183"/>
        <v>-7394112751131.3896</v>
      </c>
      <c r="L5360" s="455">
        <f t="shared" ca="1" si="184"/>
        <v>-1781981173022665.3</v>
      </c>
      <c r="M5360" s="471">
        <f t="shared" si="186"/>
        <v>0.05</v>
      </c>
      <c r="N5360" s="475">
        <f t="shared" si="187"/>
        <v>214186</v>
      </c>
    </row>
    <row r="5361" spans="7:14" ht="11.25" customHeight="1" x14ac:dyDescent="0.3">
      <c r="G5361" s="470"/>
      <c r="H5361" s="470">
        <v>5354</v>
      </c>
      <c r="I5361" s="455">
        <f t="shared" ca="1" si="185"/>
        <v>-1781981173022665.3</v>
      </c>
      <c r="J5361" s="455">
        <f t="array" ref="J5361">IFERROR(INDEX('Retirement Calculator'!K:K,MATCH('Lorri 401b'!N5361,'Retirement Calculator'!A:A,0),0),0)</f>
        <v>0</v>
      </c>
      <c r="K5361" s="455">
        <f t="shared" ca="1" si="183"/>
        <v>-7424921554261.1055</v>
      </c>
      <c r="L5361" s="455">
        <f t="shared" ca="1" si="184"/>
        <v>-1789406094576926.3</v>
      </c>
      <c r="M5361" s="471">
        <f t="shared" si="186"/>
        <v>0.05</v>
      </c>
      <c r="N5361" s="475">
        <f t="shared" si="187"/>
        <v>214216</v>
      </c>
    </row>
    <row r="5362" spans="7:14" ht="11.25" customHeight="1" x14ac:dyDescent="0.3">
      <c r="G5362" s="470"/>
      <c r="H5362" s="470">
        <v>5355</v>
      </c>
      <c r="I5362" s="455">
        <f t="shared" ca="1" si="185"/>
        <v>-1789406094576926.3</v>
      </c>
      <c r="J5362" s="455">
        <f t="array" ref="J5362">IFERROR(INDEX('Retirement Calculator'!K:K,MATCH('Lorri 401b'!N5362,'Retirement Calculator'!A:A,0),0),0)</f>
        <v>0</v>
      </c>
      <c r="K5362" s="455">
        <f t="shared" ca="1" si="183"/>
        <v>-7455858727403.8594</v>
      </c>
      <c r="L5362" s="455">
        <f t="shared" ca="1" si="184"/>
        <v>-1796861953304330</v>
      </c>
      <c r="M5362" s="471">
        <f t="shared" si="186"/>
        <v>0.05</v>
      </c>
      <c r="N5362" s="475">
        <f t="shared" si="187"/>
        <v>214247</v>
      </c>
    </row>
    <row r="5363" spans="7:14" ht="11.25" customHeight="1" x14ac:dyDescent="0.3">
      <c r="G5363" s="470"/>
      <c r="H5363" s="470">
        <v>5356</v>
      </c>
      <c r="I5363" s="455">
        <f t="shared" ca="1" si="185"/>
        <v>-1796861953304330</v>
      </c>
      <c r="J5363" s="455">
        <f t="array" ref="J5363">IFERROR(INDEX('Retirement Calculator'!K:K,MATCH('Lorri 401b'!N5363,'Retirement Calculator'!A:A,0),0),0)</f>
        <v>0</v>
      </c>
      <c r="K5363" s="455">
        <f t="shared" ref="K5363:K5617" ca="1" si="188">IPMT(M5363/12,1,12,-I5363+J5363,,0)</f>
        <v>-7486924805434.708</v>
      </c>
      <c r="L5363" s="455">
        <f t="shared" ref="L5363:L5617" ca="1" si="189">I5363-J5363+K5363</f>
        <v>-1804348878109764.8</v>
      </c>
      <c r="M5363" s="471">
        <f t="shared" si="186"/>
        <v>0.05</v>
      </c>
      <c r="N5363" s="475">
        <f t="shared" si="187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190">L5363</f>
        <v>-1804348878109764.8</v>
      </c>
      <c r="J5364" s="455">
        <f t="array" ref="J5364">IFERROR(INDEX('Retirement Calculator'!K:K,MATCH('Lorri 401b'!N5364,'Retirement Calculator'!A:A,0),0),0)</f>
        <v>0</v>
      </c>
      <c r="K5364" s="455">
        <f t="shared" ca="1" si="188"/>
        <v>-7518120325457.3516</v>
      </c>
      <c r="L5364" s="455">
        <f t="shared" ca="1" si="189"/>
        <v>-1811866998435222</v>
      </c>
      <c r="M5364" s="471">
        <f t="shared" ref="M5364:M5618" si="191">M5363</f>
        <v>0.05</v>
      </c>
      <c r="N5364" s="475">
        <f t="shared" ref="N5364:N5618" si="192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190"/>
        <v>-1811866998435222</v>
      </c>
      <c r="J5365" s="455">
        <f t="array" ref="J5365">IFERROR(INDEX('Retirement Calculator'!K:K,MATCH('Lorri 401b'!N5365,'Retirement Calculator'!A:A,0),0),0)</f>
        <v>0</v>
      </c>
      <c r="K5365" s="455">
        <f t="shared" ca="1" si="188"/>
        <v>-7549445826813.4248</v>
      </c>
      <c r="L5365" s="455">
        <f t="shared" ca="1" si="189"/>
        <v>-1819416444262035.5</v>
      </c>
      <c r="M5365" s="471">
        <f t="shared" si="191"/>
        <v>0.05</v>
      </c>
      <c r="N5365" s="475">
        <f t="shared" si="192"/>
        <v>214339</v>
      </c>
    </row>
    <row r="5366" spans="7:14" ht="11.25" customHeight="1" x14ac:dyDescent="0.3">
      <c r="G5366" s="470"/>
      <c r="H5366" s="470">
        <v>5359</v>
      </c>
      <c r="I5366" s="455">
        <f t="shared" ca="1" si="190"/>
        <v>-1819416444262035.5</v>
      </c>
      <c r="J5366" s="455">
        <f t="array" ref="J5366">IFERROR(INDEX('Retirement Calculator'!K:K,MATCH('Lorri 401b'!N5366,'Retirement Calculator'!A:A,0),0),0)</f>
        <v>0</v>
      </c>
      <c r="K5366" s="455">
        <f t="shared" ca="1" si="188"/>
        <v>-7580901851091.8145</v>
      </c>
      <c r="L5366" s="455">
        <f t="shared" ca="1" si="189"/>
        <v>-1826997346113127.3</v>
      </c>
      <c r="M5366" s="471">
        <f t="shared" si="191"/>
        <v>0.05</v>
      </c>
      <c r="N5366" s="475">
        <f t="shared" si="192"/>
        <v>214369</v>
      </c>
    </row>
    <row r="5367" spans="7:14" ht="11.25" customHeight="1" x14ac:dyDescent="0.3">
      <c r="G5367" s="470"/>
      <c r="H5367" s="470">
        <v>5360</v>
      </c>
      <c r="I5367" s="455">
        <f t="shared" ca="1" si="190"/>
        <v>-1826997346113127.3</v>
      </c>
      <c r="J5367" s="455">
        <f t="array" ref="J5367">IFERROR(INDEX('Retirement Calculator'!K:K,MATCH('Lorri 401b'!N5367,'Retirement Calculator'!A:A,0),0),0)</f>
        <v>0</v>
      </c>
      <c r="K5367" s="455">
        <f t="shared" ca="1" si="188"/>
        <v>-7612488942138.0313</v>
      </c>
      <c r="L5367" s="455">
        <f t="shared" ca="1" si="189"/>
        <v>-1834609835055265.3</v>
      </c>
      <c r="M5367" s="471">
        <f t="shared" si="191"/>
        <v>0.05</v>
      </c>
      <c r="N5367" s="475">
        <f t="shared" si="192"/>
        <v>214400</v>
      </c>
    </row>
    <row r="5368" spans="7:14" ht="11.25" customHeight="1" x14ac:dyDescent="0.3">
      <c r="G5368" s="470"/>
      <c r="H5368" s="470">
        <v>5361</v>
      </c>
      <c r="I5368" s="455">
        <f t="shared" ca="1" si="190"/>
        <v>-1834609835055265.3</v>
      </c>
      <c r="J5368" s="455">
        <f t="array" ref="J5368">IFERROR(INDEX('Retirement Calculator'!K:K,MATCH('Lorri 401b'!N5368,'Retirement Calculator'!A:A,0),0),0)</f>
        <v>0</v>
      </c>
      <c r="K5368" s="455">
        <f t="shared" ca="1" si="188"/>
        <v>-7644207646063.6055</v>
      </c>
      <c r="L5368" s="455">
        <f t="shared" ca="1" si="189"/>
        <v>-1842254042701328.8</v>
      </c>
      <c r="M5368" s="471">
        <f t="shared" si="191"/>
        <v>0.05</v>
      </c>
      <c r="N5368" s="475">
        <f t="shared" si="192"/>
        <v>214431</v>
      </c>
    </row>
    <row r="5369" spans="7:14" ht="11.25" customHeight="1" x14ac:dyDescent="0.3">
      <c r="G5369" s="470"/>
      <c r="H5369" s="470">
        <v>5362</v>
      </c>
      <c r="I5369" s="455">
        <f t="shared" ca="1" si="190"/>
        <v>-1842254042701328.8</v>
      </c>
      <c r="J5369" s="455">
        <f t="array" ref="J5369">IFERROR(INDEX('Retirement Calculator'!K:K,MATCH('Lorri 401b'!N5369,'Retirement Calculator'!A:A,0),0),0)</f>
        <v>0</v>
      </c>
      <c r="K5369" s="455">
        <f t="shared" ca="1" si="188"/>
        <v>-7676058511255.5352</v>
      </c>
      <c r="L5369" s="455">
        <f t="shared" ca="1" si="189"/>
        <v>-1849930101212584.3</v>
      </c>
      <c r="M5369" s="471">
        <f t="shared" si="191"/>
        <v>0.05</v>
      </c>
      <c r="N5369" s="475">
        <f t="shared" si="192"/>
        <v>214459</v>
      </c>
    </row>
    <row r="5370" spans="7:14" ht="11.25" customHeight="1" x14ac:dyDescent="0.3">
      <c r="G5370" s="470"/>
      <c r="H5370" s="470">
        <v>5363</v>
      </c>
      <c r="I5370" s="455">
        <f t="shared" ca="1" si="190"/>
        <v>-1849930101212584.3</v>
      </c>
      <c r="J5370" s="455">
        <f t="array" ref="J5370">IFERROR(INDEX('Retirement Calculator'!K:K,MATCH('Lorri 401b'!N5370,'Retirement Calculator'!A:A,0),0),0)</f>
        <v>0</v>
      </c>
      <c r="K5370" s="455">
        <f t="shared" ca="1" si="188"/>
        <v>-7708042088385.7676</v>
      </c>
      <c r="L5370" s="455">
        <f t="shared" ca="1" si="189"/>
        <v>-1857638143300970</v>
      </c>
      <c r="M5370" s="471">
        <f t="shared" si="191"/>
        <v>0.05</v>
      </c>
      <c r="N5370" s="475">
        <f t="shared" si="192"/>
        <v>214490</v>
      </c>
    </row>
    <row r="5371" spans="7:14" ht="11.25" customHeight="1" x14ac:dyDescent="0.3">
      <c r="G5371" s="470"/>
      <c r="H5371" s="470">
        <v>5364</v>
      </c>
      <c r="I5371" s="455">
        <f t="shared" ca="1" si="190"/>
        <v>-1857638143300970</v>
      </c>
      <c r="J5371" s="455">
        <f t="array" ref="J5371">IFERROR(INDEX('Retirement Calculator'!K:K,MATCH('Lorri 401b'!N5371,'Retirement Calculator'!A:A,0),0),0)</f>
        <v>0</v>
      </c>
      <c r="K5371" s="455">
        <f t="shared" ca="1" si="188"/>
        <v>-7740158930420.707</v>
      </c>
      <c r="L5371" s="455">
        <f t="shared" ca="1" si="189"/>
        <v>-1865378302231390.8</v>
      </c>
      <c r="M5371" s="471">
        <f t="shared" si="191"/>
        <v>0.05</v>
      </c>
      <c r="N5371" s="475">
        <f t="shared" si="192"/>
        <v>214520</v>
      </c>
    </row>
    <row r="5372" spans="7:14" ht="11.25" customHeight="1" x14ac:dyDescent="0.3">
      <c r="G5372" s="470"/>
      <c r="H5372" s="470">
        <v>5365</v>
      </c>
      <c r="I5372" s="455">
        <f t="shared" ca="1" si="190"/>
        <v>-1865378302231390.8</v>
      </c>
      <c r="J5372" s="455">
        <f t="array" ref="J5372">IFERROR(INDEX('Retirement Calculator'!K:K,MATCH('Lorri 401b'!N5372,'Retirement Calculator'!A:A,0),0),0)</f>
        <v>0</v>
      </c>
      <c r="K5372" s="455">
        <f t="shared" ca="1" si="188"/>
        <v>-7772409592630.7939</v>
      </c>
      <c r="L5372" s="455">
        <f t="shared" ca="1" si="189"/>
        <v>-1873150711824021.5</v>
      </c>
      <c r="M5372" s="471">
        <f t="shared" si="191"/>
        <v>0.05</v>
      </c>
      <c r="N5372" s="475">
        <f t="shared" si="192"/>
        <v>214551</v>
      </c>
    </row>
    <row r="5373" spans="7:14" ht="11.25" customHeight="1" x14ac:dyDescent="0.3">
      <c r="G5373" s="470"/>
      <c r="H5373" s="470">
        <v>5366</v>
      </c>
      <c r="I5373" s="455">
        <f t="shared" ca="1" si="190"/>
        <v>-1873150711824021.5</v>
      </c>
      <c r="J5373" s="455">
        <f t="array" ref="J5373">IFERROR(INDEX('Retirement Calculator'!K:K,MATCH('Lorri 401b'!N5373,'Retirement Calculator'!A:A,0),0),0)</f>
        <v>0</v>
      </c>
      <c r="K5373" s="455">
        <f t="shared" ca="1" si="188"/>
        <v>-7804794632600.0898</v>
      </c>
      <c r="L5373" s="455">
        <f t="shared" ca="1" si="189"/>
        <v>-1880955506456621.5</v>
      </c>
      <c r="M5373" s="471">
        <f t="shared" si="191"/>
        <v>0.05</v>
      </c>
      <c r="N5373" s="475">
        <f t="shared" si="192"/>
        <v>214581</v>
      </c>
    </row>
    <row r="5374" spans="7:14" ht="11.25" customHeight="1" x14ac:dyDescent="0.3">
      <c r="G5374" s="470"/>
      <c r="H5374" s="470">
        <v>5367</v>
      </c>
      <c r="I5374" s="455">
        <f t="shared" ca="1" si="190"/>
        <v>-1880955506456621.5</v>
      </c>
      <c r="J5374" s="455">
        <f t="array" ref="J5374">IFERROR(INDEX('Retirement Calculator'!K:K,MATCH('Lorri 401b'!N5374,'Retirement Calculator'!A:A,0),0),0)</f>
        <v>0</v>
      </c>
      <c r="K5374" s="455">
        <f t="shared" ca="1" si="188"/>
        <v>-7837314610235.9229</v>
      </c>
      <c r="L5374" s="455">
        <f t="shared" ca="1" si="189"/>
        <v>-1888792821066857.5</v>
      </c>
      <c r="M5374" s="471">
        <f t="shared" si="191"/>
        <v>0.05</v>
      </c>
      <c r="N5374" s="475">
        <f t="shared" si="192"/>
        <v>214612</v>
      </c>
    </row>
    <row r="5375" spans="7:14" ht="11.25" customHeight="1" x14ac:dyDescent="0.3">
      <c r="G5375" s="470"/>
      <c r="H5375" s="470">
        <v>5368</v>
      </c>
      <c r="I5375" s="455">
        <f t="shared" ca="1" si="190"/>
        <v>-1888792821066857.5</v>
      </c>
      <c r="J5375" s="455">
        <f t="array" ref="J5375">IFERROR(INDEX('Retirement Calculator'!K:K,MATCH('Lorri 401b'!N5375,'Retirement Calculator'!A:A,0),0),0)</f>
        <v>0</v>
      </c>
      <c r="K5375" s="455">
        <f t="shared" ca="1" si="188"/>
        <v>-7869970087778.5732</v>
      </c>
      <c r="L5375" s="455">
        <f t="shared" ca="1" si="189"/>
        <v>-1896662791154636</v>
      </c>
      <c r="M5375" s="471">
        <f t="shared" si="191"/>
        <v>0.05</v>
      </c>
      <c r="N5375" s="475">
        <f t="shared" si="192"/>
        <v>214643</v>
      </c>
    </row>
    <row r="5376" spans="7:14" ht="11.25" customHeight="1" x14ac:dyDescent="0.3">
      <c r="G5376" s="470"/>
      <c r="H5376" s="470">
        <v>5369</v>
      </c>
      <c r="I5376" s="455">
        <f t="shared" ca="1" si="190"/>
        <v>-1896662791154636</v>
      </c>
      <c r="J5376" s="455">
        <f t="array" ref="J5376">IFERROR(INDEX('Retirement Calculator'!K:K,MATCH('Lorri 401b'!N5376,'Retirement Calculator'!A:A,0),0),0)</f>
        <v>0</v>
      </c>
      <c r="K5376" s="455">
        <f t="shared" ca="1" si="188"/>
        <v>-7902761629810.9834</v>
      </c>
      <c r="L5376" s="455">
        <f t="shared" ca="1" si="189"/>
        <v>-1904565552784447</v>
      </c>
      <c r="M5376" s="471">
        <f t="shared" si="191"/>
        <v>0.05</v>
      </c>
      <c r="N5376" s="475">
        <f t="shared" si="192"/>
        <v>214673</v>
      </c>
    </row>
    <row r="5377" spans="7:14" ht="11.25" customHeight="1" x14ac:dyDescent="0.3">
      <c r="G5377" s="470"/>
      <c r="H5377" s="470">
        <v>5370</v>
      </c>
      <c r="I5377" s="455">
        <f t="shared" ca="1" si="190"/>
        <v>-1904565552784447</v>
      </c>
      <c r="J5377" s="455">
        <f t="array" ref="J5377">IFERROR(INDEX('Retirement Calculator'!K:K,MATCH('Lorri 401b'!N5377,'Retirement Calculator'!A:A,0),0),0)</f>
        <v>0</v>
      </c>
      <c r="K5377" s="455">
        <f t="shared" ca="1" si="188"/>
        <v>-7935689803268.5283</v>
      </c>
      <c r="L5377" s="455">
        <f t="shared" ca="1" si="189"/>
        <v>-1912501242587715.5</v>
      </c>
      <c r="M5377" s="471">
        <f t="shared" si="191"/>
        <v>0.05</v>
      </c>
      <c r="N5377" s="475">
        <f t="shared" si="192"/>
        <v>214704</v>
      </c>
    </row>
    <row r="5378" spans="7:14" ht="11.25" customHeight="1" x14ac:dyDescent="0.3">
      <c r="G5378" s="470"/>
      <c r="H5378" s="470">
        <v>5371</v>
      </c>
      <c r="I5378" s="455">
        <f t="shared" ca="1" si="190"/>
        <v>-1912501242587715.5</v>
      </c>
      <c r="J5378" s="455">
        <f t="array" ref="J5378">IFERROR(INDEX('Retirement Calculator'!K:K,MATCH('Lorri 401b'!N5378,'Retirement Calculator'!A:A,0),0),0)</f>
        <v>0</v>
      </c>
      <c r="K5378" s="455">
        <f t="shared" ca="1" si="188"/>
        <v>-7968755177448.8145</v>
      </c>
      <c r="L5378" s="455">
        <f t="shared" ca="1" si="189"/>
        <v>-1920469997765164.3</v>
      </c>
      <c r="M5378" s="471">
        <f t="shared" si="191"/>
        <v>0.05</v>
      </c>
      <c r="N5378" s="475">
        <f t="shared" si="192"/>
        <v>214734</v>
      </c>
    </row>
    <row r="5379" spans="7:14" ht="11.25" customHeight="1" x14ac:dyDescent="0.3">
      <c r="G5379" s="470"/>
      <c r="H5379" s="470">
        <v>5372</v>
      </c>
      <c r="I5379" s="455">
        <f t="shared" ca="1" si="190"/>
        <v>-1920469997765164.3</v>
      </c>
      <c r="J5379" s="455">
        <f t="array" ref="J5379">IFERROR(INDEX('Retirement Calculator'!K:K,MATCH('Lorri 401b'!N5379,'Retirement Calculator'!A:A,0),0),0)</f>
        <v>0</v>
      </c>
      <c r="K5379" s="455">
        <f t="shared" ca="1" si="188"/>
        <v>-8001958324021.5176</v>
      </c>
      <c r="L5379" s="455">
        <f t="shared" ca="1" si="189"/>
        <v>-1928471956089185.8</v>
      </c>
      <c r="M5379" s="471">
        <f t="shared" si="191"/>
        <v>0.05</v>
      </c>
      <c r="N5379" s="475">
        <f t="shared" si="192"/>
        <v>214765</v>
      </c>
    </row>
    <row r="5380" spans="7:14" ht="11.25" customHeight="1" x14ac:dyDescent="0.3">
      <c r="G5380" s="470"/>
      <c r="H5380" s="470">
        <v>5373</v>
      </c>
      <c r="I5380" s="455">
        <f t="shared" ca="1" si="190"/>
        <v>-1928471956089185.8</v>
      </c>
      <c r="J5380" s="455">
        <f t="array" ref="J5380">IFERROR(INDEX('Retirement Calculator'!K:K,MATCH('Lorri 401b'!N5380,'Retirement Calculator'!A:A,0),0),0)</f>
        <v>0</v>
      </c>
      <c r="K5380" s="455">
        <f t="shared" ca="1" si="188"/>
        <v>-8035299817038.2744</v>
      </c>
      <c r="L5380" s="455">
        <f t="shared" ca="1" si="189"/>
        <v>-1936507255906224</v>
      </c>
      <c r="M5380" s="471">
        <f t="shared" si="191"/>
        <v>0.05</v>
      </c>
      <c r="N5380" s="475">
        <f t="shared" si="192"/>
        <v>214796</v>
      </c>
    </row>
    <row r="5381" spans="7:14" ht="11.25" customHeight="1" x14ac:dyDescent="0.3">
      <c r="G5381" s="470"/>
      <c r="H5381" s="470">
        <v>5374</v>
      </c>
      <c r="I5381" s="455">
        <f t="shared" ca="1" si="190"/>
        <v>-1936507255906224</v>
      </c>
      <c r="J5381" s="455">
        <f t="array" ref="J5381">IFERROR(INDEX('Retirement Calculator'!K:K,MATCH('Lorri 401b'!N5381,'Retirement Calculator'!A:A,0),0),0)</f>
        <v>0</v>
      </c>
      <c r="K5381" s="455">
        <f t="shared" ca="1" si="188"/>
        <v>-8068780232942.5996</v>
      </c>
      <c r="L5381" s="455">
        <f t="shared" ca="1" si="189"/>
        <v>-1944576036139166.5</v>
      </c>
      <c r="M5381" s="471">
        <f t="shared" si="191"/>
        <v>0.05</v>
      </c>
      <c r="N5381" s="475">
        <f t="shared" si="192"/>
        <v>214825</v>
      </c>
    </row>
    <row r="5382" spans="7:14" ht="11.25" customHeight="1" x14ac:dyDescent="0.3">
      <c r="G5382" s="470"/>
      <c r="H5382" s="470">
        <v>5375</v>
      </c>
      <c r="I5382" s="455">
        <f t="shared" ca="1" si="190"/>
        <v>-1944576036139166.5</v>
      </c>
      <c r="J5382" s="455">
        <f t="array" ref="J5382">IFERROR(INDEX('Retirement Calculator'!K:K,MATCH('Lorri 401b'!N5382,'Retirement Calculator'!A:A,0),0),0)</f>
        <v>0</v>
      </c>
      <c r="K5382" s="455">
        <f t="shared" ca="1" si="188"/>
        <v>-8102400150579.8604</v>
      </c>
      <c r="L5382" s="455">
        <f t="shared" ca="1" si="189"/>
        <v>-1952678436289746.3</v>
      </c>
      <c r="M5382" s="471">
        <f t="shared" si="191"/>
        <v>0.05</v>
      </c>
      <c r="N5382" s="475">
        <f t="shared" si="192"/>
        <v>214856</v>
      </c>
    </row>
    <row r="5383" spans="7:14" ht="11.25" customHeight="1" x14ac:dyDescent="0.3">
      <c r="G5383" s="470"/>
      <c r="H5383" s="470">
        <v>5376</v>
      </c>
      <c r="I5383" s="455">
        <f t="shared" ca="1" si="190"/>
        <v>-1952678436289746.3</v>
      </c>
      <c r="J5383" s="455">
        <f t="array" ref="J5383">IFERROR(INDEX('Retirement Calculator'!K:K,MATCH('Lorri 401b'!N5383,'Retirement Calculator'!A:A,0),0),0)</f>
        <v>0</v>
      </c>
      <c r="K5383" s="455">
        <f t="shared" ca="1" si="188"/>
        <v>-8136160151207.2764</v>
      </c>
      <c r="L5383" s="455">
        <f t="shared" ca="1" si="189"/>
        <v>-1960814596440953.5</v>
      </c>
      <c r="M5383" s="471">
        <f t="shared" si="191"/>
        <v>0.05</v>
      </c>
      <c r="N5383" s="475">
        <f t="shared" si="192"/>
        <v>214886</v>
      </c>
    </row>
    <row r="5384" spans="7:14" ht="11.25" customHeight="1" x14ac:dyDescent="0.3">
      <c r="G5384" s="470"/>
      <c r="H5384" s="470">
        <v>5377</v>
      </c>
      <c r="I5384" s="455">
        <f t="shared" ca="1" si="190"/>
        <v>-1960814596440953.5</v>
      </c>
      <c r="J5384" s="455">
        <f t="array" ref="J5384">IFERROR(INDEX('Retirement Calculator'!K:K,MATCH('Lorri 401b'!N5384,'Retirement Calculator'!A:A,0),0),0)</f>
        <v>0</v>
      </c>
      <c r="K5384" s="455">
        <f t="shared" ca="1" si="188"/>
        <v>-8170060818503.9736</v>
      </c>
      <c r="L5384" s="455">
        <f t="shared" ca="1" si="189"/>
        <v>-1968984657259457.5</v>
      </c>
      <c r="M5384" s="471">
        <f t="shared" si="191"/>
        <v>0.05</v>
      </c>
      <c r="N5384" s="475">
        <f t="shared" si="192"/>
        <v>214917</v>
      </c>
    </row>
    <row r="5385" spans="7:14" ht="11.25" customHeight="1" x14ac:dyDescent="0.3">
      <c r="G5385" s="470"/>
      <c r="H5385" s="470">
        <v>5378</v>
      </c>
      <c r="I5385" s="455">
        <f t="shared" ca="1" si="190"/>
        <v>-1968984657259457.5</v>
      </c>
      <c r="J5385" s="455">
        <f t="array" ref="J5385">IFERROR(INDEX('Retirement Calculator'!K:K,MATCH('Lorri 401b'!N5385,'Retirement Calculator'!A:A,0),0),0)</f>
        <v>0</v>
      </c>
      <c r="K5385" s="455">
        <f t="shared" ca="1" si="188"/>
        <v>-8204102738581.0732</v>
      </c>
      <c r="L5385" s="455">
        <f t="shared" ca="1" si="189"/>
        <v>-1977188759998038.5</v>
      </c>
      <c r="M5385" s="471">
        <f t="shared" si="191"/>
        <v>0.05</v>
      </c>
      <c r="N5385" s="475">
        <f t="shared" si="192"/>
        <v>214947</v>
      </c>
    </row>
    <row r="5386" spans="7:14" ht="11.25" customHeight="1" x14ac:dyDescent="0.3">
      <c r="G5386" s="470"/>
      <c r="H5386" s="470">
        <v>5379</v>
      </c>
      <c r="I5386" s="455">
        <f t="shared" ca="1" si="190"/>
        <v>-1977188759998038.5</v>
      </c>
      <c r="J5386" s="455">
        <f t="array" ref="J5386">IFERROR(INDEX('Retirement Calculator'!K:K,MATCH('Lorri 401b'!N5386,'Retirement Calculator'!A:A,0),0),0)</f>
        <v>0</v>
      </c>
      <c r="K5386" s="455">
        <f t="shared" ca="1" si="188"/>
        <v>-8238286499991.8281</v>
      </c>
      <c r="L5386" s="455">
        <f t="shared" ca="1" si="189"/>
        <v>-1985427046498030.3</v>
      </c>
      <c r="M5386" s="471">
        <f t="shared" si="191"/>
        <v>0.05</v>
      </c>
      <c r="N5386" s="475">
        <f t="shared" si="192"/>
        <v>214978</v>
      </c>
    </row>
    <row r="5387" spans="7:14" ht="11.25" customHeight="1" x14ac:dyDescent="0.3">
      <c r="G5387" s="470"/>
      <c r="H5387" s="470">
        <v>5380</v>
      </c>
      <c r="I5387" s="455">
        <f t="shared" ca="1" si="190"/>
        <v>-1985427046498030.3</v>
      </c>
      <c r="J5387" s="455">
        <f t="array" ref="J5387">IFERROR(INDEX('Retirement Calculator'!K:K,MATCH('Lorri 401b'!N5387,'Retirement Calculator'!A:A,0),0),0)</f>
        <v>0</v>
      </c>
      <c r="K5387" s="455">
        <f t="shared" ca="1" si="188"/>
        <v>-8272612693741.793</v>
      </c>
      <c r="L5387" s="455">
        <f t="shared" ca="1" si="189"/>
        <v>-1993699659191772</v>
      </c>
      <c r="M5387" s="471">
        <f t="shared" si="191"/>
        <v>0.05</v>
      </c>
      <c r="N5387" s="475">
        <f t="shared" si="192"/>
        <v>215009</v>
      </c>
    </row>
    <row r="5388" spans="7:14" ht="11.25" customHeight="1" x14ac:dyDescent="0.3">
      <c r="G5388" s="470"/>
      <c r="H5388" s="470">
        <v>5381</v>
      </c>
      <c r="I5388" s="455">
        <f t="shared" ca="1" si="190"/>
        <v>-1993699659191772</v>
      </c>
      <c r="J5388" s="455">
        <f t="array" ref="J5388">IFERROR(INDEX('Retirement Calculator'!K:K,MATCH('Lorri 401b'!N5388,'Retirement Calculator'!A:A,0),0),0)</f>
        <v>0</v>
      </c>
      <c r="K5388" s="455">
        <f t="shared" ca="1" si="188"/>
        <v>-8307081913299.0488</v>
      </c>
      <c r="L5388" s="455">
        <f t="shared" ca="1" si="189"/>
        <v>-2002006741105071</v>
      </c>
      <c r="M5388" s="471">
        <f t="shared" si="191"/>
        <v>0.05</v>
      </c>
      <c r="N5388" s="475">
        <f t="shared" si="192"/>
        <v>215039</v>
      </c>
    </row>
    <row r="5389" spans="7:14" ht="11.25" customHeight="1" x14ac:dyDescent="0.3">
      <c r="G5389" s="470"/>
      <c r="H5389" s="470">
        <v>5382</v>
      </c>
      <c r="I5389" s="455">
        <f t="shared" ca="1" si="190"/>
        <v>-2002006741105071</v>
      </c>
      <c r="J5389" s="455">
        <f t="array" ref="J5389">IFERROR(INDEX('Retirement Calculator'!K:K,MATCH('Lorri 401b'!N5389,'Retirement Calculator'!A:A,0),0),0)</f>
        <v>0</v>
      </c>
      <c r="K5389" s="455">
        <f t="shared" ca="1" si="188"/>
        <v>-8341694754604.4619</v>
      </c>
      <c r="L5389" s="455">
        <f t="shared" ca="1" si="189"/>
        <v>-2010348435859675.5</v>
      </c>
      <c r="M5389" s="471">
        <f t="shared" si="191"/>
        <v>0.05</v>
      </c>
      <c r="N5389" s="475">
        <f t="shared" si="192"/>
        <v>215070</v>
      </c>
    </row>
    <row r="5390" spans="7:14" ht="11.25" customHeight="1" x14ac:dyDescent="0.3">
      <c r="G5390" s="470"/>
      <c r="H5390" s="470">
        <v>5383</v>
      </c>
      <c r="I5390" s="455">
        <f t="shared" ca="1" si="190"/>
        <v>-2010348435859675.5</v>
      </c>
      <c r="J5390" s="455">
        <f t="array" ref="J5390">IFERROR(INDEX('Retirement Calculator'!K:K,MATCH('Lorri 401b'!N5390,'Retirement Calculator'!A:A,0),0),0)</f>
        <v>0</v>
      </c>
      <c r="K5390" s="455">
        <f t="shared" ca="1" si="188"/>
        <v>-8376451816081.9805</v>
      </c>
      <c r="L5390" s="455">
        <f t="shared" ca="1" si="189"/>
        <v>-2018724887675757.5</v>
      </c>
      <c r="M5390" s="471">
        <f t="shared" si="191"/>
        <v>0.05</v>
      </c>
      <c r="N5390" s="475">
        <f t="shared" si="192"/>
        <v>215100</v>
      </c>
    </row>
    <row r="5391" spans="7:14" ht="11.25" customHeight="1" x14ac:dyDescent="0.3">
      <c r="G5391" s="470"/>
      <c r="H5391" s="470">
        <v>5384</v>
      </c>
      <c r="I5391" s="455">
        <f t="shared" ca="1" si="190"/>
        <v>-2018724887675757.5</v>
      </c>
      <c r="J5391" s="455">
        <f t="array" ref="J5391">IFERROR(INDEX('Retirement Calculator'!K:K,MATCH('Lorri 401b'!N5391,'Retirement Calculator'!A:A,0),0),0)</f>
        <v>0</v>
      </c>
      <c r="K5391" s="455">
        <f t="shared" ca="1" si="188"/>
        <v>-8411353698648.9893</v>
      </c>
      <c r="L5391" s="455">
        <f t="shared" ca="1" si="189"/>
        <v>-2027136241374406.5</v>
      </c>
      <c r="M5391" s="471">
        <f t="shared" si="191"/>
        <v>0.05</v>
      </c>
      <c r="N5391" s="475">
        <f t="shared" si="192"/>
        <v>215131</v>
      </c>
    </row>
    <row r="5392" spans="7:14" ht="11.25" customHeight="1" x14ac:dyDescent="0.3">
      <c r="G5392" s="470"/>
      <c r="H5392" s="470">
        <v>5385</v>
      </c>
      <c r="I5392" s="455">
        <f t="shared" ca="1" si="190"/>
        <v>-2027136241374406.5</v>
      </c>
      <c r="J5392" s="455">
        <f t="array" ref="J5392">IFERROR(INDEX('Retirement Calculator'!K:K,MATCH('Lorri 401b'!N5392,'Retirement Calculator'!A:A,0),0),0)</f>
        <v>0</v>
      </c>
      <c r="K5392" s="455">
        <f t="shared" ca="1" si="188"/>
        <v>-8446401005726.6924</v>
      </c>
      <c r="L5392" s="455">
        <f t="shared" ca="1" si="189"/>
        <v>-2035582642380133.3</v>
      </c>
      <c r="M5392" s="471">
        <f t="shared" si="191"/>
        <v>0.05</v>
      </c>
      <c r="N5392" s="475">
        <f t="shared" si="192"/>
        <v>215162</v>
      </c>
    </row>
    <row r="5393" spans="7:14" ht="11.25" customHeight="1" x14ac:dyDescent="0.3">
      <c r="G5393" s="470"/>
      <c r="H5393" s="470">
        <v>5386</v>
      </c>
      <c r="I5393" s="455">
        <f t="shared" ca="1" si="190"/>
        <v>-2035582642380133.3</v>
      </c>
      <c r="J5393" s="455">
        <f t="array" ref="J5393">IFERROR(INDEX('Retirement Calculator'!K:K,MATCH('Lorri 401b'!N5393,'Retirement Calculator'!A:A,0),0),0)</f>
        <v>0</v>
      </c>
      <c r="K5393" s="455">
        <f t="shared" ca="1" si="188"/>
        <v>-8481594343250.5557</v>
      </c>
      <c r="L5393" s="455">
        <f t="shared" ca="1" si="189"/>
        <v>-2044064236723383.8</v>
      </c>
      <c r="M5393" s="471">
        <f t="shared" si="191"/>
        <v>0.05</v>
      </c>
      <c r="N5393" s="475">
        <f t="shared" si="192"/>
        <v>215190</v>
      </c>
    </row>
    <row r="5394" spans="7:14" ht="11.25" customHeight="1" x14ac:dyDescent="0.3">
      <c r="G5394" s="470"/>
      <c r="H5394" s="470">
        <v>5387</v>
      </c>
      <c r="I5394" s="455">
        <f t="shared" ca="1" si="190"/>
        <v>-2044064236723383.8</v>
      </c>
      <c r="J5394" s="455">
        <f t="array" ref="J5394">IFERROR(INDEX('Retirement Calculator'!K:K,MATCH('Lorri 401b'!N5394,'Retirement Calculator'!A:A,0),0),0)</f>
        <v>0</v>
      </c>
      <c r="K5394" s="455">
        <f t="shared" ca="1" si="188"/>
        <v>-8516934319680.7656</v>
      </c>
      <c r="L5394" s="455">
        <f t="shared" ca="1" si="189"/>
        <v>-2052581171043064.5</v>
      </c>
      <c r="M5394" s="471">
        <f t="shared" si="191"/>
        <v>0.05</v>
      </c>
      <c r="N5394" s="475">
        <f t="shared" si="192"/>
        <v>215221</v>
      </c>
    </row>
    <row r="5395" spans="7:14" ht="11.25" customHeight="1" x14ac:dyDescent="0.3">
      <c r="G5395" s="470"/>
      <c r="H5395" s="470">
        <v>5388</v>
      </c>
      <c r="I5395" s="455">
        <f t="shared" ca="1" si="190"/>
        <v>-2052581171043064.5</v>
      </c>
      <c r="J5395" s="455">
        <f t="array" ref="J5395">IFERROR(INDEX('Retirement Calculator'!K:K,MATCH('Lorri 401b'!N5395,'Retirement Calculator'!A:A,0),0),0)</f>
        <v>0</v>
      </c>
      <c r="K5395" s="455">
        <f t="shared" ca="1" si="188"/>
        <v>-8552421546012.7676</v>
      </c>
      <c r="L5395" s="455">
        <f t="shared" ca="1" si="189"/>
        <v>-2061133592589077.3</v>
      </c>
      <c r="M5395" s="471">
        <f t="shared" si="191"/>
        <v>0.05</v>
      </c>
      <c r="N5395" s="475">
        <f t="shared" si="192"/>
        <v>215251</v>
      </c>
    </row>
    <row r="5396" spans="7:14" ht="11.25" customHeight="1" x14ac:dyDescent="0.3">
      <c r="G5396" s="470"/>
      <c r="H5396" s="470">
        <v>5389</v>
      </c>
      <c r="I5396" s="455">
        <f t="shared" ca="1" si="190"/>
        <v>-2061133592589077.3</v>
      </c>
      <c r="J5396" s="455">
        <f t="array" ref="J5396">IFERROR(INDEX('Retirement Calculator'!K:K,MATCH('Lorri 401b'!N5396,'Retirement Calculator'!A:A,0),0),0)</f>
        <v>0</v>
      </c>
      <c r="K5396" s="455">
        <f t="shared" ca="1" si="188"/>
        <v>-8588056635787.8213</v>
      </c>
      <c r="L5396" s="455">
        <f t="shared" ca="1" si="189"/>
        <v>-2069721649224865</v>
      </c>
      <c r="M5396" s="471">
        <f t="shared" si="191"/>
        <v>0.05</v>
      </c>
      <c r="N5396" s="475">
        <f t="shared" si="192"/>
        <v>215282</v>
      </c>
    </row>
    <row r="5397" spans="7:14" ht="11.25" customHeight="1" x14ac:dyDescent="0.3">
      <c r="G5397" s="470"/>
      <c r="H5397" s="470">
        <v>5390</v>
      </c>
      <c r="I5397" s="455">
        <f t="shared" ca="1" si="190"/>
        <v>-2069721649224865</v>
      </c>
      <c r="J5397" s="455">
        <f t="array" ref="J5397">IFERROR(INDEX('Retirement Calculator'!K:K,MATCH('Lorri 401b'!N5397,'Retirement Calculator'!A:A,0),0),0)</f>
        <v>0</v>
      </c>
      <c r="K5397" s="455">
        <f t="shared" ca="1" si="188"/>
        <v>-8623840205103.6025</v>
      </c>
      <c r="L5397" s="455">
        <f t="shared" ca="1" si="189"/>
        <v>-2078345489429968.5</v>
      </c>
      <c r="M5397" s="471">
        <f t="shared" si="191"/>
        <v>0.05</v>
      </c>
      <c r="N5397" s="475">
        <f t="shared" si="192"/>
        <v>215312</v>
      </c>
    </row>
    <row r="5398" spans="7:14" ht="11.25" customHeight="1" x14ac:dyDescent="0.3">
      <c r="G5398" s="470"/>
      <c r="H5398" s="470">
        <v>5391</v>
      </c>
      <c r="I5398" s="455">
        <f t="shared" ca="1" si="190"/>
        <v>-2078345489429968.5</v>
      </c>
      <c r="J5398" s="455">
        <f t="array" ref="J5398">IFERROR(INDEX('Retirement Calculator'!K:K,MATCH('Lorri 401b'!N5398,'Retirement Calculator'!A:A,0),0),0)</f>
        <v>0</v>
      </c>
      <c r="K5398" s="455">
        <f t="shared" ca="1" si="188"/>
        <v>-8659772872624.8682</v>
      </c>
      <c r="L5398" s="455">
        <f t="shared" ca="1" si="189"/>
        <v>-2087005262302593.3</v>
      </c>
      <c r="M5398" s="471">
        <f t="shared" si="191"/>
        <v>0.05</v>
      </c>
      <c r="N5398" s="475">
        <f t="shared" si="192"/>
        <v>215343</v>
      </c>
    </row>
    <row r="5399" spans="7:14" ht="11.25" customHeight="1" x14ac:dyDescent="0.3">
      <c r="G5399" s="470"/>
      <c r="H5399" s="470">
        <v>5392</v>
      </c>
      <c r="I5399" s="455">
        <f t="shared" ca="1" si="190"/>
        <v>-2087005262302593.3</v>
      </c>
      <c r="J5399" s="455">
        <f t="array" ref="J5399">IFERROR(INDEX('Retirement Calculator'!K:K,MATCH('Lorri 401b'!N5399,'Retirement Calculator'!A:A,0),0),0)</f>
        <v>0</v>
      </c>
      <c r="K5399" s="455">
        <f t="shared" ca="1" si="188"/>
        <v>-8695855259594.1377</v>
      </c>
      <c r="L5399" s="455">
        <f t="shared" ca="1" si="189"/>
        <v>-2095701117562187.5</v>
      </c>
      <c r="M5399" s="471">
        <f t="shared" si="191"/>
        <v>0.05</v>
      </c>
      <c r="N5399" s="475">
        <f t="shared" si="192"/>
        <v>215374</v>
      </c>
    </row>
    <row r="5400" spans="7:14" ht="11.25" customHeight="1" x14ac:dyDescent="0.3">
      <c r="G5400" s="470"/>
      <c r="H5400" s="470">
        <v>5393</v>
      </c>
      <c r="I5400" s="455">
        <f t="shared" ca="1" si="190"/>
        <v>-2095701117562187.5</v>
      </c>
      <c r="J5400" s="455">
        <f t="array" ref="J5400">IFERROR(INDEX('Retirement Calculator'!K:K,MATCH('Lorri 401b'!N5400,'Retirement Calculator'!A:A,0),0),0)</f>
        <v>0</v>
      </c>
      <c r="K5400" s="455">
        <f t="shared" ca="1" si="188"/>
        <v>-8732087989842.4482</v>
      </c>
      <c r="L5400" s="455">
        <f t="shared" ca="1" si="189"/>
        <v>-2104433205552030</v>
      </c>
      <c r="M5400" s="471">
        <f t="shared" si="191"/>
        <v>0.05</v>
      </c>
      <c r="N5400" s="475">
        <f t="shared" si="192"/>
        <v>215404</v>
      </c>
    </row>
    <row r="5401" spans="7:14" ht="11.25" customHeight="1" x14ac:dyDescent="0.3">
      <c r="G5401" s="470"/>
      <c r="H5401" s="470">
        <v>5394</v>
      </c>
      <c r="I5401" s="455">
        <f t="shared" ca="1" si="190"/>
        <v>-2104433205552030</v>
      </c>
      <c r="J5401" s="455">
        <f t="array" ref="J5401">IFERROR(INDEX('Retirement Calculator'!K:K,MATCH('Lorri 401b'!N5401,'Retirement Calculator'!A:A,0),0),0)</f>
        <v>0</v>
      </c>
      <c r="K5401" s="455">
        <f t="shared" ca="1" si="188"/>
        <v>-8768471689800.124</v>
      </c>
      <c r="L5401" s="455">
        <f t="shared" ca="1" si="189"/>
        <v>-2113201677241830</v>
      </c>
      <c r="M5401" s="471">
        <f t="shared" si="191"/>
        <v>0.05</v>
      </c>
      <c r="N5401" s="475">
        <f t="shared" si="192"/>
        <v>215435</v>
      </c>
    </row>
    <row r="5402" spans="7:14" ht="11.25" customHeight="1" x14ac:dyDescent="0.3">
      <c r="G5402" s="470"/>
      <c r="H5402" s="470">
        <v>5395</v>
      </c>
      <c r="I5402" s="455">
        <f t="shared" ca="1" si="190"/>
        <v>-2113201677241830</v>
      </c>
      <c r="J5402" s="455">
        <f t="array" ref="J5402">IFERROR(INDEX('Retirement Calculator'!K:K,MATCH('Lorri 401b'!N5402,'Retirement Calculator'!A:A,0),0),0)</f>
        <v>0</v>
      </c>
      <c r="K5402" s="455">
        <f t="shared" ca="1" si="188"/>
        <v>-8805006988507.625</v>
      </c>
      <c r="L5402" s="455">
        <f t="shared" ca="1" si="189"/>
        <v>-2122006684230337.5</v>
      </c>
      <c r="M5402" s="471">
        <f t="shared" si="191"/>
        <v>0.05</v>
      </c>
      <c r="N5402" s="475">
        <f t="shared" si="192"/>
        <v>215465</v>
      </c>
    </row>
    <row r="5403" spans="7:14" ht="11.25" customHeight="1" x14ac:dyDescent="0.3">
      <c r="G5403" s="470"/>
      <c r="H5403" s="470">
        <v>5396</v>
      </c>
      <c r="I5403" s="455">
        <f t="shared" ca="1" si="190"/>
        <v>-2122006684230337.5</v>
      </c>
      <c r="J5403" s="455">
        <f t="array" ref="J5403">IFERROR(INDEX('Retirement Calculator'!K:K,MATCH('Lorri 401b'!N5403,'Retirement Calculator'!A:A,0),0),0)</f>
        <v>0</v>
      </c>
      <c r="K5403" s="455">
        <f t="shared" ca="1" si="188"/>
        <v>-8841694517626.4063</v>
      </c>
      <c r="L5403" s="455">
        <f t="shared" ca="1" si="189"/>
        <v>-2130848378747964</v>
      </c>
      <c r="M5403" s="471">
        <f t="shared" si="191"/>
        <v>0.05</v>
      </c>
      <c r="N5403" s="475">
        <f t="shared" si="192"/>
        <v>215496</v>
      </c>
    </row>
    <row r="5404" spans="7:14" ht="11.25" customHeight="1" x14ac:dyDescent="0.3">
      <c r="G5404" s="470"/>
      <c r="H5404" s="470">
        <v>5397</v>
      </c>
      <c r="I5404" s="455">
        <f t="shared" ca="1" si="190"/>
        <v>-2130848378747964</v>
      </c>
      <c r="J5404" s="455">
        <f t="array" ref="J5404">IFERROR(INDEX('Retirement Calculator'!K:K,MATCH('Lorri 401b'!N5404,'Retirement Calculator'!A:A,0),0),0)</f>
        <v>0</v>
      </c>
      <c r="K5404" s="455">
        <f t="shared" ca="1" si="188"/>
        <v>-8878534911449.8496</v>
      </c>
      <c r="L5404" s="455">
        <f t="shared" ca="1" si="189"/>
        <v>-2139726913659413.8</v>
      </c>
      <c r="M5404" s="471">
        <f t="shared" si="191"/>
        <v>0.05</v>
      </c>
      <c r="N5404" s="475">
        <f t="shared" si="192"/>
        <v>215527</v>
      </c>
    </row>
    <row r="5405" spans="7:14" ht="11.25" customHeight="1" x14ac:dyDescent="0.3">
      <c r="G5405" s="470"/>
      <c r="H5405" s="470">
        <v>5398</v>
      </c>
      <c r="I5405" s="455">
        <f t="shared" ca="1" si="190"/>
        <v>-2139726913659413.8</v>
      </c>
      <c r="J5405" s="455">
        <f t="array" ref="J5405">IFERROR(INDEX('Retirement Calculator'!K:K,MATCH('Lorri 401b'!N5405,'Retirement Calculator'!A:A,0),0),0)</f>
        <v>0</v>
      </c>
      <c r="K5405" s="455">
        <f t="shared" ca="1" si="188"/>
        <v>-8915528806914.2246</v>
      </c>
      <c r="L5405" s="455">
        <f t="shared" ca="1" si="189"/>
        <v>-2148642442466328</v>
      </c>
      <c r="M5405" s="471">
        <f t="shared" si="191"/>
        <v>0.05</v>
      </c>
      <c r="N5405" s="475">
        <f t="shared" si="192"/>
        <v>215555</v>
      </c>
    </row>
    <row r="5406" spans="7:14" ht="11.25" customHeight="1" x14ac:dyDescent="0.3">
      <c r="G5406" s="470"/>
      <c r="H5406" s="470">
        <v>5399</v>
      </c>
      <c r="I5406" s="455">
        <f t="shared" ca="1" si="190"/>
        <v>-2148642442466328</v>
      </c>
      <c r="J5406" s="455">
        <f t="array" ref="J5406">IFERROR(INDEX('Retirement Calculator'!K:K,MATCH('Lorri 401b'!N5406,'Retirement Calculator'!A:A,0),0),0)</f>
        <v>0</v>
      </c>
      <c r="K5406" s="455">
        <f t="shared" ca="1" si="188"/>
        <v>-8952676843609.6992</v>
      </c>
      <c r="L5406" s="455">
        <f t="shared" ca="1" si="189"/>
        <v>-2157595119309937.8</v>
      </c>
      <c r="M5406" s="471">
        <f t="shared" si="191"/>
        <v>0.05</v>
      </c>
      <c r="N5406" s="475">
        <f t="shared" si="192"/>
        <v>215586</v>
      </c>
    </row>
    <row r="5407" spans="7:14" ht="11.25" customHeight="1" x14ac:dyDescent="0.3">
      <c r="G5407" s="470"/>
      <c r="H5407" s="470">
        <v>5400</v>
      </c>
      <c r="I5407" s="455">
        <f t="shared" ca="1" si="190"/>
        <v>-2157595119309937.8</v>
      </c>
      <c r="J5407" s="455">
        <f t="array" ref="J5407">IFERROR(INDEX('Retirement Calculator'!K:K,MATCH('Lorri 401b'!N5407,'Retirement Calculator'!A:A,0),0),0)</f>
        <v>0</v>
      </c>
      <c r="K5407" s="455">
        <f t="shared" ca="1" si="188"/>
        <v>-8989979663791.4063</v>
      </c>
      <c r="L5407" s="455">
        <f t="shared" ca="1" si="189"/>
        <v>-2166585098973729.3</v>
      </c>
      <c r="M5407" s="471">
        <f t="shared" si="191"/>
        <v>0.05</v>
      </c>
      <c r="N5407" s="475">
        <f t="shared" si="192"/>
        <v>215616</v>
      </c>
    </row>
    <row r="5408" spans="7:14" ht="11.25" customHeight="1" x14ac:dyDescent="0.3">
      <c r="G5408" s="470"/>
      <c r="H5408" s="470">
        <v>5401</v>
      </c>
      <c r="I5408" s="455">
        <f t="shared" ca="1" si="190"/>
        <v>-2166585098973729.3</v>
      </c>
      <c r="J5408" s="455">
        <f t="array" ref="J5408">IFERROR(INDEX('Retirement Calculator'!K:K,MATCH('Lorri 401b'!N5408,'Retirement Calculator'!A:A,0),0),0)</f>
        <v>0</v>
      </c>
      <c r="K5408" s="455">
        <f t="shared" ca="1" si="188"/>
        <v>-9027437912390.5371</v>
      </c>
      <c r="L5408" s="455">
        <f t="shared" ca="1" si="189"/>
        <v>-2175612536886119.8</v>
      </c>
      <c r="M5408" s="471">
        <f t="shared" si="191"/>
        <v>0.05</v>
      </c>
      <c r="N5408" s="475">
        <f t="shared" si="192"/>
        <v>215647</v>
      </c>
    </row>
    <row r="5409" spans="7:14" ht="11.25" customHeight="1" x14ac:dyDescent="0.3">
      <c r="G5409" s="470"/>
      <c r="H5409" s="470">
        <v>5402</v>
      </c>
      <c r="I5409" s="455">
        <f t="shared" ca="1" si="190"/>
        <v>-2175612536886119.8</v>
      </c>
      <c r="J5409" s="455">
        <f t="array" ref="J5409">IFERROR(INDEX('Retirement Calculator'!K:K,MATCH('Lorri 401b'!N5409,'Retirement Calculator'!A:A,0),0),0)</f>
        <v>0</v>
      </c>
      <c r="K5409" s="455">
        <f t="shared" ca="1" si="188"/>
        <v>-9065052237025.498</v>
      </c>
      <c r="L5409" s="455">
        <f t="shared" ca="1" si="189"/>
        <v>-2184677589123145.3</v>
      </c>
      <c r="M5409" s="471">
        <f t="shared" si="191"/>
        <v>0.05</v>
      </c>
      <c r="N5409" s="475">
        <f t="shared" si="192"/>
        <v>215677</v>
      </c>
    </row>
    <row r="5410" spans="7:14" ht="11.25" customHeight="1" x14ac:dyDescent="0.3">
      <c r="G5410" s="470"/>
      <c r="H5410" s="470">
        <v>5403</v>
      </c>
      <c r="I5410" s="455">
        <f t="shared" ca="1" si="190"/>
        <v>-2184677589123145.3</v>
      </c>
      <c r="J5410" s="455">
        <f t="array" ref="J5410">IFERROR(INDEX('Retirement Calculator'!K:K,MATCH('Lorri 401b'!N5410,'Retirement Calculator'!A:A,0),0),0)</f>
        <v>0</v>
      </c>
      <c r="K5410" s="455">
        <f t="shared" ca="1" si="188"/>
        <v>-9102823288013.1055</v>
      </c>
      <c r="L5410" s="455">
        <f t="shared" ca="1" si="189"/>
        <v>-2193780412411158.3</v>
      </c>
      <c r="M5410" s="471">
        <f t="shared" si="191"/>
        <v>0.05</v>
      </c>
      <c r="N5410" s="475">
        <f t="shared" si="192"/>
        <v>215708</v>
      </c>
    </row>
    <row r="5411" spans="7:14" ht="11.25" customHeight="1" x14ac:dyDescent="0.3">
      <c r="G5411" s="470"/>
      <c r="H5411" s="470">
        <v>5404</v>
      </c>
      <c r="I5411" s="455">
        <f t="shared" ca="1" si="190"/>
        <v>-2193780412411158.3</v>
      </c>
      <c r="J5411" s="455">
        <f t="array" ref="J5411">IFERROR(INDEX('Retirement Calculator'!K:K,MATCH('Lorri 401b'!N5411,'Retirement Calculator'!A:A,0),0),0)</f>
        <v>0</v>
      </c>
      <c r="K5411" s="455">
        <f t="shared" ca="1" si="188"/>
        <v>-9140751718379.8262</v>
      </c>
      <c r="L5411" s="455">
        <f t="shared" ca="1" si="189"/>
        <v>-2202921164129538</v>
      </c>
      <c r="M5411" s="471">
        <f t="shared" si="191"/>
        <v>0.05</v>
      </c>
      <c r="N5411" s="475">
        <f t="shared" si="192"/>
        <v>215739</v>
      </c>
    </row>
    <row r="5412" spans="7:14" ht="11.25" customHeight="1" x14ac:dyDescent="0.3">
      <c r="G5412" s="470"/>
      <c r="H5412" s="470">
        <v>5405</v>
      </c>
      <c r="I5412" s="455">
        <f t="shared" ca="1" si="190"/>
        <v>-2202921164129538</v>
      </c>
      <c r="J5412" s="455">
        <f t="array" ref="J5412">IFERROR(INDEX('Retirement Calculator'!K:K,MATCH('Lorri 401b'!N5412,'Retirement Calculator'!A:A,0),0),0)</f>
        <v>0</v>
      </c>
      <c r="K5412" s="455">
        <f t="shared" ca="1" si="188"/>
        <v>-9178838183873.0742</v>
      </c>
      <c r="L5412" s="455">
        <f t="shared" ca="1" si="189"/>
        <v>-2212100002313411</v>
      </c>
      <c r="M5412" s="471">
        <f t="shared" si="191"/>
        <v>0.05</v>
      </c>
      <c r="N5412" s="475">
        <f t="shared" si="192"/>
        <v>215769</v>
      </c>
    </row>
    <row r="5413" spans="7:14" ht="11.25" customHeight="1" x14ac:dyDescent="0.3">
      <c r="G5413" s="470"/>
      <c r="H5413" s="470">
        <v>5406</v>
      </c>
      <c r="I5413" s="455">
        <f t="shared" ca="1" si="190"/>
        <v>-2212100002313411</v>
      </c>
      <c r="J5413" s="455">
        <f t="array" ref="J5413">IFERROR(INDEX('Retirement Calculator'!K:K,MATCH('Lorri 401b'!N5413,'Retirement Calculator'!A:A,0),0),0)</f>
        <v>0</v>
      </c>
      <c r="K5413" s="455">
        <f t="shared" ca="1" si="188"/>
        <v>-9217083342972.5449</v>
      </c>
      <c r="L5413" s="455">
        <f t="shared" ca="1" si="189"/>
        <v>-2221317085656383.5</v>
      </c>
      <c r="M5413" s="471">
        <f t="shared" si="191"/>
        <v>0.05</v>
      </c>
      <c r="N5413" s="475">
        <f t="shared" si="192"/>
        <v>215800</v>
      </c>
    </row>
    <row r="5414" spans="7:14" ht="11.25" customHeight="1" x14ac:dyDescent="0.3">
      <c r="G5414" s="470"/>
      <c r="H5414" s="470">
        <v>5407</v>
      </c>
      <c r="I5414" s="455">
        <f t="shared" ca="1" si="190"/>
        <v>-2221317085656383.5</v>
      </c>
      <c r="J5414" s="455">
        <f t="array" ref="J5414">IFERROR(INDEX('Retirement Calculator'!K:K,MATCH('Lorri 401b'!N5414,'Retirement Calculator'!A:A,0),0),0)</f>
        <v>0</v>
      </c>
      <c r="K5414" s="455">
        <f t="shared" ca="1" si="188"/>
        <v>-9255487856901.5977</v>
      </c>
      <c r="L5414" s="455">
        <f t="shared" ca="1" si="189"/>
        <v>-2230572573513285</v>
      </c>
      <c r="M5414" s="471">
        <f t="shared" si="191"/>
        <v>0.05</v>
      </c>
      <c r="N5414" s="475">
        <f t="shared" si="192"/>
        <v>215830</v>
      </c>
    </row>
    <row r="5415" spans="7:14" ht="11.25" customHeight="1" x14ac:dyDescent="0.3">
      <c r="G5415" s="470"/>
      <c r="H5415" s="470">
        <v>5408</v>
      </c>
      <c r="I5415" s="455">
        <f t="shared" ca="1" si="190"/>
        <v>-2230572573513285</v>
      </c>
      <c r="J5415" s="455">
        <f t="array" ref="J5415">IFERROR(INDEX('Retirement Calculator'!K:K,MATCH('Lorri 401b'!N5415,'Retirement Calculator'!A:A,0),0),0)</f>
        <v>0</v>
      </c>
      <c r="K5415" s="455">
        <f t="shared" ca="1" si="188"/>
        <v>-9294052389638.6875</v>
      </c>
      <c r="L5415" s="455">
        <f t="shared" ca="1" si="189"/>
        <v>-2239866625902923.8</v>
      </c>
      <c r="M5415" s="471">
        <f t="shared" si="191"/>
        <v>0.05</v>
      </c>
      <c r="N5415" s="475">
        <f t="shared" si="192"/>
        <v>215861</v>
      </c>
    </row>
    <row r="5416" spans="7:14" ht="11.25" customHeight="1" x14ac:dyDescent="0.3">
      <c r="G5416" s="470"/>
      <c r="H5416" s="470">
        <v>5409</v>
      </c>
      <c r="I5416" s="455">
        <f t="shared" ca="1" si="190"/>
        <v>-2239866625902923.8</v>
      </c>
      <c r="J5416" s="455">
        <f t="array" ref="J5416">IFERROR(INDEX('Retirement Calculator'!K:K,MATCH('Lorri 401b'!N5416,'Retirement Calculator'!A:A,0),0),0)</f>
        <v>0</v>
      </c>
      <c r="K5416" s="455">
        <f t="shared" ca="1" si="188"/>
        <v>-9332777607928.8496</v>
      </c>
      <c r="L5416" s="455">
        <f t="shared" ca="1" si="189"/>
        <v>-2249199403510852.5</v>
      </c>
      <c r="M5416" s="471">
        <f t="shared" si="191"/>
        <v>0.05</v>
      </c>
      <c r="N5416" s="475">
        <f t="shared" si="192"/>
        <v>215892</v>
      </c>
    </row>
    <row r="5417" spans="7:14" ht="11.25" customHeight="1" x14ac:dyDescent="0.3">
      <c r="G5417" s="470"/>
      <c r="H5417" s="470">
        <v>5410</v>
      </c>
      <c r="I5417" s="455">
        <f t="shared" ca="1" si="190"/>
        <v>-2249199403510852.5</v>
      </c>
      <c r="J5417" s="455">
        <f t="array" ref="J5417">IFERROR(INDEX('Retirement Calculator'!K:K,MATCH('Lorri 401b'!N5417,'Retirement Calculator'!A:A,0),0),0)</f>
        <v>0</v>
      </c>
      <c r="K5417" s="455">
        <f t="shared" ca="1" si="188"/>
        <v>-9371664181295.2188</v>
      </c>
      <c r="L5417" s="455">
        <f t="shared" ca="1" si="189"/>
        <v>-2258571067692147.5</v>
      </c>
      <c r="M5417" s="471">
        <f t="shared" si="191"/>
        <v>0.05</v>
      </c>
      <c r="N5417" s="475">
        <f t="shared" si="192"/>
        <v>215920</v>
      </c>
    </row>
    <row r="5418" spans="7:14" ht="11.25" customHeight="1" x14ac:dyDescent="0.3">
      <c r="G5418" s="470"/>
      <c r="H5418" s="470">
        <v>5411</v>
      </c>
      <c r="I5418" s="455">
        <f t="shared" ca="1" si="190"/>
        <v>-2258571067692147.5</v>
      </c>
      <c r="J5418" s="455">
        <f t="array" ref="J5418">IFERROR(INDEX('Retirement Calculator'!K:K,MATCH('Lorri 401b'!N5418,'Retirement Calculator'!A:A,0),0),0)</f>
        <v>0</v>
      </c>
      <c r="K5418" s="455">
        <f t="shared" ca="1" si="188"/>
        <v>-9410712782050.6152</v>
      </c>
      <c r="L5418" s="455">
        <f t="shared" ca="1" si="189"/>
        <v>-2267981780474198</v>
      </c>
      <c r="M5418" s="471">
        <f t="shared" si="191"/>
        <v>0.05</v>
      </c>
      <c r="N5418" s="475">
        <f t="shared" si="192"/>
        <v>215951</v>
      </c>
    </row>
    <row r="5419" spans="7:14" ht="11.25" customHeight="1" x14ac:dyDescent="0.3">
      <c r="G5419" s="470"/>
      <c r="H5419" s="470">
        <v>5412</v>
      </c>
      <c r="I5419" s="455">
        <f t="shared" ca="1" si="190"/>
        <v>-2267981780474198</v>
      </c>
      <c r="J5419" s="455">
        <f t="array" ref="J5419">IFERROR(INDEX('Retirement Calculator'!K:K,MATCH('Lorri 401b'!N5419,'Retirement Calculator'!A:A,0),0),0)</f>
        <v>0</v>
      </c>
      <c r="K5419" s="455">
        <f t="shared" ca="1" si="188"/>
        <v>-9449924085309.1582</v>
      </c>
      <c r="L5419" s="455">
        <f t="shared" ca="1" si="189"/>
        <v>-2277431704559507</v>
      </c>
      <c r="M5419" s="471">
        <f t="shared" si="191"/>
        <v>0.05</v>
      </c>
      <c r="N5419" s="475">
        <f t="shared" si="192"/>
        <v>215981</v>
      </c>
    </row>
    <row r="5420" spans="7:14" ht="11.25" customHeight="1" x14ac:dyDescent="0.3">
      <c r="G5420" s="470"/>
      <c r="H5420" s="470">
        <v>5413</v>
      </c>
      <c r="I5420" s="455">
        <f t="shared" ca="1" si="190"/>
        <v>-2277431704559507</v>
      </c>
      <c r="J5420" s="455">
        <f t="array" ref="J5420">IFERROR(INDEX('Retirement Calculator'!K:K,MATCH('Lorri 401b'!N5420,'Retirement Calculator'!A:A,0),0),0)</f>
        <v>0</v>
      </c>
      <c r="K5420" s="455">
        <f t="shared" ca="1" si="188"/>
        <v>-9489298768997.9453</v>
      </c>
      <c r="L5420" s="455">
        <f t="shared" ca="1" si="189"/>
        <v>-2286921003328505</v>
      </c>
      <c r="M5420" s="471">
        <f t="shared" si="191"/>
        <v>0.05</v>
      </c>
      <c r="N5420" s="475">
        <f t="shared" si="192"/>
        <v>216012</v>
      </c>
    </row>
    <row r="5421" spans="7:14" ht="11.25" customHeight="1" x14ac:dyDescent="0.3">
      <c r="G5421" s="470"/>
      <c r="H5421" s="470">
        <v>5414</v>
      </c>
      <c r="I5421" s="455">
        <f t="shared" ca="1" si="190"/>
        <v>-2286921003328505</v>
      </c>
      <c r="J5421" s="455">
        <f t="array" ref="J5421">IFERROR(INDEX('Retirement Calculator'!K:K,MATCH('Lorri 401b'!N5421,'Retirement Calculator'!A:A,0),0),0)</f>
        <v>0</v>
      </c>
      <c r="K5421" s="455">
        <f t="shared" ca="1" si="188"/>
        <v>-9528837513868.7715</v>
      </c>
      <c r="L5421" s="455">
        <f t="shared" ca="1" si="189"/>
        <v>-2296449840842374</v>
      </c>
      <c r="M5421" s="471">
        <f t="shared" si="191"/>
        <v>0.05</v>
      </c>
      <c r="N5421" s="475">
        <f t="shared" si="192"/>
        <v>216042</v>
      </c>
    </row>
    <row r="5422" spans="7:14" ht="11.25" customHeight="1" x14ac:dyDescent="0.3">
      <c r="G5422" s="470"/>
      <c r="H5422" s="470">
        <v>5415</v>
      </c>
      <c r="I5422" s="455">
        <f t="shared" ca="1" si="190"/>
        <v>-2296449840842374</v>
      </c>
      <c r="J5422" s="455">
        <f t="array" ref="J5422">IFERROR(INDEX('Retirement Calculator'!K:K,MATCH('Lorri 401b'!N5422,'Retirement Calculator'!A:A,0),0),0)</f>
        <v>0</v>
      </c>
      <c r="K5422" s="455">
        <f t="shared" ca="1" si="188"/>
        <v>-9568541003509.8906</v>
      </c>
      <c r="L5422" s="455">
        <f t="shared" ca="1" si="189"/>
        <v>-2306018381845884</v>
      </c>
      <c r="M5422" s="471">
        <f t="shared" si="191"/>
        <v>0.05</v>
      </c>
      <c r="N5422" s="475">
        <f t="shared" si="192"/>
        <v>216073</v>
      </c>
    </row>
    <row r="5423" spans="7:14" ht="11.25" customHeight="1" x14ac:dyDescent="0.3">
      <c r="G5423" s="470"/>
      <c r="H5423" s="470">
        <v>5416</v>
      </c>
      <c r="I5423" s="455">
        <f t="shared" ca="1" si="190"/>
        <v>-2306018381845884</v>
      </c>
      <c r="J5423" s="455">
        <f t="array" ref="J5423">IFERROR(INDEX('Retirement Calculator'!K:K,MATCH('Lorri 401b'!N5423,'Retirement Calculator'!A:A,0),0),0)</f>
        <v>0</v>
      </c>
      <c r="K5423" s="455">
        <f t="shared" ca="1" si="188"/>
        <v>-9608409924357.8496</v>
      </c>
      <c r="L5423" s="455">
        <f t="shared" ca="1" si="189"/>
        <v>-2315626791770242</v>
      </c>
      <c r="M5423" s="471">
        <f t="shared" si="191"/>
        <v>0.05</v>
      </c>
      <c r="N5423" s="475">
        <f t="shared" si="192"/>
        <v>216104</v>
      </c>
    </row>
    <row r="5424" spans="7:14" ht="11.25" customHeight="1" x14ac:dyDescent="0.3">
      <c r="G5424" s="470"/>
      <c r="H5424" s="470">
        <v>5417</v>
      </c>
      <c r="I5424" s="455">
        <f t="shared" ca="1" si="190"/>
        <v>-2315626791770242</v>
      </c>
      <c r="J5424" s="455">
        <f t="array" ref="J5424">IFERROR(INDEX('Retirement Calculator'!K:K,MATCH('Lorri 401b'!N5424,'Retirement Calculator'!A:A,0),0),0)</f>
        <v>0</v>
      </c>
      <c r="K5424" s="455">
        <f t="shared" ca="1" si="188"/>
        <v>-9648444965709.3418</v>
      </c>
      <c r="L5424" s="455">
        <f t="shared" ca="1" si="189"/>
        <v>-2325275236735951.5</v>
      </c>
      <c r="M5424" s="471">
        <f t="shared" si="191"/>
        <v>0.05</v>
      </c>
      <c r="N5424" s="475">
        <f t="shared" si="192"/>
        <v>216134</v>
      </c>
    </row>
    <row r="5425" spans="7:14" ht="11.25" customHeight="1" x14ac:dyDescent="0.3">
      <c r="G5425" s="470"/>
      <c r="H5425" s="470">
        <v>5418</v>
      </c>
      <c r="I5425" s="455">
        <f t="shared" ca="1" si="190"/>
        <v>-2325275236735951.5</v>
      </c>
      <c r="J5425" s="455">
        <f t="array" ref="J5425">IFERROR(INDEX('Retirement Calculator'!K:K,MATCH('Lorri 401b'!N5425,'Retirement Calculator'!A:A,0),0),0)</f>
        <v>0</v>
      </c>
      <c r="K5425" s="455">
        <f t="shared" ca="1" si="188"/>
        <v>-9688646819733.1309</v>
      </c>
      <c r="L5425" s="455">
        <f t="shared" ca="1" si="189"/>
        <v>-2334963883555684.5</v>
      </c>
      <c r="M5425" s="471">
        <f t="shared" si="191"/>
        <v>0.05</v>
      </c>
      <c r="N5425" s="475">
        <f t="shared" si="192"/>
        <v>216165</v>
      </c>
    </row>
    <row r="5426" spans="7:14" ht="11.25" customHeight="1" x14ac:dyDescent="0.3">
      <c r="G5426" s="470"/>
      <c r="H5426" s="470">
        <v>5419</v>
      </c>
      <c r="I5426" s="455">
        <f t="shared" ca="1" si="190"/>
        <v>-2334963883555684.5</v>
      </c>
      <c r="J5426" s="455">
        <f t="array" ref="J5426">IFERROR(INDEX('Retirement Calculator'!K:K,MATCH('Lorri 401b'!N5426,'Retirement Calculator'!A:A,0),0),0)</f>
        <v>0</v>
      </c>
      <c r="K5426" s="455">
        <f t="shared" ca="1" si="188"/>
        <v>-9729016181482.0195</v>
      </c>
      <c r="L5426" s="455">
        <f t="shared" ca="1" si="189"/>
        <v>-2344692899737166.5</v>
      </c>
      <c r="M5426" s="471">
        <f t="shared" si="191"/>
        <v>0.05</v>
      </c>
      <c r="N5426" s="475">
        <f t="shared" si="192"/>
        <v>216195</v>
      </c>
    </row>
    <row r="5427" spans="7:14" ht="11.25" customHeight="1" x14ac:dyDescent="0.3">
      <c r="G5427" s="470"/>
      <c r="H5427" s="470">
        <v>5420</v>
      </c>
      <c r="I5427" s="455">
        <f t="shared" ca="1" si="190"/>
        <v>-2344692899737166.5</v>
      </c>
      <c r="J5427" s="455">
        <f t="array" ref="J5427">IFERROR(INDEX('Retirement Calculator'!K:K,MATCH('Lorri 401b'!N5427,'Retirement Calculator'!A:A,0),0),0)</f>
        <v>0</v>
      </c>
      <c r="K5427" s="455">
        <f t="shared" ca="1" si="188"/>
        <v>-9769553748904.8594</v>
      </c>
      <c r="L5427" s="455">
        <f t="shared" ca="1" si="189"/>
        <v>-2354462453486071.5</v>
      </c>
      <c r="M5427" s="471">
        <f t="shared" si="191"/>
        <v>0.05</v>
      </c>
      <c r="N5427" s="475">
        <f t="shared" si="192"/>
        <v>216226</v>
      </c>
    </row>
    <row r="5428" spans="7:14" ht="11.25" customHeight="1" x14ac:dyDescent="0.3">
      <c r="G5428" s="470"/>
      <c r="H5428" s="470">
        <v>5421</v>
      </c>
      <c r="I5428" s="455">
        <f t="shared" ca="1" si="190"/>
        <v>-2354462453486071.5</v>
      </c>
      <c r="J5428" s="455">
        <f t="array" ref="J5428">IFERROR(INDEX('Retirement Calculator'!K:K,MATCH('Lorri 401b'!N5428,'Retirement Calculator'!A:A,0),0),0)</f>
        <v>0</v>
      </c>
      <c r="K5428" s="455">
        <f t="shared" ca="1" si="188"/>
        <v>-9810260222858.6309</v>
      </c>
      <c r="L5428" s="455">
        <f t="shared" ca="1" si="189"/>
        <v>-2364272713708930</v>
      </c>
      <c r="M5428" s="471">
        <f t="shared" si="191"/>
        <v>0.05</v>
      </c>
      <c r="N5428" s="475">
        <f t="shared" si="192"/>
        <v>216257</v>
      </c>
    </row>
    <row r="5429" spans="7:14" ht="11.25" customHeight="1" x14ac:dyDescent="0.3">
      <c r="G5429" s="470"/>
      <c r="H5429" s="470">
        <v>5422</v>
      </c>
      <c r="I5429" s="455">
        <f t="shared" ca="1" si="190"/>
        <v>-2364272713708930</v>
      </c>
      <c r="J5429" s="455">
        <f t="array" ref="J5429">IFERROR(INDEX('Retirement Calculator'!K:K,MATCH('Lorri 401b'!N5429,'Retirement Calculator'!A:A,0),0),0)</f>
        <v>0</v>
      </c>
      <c r="K5429" s="455">
        <f t="shared" ca="1" si="188"/>
        <v>-9851136307120.541</v>
      </c>
      <c r="L5429" s="455">
        <f t="shared" ca="1" si="189"/>
        <v>-2374123850016050.5</v>
      </c>
      <c r="M5429" s="471">
        <f t="shared" si="191"/>
        <v>0.05</v>
      </c>
      <c r="N5429" s="475">
        <f t="shared" si="192"/>
        <v>216286</v>
      </c>
    </row>
    <row r="5430" spans="7:14" ht="11.25" customHeight="1" x14ac:dyDescent="0.3">
      <c r="G5430" s="470"/>
      <c r="H5430" s="470">
        <v>5423</v>
      </c>
      <c r="I5430" s="455">
        <f t="shared" ca="1" si="190"/>
        <v>-2374123850016050.5</v>
      </c>
      <c r="J5430" s="455">
        <f t="array" ref="J5430">IFERROR(INDEX('Retirement Calculator'!K:K,MATCH('Lorri 401b'!N5430,'Retirement Calculator'!A:A,0),0),0)</f>
        <v>0</v>
      </c>
      <c r="K5430" s="455">
        <f t="shared" ca="1" si="188"/>
        <v>-9892182708400.2109</v>
      </c>
      <c r="L5430" s="455">
        <f t="shared" ca="1" si="189"/>
        <v>-2384016032724450.5</v>
      </c>
      <c r="M5430" s="471">
        <f t="shared" si="191"/>
        <v>0.05</v>
      </c>
      <c r="N5430" s="475">
        <f t="shared" si="192"/>
        <v>216317</v>
      </c>
    </row>
    <row r="5431" spans="7:14" ht="11.25" customHeight="1" x14ac:dyDescent="0.3">
      <c r="G5431" s="470"/>
      <c r="H5431" s="470">
        <v>5424</v>
      </c>
      <c r="I5431" s="455">
        <f t="shared" ca="1" si="190"/>
        <v>-2384016032724450.5</v>
      </c>
      <c r="J5431" s="455">
        <f t="array" ref="J5431">IFERROR(INDEX('Retirement Calculator'!K:K,MATCH('Lorri 401b'!N5431,'Retirement Calculator'!A:A,0),0),0)</f>
        <v>0</v>
      </c>
      <c r="K5431" s="455">
        <f t="shared" ca="1" si="188"/>
        <v>-9933400136351.877</v>
      </c>
      <c r="L5431" s="455">
        <f t="shared" ca="1" si="189"/>
        <v>-2393949432860802.5</v>
      </c>
      <c r="M5431" s="471">
        <f t="shared" si="191"/>
        <v>0.05</v>
      </c>
      <c r="N5431" s="475">
        <f t="shared" si="192"/>
        <v>216347</v>
      </c>
    </row>
    <row r="5432" spans="7:14" ht="11.25" customHeight="1" x14ac:dyDescent="0.3">
      <c r="G5432" s="470"/>
      <c r="H5432" s="470">
        <v>5425</v>
      </c>
      <c r="I5432" s="455">
        <f t="shared" ca="1" si="190"/>
        <v>-2393949432860802.5</v>
      </c>
      <c r="J5432" s="455">
        <f t="array" ref="J5432">IFERROR(INDEX('Retirement Calculator'!K:K,MATCH('Lorri 401b'!N5432,'Retirement Calculator'!A:A,0),0),0)</f>
        <v>0</v>
      </c>
      <c r="K5432" s="455">
        <f t="shared" ca="1" si="188"/>
        <v>-9974789303586.6777</v>
      </c>
      <c r="L5432" s="455">
        <f t="shared" ca="1" si="189"/>
        <v>-2403924222164389</v>
      </c>
      <c r="M5432" s="471">
        <f t="shared" si="191"/>
        <v>0.05</v>
      </c>
      <c r="N5432" s="475">
        <f t="shared" si="192"/>
        <v>216378</v>
      </c>
    </row>
    <row r="5433" spans="7:14" ht="11.25" customHeight="1" x14ac:dyDescent="0.3">
      <c r="G5433" s="470"/>
      <c r="H5433" s="470">
        <v>5426</v>
      </c>
      <c r="I5433" s="455">
        <f t="shared" ca="1" si="190"/>
        <v>-2403924222164389</v>
      </c>
      <c r="J5433" s="455">
        <f t="array" ref="J5433">IFERROR(INDEX('Retirement Calculator'!K:K,MATCH('Lorri 401b'!N5433,'Retirement Calculator'!A:A,0),0),0)</f>
        <v>0</v>
      </c>
      <c r="K5433" s="455">
        <f t="shared" ca="1" si="188"/>
        <v>-10016350925684.953</v>
      </c>
      <c r="L5433" s="455">
        <f t="shared" ca="1" si="189"/>
        <v>-2413940573090074</v>
      </c>
      <c r="M5433" s="471">
        <f t="shared" si="191"/>
        <v>0.05</v>
      </c>
      <c r="N5433" s="475">
        <f t="shared" si="192"/>
        <v>216408</v>
      </c>
    </row>
    <row r="5434" spans="7:14" ht="11.25" customHeight="1" x14ac:dyDescent="0.3">
      <c r="G5434" s="470"/>
      <c r="H5434" s="470">
        <v>5427</v>
      </c>
      <c r="I5434" s="455">
        <f t="shared" ca="1" si="190"/>
        <v>-2413940573090074</v>
      </c>
      <c r="J5434" s="455">
        <f t="array" ref="J5434">IFERROR(INDEX('Retirement Calculator'!K:K,MATCH('Lorri 401b'!N5434,'Retirement Calculator'!A:A,0),0),0)</f>
        <v>0</v>
      </c>
      <c r="K5434" s="455">
        <f t="shared" ca="1" si="188"/>
        <v>-10058085721208.641</v>
      </c>
      <c r="L5434" s="455">
        <f t="shared" ca="1" si="189"/>
        <v>-2423998658811282.5</v>
      </c>
      <c r="M5434" s="471">
        <f t="shared" si="191"/>
        <v>0.05</v>
      </c>
      <c r="N5434" s="475">
        <f t="shared" si="192"/>
        <v>216439</v>
      </c>
    </row>
    <row r="5435" spans="7:14" ht="11.25" customHeight="1" x14ac:dyDescent="0.3">
      <c r="G5435" s="470"/>
      <c r="H5435" s="470">
        <v>5428</v>
      </c>
      <c r="I5435" s="455">
        <f t="shared" ca="1" si="190"/>
        <v>-2423998658811282.5</v>
      </c>
      <c r="J5435" s="455">
        <f t="array" ref="J5435">IFERROR(INDEX('Retirement Calculator'!K:K,MATCH('Lorri 401b'!N5435,'Retirement Calculator'!A:A,0),0),0)</f>
        <v>0</v>
      </c>
      <c r="K5435" s="455">
        <f t="shared" ca="1" si="188"/>
        <v>-10099994411713.678</v>
      </c>
      <c r="L5435" s="455">
        <f t="shared" ca="1" si="189"/>
        <v>-2434098653222996</v>
      </c>
      <c r="M5435" s="471">
        <f t="shared" si="191"/>
        <v>0.05</v>
      </c>
      <c r="N5435" s="475">
        <f t="shared" si="192"/>
        <v>216470</v>
      </c>
    </row>
    <row r="5436" spans="7:14" ht="11.25" customHeight="1" x14ac:dyDescent="0.3">
      <c r="G5436" s="470"/>
      <c r="H5436" s="470">
        <v>5429</v>
      </c>
      <c r="I5436" s="455">
        <f t="shared" ca="1" si="190"/>
        <v>-2434098653222996</v>
      </c>
      <c r="J5436" s="455">
        <f t="array" ref="J5436">IFERROR(INDEX('Retirement Calculator'!K:K,MATCH('Lorri 401b'!N5436,'Retirement Calculator'!A:A,0),0),0)</f>
        <v>0</v>
      </c>
      <c r="K5436" s="455">
        <f t="shared" ca="1" si="188"/>
        <v>-10142077721762.482</v>
      </c>
      <c r="L5436" s="455">
        <f t="shared" ca="1" si="189"/>
        <v>-2444240730944758.5</v>
      </c>
      <c r="M5436" s="471">
        <f t="shared" si="191"/>
        <v>0.05</v>
      </c>
      <c r="N5436" s="475">
        <f t="shared" si="192"/>
        <v>216500</v>
      </c>
    </row>
    <row r="5437" spans="7:14" ht="11.25" customHeight="1" x14ac:dyDescent="0.3">
      <c r="G5437" s="470"/>
      <c r="H5437" s="470">
        <v>5430</v>
      </c>
      <c r="I5437" s="455">
        <f t="shared" ca="1" si="190"/>
        <v>-2444240730944758.5</v>
      </c>
      <c r="J5437" s="455">
        <f t="array" ref="J5437">IFERROR(INDEX('Retirement Calculator'!K:K,MATCH('Lorri 401b'!N5437,'Retirement Calculator'!A:A,0),0),0)</f>
        <v>0</v>
      </c>
      <c r="K5437" s="455">
        <f t="shared" ca="1" si="188"/>
        <v>-10184336378936.494</v>
      </c>
      <c r="L5437" s="455">
        <f t="shared" ca="1" si="189"/>
        <v>-2454425067323695</v>
      </c>
      <c r="M5437" s="471">
        <f t="shared" si="191"/>
        <v>0.05</v>
      </c>
      <c r="N5437" s="475">
        <f t="shared" si="192"/>
        <v>216531</v>
      </c>
    </row>
    <row r="5438" spans="7:14" ht="11.25" customHeight="1" x14ac:dyDescent="0.3">
      <c r="G5438" s="470"/>
      <c r="H5438" s="470">
        <v>5431</v>
      </c>
      <c r="I5438" s="455">
        <f t="shared" ca="1" si="190"/>
        <v>-2454425067323695</v>
      </c>
      <c r="J5438" s="455">
        <f t="array" ref="J5438">IFERROR(INDEX('Retirement Calculator'!K:K,MATCH('Lorri 401b'!N5438,'Retirement Calculator'!A:A,0),0),0)</f>
        <v>0</v>
      </c>
      <c r="K5438" s="455">
        <f t="shared" ca="1" si="188"/>
        <v>-10226771113848.729</v>
      </c>
      <c r="L5438" s="455">
        <f t="shared" ca="1" si="189"/>
        <v>-2464651838437543.5</v>
      </c>
      <c r="M5438" s="471">
        <f t="shared" si="191"/>
        <v>0.05</v>
      </c>
      <c r="N5438" s="475">
        <f t="shared" si="192"/>
        <v>216561</v>
      </c>
    </row>
    <row r="5439" spans="7:14" ht="11.25" customHeight="1" x14ac:dyDescent="0.3">
      <c r="G5439" s="470"/>
      <c r="H5439" s="470">
        <v>5432</v>
      </c>
      <c r="I5439" s="455">
        <f t="shared" ca="1" si="190"/>
        <v>-2464651838437543.5</v>
      </c>
      <c r="J5439" s="455">
        <f t="array" ref="J5439">IFERROR(INDEX('Retirement Calculator'!K:K,MATCH('Lorri 401b'!N5439,'Retirement Calculator'!A:A,0),0),0)</f>
        <v>0</v>
      </c>
      <c r="K5439" s="455">
        <f t="shared" ca="1" si="188"/>
        <v>-10269382660156.432</v>
      </c>
      <c r="L5439" s="455">
        <f t="shared" ca="1" si="189"/>
        <v>-2474921221097700</v>
      </c>
      <c r="M5439" s="471">
        <f t="shared" si="191"/>
        <v>0.05</v>
      </c>
      <c r="N5439" s="475">
        <f t="shared" si="192"/>
        <v>216592</v>
      </c>
    </row>
    <row r="5440" spans="7:14" ht="11.25" customHeight="1" x14ac:dyDescent="0.3">
      <c r="G5440" s="470"/>
      <c r="H5440" s="470">
        <v>5433</v>
      </c>
      <c r="I5440" s="455">
        <f t="shared" ca="1" si="190"/>
        <v>-2474921221097700</v>
      </c>
      <c r="J5440" s="455">
        <f t="array" ref="J5440">IFERROR(INDEX('Retirement Calculator'!K:K,MATCH('Lorri 401b'!N5440,'Retirement Calculator'!A:A,0),0),0)</f>
        <v>0</v>
      </c>
      <c r="K5440" s="455">
        <f t="shared" ca="1" si="188"/>
        <v>-10312171754573.75</v>
      </c>
      <c r="L5440" s="455">
        <f t="shared" ca="1" si="189"/>
        <v>-2485233392852274</v>
      </c>
      <c r="M5440" s="471">
        <f t="shared" si="191"/>
        <v>0.05</v>
      </c>
      <c r="N5440" s="475">
        <f t="shared" si="192"/>
        <v>216623</v>
      </c>
    </row>
    <row r="5441" spans="7:14" ht="11.25" customHeight="1" x14ac:dyDescent="0.3">
      <c r="G5441" s="470"/>
      <c r="H5441" s="470">
        <v>5434</v>
      </c>
      <c r="I5441" s="455">
        <f t="shared" ca="1" si="190"/>
        <v>-2485233392852274</v>
      </c>
      <c r="J5441" s="455">
        <f t="array" ref="J5441">IFERROR(INDEX('Retirement Calculator'!K:K,MATCH('Lorri 401b'!N5441,'Retirement Calculator'!A:A,0),0),0)</f>
        <v>0</v>
      </c>
      <c r="K5441" s="455">
        <f t="shared" ca="1" si="188"/>
        <v>-10355139136884.475</v>
      </c>
      <c r="L5441" s="455">
        <f t="shared" ca="1" si="189"/>
        <v>-2495588531989158.5</v>
      </c>
      <c r="M5441" s="471">
        <f t="shared" si="191"/>
        <v>0.05</v>
      </c>
      <c r="N5441" s="475">
        <f t="shared" si="192"/>
        <v>216651</v>
      </c>
    </row>
    <row r="5442" spans="7:14" ht="11.25" customHeight="1" x14ac:dyDescent="0.3">
      <c r="G5442" s="470"/>
      <c r="H5442" s="470">
        <v>5435</v>
      </c>
      <c r="I5442" s="455">
        <f t="shared" ca="1" si="190"/>
        <v>-2495588531989158.5</v>
      </c>
      <c r="J5442" s="455">
        <f t="array" ref="J5442">IFERROR(INDEX('Retirement Calculator'!K:K,MATCH('Lorri 401b'!N5442,'Retirement Calculator'!A:A,0),0),0)</f>
        <v>0</v>
      </c>
      <c r="K5442" s="455">
        <f t="shared" ca="1" si="188"/>
        <v>-10398285549954.826</v>
      </c>
      <c r="L5442" s="455">
        <f t="shared" ca="1" si="189"/>
        <v>-2505986817539113.5</v>
      </c>
      <c r="M5442" s="471">
        <f t="shared" si="191"/>
        <v>0.05</v>
      </c>
      <c r="N5442" s="475">
        <f t="shared" si="192"/>
        <v>216682</v>
      </c>
    </row>
    <row r="5443" spans="7:14" ht="11.25" customHeight="1" x14ac:dyDescent="0.3">
      <c r="G5443" s="470"/>
      <c r="H5443" s="470">
        <v>5436</v>
      </c>
      <c r="I5443" s="455">
        <f t="shared" ca="1" si="190"/>
        <v>-2505986817539113.5</v>
      </c>
      <c r="J5443" s="455">
        <f t="array" ref="J5443">IFERROR(INDEX('Retirement Calculator'!K:K,MATCH('Lorri 401b'!N5443,'Retirement Calculator'!A:A,0),0),0)</f>
        <v>0</v>
      </c>
      <c r="K5443" s="455">
        <f t="shared" ca="1" si="188"/>
        <v>-10441611739746.307</v>
      </c>
      <c r="L5443" s="455">
        <f t="shared" ca="1" si="189"/>
        <v>-2516428429278860</v>
      </c>
      <c r="M5443" s="471">
        <f t="shared" si="191"/>
        <v>0.05</v>
      </c>
      <c r="N5443" s="475">
        <f t="shared" si="192"/>
        <v>216712</v>
      </c>
    </row>
    <row r="5444" spans="7:14" ht="11.25" customHeight="1" x14ac:dyDescent="0.3">
      <c r="G5444" s="470"/>
      <c r="H5444" s="470">
        <v>5437</v>
      </c>
      <c r="I5444" s="455">
        <f t="shared" ca="1" si="190"/>
        <v>-2516428429278860</v>
      </c>
      <c r="J5444" s="455">
        <f t="array" ref="J5444">IFERROR(INDEX('Retirement Calculator'!K:K,MATCH('Lorri 401b'!N5444,'Retirement Calculator'!A:A,0),0),0)</f>
        <v>0</v>
      </c>
      <c r="K5444" s="455">
        <f t="shared" ca="1" si="188"/>
        <v>-10485118455328.584</v>
      </c>
      <c r="L5444" s="455">
        <f t="shared" ca="1" si="189"/>
        <v>-2526913547734188.5</v>
      </c>
      <c r="M5444" s="471">
        <f t="shared" si="191"/>
        <v>0.05</v>
      </c>
      <c r="N5444" s="475">
        <f t="shared" si="192"/>
        <v>216743</v>
      </c>
    </row>
    <row r="5445" spans="7:14" ht="11.25" customHeight="1" x14ac:dyDescent="0.3">
      <c r="G5445" s="470"/>
      <c r="H5445" s="470">
        <v>5438</v>
      </c>
      <c r="I5445" s="455">
        <f t="shared" ca="1" si="190"/>
        <v>-2526913547734188.5</v>
      </c>
      <c r="J5445" s="455">
        <f t="array" ref="J5445">IFERROR(INDEX('Retirement Calculator'!K:K,MATCH('Lorri 401b'!N5445,'Retirement Calculator'!A:A,0),0),0)</f>
        <v>0</v>
      </c>
      <c r="K5445" s="455">
        <f t="shared" ca="1" si="188"/>
        <v>-10528806448892.451</v>
      </c>
      <c r="L5445" s="455">
        <f t="shared" ca="1" si="189"/>
        <v>-2537442354183081</v>
      </c>
      <c r="M5445" s="471">
        <f t="shared" si="191"/>
        <v>0.05</v>
      </c>
      <c r="N5445" s="475">
        <f t="shared" si="192"/>
        <v>216773</v>
      </c>
    </row>
    <row r="5446" spans="7:14" ht="11.25" customHeight="1" x14ac:dyDescent="0.3">
      <c r="G5446" s="470"/>
      <c r="H5446" s="470">
        <v>5439</v>
      </c>
      <c r="I5446" s="455">
        <f t="shared" ca="1" si="190"/>
        <v>-2537442354183081</v>
      </c>
      <c r="J5446" s="455">
        <f t="array" ref="J5446">IFERROR(INDEX('Retirement Calculator'!K:K,MATCH('Lorri 401b'!N5446,'Retirement Calculator'!A:A,0),0),0)</f>
        <v>0</v>
      </c>
      <c r="K5446" s="455">
        <f t="shared" ca="1" si="188"/>
        <v>-10572676475762.838</v>
      </c>
      <c r="L5446" s="455">
        <f t="shared" ca="1" si="189"/>
        <v>-2548015030658844</v>
      </c>
      <c r="M5446" s="471">
        <f t="shared" si="191"/>
        <v>0.05</v>
      </c>
      <c r="N5446" s="475">
        <f t="shared" si="192"/>
        <v>216804</v>
      </c>
    </row>
    <row r="5447" spans="7:14" ht="11.25" customHeight="1" x14ac:dyDescent="0.3">
      <c r="G5447" s="470"/>
      <c r="H5447" s="470">
        <v>5440</v>
      </c>
      <c r="I5447" s="455">
        <f t="shared" ca="1" si="190"/>
        <v>-2548015030658844</v>
      </c>
      <c r="J5447" s="455">
        <f t="array" ref="J5447">IFERROR(INDEX('Retirement Calculator'!K:K,MATCH('Lorri 401b'!N5447,'Retirement Calculator'!A:A,0),0),0)</f>
        <v>0</v>
      </c>
      <c r="K5447" s="455">
        <f t="shared" ca="1" si="188"/>
        <v>-10616729294411.85</v>
      </c>
      <c r="L5447" s="455">
        <f t="shared" ca="1" si="189"/>
        <v>-2558631759953256</v>
      </c>
      <c r="M5447" s="471">
        <f t="shared" si="191"/>
        <v>0.05</v>
      </c>
      <c r="N5447" s="475">
        <f t="shared" si="192"/>
        <v>216835</v>
      </c>
    </row>
    <row r="5448" spans="7:14" ht="11.25" customHeight="1" x14ac:dyDescent="0.3">
      <c r="G5448" s="470"/>
      <c r="H5448" s="470">
        <v>5441</v>
      </c>
      <c r="I5448" s="455">
        <f t="shared" ca="1" si="190"/>
        <v>-2558631759953256</v>
      </c>
      <c r="J5448" s="455">
        <f t="array" ref="J5448">IFERROR(INDEX('Retirement Calculator'!K:K,MATCH('Lorri 401b'!N5448,'Retirement Calculator'!A:A,0),0),0)</f>
        <v>0</v>
      </c>
      <c r="K5448" s="455">
        <f t="shared" ca="1" si="188"/>
        <v>-10660965666471.9</v>
      </c>
      <c r="L5448" s="455">
        <f t="shared" ca="1" si="189"/>
        <v>-2569292725619728</v>
      </c>
      <c r="M5448" s="471">
        <f t="shared" si="191"/>
        <v>0.05</v>
      </c>
      <c r="N5448" s="475">
        <f t="shared" si="192"/>
        <v>216865</v>
      </c>
    </row>
    <row r="5449" spans="7:14" ht="11.25" customHeight="1" x14ac:dyDescent="0.3">
      <c r="G5449" s="470"/>
      <c r="H5449" s="470">
        <v>5442</v>
      </c>
      <c r="I5449" s="455">
        <f t="shared" ca="1" si="190"/>
        <v>-2569292725619728</v>
      </c>
      <c r="J5449" s="455">
        <f t="array" ref="J5449">IFERROR(INDEX('Retirement Calculator'!K:K,MATCH('Lorri 401b'!N5449,'Retirement Calculator'!A:A,0),0),0)</f>
        <v>0</v>
      </c>
      <c r="K5449" s="455">
        <f t="shared" ca="1" si="188"/>
        <v>-10705386356748.867</v>
      </c>
      <c r="L5449" s="455">
        <f t="shared" ca="1" si="189"/>
        <v>-2579998111976477</v>
      </c>
      <c r="M5449" s="471">
        <f t="shared" si="191"/>
        <v>0.05</v>
      </c>
      <c r="N5449" s="475">
        <f t="shared" si="192"/>
        <v>216896</v>
      </c>
    </row>
    <row r="5450" spans="7:14" ht="11.25" customHeight="1" x14ac:dyDescent="0.3">
      <c r="G5450" s="470"/>
      <c r="H5450" s="470">
        <v>5443</v>
      </c>
      <c r="I5450" s="455">
        <f t="shared" ca="1" si="190"/>
        <v>-2579998111976477</v>
      </c>
      <c r="J5450" s="455">
        <f t="array" ref="J5450">IFERROR(INDEX('Retirement Calculator'!K:K,MATCH('Lorri 401b'!N5450,'Retirement Calculator'!A:A,0),0),0)</f>
        <v>0</v>
      </c>
      <c r="K5450" s="455">
        <f t="shared" ca="1" si="188"/>
        <v>-10749992133235.32</v>
      </c>
      <c r="L5450" s="455">
        <f t="shared" ca="1" si="189"/>
        <v>-2590748104109712.5</v>
      </c>
      <c r="M5450" s="471">
        <f t="shared" si="191"/>
        <v>0.05</v>
      </c>
      <c r="N5450" s="475">
        <f t="shared" si="192"/>
        <v>216926</v>
      </c>
    </row>
    <row r="5451" spans="7:14" ht="11.25" customHeight="1" x14ac:dyDescent="0.3">
      <c r="G5451" s="470"/>
      <c r="H5451" s="470">
        <v>5444</v>
      </c>
      <c r="I5451" s="455">
        <f t="shared" ca="1" si="190"/>
        <v>-2590748104109712.5</v>
      </c>
      <c r="J5451" s="455">
        <f t="array" ref="J5451">IFERROR(INDEX('Retirement Calculator'!K:K,MATCH('Lorri 401b'!N5451,'Retirement Calculator'!A:A,0),0),0)</f>
        <v>0</v>
      </c>
      <c r="K5451" s="455">
        <f t="shared" ca="1" si="188"/>
        <v>-10794783767123.803</v>
      </c>
      <c r="L5451" s="455">
        <f t="shared" ca="1" si="189"/>
        <v>-2601542887876836.5</v>
      </c>
      <c r="M5451" s="471">
        <f t="shared" si="191"/>
        <v>0.05</v>
      </c>
      <c r="N5451" s="475">
        <f t="shared" si="192"/>
        <v>216957</v>
      </c>
    </row>
    <row r="5452" spans="7:14" ht="11.25" customHeight="1" x14ac:dyDescent="0.3">
      <c r="G5452" s="470"/>
      <c r="H5452" s="470">
        <v>5445</v>
      </c>
      <c r="I5452" s="455">
        <f t="shared" ca="1" si="190"/>
        <v>-2601542887876836.5</v>
      </c>
      <c r="J5452" s="455">
        <f t="array" ref="J5452">IFERROR(INDEX('Retirement Calculator'!K:K,MATCH('Lorri 401b'!N5452,'Retirement Calculator'!A:A,0),0),0)</f>
        <v>0</v>
      </c>
      <c r="K5452" s="455">
        <f t="shared" ca="1" si="188"/>
        <v>-10839762032820.152</v>
      </c>
      <c r="L5452" s="455">
        <f t="shared" ca="1" si="189"/>
        <v>-2612382649909656.5</v>
      </c>
      <c r="M5452" s="471">
        <f t="shared" si="191"/>
        <v>0.05</v>
      </c>
      <c r="N5452" s="475">
        <f t="shared" si="192"/>
        <v>216988</v>
      </c>
    </row>
    <row r="5453" spans="7:14" ht="11.25" customHeight="1" x14ac:dyDescent="0.3">
      <c r="G5453" s="470"/>
      <c r="H5453" s="470">
        <v>5446</v>
      </c>
      <c r="I5453" s="455">
        <f t="shared" ca="1" si="190"/>
        <v>-2612382649909656.5</v>
      </c>
      <c r="J5453" s="455">
        <f t="array" ref="J5453">IFERROR(INDEX('Retirement Calculator'!K:K,MATCH('Lorri 401b'!N5453,'Retirement Calculator'!A:A,0),0),0)</f>
        <v>0</v>
      </c>
      <c r="K5453" s="455">
        <f t="shared" ca="1" si="188"/>
        <v>-10884927707956.902</v>
      </c>
      <c r="L5453" s="455">
        <f t="shared" ca="1" si="189"/>
        <v>-2623267577617613.5</v>
      </c>
      <c r="M5453" s="471">
        <f t="shared" si="191"/>
        <v>0.05</v>
      </c>
      <c r="N5453" s="475">
        <f t="shared" si="192"/>
        <v>217016</v>
      </c>
    </row>
    <row r="5454" spans="7:14" ht="11.25" customHeight="1" x14ac:dyDescent="0.3">
      <c r="G5454" s="470"/>
      <c r="H5454" s="470">
        <v>5447</v>
      </c>
      <c r="I5454" s="455">
        <f t="shared" ca="1" si="190"/>
        <v>-2623267577617613.5</v>
      </c>
      <c r="J5454" s="455">
        <f t="array" ref="J5454">IFERROR(INDEX('Retirement Calculator'!K:K,MATCH('Lorri 401b'!N5454,'Retirement Calculator'!A:A,0),0),0)</f>
        <v>0</v>
      </c>
      <c r="K5454" s="455">
        <f t="shared" ca="1" si="188"/>
        <v>-10930281573406.723</v>
      </c>
      <c r="L5454" s="455">
        <f t="shared" ca="1" si="189"/>
        <v>-2634197859191020</v>
      </c>
      <c r="M5454" s="471">
        <f t="shared" si="191"/>
        <v>0.05</v>
      </c>
      <c r="N5454" s="475">
        <f t="shared" si="192"/>
        <v>217047</v>
      </c>
    </row>
    <row r="5455" spans="7:14" ht="11.25" customHeight="1" x14ac:dyDescent="0.3">
      <c r="G5455" s="470"/>
      <c r="H5455" s="470">
        <v>5448</v>
      </c>
      <c r="I5455" s="455">
        <f t="shared" ca="1" si="190"/>
        <v>-2634197859191020</v>
      </c>
      <c r="J5455" s="455">
        <f t="array" ref="J5455">IFERROR(INDEX('Retirement Calculator'!K:K,MATCH('Lorri 401b'!N5455,'Retirement Calculator'!A:A,0),0),0)</f>
        <v>0</v>
      </c>
      <c r="K5455" s="455">
        <f t="shared" ca="1" si="188"/>
        <v>-10975824413295.916</v>
      </c>
      <c r="L5455" s="455">
        <f t="shared" ca="1" si="189"/>
        <v>-2645173683604316</v>
      </c>
      <c r="M5455" s="471">
        <f t="shared" si="191"/>
        <v>0.05</v>
      </c>
      <c r="N5455" s="475">
        <f t="shared" si="192"/>
        <v>217077</v>
      </c>
    </row>
    <row r="5456" spans="7:14" ht="11.25" customHeight="1" x14ac:dyDescent="0.3">
      <c r="G5456" s="470"/>
      <c r="H5456" s="470">
        <v>5449</v>
      </c>
      <c r="I5456" s="455">
        <f t="shared" ca="1" si="190"/>
        <v>-2645173683604316</v>
      </c>
      <c r="J5456" s="455">
        <f t="array" ref="J5456">IFERROR(INDEX('Retirement Calculator'!K:K,MATCH('Lorri 401b'!N5456,'Retirement Calculator'!A:A,0),0),0)</f>
        <v>0</v>
      </c>
      <c r="K5456" s="455">
        <f t="shared" ca="1" si="188"/>
        <v>-11021557015017.982</v>
      </c>
      <c r="L5456" s="455">
        <f t="shared" ca="1" si="189"/>
        <v>-2656195240619334</v>
      </c>
      <c r="M5456" s="471">
        <f t="shared" si="191"/>
        <v>0.05</v>
      </c>
      <c r="N5456" s="475">
        <f t="shared" si="192"/>
        <v>217108</v>
      </c>
    </row>
    <row r="5457" spans="7:14" ht="11.25" customHeight="1" x14ac:dyDescent="0.3">
      <c r="G5457" s="470"/>
      <c r="H5457" s="470">
        <v>5450</v>
      </c>
      <c r="I5457" s="455">
        <f t="shared" ca="1" si="190"/>
        <v>-2656195240619334</v>
      </c>
      <c r="J5457" s="455">
        <f t="array" ref="J5457">IFERROR(INDEX('Retirement Calculator'!K:K,MATCH('Lorri 401b'!N5457,'Retirement Calculator'!A:A,0),0),0)</f>
        <v>0</v>
      </c>
      <c r="K5457" s="455">
        <f t="shared" ca="1" si="188"/>
        <v>-11067480169247.225</v>
      </c>
      <c r="L5457" s="455">
        <f t="shared" ca="1" si="189"/>
        <v>-2667262720788581</v>
      </c>
      <c r="M5457" s="471">
        <f t="shared" si="191"/>
        <v>0.05</v>
      </c>
      <c r="N5457" s="475">
        <f t="shared" si="192"/>
        <v>217138</v>
      </c>
    </row>
    <row r="5458" spans="7:14" ht="11.25" customHeight="1" x14ac:dyDescent="0.3">
      <c r="G5458" s="470"/>
      <c r="H5458" s="470">
        <v>5451</v>
      </c>
      <c r="I5458" s="455">
        <f t="shared" ca="1" si="190"/>
        <v>-2667262720788581</v>
      </c>
      <c r="J5458" s="455">
        <f t="array" ref="J5458">IFERROR(INDEX('Retirement Calculator'!K:K,MATCH('Lorri 401b'!N5458,'Retirement Calculator'!A:A,0),0),0)</f>
        <v>0</v>
      </c>
      <c r="K5458" s="455">
        <f t="shared" ca="1" si="188"/>
        <v>-11113594669952.42</v>
      </c>
      <c r="L5458" s="455">
        <f t="shared" ca="1" si="189"/>
        <v>-2678376315458533.5</v>
      </c>
      <c r="M5458" s="471">
        <f t="shared" si="191"/>
        <v>0.05</v>
      </c>
      <c r="N5458" s="475">
        <f t="shared" si="192"/>
        <v>217169</v>
      </c>
    </row>
    <row r="5459" spans="7:14" ht="11.25" customHeight="1" x14ac:dyDescent="0.3">
      <c r="G5459" s="470"/>
      <c r="H5459" s="470">
        <v>5452</v>
      </c>
      <c r="I5459" s="455">
        <f t="shared" ca="1" si="190"/>
        <v>-2678376315458533.5</v>
      </c>
      <c r="J5459" s="455">
        <f t="array" ref="J5459">IFERROR(INDEX('Retirement Calculator'!K:K,MATCH('Lorri 401b'!N5459,'Retirement Calculator'!A:A,0),0),0)</f>
        <v>0</v>
      </c>
      <c r="K5459" s="455">
        <f t="shared" ca="1" si="188"/>
        <v>-11159901314410.557</v>
      </c>
      <c r="L5459" s="455">
        <f t="shared" ca="1" si="189"/>
        <v>-2689536216772944</v>
      </c>
      <c r="M5459" s="471">
        <f t="shared" si="191"/>
        <v>0.05</v>
      </c>
      <c r="N5459" s="475">
        <f t="shared" si="192"/>
        <v>217200</v>
      </c>
    </row>
    <row r="5460" spans="7:14" ht="11.25" customHeight="1" x14ac:dyDescent="0.3">
      <c r="G5460" s="470"/>
      <c r="H5460" s="470">
        <v>5453</v>
      </c>
      <c r="I5460" s="455">
        <f t="shared" ca="1" si="190"/>
        <v>-2689536216772944</v>
      </c>
      <c r="J5460" s="455">
        <f t="array" ref="J5460">IFERROR(INDEX('Retirement Calculator'!K:K,MATCH('Lorri 401b'!N5460,'Retirement Calculator'!A:A,0),0),0)</f>
        <v>0</v>
      </c>
      <c r="K5460" s="455">
        <f t="shared" ca="1" si="188"/>
        <v>-11206400903220.6</v>
      </c>
      <c r="L5460" s="455">
        <f t="shared" ca="1" si="189"/>
        <v>-2700742617676164.5</v>
      </c>
      <c r="M5460" s="471">
        <f t="shared" si="191"/>
        <v>0.05</v>
      </c>
      <c r="N5460" s="475">
        <f t="shared" si="192"/>
        <v>217230</v>
      </c>
    </row>
    <row r="5461" spans="7:14" ht="11.25" customHeight="1" x14ac:dyDescent="0.3">
      <c r="G5461" s="470"/>
      <c r="H5461" s="470">
        <v>5454</v>
      </c>
      <c r="I5461" s="455">
        <f t="shared" ca="1" si="190"/>
        <v>-2700742617676164.5</v>
      </c>
      <c r="J5461" s="455">
        <f t="array" ref="J5461">IFERROR(INDEX('Retirement Calculator'!K:K,MATCH('Lorri 401b'!N5461,'Retirement Calculator'!A:A,0),0),0)</f>
        <v>0</v>
      </c>
      <c r="K5461" s="455">
        <f t="shared" ca="1" si="188"/>
        <v>-11253094240317.352</v>
      </c>
      <c r="L5461" s="455">
        <f t="shared" ca="1" si="189"/>
        <v>-2711995711916482</v>
      </c>
      <c r="M5461" s="471">
        <f t="shared" si="191"/>
        <v>0.05</v>
      </c>
      <c r="N5461" s="475">
        <f t="shared" si="192"/>
        <v>217261</v>
      </c>
    </row>
    <row r="5462" spans="7:14" ht="11.25" customHeight="1" x14ac:dyDescent="0.3">
      <c r="G5462" s="470"/>
      <c r="H5462" s="470">
        <v>5455</v>
      </c>
      <c r="I5462" s="455">
        <f t="shared" ca="1" si="190"/>
        <v>-2711995711916482</v>
      </c>
      <c r="J5462" s="455">
        <f t="array" ref="J5462">IFERROR(INDEX('Retirement Calculator'!K:K,MATCH('Lorri 401b'!N5462,'Retirement Calculator'!A:A,0),0),0)</f>
        <v>0</v>
      </c>
      <c r="K5462" s="455">
        <f t="shared" ca="1" si="188"/>
        <v>-11299982132985.342</v>
      </c>
      <c r="L5462" s="455">
        <f t="shared" ca="1" si="189"/>
        <v>-2723295694049467.5</v>
      </c>
      <c r="M5462" s="471">
        <f t="shared" si="191"/>
        <v>0.05</v>
      </c>
      <c r="N5462" s="475">
        <f t="shared" si="192"/>
        <v>217291</v>
      </c>
    </row>
    <row r="5463" spans="7:14" ht="11.25" customHeight="1" x14ac:dyDescent="0.3">
      <c r="G5463" s="470"/>
      <c r="H5463" s="470">
        <v>5456</v>
      </c>
      <c r="I5463" s="455">
        <f t="shared" ca="1" si="190"/>
        <v>-2723295694049467.5</v>
      </c>
      <c r="J5463" s="455">
        <f t="array" ref="J5463">IFERROR(INDEX('Retirement Calculator'!K:K,MATCH('Lorri 401b'!N5463,'Retirement Calculator'!A:A,0),0),0)</f>
        <v>0</v>
      </c>
      <c r="K5463" s="455">
        <f t="shared" ca="1" si="188"/>
        <v>-11347065391872.781</v>
      </c>
      <c r="L5463" s="455">
        <f t="shared" ca="1" si="189"/>
        <v>-2734642759441340.5</v>
      </c>
      <c r="M5463" s="471">
        <f t="shared" si="191"/>
        <v>0.05</v>
      </c>
      <c r="N5463" s="475">
        <f t="shared" si="192"/>
        <v>217322</v>
      </c>
    </row>
    <row r="5464" spans="7:14" ht="11.25" customHeight="1" x14ac:dyDescent="0.3">
      <c r="G5464" s="470"/>
      <c r="H5464" s="470">
        <v>5457</v>
      </c>
      <c r="I5464" s="455">
        <f t="shared" ca="1" si="190"/>
        <v>-2734642759441340.5</v>
      </c>
      <c r="J5464" s="455">
        <f t="array" ref="J5464">IFERROR(INDEX('Retirement Calculator'!K:K,MATCH('Lorri 401b'!N5464,'Retirement Calculator'!A:A,0),0),0)</f>
        <v>0</v>
      </c>
      <c r="K5464" s="455">
        <f t="shared" ca="1" si="188"/>
        <v>-11394344831005.586</v>
      </c>
      <c r="L5464" s="455">
        <f t="shared" ca="1" si="189"/>
        <v>-2746037104272346</v>
      </c>
      <c r="M5464" s="471">
        <f t="shared" si="191"/>
        <v>0.05</v>
      </c>
      <c r="N5464" s="475">
        <f t="shared" si="192"/>
        <v>217353</v>
      </c>
    </row>
    <row r="5465" spans="7:14" ht="11.25" customHeight="1" x14ac:dyDescent="0.3">
      <c r="G5465" s="470"/>
      <c r="H5465" s="470">
        <v>5458</v>
      </c>
      <c r="I5465" s="455">
        <f t="shared" ca="1" si="190"/>
        <v>-2746037104272346</v>
      </c>
      <c r="J5465" s="455">
        <f t="array" ref="J5465">IFERROR(INDEX('Retirement Calculator'!K:K,MATCH('Lorri 401b'!N5465,'Retirement Calculator'!A:A,0),0),0)</f>
        <v>0</v>
      </c>
      <c r="K5465" s="455">
        <f t="shared" ca="1" si="188"/>
        <v>-11441821267801.441</v>
      </c>
      <c r="L5465" s="455">
        <f t="shared" ca="1" si="189"/>
        <v>-2757478925540147.5</v>
      </c>
      <c r="M5465" s="471">
        <f t="shared" si="191"/>
        <v>0.05</v>
      </c>
      <c r="N5465" s="475">
        <f t="shared" si="192"/>
        <v>217381</v>
      </c>
    </row>
    <row r="5466" spans="7:14" ht="11.25" customHeight="1" x14ac:dyDescent="0.3">
      <c r="G5466" s="470"/>
      <c r="H5466" s="470">
        <v>5459</v>
      </c>
      <c r="I5466" s="455">
        <f t="shared" ca="1" si="190"/>
        <v>-2757478925540147.5</v>
      </c>
      <c r="J5466" s="455">
        <f t="array" ref="J5466">IFERROR(INDEX('Retirement Calculator'!K:K,MATCH('Lorri 401b'!N5466,'Retirement Calculator'!A:A,0),0),0)</f>
        <v>0</v>
      </c>
      <c r="K5466" s="455">
        <f t="shared" ca="1" si="188"/>
        <v>-11489495523083.947</v>
      </c>
      <c r="L5466" s="455">
        <f t="shared" ca="1" si="189"/>
        <v>-2768968421063231.5</v>
      </c>
      <c r="M5466" s="471">
        <f t="shared" si="191"/>
        <v>0.05</v>
      </c>
      <c r="N5466" s="475">
        <f t="shared" si="192"/>
        <v>217412</v>
      </c>
    </row>
    <row r="5467" spans="7:14" ht="11.25" customHeight="1" x14ac:dyDescent="0.3">
      <c r="G5467" s="470"/>
      <c r="H5467" s="470">
        <v>5460</v>
      </c>
      <c r="I5467" s="455">
        <f t="shared" ca="1" si="190"/>
        <v>-2768968421063231.5</v>
      </c>
      <c r="J5467" s="455">
        <f t="array" ref="J5467">IFERROR(INDEX('Retirement Calculator'!K:K,MATCH('Lorri 401b'!N5467,'Retirement Calculator'!A:A,0),0),0)</f>
        <v>0</v>
      </c>
      <c r="K5467" s="455">
        <f t="shared" ca="1" si="188"/>
        <v>-11537368421096.797</v>
      </c>
      <c r="L5467" s="455">
        <f t="shared" ca="1" si="189"/>
        <v>-2780505789484328.5</v>
      </c>
      <c r="M5467" s="471">
        <f t="shared" si="191"/>
        <v>0.05</v>
      </c>
      <c r="N5467" s="475">
        <f t="shared" si="192"/>
        <v>217442</v>
      </c>
    </row>
    <row r="5468" spans="7:14" ht="11.25" customHeight="1" x14ac:dyDescent="0.3">
      <c r="G5468" s="470"/>
      <c r="H5468" s="470">
        <v>5461</v>
      </c>
      <c r="I5468" s="455">
        <f t="shared" ca="1" si="190"/>
        <v>-2780505789484328.5</v>
      </c>
      <c r="J5468" s="455">
        <f t="array" ref="J5468">IFERROR(INDEX('Retirement Calculator'!K:K,MATCH('Lorri 401b'!N5468,'Retirement Calculator'!A:A,0),0),0)</f>
        <v>0</v>
      </c>
      <c r="K5468" s="455">
        <f t="shared" ca="1" si="188"/>
        <v>-11585440789518.035</v>
      </c>
      <c r="L5468" s="455">
        <f t="shared" ca="1" si="189"/>
        <v>-2792091230273846.5</v>
      </c>
      <c r="M5468" s="471">
        <f t="shared" si="191"/>
        <v>0.05</v>
      </c>
      <c r="N5468" s="475">
        <f t="shared" si="192"/>
        <v>217473</v>
      </c>
    </row>
    <row r="5469" spans="7:14" ht="11.25" customHeight="1" x14ac:dyDescent="0.3">
      <c r="G5469" s="470"/>
      <c r="H5469" s="470">
        <v>5462</v>
      </c>
      <c r="I5469" s="455">
        <f t="shared" ca="1" si="190"/>
        <v>-2792091230273846.5</v>
      </c>
      <c r="J5469" s="455">
        <f t="array" ref="J5469">IFERROR(INDEX('Retirement Calculator'!K:K,MATCH('Lorri 401b'!N5469,'Retirement Calculator'!A:A,0),0),0)</f>
        <v>0</v>
      </c>
      <c r="K5469" s="455">
        <f t="shared" ca="1" si="188"/>
        <v>-11633713459474.359</v>
      </c>
      <c r="L5469" s="455">
        <f t="shared" ca="1" si="189"/>
        <v>-2803724943733321</v>
      </c>
      <c r="M5469" s="471">
        <f t="shared" si="191"/>
        <v>0.05</v>
      </c>
      <c r="N5469" s="475">
        <f t="shared" si="192"/>
        <v>217503</v>
      </c>
    </row>
    <row r="5470" spans="7:14" ht="11.25" customHeight="1" x14ac:dyDescent="0.3">
      <c r="G5470" s="470"/>
      <c r="H5470" s="470">
        <v>5463</v>
      </c>
      <c r="I5470" s="455">
        <f t="shared" ca="1" si="190"/>
        <v>-2803724943733321</v>
      </c>
      <c r="J5470" s="455">
        <f t="array" ref="J5470">IFERROR(INDEX('Retirement Calculator'!K:K,MATCH('Lorri 401b'!N5470,'Retirement Calculator'!A:A,0),0),0)</f>
        <v>0</v>
      </c>
      <c r="K5470" s="455">
        <f t="shared" ca="1" si="188"/>
        <v>-11682187265555.504</v>
      </c>
      <c r="L5470" s="455">
        <f t="shared" ca="1" si="189"/>
        <v>-2815407130998876.5</v>
      </c>
      <c r="M5470" s="471">
        <f t="shared" si="191"/>
        <v>0.05</v>
      </c>
      <c r="N5470" s="475">
        <f t="shared" si="192"/>
        <v>217534</v>
      </c>
    </row>
    <row r="5471" spans="7:14" ht="11.25" customHeight="1" x14ac:dyDescent="0.3">
      <c r="G5471" s="470"/>
      <c r="H5471" s="470">
        <v>5464</v>
      </c>
      <c r="I5471" s="455">
        <f t="shared" ca="1" si="190"/>
        <v>-2815407130998876.5</v>
      </c>
      <c r="J5471" s="455">
        <f t="array" ref="J5471">IFERROR(INDEX('Retirement Calculator'!K:K,MATCH('Lorri 401b'!N5471,'Retirement Calculator'!A:A,0),0),0)</f>
        <v>0</v>
      </c>
      <c r="K5471" s="455">
        <f t="shared" ca="1" si="188"/>
        <v>-11730863045828.652</v>
      </c>
      <c r="L5471" s="455">
        <f t="shared" ca="1" si="189"/>
        <v>-2827137994044705</v>
      </c>
      <c r="M5471" s="471">
        <f t="shared" si="191"/>
        <v>0.05</v>
      </c>
      <c r="N5471" s="475">
        <f t="shared" si="192"/>
        <v>217565</v>
      </c>
    </row>
    <row r="5472" spans="7:14" ht="11.25" customHeight="1" x14ac:dyDescent="0.3">
      <c r="G5472" s="470"/>
      <c r="H5472" s="470">
        <v>5465</v>
      </c>
      <c r="I5472" s="455">
        <f t="shared" ca="1" si="190"/>
        <v>-2827137994044705</v>
      </c>
      <c r="J5472" s="455">
        <f t="array" ref="J5472">IFERROR(INDEX('Retirement Calculator'!K:K,MATCH('Lorri 401b'!N5472,'Retirement Calculator'!A:A,0),0),0)</f>
        <v>0</v>
      </c>
      <c r="K5472" s="455">
        <f t="shared" ca="1" si="188"/>
        <v>-11779741641852.938</v>
      </c>
      <c r="L5472" s="455">
        <f t="shared" ca="1" si="189"/>
        <v>-2838917735686558</v>
      </c>
      <c r="M5472" s="471">
        <f t="shared" si="191"/>
        <v>0.05</v>
      </c>
      <c r="N5472" s="475">
        <f t="shared" si="192"/>
        <v>217595</v>
      </c>
    </row>
    <row r="5473" spans="7:14" ht="11.25" customHeight="1" x14ac:dyDescent="0.3">
      <c r="G5473" s="470"/>
      <c r="H5473" s="470">
        <v>5466</v>
      </c>
      <c r="I5473" s="455">
        <f t="shared" ca="1" si="190"/>
        <v>-2838917735686558</v>
      </c>
      <c r="J5473" s="455">
        <f t="array" ref="J5473">IFERROR(INDEX('Retirement Calculator'!K:K,MATCH('Lorri 401b'!N5473,'Retirement Calculator'!A:A,0),0),0)</f>
        <v>0</v>
      </c>
      <c r="K5473" s="455">
        <f t="shared" ca="1" si="188"/>
        <v>-11828823898693.992</v>
      </c>
      <c r="L5473" s="455">
        <f t="shared" ca="1" si="189"/>
        <v>-2850746559585252</v>
      </c>
      <c r="M5473" s="471">
        <f t="shared" si="191"/>
        <v>0.05</v>
      </c>
      <c r="N5473" s="475">
        <f t="shared" si="192"/>
        <v>217626</v>
      </c>
    </row>
    <row r="5474" spans="7:14" ht="11.25" customHeight="1" x14ac:dyDescent="0.3">
      <c r="G5474" s="470"/>
      <c r="H5474" s="470">
        <v>5467</v>
      </c>
      <c r="I5474" s="455">
        <f t="shared" ca="1" si="190"/>
        <v>-2850746559585252</v>
      </c>
      <c r="J5474" s="455">
        <f t="array" ref="J5474">IFERROR(INDEX('Retirement Calculator'!K:K,MATCH('Lorri 401b'!N5474,'Retirement Calculator'!A:A,0),0),0)</f>
        <v>0</v>
      </c>
      <c r="K5474" s="455">
        <f t="shared" ca="1" si="188"/>
        <v>-11878110664938.551</v>
      </c>
      <c r="L5474" s="455">
        <f t="shared" ca="1" si="189"/>
        <v>-2862624670250190.5</v>
      </c>
      <c r="M5474" s="471">
        <f t="shared" si="191"/>
        <v>0.05</v>
      </c>
      <c r="N5474" s="475">
        <f t="shared" si="192"/>
        <v>217656</v>
      </c>
    </row>
    <row r="5475" spans="7:14" ht="11.25" customHeight="1" x14ac:dyDescent="0.3">
      <c r="G5475" s="470"/>
      <c r="H5475" s="470">
        <v>5468</v>
      </c>
      <c r="I5475" s="455">
        <f t="shared" ca="1" si="190"/>
        <v>-2862624670250190.5</v>
      </c>
      <c r="J5475" s="455">
        <f t="array" ref="J5475">IFERROR(INDEX('Retirement Calculator'!K:K,MATCH('Lorri 401b'!N5475,'Retirement Calculator'!A:A,0),0),0)</f>
        <v>0</v>
      </c>
      <c r="K5475" s="455">
        <f t="shared" ca="1" si="188"/>
        <v>-11927602792709.127</v>
      </c>
      <c r="L5475" s="455">
        <f t="shared" ca="1" si="189"/>
        <v>-2874552273042899.5</v>
      </c>
      <c r="M5475" s="471">
        <f t="shared" si="191"/>
        <v>0.05</v>
      </c>
      <c r="N5475" s="475">
        <f t="shared" si="192"/>
        <v>217687</v>
      </c>
    </row>
    <row r="5476" spans="7:14" ht="11.25" customHeight="1" x14ac:dyDescent="0.3">
      <c r="G5476" s="470"/>
      <c r="H5476" s="470">
        <v>5469</v>
      </c>
      <c r="I5476" s="455">
        <f t="shared" ca="1" si="190"/>
        <v>-2874552273042899.5</v>
      </c>
      <c r="J5476" s="455">
        <f t="array" ref="J5476">IFERROR(INDEX('Retirement Calculator'!K:K,MATCH('Lorri 401b'!N5476,'Retirement Calculator'!A:A,0),0),0)</f>
        <v>0</v>
      </c>
      <c r="K5476" s="455">
        <f t="shared" ca="1" si="188"/>
        <v>-11977301137678.748</v>
      </c>
      <c r="L5476" s="455">
        <f t="shared" ca="1" si="189"/>
        <v>-2886529574180578</v>
      </c>
      <c r="M5476" s="471">
        <f t="shared" si="191"/>
        <v>0.05</v>
      </c>
      <c r="N5476" s="475">
        <f t="shared" si="192"/>
        <v>217718</v>
      </c>
    </row>
    <row r="5477" spans="7:14" ht="11.25" customHeight="1" x14ac:dyDescent="0.3">
      <c r="G5477" s="470"/>
      <c r="H5477" s="470">
        <v>5470</v>
      </c>
      <c r="I5477" s="455">
        <f t="shared" ca="1" si="190"/>
        <v>-2886529574180578</v>
      </c>
      <c r="J5477" s="455">
        <f t="array" ref="J5477">IFERROR(INDEX('Retirement Calculator'!K:K,MATCH('Lorri 401b'!N5477,'Retirement Calculator'!A:A,0),0),0)</f>
        <v>0</v>
      </c>
      <c r="K5477" s="455">
        <f t="shared" ca="1" si="188"/>
        <v>-12027206559085.742</v>
      </c>
      <c r="L5477" s="455">
        <f t="shared" ca="1" si="189"/>
        <v>-2898556780739663.5</v>
      </c>
      <c r="M5477" s="471">
        <f t="shared" si="191"/>
        <v>0.05</v>
      </c>
      <c r="N5477" s="475">
        <f t="shared" si="192"/>
        <v>217747</v>
      </c>
    </row>
    <row r="5478" spans="7:14" ht="11.25" customHeight="1" x14ac:dyDescent="0.3">
      <c r="G5478" s="470"/>
      <c r="H5478" s="470">
        <v>5471</v>
      </c>
      <c r="I5478" s="455">
        <f t="shared" ca="1" si="190"/>
        <v>-2898556780739663.5</v>
      </c>
      <c r="J5478" s="455">
        <f t="array" ref="J5478">IFERROR(INDEX('Retirement Calculator'!K:K,MATCH('Lorri 401b'!N5478,'Retirement Calculator'!A:A,0),0),0)</f>
        <v>0</v>
      </c>
      <c r="K5478" s="455">
        <f t="shared" ca="1" si="188"/>
        <v>-12077319919748.598</v>
      </c>
      <c r="L5478" s="455">
        <f t="shared" ca="1" si="189"/>
        <v>-2910634100659412</v>
      </c>
      <c r="M5478" s="471">
        <f t="shared" si="191"/>
        <v>0.05</v>
      </c>
      <c r="N5478" s="475">
        <f t="shared" si="192"/>
        <v>217778</v>
      </c>
    </row>
    <row r="5479" spans="7:14" ht="11.25" customHeight="1" x14ac:dyDescent="0.3">
      <c r="G5479" s="470"/>
      <c r="H5479" s="470">
        <v>5472</v>
      </c>
      <c r="I5479" s="455">
        <f t="shared" ca="1" si="190"/>
        <v>-2910634100659412</v>
      </c>
      <c r="J5479" s="455">
        <f t="array" ref="J5479">IFERROR(INDEX('Retirement Calculator'!K:K,MATCH('Lorri 401b'!N5479,'Retirement Calculator'!A:A,0),0),0)</f>
        <v>0</v>
      </c>
      <c r="K5479" s="455">
        <f t="shared" ca="1" si="188"/>
        <v>-12127642086080.883</v>
      </c>
      <c r="L5479" s="455">
        <f t="shared" ca="1" si="189"/>
        <v>-2922761742745493</v>
      </c>
      <c r="M5479" s="471">
        <f t="shared" si="191"/>
        <v>0.05</v>
      </c>
      <c r="N5479" s="475">
        <f t="shared" si="192"/>
        <v>217808</v>
      </c>
    </row>
    <row r="5480" spans="7:14" ht="11.25" customHeight="1" x14ac:dyDescent="0.3">
      <c r="G5480" s="470"/>
      <c r="H5480" s="470">
        <v>5473</v>
      </c>
      <c r="I5480" s="455">
        <f t="shared" ca="1" si="190"/>
        <v>-2922761742745493</v>
      </c>
      <c r="J5480" s="455">
        <f t="array" ref="J5480">IFERROR(INDEX('Retirement Calculator'!K:K,MATCH('Lorri 401b'!N5480,'Retirement Calculator'!A:A,0),0),0)</f>
        <v>0</v>
      </c>
      <c r="K5480" s="455">
        <f t="shared" ca="1" si="188"/>
        <v>-12178173928106.221</v>
      </c>
      <c r="L5480" s="455">
        <f t="shared" ca="1" si="189"/>
        <v>-2934939916673599</v>
      </c>
      <c r="M5480" s="471">
        <f t="shared" si="191"/>
        <v>0.05</v>
      </c>
      <c r="N5480" s="475">
        <f t="shared" si="192"/>
        <v>217839</v>
      </c>
    </row>
    <row r="5481" spans="7:14" ht="11.25" customHeight="1" x14ac:dyDescent="0.3">
      <c r="G5481" s="470"/>
      <c r="H5481" s="470">
        <v>5474</v>
      </c>
      <c r="I5481" s="455">
        <f t="shared" ca="1" si="190"/>
        <v>-2934939916673599</v>
      </c>
      <c r="J5481" s="455">
        <f t="array" ref="J5481">IFERROR(INDEX('Retirement Calculator'!K:K,MATCH('Lorri 401b'!N5481,'Retirement Calculator'!A:A,0),0),0)</f>
        <v>0</v>
      </c>
      <c r="K5481" s="455">
        <f t="shared" ca="1" si="188"/>
        <v>-12228916319473.328</v>
      </c>
      <c r="L5481" s="455">
        <f t="shared" ca="1" si="189"/>
        <v>-2947168832993072.5</v>
      </c>
      <c r="M5481" s="471">
        <f t="shared" si="191"/>
        <v>0.05</v>
      </c>
      <c r="N5481" s="475">
        <f t="shared" si="192"/>
        <v>217869</v>
      </c>
    </row>
    <row r="5482" spans="7:14" ht="11.25" customHeight="1" x14ac:dyDescent="0.3">
      <c r="G5482" s="470"/>
      <c r="H5482" s="470">
        <v>5475</v>
      </c>
      <c r="I5482" s="455">
        <f t="shared" ca="1" si="190"/>
        <v>-2947168832993072.5</v>
      </c>
      <c r="J5482" s="455">
        <f t="array" ref="J5482">IFERROR(INDEX('Retirement Calculator'!K:K,MATCH('Lorri 401b'!N5482,'Retirement Calculator'!A:A,0),0),0)</f>
        <v>0</v>
      </c>
      <c r="K5482" s="455">
        <f t="shared" ca="1" si="188"/>
        <v>-12279870137471.135</v>
      </c>
      <c r="L5482" s="455">
        <f t="shared" ca="1" si="189"/>
        <v>-2959448703130543.5</v>
      </c>
      <c r="M5482" s="471">
        <f t="shared" si="191"/>
        <v>0.05</v>
      </c>
      <c r="N5482" s="475">
        <f t="shared" si="192"/>
        <v>217900</v>
      </c>
    </row>
    <row r="5483" spans="7:14" ht="11.25" customHeight="1" x14ac:dyDescent="0.3">
      <c r="G5483" s="470"/>
      <c r="H5483" s="470">
        <v>5476</v>
      </c>
      <c r="I5483" s="455">
        <f t="shared" ca="1" si="190"/>
        <v>-2959448703130543.5</v>
      </c>
      <c r="J5483" s="455">
        <f t="array" ref="J5483">IFERROR(INDEX('Retirement Calculator'!K:K,MATCH('Lorri 401b'!N5483,'Retirement Calculator'!A:A,0),0),0)</f>
        <v>0</v>
      </c>
      <c r="K5483" s="455">
        <f t="shared" ca="1" si="188"/>
        <v>-12331036263043.932</v>
      </c>
      <c r="L5483" s="455">
        <f t="shared" ca="1" si="189"/>
        <v>-2971779739393587.5</v>
      </c>
      <c r="M5483" s="471">
        <f t="shared" si="191"/>
        <v>0.05</v>
      </c>
      <c r="N5483" s="475">
        <f t="shared" si="192"/>
        <v>217931</v>
      </c>
    </row>
    <row r="5484" spans="7:14" ht="11.25" customHeight="1" x14ac:dyDescent="0.3">
      <c r="G5484" s="470"/>
      <c r="H5484" s="470">
        <v>5477</v>
      </c>
      <c r="I5484" s="455">
        <f t="shared" ca="1" si="190"/>
        <v>-2971779739393587.5</v>
      </c>
      <c r="J5484" s="455">
        <f t="array" ref="J5484">IFERROR(INDEX('Retirement Calculator'!K:K,MATCH('Lorri 401b'!N5484,'Retirement Calculator'!A:A,0),0),0)</f>
        <v>0</v>
      </c>
      <c r="K5484" s="455">
        <f t="shared" ca="1" si="188"/>
        <v>-12382415580806.615</v>
      </c>
      <c r="L5484" s="455">
        <f t="shared" ca="1" si="189"/>
        <v>-2984162154974394</v>
      </c>
      <c r="M5484" s="471">
        <f t="shared" si="191"/>
        <v>0.05</v>
      </c>
      <c r="N5484" s="475">
        <f t="shared" si="192"/>
        <v>217961</v>
      </c>
    </row>
    <row r="5485" spans="7:14" ht="11.25" customHeight="1" x14ac:dyDescent="0.3">
      <c r="G5485" s="470"/>
      <c r="H5485" s="470">
        <v>5478</v>
      </c>
      <c r="I5485" s="455">
        <f t="shared" ca="1" si="190"/>
        <v>-2984162154974394</v>
      </c>
      <c r="J5485" s="455">
        <f t="array" ref="J5485">IFERROR(INDEX('Retirement Calculator'!K:K,MATCH('Lorri 401b'!N5485,'Retirement Calculator'!A:A,0),0),0)</f>
        <v>0</v>
      </c>
      <c r="K5485" s="455">
        <f t="shared" ca="1" si="188"/>
        <v>-12434008979059.975</v>
      </c>
      <c r="L5485" s="455">
        <f t="shared" ca="1" si="189"/>
        <v>-2996596163953454</v>
      </c>
      <c r="M5485" s="471">
        <f t="shared" si="191"/>
        <v>0.05</v>
      </c>
      <c r="N5485" s="475">
        <f t="shared" si="192"/>
        <v>217992</v>
      </c>
    </row>
    <row r="5486" spans="7:14" ht="11.25" customHeight="1" x14ac:dyDescent="0.3">
      <c r="G5486" s="470"/>
      <c r="H5486" s="470">
        <v>5479</v>
      </c>
      <c r="I5486" s="455">
        <f t="shared" ca="1" si="190"/>
        <v>-2996596163953454</v>
      </c>
      <c r="J5486" s="455">
        <f t="array" ref="J5486">IFERROR(INDEX('Retirement Calculator'!K:K,MATCH('Lorri 401b'!N5486,'Retirement Calculator'!A:A,0),0),0)</f>
        <v>0</v>
      </c>
      <c r="K5486" s="455">
        <f t="shared" ca="1" si="188"/>
        <v>-12485817349806.059</v>
      </c>
      <c r="L5486" s="455">
        <f t="shared" ca="1" si="189"/>
        <v>-3009081981303260</v>
      </c>
      <c r="M5486" s="471">
        <f t="shared" si="191"/>
        <v>0.05</v>
      </c>
      <c r="N5486" s="475">
        <f t="shared" si="192"/>
        <v>218022</v>
      </c>
    </row>
    <row r="5487" spans="7:14" ht="11.25" customHeight="1" x14ac:dyDescent="0.3">
      <c r="G5487" s="470"/>
      <c r="H5487" s="470">
        <v>5480</v>
      </c>
      <c r="I5487" s="455">
        <f t="shared" ca="1" si="190"/>
        <v>-3009081981303260</v>
      </c>
      <c r="J5487" s="455">
        <f t="array" ref="J5487">IFERROR(INDEX('Retirement Calculator'!K:K,MATCH('Lorri 401b'!N5487,'Retirement Calculator'!A:A,0),0),0)</f>
        <v>0</v>
      </c>
      <c r="K5487" s="455">
        <f t="shared" ca="1" si="188"/>
        <v>-12537841588763.584</v>
      </c>
      <c r="L5487" s="455">
        <f t="shared" ca="1" si="189"/>
        <v>-3021619822892023.5</v>
      </c>
      <c r="M5487" s="471">
        <f t="shared" si="191"/>
        <v>0.05</v>
      </c>
      <c r="N5487" s="475">
        <f t="shared" si="192"/>
        <v>218053</v>
      </c>
    </row>
    <row r="5488" spans="7:14" ht="11.25" customHeight="1" x14ac:dyDescent="0.3">
      <c r="G5488" s="470"/>
      <c r="H5488" s="470">
        <v>5481</v>
      </c>
      <c r="I5488" s="455">
        <f t="shared" ca="1" si="190"/>
        <v>-3021619822892023.5</v>
      </c>
      <c r="J5488" s="455">
        <f t="array" ref="J5488">IFERROR(INDEX('Retirement Calculator'!K:K,MATCH('Lorri 401b'!N5488,'Retirement Calculator'!A:A,0),0),0)</f>
        <v>0</v>
      </c>
      <c r="K5488" s="455">
        <f t="shared" ca="1" si="188"/>
        <v>-12590082595383.432</v>
      </c>
      <c r="L5488" s="455">
        <f t="shared" ca="1" si="189"/>
        <v>-3034209905487407</v>
      </c>
      <c r="M5488" s="471">
        <f t="shared" si="191"/>
        <v>0.05</v>
      </c>
      <c r="N5488" s="475">
        <f t="shared" si="192"/>
        <v>218084</v>
      </c>
    </row>
    <row r="5489" spans="7:14" ht="11.25" customHeight="1" x14ac:dyDescent="0.3">
      <c r="G5489" s="470"/>
      <c r="H5489" s="470">
        <v>5482</v>
      </c>
      <c r="I5489" s="455">
        <f t="shared" ca="1" si="190"/>
        <v>-3034209905487407</v>
      </c>
      <c r="J5489" s="455">
        <f t="array" ref="J5489">IFERROR(INDEX('Retirement Calculator'!K:K,MATCH('Lorri 401b'!N5489,'Retirement Calculator'!A:A,0),0),0)</f>
        <v>0</v>
      </c>
      <c r="K5489" s="455">
        <f t="shared" ca="1" si="188"/>
        <v>-12642541272864.195</v>
      </c>
      <c r="L5489" s="455">
        <f t="shared" ca="1" si="189"/>
        <v>-3046852446760271</v>
      </c>
      <c r="M5489" s="471">
        <f t="shared" si="191"/>
        <v>0.05</v>
      </c>
      <c r="N5489" s="475">
        <f t="shared" si="192"/>
        <v>218112</v>
      </c>
    </row>
    <row r="5490" spans="7:14" ht="11.25" customHeight="1" x14ac:dyDescent="0.3">
      <c r="G5490" s="470"/>
      <c r="H5490" s="470">
        <v>5483</v>
      </c>
      <c r="I5490" s="455">
        <f t="shared" ca="1" si="190"/>
        <v>-3046852446760271</v>
      </c>
      <c r="J5490" s="455">
        <f t="array" ref="J5490">IFERROR(INDEX('Retirement Calculator'!K:K,MATCH('Lorri 401b'!N5490,'Retirement Calculator'!A:A,0),0),0)</f>
        <v>0</v>
      </c>
      <c r="K5490" s="455">
        <f t="shared" ca="1" si="188"/>
        <v>-12695218528167.795</v>
      </c>
      <c r="L5490" s="455">
        <f t="shared" ca="1" si="189"/>
        <v>-3059547665288439</v>
      </c>
      <c r="M5490" s="471">
        <f t="shared" si="191"/>
        <v>0.05</v>
      </c>
      <c r="N5490" s="475">
        <f t="shared" si="192"/>
        <v>218143</v>
      </c>
    </row>
    <row r="5491" spans="7:14" ht="11.25" customHeight="1" x14ac:dyDescent="0.3">
      <c r="G5491" s="470"/>
      <c r="H5491" s="470">
        <v>5484</v>
      </c>
      <c r="I5491" s="455">
        <f t="shared" ca="1" si="190"/>
        <v>-3059547665288439</v>
      </c>
      <c r="J5491" s="455">
        <f t="array" ref="J5491">IFERROR(INDEX('Retirement Calculator'!K:K,MATCH('Lorri 401b'!N5491,'Retirement Calculator'!A:A,0),0),0)</f>
        <v>0</v>
      </c>
      <c r="K5491" s="455">
        <f t="shared" ca="1" si="188"/>
        <v>-12748115272035.162</v>
      </c>
      <c r="L5491" s="455">
        <f t="shared" ca="1" si="189"/>
        <v>-3072295780560474</v>
      </c>
      <c r="M5491" s="471">
        <f t="shared" si="191"/>
        <v>0.05</v>
      </c>
      <c r="N5491" s="475">
        <f t="shared" si="192"/>
        <v>218173</v>
      </c>
    </row>
    <row r="5492" spans="7:14" ht="11.25" customHeight="1" x14ac:dyDescent="0.3">
      <c r="G5492" s="470"/>
      <c r="H5492" s="470">
        <v>5485</v>
      </c>
      <c r="I5492" s="455">
        <f t="shared" ca="1" si="190"/>
        <v>-3072295780560474</v>
      </c>
      <c r="J5492" s="455">
        <f t="array" ref="J5492">IFERROR(INDEX('Retirement Calculator'!K:K,MATCH('Lorri 401b'!N5492,'Retirement Calculator'!A:A,0),0),0)</f>
        <v>0</v>
      </c>
      <c r="K5492" s="455">
        <f t="shared" ca="1" si="188"/>
        <v>-12801232419001.975</v>
      </c>
      <c r="L5492" s="455">
        <f t="shared" ca="1" si="189"/>
        <v>-3085097012979476</v>
      </c>
      <c r="M5492" s="471">
        <f t="shared" si="191"/>
        <v>0.05</v>
      </c>
      <c r="N5492" s="475">
        <f t="shared" si="192"/>
        <v>218204</v>
      </c>
    </row>
    <row r="5493" spans="7:14" ht="11.25" customHeight="1" x14ac:dyDescent="0.3">
      <c r="G5493" s="470"/>
      <c r="H5493" s="470">
        <v>5486</v>
      </c>
      <c r="I5493" s="455">
        <f t="shared" ca="1" si="190"/>
        <v>-3085097012979476</v>
      </c>
      <c r="J5493" s="455">
        <f t="array" ref="J5493">IFERROR(INDEX('Retirement Calculator'!K:K,MATCH('Lorri 401b'!N5493,'Retirement Calculator'!A:A,0),0),0)</f>
        <v>0</v>
      </c>
      <c r="K5493" s="455">
        <f t="shared" ca="1" si="188"/>
        <v>-12854570887414.482</v>
      </c>
      <c r="L5493" s="455">
        <f t="shared" ca="1" si="189"/>
        <v>-3097951583866890.5</v>
      </c>
      <c r="M5493" s="471">
        <f t="shared" si="191"/>
        <v>0.05</v>
      </c>
      <c r="N5493" s="475">
        <f t="shared" si="192"/>
        <v>218234</v>
      </c>
    </row>
    <row r="5494" spans="7:14" ht="11.25" customHeight="1" x14ac:dyDescent="0.3">
      <c r="G5494" s="470"/>
      <c r="H5494" s="470">
        <v>5487</v>
      </c>
      <c r="I5494" s="455">
        <f t="shared" ca="1" si="190"/>
        <v>-3097951583866890.5</v>
      </c>
      <c r="J5494" s="455">
        <f t="array" ref="J5494">IFERROR(INDEX('Retirement Calculator'!K:K,MATCH('Lorri 401b'!N5494,'Retirement Calculator'!A:A,0),0),0)</f>
        <v>0</v>
      </c>
      <c r="K5494" s="455">
        <f t="shared" ca="1" si="188"/>
        <v>-12908131599445.377</v>
      </c>
      <c r="L5494" s="455">
        <f t="shared" ca="1" si="189"/>
        <v>-3110859715466336</v>
      </c>
      <c r="M5494" s="471">
        <f t="shared" si="191"/>
        <v>0.05</v>
      </c>
      <c r="N5494" s="475">
        <f t="shared" si="192"/>
        <v>218265</v>
      </c>
    </row>
    <row r="5495" spans="7:14" ht="11.25" customHeight="1" x14ac:dyDescent="0.3">
      <c r="G5495" s="470"/>
      <c r="H5495" s="470">
        <v>5488</v>
      </c>
      <c r="I5495" s="455">
        <f t="shared" ca="1" si="190"/>
        <v>-3110859715466336</v>
      </c>
      <c r="J5495" s="455">
        <f t="array" ref="J5495">IFERROR(INDEX('Retirement Calculator'!K:K,MATCH('Lorri 401b'!N5495,'Retirement Calculator'!A:A,0),0),0)</f>
        <v>0</v>
      </c>
      <c r="K5495" s="455">
        <f t="shared" ca="1" si="188"/>
        <v>-12961915481109.732</v>
      </c>
      <c r="L5495" s="455">
        <f t="shared" ca="1" si="189"/>
        <v>-3123821630947445.5</v>
      </c>
      <c r="M5495" s="471">
        <f t="shared" si="191"/>
        <v>0.05</v>
      </c>
      <c r="N5495" s="475">
        <f t="shared" si="192"/>
        <v>218296</v>
      </c>
    </row>
    <row r="5496" spans="7:14" ht="11.25" customHeight="1" x14ac:dyDescent="0.3">
      <c r="G5496" s="470"/>
      <c r="H5496" s="470">
        <v>5489</v>
      </c>
      <c r="I5496" s="455">
        <f t="shared" ca="1" si="190"/>
        <v>-3123821630947445.5</v>
      </c>
      <c r="J5496" s="455">
        <f t="array" ref="J5496">IFERROR(INDEX('Retirement Calculator'!K:K,MATCH('Lorri 401b'!N5496,'Retirement Calculator'!A:A,0),0),0)</f>
        <v>0</v>
      </c>
      <c r="K5496" s="455">
        <f t="shared" ca="1" si="188"/>
        <v>-13015923462281.023</v>
      </c>
      <c r="L5496" s="455">
        <f t="shared" ca="1" si="189"/>
        <v>-3136837554409726.5</v>
      </c>
      <c r="M5496" s="471">
        <f t="shared" si="191"/>
        <v>0.05</v>
      </c>
      <c r="N5496" s="475">
        <f t="shared" si="192"/>
        <v>218326</v>
      </c>
    </row>
    <row r="5497" spans="7:14" ht="11.25" customHeight="1" x14ac:dyDescent="0.3">
      <c r="G5497" s="470"/>
      <c r="H5497" s="470">
        <v>5490</v>
      </c>
      <c r="I5497" s="455">
        <f t="shared" ca="1" si="190"/>
        <v>-3136837554409726.5</v>
      </c>
      <c r="J5497" s="455">
        <f t="array" ref="J5497">IFERROR(INDEX('Retirement Calculator'!K:K,MATCH('Lorri 401b'!N5497,'Retirement Calculator'!A:A,0),0),0)</f>
        <v>0</v>
      </c>
      <c r="K5497" s="455">
        <f t="shared" ca="1" si="188"/>
        <v>-13070156476707.193</v>
      </c>
      <c r="L5497" s="455">
        <f t="shared" ca="1" si="189"/>
        <v>-3149907710886433.5</v>
      </c>
      <c r="M5497" s="471">
        <f t="shared" si="191"/>
        <v>0.05</v>
      </c>
      <c r="N5497" s="475">
        <f t="shared" si="192"/>
        <v>218357</v>
      </c>
    </row>
    <row r="5498" spans="7:14" ht="11.25" customHeight="1" x14ac:dyDescent="0.3">
      <c r="G5498" s="470"/>
      <c r="H5498" s="470">
        <v>5491</v>
      </c>
      <c r="I5498" s="455">
        <f t="shared" ca="1" si="190"/>
        <v>-3149907710886433.5</v>
      </c>
      <c r="J5498" s="455">
        <f t="array" ref="J5498">IFERROR(INDEX('Retirement Calculator'!K:K,MATCH('Lorri 401b'!N5498,'Retirement Calculator'!A:A,0),0),0)</f>
        <v>0</v>
      </c>
      <c r="K5498" s="455">
        <f t="shared" ca="1" si="188"/>
        <v>-13124615462026.807</v>
      </c>
      <c r="L5498" s="455">
        <f t="shared" ca="1" si="189"/>
        <v>-3163032326348460.5</v>
      </c>
      <c r="M5498" s="471">
        <f t="shared" si="191"/>
        <v>0.05</v>
      </c>
      <c r="N5498" s="475">
        <f t="shared" si="192"/>
        <v>218387</v>
      </c>
    </row>
    <row r="5499" spans="7:14" ht="11.25" customHeight="1" x14ac:dyDescent="0.3">
      <c r="G5499" s="470"/>
      <c r="H5499" s="470">
        <v>5492</v>
      </c>
      <c r="I5499" s="455">
        <f t="shared" ca="1" si="190"/>
        <v>-3163032326348460.5</v>
      </c>
      <c r="J5499" s="455">
        <f t="array" ref="J5499">IFERROR(INDEX('Retirement Calculator'!K:K,MATCH('Lorri 401b'!N5499,'Retirement Calculator'!A:A,0),0),0)</f>
        <v>0</v>
      </c>
      <c r="K5499" s="455">
        <f t="shared" ca="1" si="188"/>
        <v>-13179301359785.252</v>
      </c>
      <c r="L5499" s="455">
        <f t="shared" ca="1" si="189"/>
        <v>-3176211627708246</v>
      </c>
      <c r="M5499" s="471">
        <f t="shared" si="191"/>
        <v>0.05</v>
      </c>
      <c r="N5499" s="475">
        <f t="shared" si="192"/>
        <v>218418</v>
      </c>
    </row>
    <row r="5500" spans="7:14" ht="11.25" customHeight="1" x14ac:dyDescent="0.3">
      <c r="G5500" s="470"/>
      <c r="H5500" s="470">
        <v>5493</v>
      </c>
      <c r="I5500" s="455">
        <f t="shared" ca="1" si="190"/>
        <v>-3176211627708246</v>
      </c>
      <c r="J5500" s="455">
        <f t="array" ref="J5500">IFERROR(INDEX('Retirement Calculator'!K:K,MATCH('Lorri 401b'!N5500,'Retirement Calculator'!A:A,0),0),0)</f>
        <v>0</v>
      </c>
      <c r="K5500" s="455">
        <f t="shared" ca="1" si="188"/>
        <v>-13234215115451.025</v>
      </c>
      <c r="L5500" s="455">
        <f t="shared" ca="1" si="189"/>
        <v>-3189445842823697</v>
      </c>
      <c r="M5500" s="471">
        <f t="shared" si="191"/>
        <v>0.05</v>
      </c>
      <c r="N5500" s="475">
        <f t="shared" si="192"/>
        <v>218449</v>
      </c>
    </row>
    <row r="5501" spans="7:14" ht="11.25" customHeight="1" x14ac:dyDescent="0.3">
      <c r="G5501" s="470"/>
      <c r="H5501" s="470">
        <v>5494</v>
      </c>
      <c r="I5501" s="455">
        <f t="shared" ca="1" si="190"/>
        <v>-3189445842823697</v>
      </c>
      <c r="J5501" s="455">
        <f t="array" ref="J5501">IFERROR(INDEX('Retirement Calculator'!K:K,MATCH('Lorri 401b'!N5501,'Retirement Calculator'!A:A,0),0),0)</f>
        <v>0</v>
      </c>
      <c r="K5501" s="455">
        <f t="shared" ca="1" si="188"/>
        <v>-13289357678432.07</v>
      </c>
      <c r="L5501" s="455">
        <f t="shared" ca="1" si="189"/>
        <v>-3202735200502129</v>
      </c>
      <c r="M5501" s="471">
        <f t="shared" si="191"/>
        <v>0.05</v>
      </c>
      <c r="N5501" s="475">
        <f t="shared" si="192"/>
        <v>218477</v>
      </c>
    </row>
    <row r="5502" spans="7:14" ht="11.25" customHeight="1" x14ac:dyDescent="0.3">
      <c r="G5502" s="470"/>
      <c r="H5502" s="470">
        <v>5495</v>
      </c>
      <c r="I5502" s="455">
        <f t="shared" ca="1" si="190"/>
        <v>-3202735200502129</v>
      </c>
      <c r="J5502" s="455">
        <f t="array" ref="J5502">IFERROR(INDEX('Retirement Calculator'!K:K,MATCH('Lorri 401b'!N5502,'Retirement Calculator'!A:A,0),0),0)</f>
        <v>0</v>
      </c>
      <c r="K5502" s="455">
        <f t="shared" ca="1" si="188"/>
        <v>-13344730002092.203</v>
      </c>
      <c r="L5502" s="455">
        <f t="shared" ca="1" si="189"/>
        <v>-3216079930504221</v>
      </c>
      <c r="M5502" s="471">
        <f t="shared" si="191"/>
        <v>0.05</v>
      </c>
      <c r="N5502" s="475">
        <f t="shared" si="192"/>
        <v>218508</v>
      </c>
    </row>
    <row r="5503" spans="7:14" ht="11.25" customHeight="1" x14ac:dyDescent="0.3">
      <c r="G5503" s="470"/>
      <c r="H5503" s="470">
        <v>5496</v>
      </c>
      <c r="I5503" s="455">
        <f t="shared" ca="1" si="190"/>
        <v>-3216079930504221</v>
      </c>
      <c r="J5503" s="455">
        <f t="array" ref="J5503">IFERROR(INDEX('Retirement Calculator'!K:K,MATCH('Lorri 401b'!N5503,'Retirement Calculator'!A:A,0),0),0)</f>
        <v>0</v>
      </c>
      <c r="K5503" s="455">
        <f t="shared" ca="1" si="188"/>
        <v>-13400333043767.588</v>
      </c>
      <c r="L5503" s="455">
        <f t="shared" ca="1" si="189"/>
        <v>-3229480263547988.5</v>
      </c>
      <c r="M5503" s="471">
        <f t="shared" si="191"/>
        <v>0.05</v>
      </c>
      <c r="N5503" s="475">
        <f t="shared" si="192"/>
        <v>218538</v>
      </c>
    </row>
    <row r="5504" spans="7:14" ht="11.25" customHeight="1" x14ac:dyDescent="0.3">
      <c r="G5504" s="470"/>
      <c r="H5504" s="470">
        <v>5497</v>
      </c>
      <c r="I5504" s="455">
        <f t="shared" ca="1" si="190"/>
        <v>-3229480263547988.5</v>
      </c>
      <c r="J5504" s="455">
        <f t="array" ref="J5504">IFERROR(INDEX('Retirement Calculator'!K:K,MATCH('Lorri 401b'!N5504,'Retirement Calculator'!A:A,0),0),0)</f>
        <v>0</v>
      </c>
      <c r="K5504" s="455">
        <f t="shared" ca="1" si="188"/>
        <v>-13456167764783.285</v>
      </c>
      <c r="L5504" s="455">
        <f t="shared" ca="1" si="189"/>
        <v>-3242936431312772</v>
      </c>
      <c r="M5504" s="471">
        <f t="shared" si="191"/>
        <v>0.05</v>
      </c>
      <c r="N5504" s="475">
        <f t="shared" si="192"/>
        <v>218569</v>
      </c>
    </row>
    <row r="5505" spans="7:14" ht="11.25" customHeight="1" x14ac:dyDescent="0.3">
      <c r="G5505" s="470"/>
      <c r="H5505" s="470">
        <v>5498</v>
      </c>
      <c r="I5505" s="455">
        <f t="shared" ca="1" si="190"/>
        <v>-3242936431312772</v>
      </c>
      <c r="J5505" s="455">
        <f t="array" ref="J5505">IFERROR(INDEX('Retirement Calculator'!K:K,MATCH('Lorri 401b'!N5505,'Retirement Calculator'!A:A,0),0),0)</f>
        <v>0</v>
      </c>
      <c r="K5505" s="455">
        <f t="shared" ca="1" si="188"/>
        <v>-13512235130469.883</v>
      </c>
      <c r="L5505" s="455">
        <f t="shared" ca="1" si="189"/>
        <v>-3256448666443242</v>
      </c>
      <c r="M5505" s="471">
        <f t="shared" si="191"/>
        <v>0.05</v>
      </c>
      <c r="N5505" s="475">
        <f t="shared" si="192"/>
        <v>218599</v>
      </c>
    </row>
    <row r="5506" spans="7:14" ht="11.25" customHeight="1" x14ac:dyDescent="0.3">
      <c r="G5506" s="470"/>
      <c r="H5506" s="470">
        <v>5499</v>
      </c>
      <c r="I5506" s="455">
        <f t="shared" ca="1" si="190"/>
        <v>-3256448666443242</v>
      </c>
      <c r="J5506" s="455">
        <f t="array" ref="J5506">IFERROR(INDEX('Retirement Calculator'!K:K,MATCH('Lorri 401b'!N5506,'Retirement Calculator'!A:A,0),0),0)</f>
        <v>0</v>
      </c>
      <c r="K5506" s="455">
        <f t="shared" ca="1" si="188"/>
        <v>-13568536110180.176</v>
      </c>
      <c r="L5506" s="455">
        <f t="shared" ca="1" si="189"/>
        <v>-3270017202553422</v>
      </c>
      <c r="M5506" s="471">
        <f t="shared" si="191"/>
        <v>0.05</v>
      </c>
      <c r="N5506" s="475">
        <f t="shared" si="192"/>
        <v>218630</v>
      </c>
    </row>
    <row r="5507" spans="7:14" ht="11.25" customHeight="1" x14ac:dyDescent="0.3">
      <c r="G5507" s="470"/>
      <c r="H5507" s="470">
        <v>5500</v>
      </c>
      <c r="I5507" s="455">
        <f t="shared" ca="1" si="190"/>
        <v>-3270017202553422</v>
      </c>
      <c r="J5507" s="455">
        <f t="array" ref="J5507">IFERROR(INDEX('Retirement Calculator'!K:K,MATCH('Lorri 401b'!N5507,'Retirement Calculator'!A:A,0),0),0)</f>
        <v>0</v>
      </c>
      <c r="K5507" s="455">
        <f t="shared" ca="1" si="188"/>
        <v>-13625071677305.926</v>
      </c>
      <c r="L5507" s="455">
        <f t="shared" ca="1" si="189"/>
        <v>-3283642274230728</v>
      </c>
      <c r="M5507" s="471">
        <f t="shared" si="191"/>
        <v>0.05</v>
      </c>
      <c r="N5507" s="475">
        <f t="shared" si="192"/>
        <v>218661</v>
      </c>
    </row>
    <row r="5508" spans="7:14" ht="11.25" customHeight="1" x14ac:dyDescent="0.3">
      <c r="G5508" s="470"/>
      <c r="H5508" s="470">
        <v>5501</v>
      </c>
      <c r="I5508" s="455">
        <f t="shared" ca="1" si="190"/>
        <v>-3283642274230728</v>
      </c>
      <c r="J5508" s="455">
        <f t="array" ref="J5508">IFERROR(INDEX('Retirement Calculator'!K:K,MATCH('Lorri 401b'!N5508,'Retirement Calculator'!A:A,0),0),0)</f>
        <v>0</v>
      </c>
      <c r="K5508" s="455">
        <f t="shared" ca="1" si="188"/>
        <v>-13681842809294.699</v>
      </c>
      <c r="L5508" s="455">
        <f t="shared" ca="1" si="189"/>
        <v>-3297324117040022.5</v>
      </c>
      <c r="M5508" s="471">
        <f t="shared" si="191"/>
        <v>0.05</v>
      </c>
      <c r="N5508" s="475">
        <f t="shared" si="192"/>
        <v>218691</v>
      </c>
    </row>
    <row r="5509" spans="7:14" ht="11.25" customHeight="1" x14ac:dyDescent="0.3">
      <c r="G5509" s="470"/>
      <c r="H5509" s="470">
        <v>5502</v>
      </c>
      <c r="I5509" s="455">
        <f t="shared" ca="1" si="190"/>
        <v>-3297324117040022.5</v>
      </c>
      <c r="J5509" s="455">
        <f t="array" ref="J5509">IFERROR(INDEX('Retirement Calculator'!K:K,MATCH('Lorri 401b'!N5509,'Retirement Calculator'!A:A,0),0),0)</f>
        <v>0</v>
      </c>
      <c r="K5509" s="455">
        <f t="shared" ca="1" si="188"/>
        <v>-13738850487666.76</v>
      </c>
      <c r="L5509" s="455">
        <f t="shared" ca="1" si="189"/>
        <v>-3311062967527689.5</v>
      </c>
      <c r="M5509" s="471">
        <f t="shared" si="191"/>
        <v>0.05</v>
      </c>
      <c r="N5509" s="475">
        <f t="shared" si="192"/>
        <v>218722</v>
      </c>
    </row>
    <row r="5510" spans="7:14" ht="11.25" customHeight="1" x14ac:dyDescent="0.3">
      <c r="G5510" s="470"/>
      <c r="H5510" s="470">
        <v>5503</v>
      </c>
      <c r="I5510" s="455">
        <f t="shared" ca="1" si="190"/>
        <v>-3311062967527689.5</v>
      </c>
      <c r="J5510" s="455">
        <f t="array" ref="J5510">IFERROR(INDEX('Retirement Calculator'!K:K,MATCH('Lorri 401b'!N5510,'Retirement Calculator'!A:A,0),0),0)</f>
        <v>0</v>
      </c>
      <c r="K5510" s="455">
        <f t="shared" ca="1" si="188"/>
        <v>-13796095698032.039</v>
      </c>
      <c r="L5510" s="455">
        <f t="shared" ca="1" si="189"/>
        <v>-3324859063225721.5</v>
      </c>
      <c r="M5510" s="471">
        <f t="shared" si="191"/>
        <v>0.05</v>
      </c>
      <c r="N5510" s="475">
        <f t="shared" si="192"/>
        <v>218752</v>
      </c>
    </row>
    <row r="5511" spans="7:14" ht="11.25" customHeight="1" x14ac:dyDescent="0.3">
      <c r="G5511" s="470"/>
      <c r="H5511" s="470">
        <v>5504</v>
      </c>
      <c r="I5511" s="455">
        <f t="shared" ca="1" si="190"/>
        <v>-3324859063225721.5</v>
      </c>
      <c r="J5511" s="455">
        <f t="array" ref="J5511">IFERROR(INDEX('Retirement Calculator'!K:K,MATCH('Lorri 401b'!N5511,'Retirement Calculator'!A:A,0),0),0)</f>
        <v>0</v>
      </c>
      <c r="K5511" s="455">
        <f t="shared" ca="1" si="188"/>
        <v>-13853579430107.172</v>
      </c>
      <c r="L5511" s="455">
        <f t="shared" ca="1" si="189"/>
        <v>-3338712642655828.5</v>
      </c>
      <c r="M5511" s="471">
        <f t="shared" si="191"/>
        <v>0.05</v>
      </c>
      <c r="N5511" s="475">
        <f t="shared" si="192"/>
        <v>218783</v>
      </c>
    </row>
    <row r="5512" spans="7:14" ht="11.25" customHeight="1" x14ac:dyDescent="0.3">
      <c r="G5512" s="470"/>
      <c r="H5512" s="470">
        <v>5505</v>
      </c>
      <c r="I5512" s="455">
        <f t="shared" ca="1" si="190"/>
        <v>-3338712642655828.5</v>
      </c>
      <c r="J5512" s="455">
        <f t="array" ref="J5512">IFERROR(INDEX('Retirement Calculator'!K:K,MATCH('Lorri 401b'!N5512,'Retirement Calculator'!A:A,0),0),0)</f>
        <v>0</v>
      </c>
      <c r="K5512" s="455">
        <f t="shared" ca="1" si="188"/>
        <v>-13911302677732.619</v>
      </c>
      <c r="L5512" s="455">
        <f t="shared" ca="1" si="189"/>
        <v>-3352623945333561</v>
      </c>
      <c r="M5512" s="471">
        <f t="shared" si="191"/>
        <v>0.05</v>
      </c>
      <c r="N5512" s="475">
        <f t="shared" si="192"/>
        <v>218814</v>
      </c>
    </row>
    <row r="5513" spans="7:14" ht="11.25" customHeight="1" x14ac:dyDescent="0.3">
      <c r="G5513" s="470"/>
      <c r="H5513" s="470">
        <v>5506</v>
      </c>
      <c r="I5513" s="455">
        <f t="shared" ca="1" si="190"/>
        <v>-3352623945333561</v>
      </c>
      <c r="J5513" s="455">
        <f t="array" ref="J5513">IFERROR(INDEX('Retirement Calculator'!K:K,MATCH('Lorri 401b'!N5513,'Retirement Calculator'!A:A,0),0),0)</f>
        <v>0</v>
      </c>
      <c r="K5513" s="455">
        <f t="shared" ca="1" si="188"/>
        <v>-13969266438889.838</v>
      </c>
      <c r="L5513" s="455">
        <f t="shared" ca="1" si="189"/>
        <v>-3366593211772451</v>
      </c>
      <c r="M5513" s="471">
        <f t="shared" si="191"/>
        <v>0.05</v>
      </c>
      <c r="N5513" s="475">
        <f t="shared" si="192"/>
        <v>218842</v>
      </c>
    </row>
    <row r="5514" spans="7:14" ht="11.25" customHeight="1" x14ac:dyDescent="0.3">
      <c r="G5514" s="470"/>
      <c r="H5514" s="470">
        <v>5507</v>
      </c>
      <c r="I5514" s="455">
        <f t="shared" ca="1" si="190"/>
        <v>-3366593211772451</v>
      </c>
      <c r="J5514" s="455">
        <f t="array" ref="J5514">IFERROR(INDEX('Retirement Calculator'!K:K,MATCH('Lorri 401b'!N5514,'Retirement Calculator'!A:A,0),0),0)</f>
        <v>0</v>
      </c>
      <c r="K5514" s="455">
        <f t="shared" ca="1" si="188"/>
        <v>-14027471715718.545</v>
      </c>
      <c r="L5514" s="455">
        <f t="shared" ca="1" si="189"/>
        <v>-3380620683488169.5</v>
      </c>
      <c r="M5514" s="471">
        <f t="shared" si="191"/>
        <v>0.05</v>
      </c>
      <c r="N5514" s="475">
        <f t="shared" si="192"/>
        <v>218873</v>
      </c>
    </row>
    <row r="5515" spans="7:14" ht="11.25" customHeight="1" x14ac:dyDescent="0.3">
      <c r="G5515" s="470"/>
      <c r="H5515" s="470">
        <v>5508</v>
      </c>
      <c r="I5515" s="455">
        <f t="shared" ca="1" si="190"/>
        <v>-3380620683488169.5</v>
      </c>
      <c r="J5515" s="455">
        <f t="array" ref="J5515">IFERROR(INDEX('Retirement Calculator'!K:K,MATCH('Lorri 401b'!N5515,'Retirement Calculator'!A:A,0),0),0)</f>
        <v>0</v>
      </c>
      <c r="K5515" s="455">
        <f t="shared" ca="1" si="188"/>
        <v>-14085919514534.039</v>
      </c>
      <c r="L5515" s="455">
        <f t="shared" ca="1" si="189"/>
        <v>-3394706603002703.5</v>
      </c>
      <c r="M5515" s="471">
        <f t="shared" si="191"/>
        <v>0.05</v>
      </c>
      <c r="N5515" s="475">
        <f t="shared" si="192"/>
        <v>218903</v>
      </c>
    </row>
    <row r="5516" spans="7:14" ht="11.25" customHeight="1" x14ac:dyDescent="0.3">
      <c r="G5516" s="470"/>
      <c r="H5516" s="470">
        <v>5509</v>
      </c>
      <c r="I5516" s="455">
        <f t="shared" ca="1" si="190"/>
        <v>-3394706603002703.5</v>
      </c>
      <c r="J5516" s="455">
        <f t="array" ref="J5516">IFERROR(INDEX('Retirement Calculator'!K:K,MATCH('Lorri 401b'!N5516,'Retirement Calculator'!A:A,0),0),0)</f>
        <v>0</v>
      </c>
      <c r="K5516" s="455">
        <f t="shared" ca="1" si="188"/>
        <v>-14144610845844.598</v>
      </c>
      <c r="L5516" s="455">
        <f t="shared" ca="1" si="189"/>
        <v>-3408851213848548</v>
      </c>
      <c r="M5516" s="471">
        <f t="shared" si="191"/>
        <v>0.05</v>
      </c>
      <c r="N5516" s="475">
        <f t="shared" si="192"/>
        <v>218934</v>
      </c>
    </row>
    <row r="5517" spans="7:14" ht="11.25" customHeight="1" x14ac:dyDescent="0.3">
      <c r="G5517" s="470"/>
      <c r="H5517" s="470">
        <v>5510</v>
      </c>
      <c r="I5517" s="455">
        <f t="shared" ca="1" si="190"/>
        <v>-3408851213848548</v>
      </c>
      <c r="J5517" s="455">
        <f t="array" ref="J5517">IFERROR(INDEX('Retirement Calculator'!K:K,MATCH('Lorri 401b'!N5517,'Retirement Calculator'!A:A,0),0),0)</f>
        <v>0</v>
      </c>
      <c r="K5517" s="455">
        <f t="shared" ca="1" si="188"/>
        <v>-14203546724368.949</v>
      </c>
      <c r="L5517" s="455">
        <f t="shared" ca="1" si="189"/>
        <v>-3423054760572917</v>
      </c>
      <c r="M5517" s="471">
        <f t="shared" si="191"/>
        <v>0.05</v>
      </c>
      <c r="N5517" s="475">
        <f t="shared" si="192"/>
        <v>218964</v>
      </c>
    </row>
    <row r="5518" spans="7:14" ht="11.25" customHeight="1" x14ac:dyDescent="0.3">
      <c r="G5518" s="470"/>
      <c r="H5518" s="470">
        <v>5511</v>
      </c>
      <c r="I5518" s="455">
        <f t="shared" ca="1" si="190"/>
        <v>-3423054760572917</v>
      </c>
      <c r="J5518" s="455">
        <f t="array" ref="J5518">IFERROR(INDEX('Retirement Calculator'!K:K,MATCH('Lorri 401b'!N5518,'Retirement Calculator'!A:A,0),0),0)</f>
        <v>0</v>
      </c>
      <c r="K5518" s="455">
        <f t="shared" ca="1" si="188"/>
        <v>-14262728169053.82</v>
      </c>
      <c r="L5518" s="455">
        <f t="shared" ca="1" si="189"/>
        <v>-3437317488741971</v>
      </c>
      <c r="M5518" s="471">
        <f t="shared" si="191"/>
        <v>0.05</v>
      </c>
      <c r="N5518" s="475">
        <f t="shared" si="192"/>
        <v>218995</v>
      </c>
    </row>
    <row r="5519" spans="7:14" ht="11.25" customHeight="1" x14ac:dyDescent="0.3">
      <c r="G5519" s="470"/>
      <c r="H5519" s="470">
        <v>5512</v>
      </c>
      <c r="I5519" s="455">
        <f t="shared" ca="1" si="190"/>
        <v>-3437317488741971</v>
      </c>
      <c r="J5519" s="455">
        <f t="array" ref="J5519">IFERROR(INDEX('Retirement Calculator'!K:K,MATCH('Lorri 401b'!N5519,'Retirement Calculator'!A:A,0),0),0)</f>
        <v>0</v>
      </c>
      <c r="K5519" s="455">
        <f t="shared" ca="1" si="188"/>
        <v>-14322156203091.545</v>
      </c>
      <c r="L5519" s="455">
        <f t="shared" ca="1" si="189"/>
        <v>-3451639644945062.5</v>
      </c>
      <c r="M5519" s="471">
        <f t="shared" si="191"/>
        <v>0.05</v>
      </c>
      <c r="N5519" s="475">
        <f t="shared" si="192"/>
        <v>219026</v>
      </c>
    </row>
    <row r="5520" spans="7:14" ht="11.25" customHeight="1" x14ac:dyDescent="0.3">
      <c r="G5520" s="470"/>
      <c r="H5520" s="470">
        <v>5513</v>
      </c>
      <c r="I5520" s="455">
        <f t="shared" ca="1" si="190"/>
        <v>-3451639644945062.5</v>
      </c>
      <c r="J5520" s="455">
        <f t="array" ref="J5520">IFERROR(INDEX('Retirement Calculator'!K:K,MATCH('Lorri 401b'!N5520,'Retirement Calculator'!A:A,0),0),0)</f>
        <v>0</v>
      </c>
      <c r="K5520" s="455">
        <f t="shared" ca="1" si="188"/>
        <v>-14381831853937.76</v>
      </c>
      <c r="L5520" s="455">
        <f t="shared" ca="1" si="189"/>
        <v>-3466021476799000.5</v>
      </c>
      <c r="M5520" s="471">
        <f t="shared" si="191"/>
        <v>0.05</v>
      </c>
      <c r="N5520" s="475">
        <f t="shared" si="192"/>
        <v>219056</v>
      </c>
    </row>
    <row r="5521" spans="7:14" ht="11.25" customHeight="1" x14ac:dyDescent="0.3">
      <c r="G5521" s="470"/>
      <c r="H5521" s="470">
        <v>5514</v>
      </c>
      <c r="I5521" s="455">
        <f t="shared" ca="1" si="190"/>
        <v>-3466021476799000.5</v>
      </c>
      <c r="J5521" s="455">
        <f t="array" ref="J5521">IFERROR(INDEX('Retirement Calculator'!K:K,MATCH('Lorri 401b'!N5521,'Retirement Calculator'!A:A,0),0),0)</f>
        <v>0</v>
      </c>
      <c r="K5521" s="455">
        <f t="shared" ca="1" si="188"/>
        <v>-14441756153329.168</v>
      </c>
      <c r="L5521" s="455">
        <f t="shared" ca="1" si="189"/>
        <v>-3480463232952329.5</v>
      </c>
      <c r="M5521" s="471">
        <f t="shared" si="191"/>
        <v>0.05</v>
      </c>
      <c r="N5521" s="475">
        <f t="shared" si="192"/>
        <v>219087</v>
      </c>
    </row>
    <row r="5522" spans="7:14" ht="11.25" customHeight="1" x14ac:dyDescent="0.3">
      <c r="G5522" s="470"/>
      <c r="H5522" s="470">
        <v>5515</v>
      </c>
      <c r="I5522" s="455">
        <f t="shared" ca="1" si="190"/>
        <v>-3480463232952329.5</v>
      </c>
      <c r="J5522" s="455">
        <f t="array" ref="J5522">IFERROR(INDEX('Retirement Calculator'!K:K,MATCH('Lorri 401b'!N5522,'Retirement Calculator'!A:A,0),0),0)</f>
        <v>0</v>
      </c>
      <c r="K5522" s="455">
        <f t="shared" ca="1" si="188"/>
        <v>-14501930137301.373</v>
      </c>
      <c r="L5522" s="455">
        <f t="shared" ca="1" si="189"/>
        <v>-3494965163089631</v>
      </c>
      <c r="M5522" s="471">
        <f t="shared" si="191"/>
        <v>0.05</v>
      </c>
      <c r="N5522" s="475">
        <f t="shared" si="192"/>
        <v>219117</v>
      </c>
    </row>
    <row r="5523" spans="7:14" ht="11.25" customHeight="1" x14ac:dyDescent="0.3">
      <c r="G5523" s="470"/>
      <c r="H5523" s="470">
        <v>5516</v>
      </c>
      <c r="I5523" s="455">
        <f t="shared" ca="1" si="190"/>
        <v>-3494965163089631</v>
      </c>
      <c r="J5523" s="455">
        <f t="array" ref="J5523">IFERROR(INDEX('Retirement Calculator'!K:K,MATCH('Lorri 401b'!N5523,'Retirement Calculator'!A:A,0),0),0)</f>
        <v>0</v>
      </c>
      <c r="K5523" s="455">
        <f t="shared" ca="1" si="188"/>
        <v>-14562354846206.795</v>
      </c>
      <c r="L5523" s="455">
        <f t="shared" ca="1" si="189"/>
        <v>-3509527517935838</v>
      </c>
      <c r="M5523" s="471">
        <f t="shared" si="191"/>
        <v>0.05</v>
      </c>
      <c r="N5523" s="475">
        <f t="shared" si="192"/>
        <v>219148</v>
      </c>
    </row>
    <row r="5524" spans="7:14" ht="11.25" customHeight="1" x14ac:dyDescent="0.3">
      <c r="G5524" s="470"/>
      <c r="H5524" s="470">
        <v>5517</v>
      </c>
      <c r="I5524" s="455">
        <f t="shared" ca="1" si="190"/>
        <v>-3509527517935838</v>
      </c>
      <c r="J5524" s="455">
        <f t="array" ref="J5524">IFERROR(INDEX('Retirement Calculator'!K:K,MATCH('Lorri 401b'!N5524,'Retirement Calculator'!A:A,0),0),0)</f>
        <v>0</v>
      </c>
      <c r="K5524" s="455">
        <f t="shared" ca="1" si="188"/>
        <v>-14623031324732.656</v>
      </c>
      <c r="L5524" s="455">
        <f t="shared" ca="1" si="189"/>
        <v>-3524150549260570.5</v>
      </c>
      <c r="M5524" s="471">
        <f t="shared" si="191"/>
        <v>0.05</v>
      </c>
      <c r="N5524" s="475">
        <f t="shared" si="192"/>
        <v>219179</v>
      </c>
    </row>
    <row r="5525" spans="7:14" ht="11.25" customHeight="1" x14ac:dyDescent="0.3">
      <c r="G5525" s="470"/>
      <c r="H5525" s="470">
        <v>5518</v>
      </c>
      <c r="I5525" s="455">
        <f t="shared" ca="1" si="190"/>
        <v>-3524150549260570.5</v>
      </c>
      <c r="J5525" s="455">
        <f t="array" ref="J5525">IFERROR(INDEX('Retirement Calculator'!K:K,MATCH('Lorri 401b'!N5525,'Retirement Calculator'!A:A,0),0),0)</f>
        <v>0</v>
      </c>
      <c r="K5525" s="455">
        <f t="shared" ca="1" si="188"/>
        <v>-14683960621919.043</v>
      </c>
      <c r="L5525" s="455">
        <f t="shared" ca="1" si="189"/>
        <v>-3538834509882489.5</v>
      </c>
      <c r="M5525" s="471">
        <f t="shared" si="191"/>
        <v>0.05</v>
      </c>
      <c r="N5525" s="475">
        <f t="shared" si="192"/>
        <v>219207</v>
      </c>
    </row>
    <row r="5526" spans="7:14" ht="11.25" customHeight="1" x14ac:dyDescent="0.3">
      <c r="G5526" s="470"/>
      <c r="H5526" s="470">
        <v>5519</v>
      </c>
      <c r="I5526" s="455">
        <f t="shared" ca="1" si="190"/>
        <v>-3538834509882489.5</v>
      </c>
      <c r="J5526" s="455">
        <f t="array" ref="J5526">IFERROR(INDEX('Retirement Calculator'!K:K,MATCH('Lorri 401b'!N5526,'Retirement Calculator'!A:A,0),0),0)</f>
        <v>0</v>
      </c>
      <c r="K5526" s="455">
        <f t="shared" ca="1" si="188"/>
        <v>-14745143791177.039</v>
      </c>
      <c r="L5526" s="455">
        <f t="shared" ca="1" si="189"/>
        <v>-3553579653673666.5</v>
      </c>
      <c r="M5526" s="471">
        <f t="shared" si="191"/>
        <v>0.05</v>
      </c>
      <c r="N5526" s="475">
        <f t="shared" si="192"/>
        <v>219238</v>
      </c>
    </row>
    <row r="5527" spans="7:14" ht="11.25" customHeight="1" x14ac:dyDescent="0.3">
      <c r="G5527" s="470"/>
      <c r="H5527" s="470">
        <v>5520</v>
      </c>
      <c r="I5527" s="455">
        <f t="shared" ca="1" si="190"/>
        <v>-3553579653673666.5</v>
      </c>
      <c r="J5527" s="455">
        <f t="array" ref="J5527">IFERROR(INDEX('Retirement Calculator'!K:K,MATCH('Lorri 401b'!N5527,'Retirement Calculator'!A:A,0),0),0)</f>
        <v>0</v>
      </c>
      <c r="K5527" s="455">
        <f t="shared" ca="1" si="188"/>
        <v>-14806581890306.943</v>
      </c>
      <c r="L5527" s="455">
        <f t="shared" ca="1" si="189"/>
        <v>-3568386235563973.5</v>
      </c>
      <c r="M5527" s="471">
        <f t="shared" si="191"/>
        <v>0.05</v>
      </c>
      <c r="N5527" s="475">
        <f t="shared" si="192"/>
        <v>219268</v>
      </c>
    </row>
    <row r="5528" spans="7:14" ht="11.25" customHeight="1" x14ac:dyDescent="0.3">
      <c r="G5528" s="470"/>
      <c r="H5528" s="470">
        <v>5521</v>
      </c>
      <c r="I5528" s="455">
        <f t="shared" ca="1" si="190"/>
        <v>-3568386235563973.5</v>
      </c>
      <c r="J5528" s="455">
        <f t="array" ref="J5528">IFERROR(INDEX('Retirement Calculator'!K:K,MATCH('Lorri 401b'!N5528,'Retirement Calculator'!A:A,0),0),0)</f>
        <v>0</v>
      </c>
      <c r="K5528" s="455">
        <f t="shared" ca="1" si="188"/>
        <v>-14868275981516.559</v>
      </c>
      <c r="L5528" s="455">
        <f t="shared" ca="1" si="189"/>
        <v>-3583254511545490</v>
      </c>
      <c r="M5528" s="471">
        <f t="shared" si="191"/>
        <v>0.05</v>
      </c>
      <c r="N5528" s="475">
        <f t="shared" si="192"/>
        <v>219299</v>
      </c>
    </row>
    <row r="5529" spans="7:14" ht="11.25" customHeight="1" x14ac:dyDescent="0.3">
      <c r="G5529" s="470"/>
      <c r="H5529" s="470">
        <v>5522</v>
      </c>
      <c r="I5529" s="455">
        <f t="shared" ca="1" si="190"/>
        <v>-3583254511545490</v>
      </c>
      <c r="J5529" s="455">
        <f t="array" ref="J5529">IFERROR(INDEX('Retirement Calculator'!K:K,MATCH('Lorri 401b'!N5529,'Retirement Calculator'!A:A,0),0),0)</f>
        <v>0</v>
      </c>
      <c r="K5529" s="455">
        <f t="shared" ca="1" si="188"/>
        <v>-14930227131439.541</v>
      </c>
      <c r="L5529" s="455">
        <f t="shared" ca="1" si="189"/>
        <v>-3598184738676929.5</v>
      </c>
      <c r="M5529" s="471">
        <f t="shared" si="191"/>
        <v>0.05</v>
      </c>
      <c r="N5529" s="475">
        <f t="shared" si="192"/>
        <v>219329</v>
      </c>
    </row>
    <row r="5530" spans="7:14" ht="11.25" customHeight="1" x14ac:dyDescent="0.3">
      <c r="G5530" s="470"/>
      <c r="H5530" s="470">
        <v>5523</v>
      </c>
      <c r="I5530" s="455">
        <f t="shared" ca="1" si="190"/>
        <v>-3598184738676929.5</v>
      </c>
      <c r="J5530" s="455">
        <f t="array" ref="J5530">IFERROR(INDEX('Retirement Calculator'!K:K,MATCH('Lorri 401b'!N5530,'Retirement Calculator'!A:A,0),0),0)</f>
        <v>0</v>
      </c>
      <c r="K5530" s="455">
        <f t="shared" ca="1" si="188"/>
        <v>-14992436411153.873</v>
      </c>
      <c r="L5530" s="455">
        <f t="shared" ca="1" si="189"/>
        <v>-3613177175088083.5</v>
      </c>
      <c r="M5530" s="471">
        <f t="shared" si="191"/>
        <v>0.05</v>
      </c>
      <c r="N5530" s="475">
        <f t="shared" si="192"/>
        <v>219360</v>
      </c>
    </row>
    <row r="5531" spans="7:14" ht="11.25" customHeight="1" x14ac:dyDescent="0.3">
      <c r="G5531" s="470"/>
      <c r="H5531" s="470">
        <v>5524</v>
      </c>
      <c r="I5531" s="455">
        <f t="shared" ca="1" si="190"/>
        <v>-3613177175088083.5</v>
      </c>
      <c r="J5531" s="455">
        <f t="array" ref="J5531">IFERROR(INDEX('Retirement Calculator'!K:K,MATCH('Lorri 401b'!N5531,'Retirement Calculator'!A:A,0),0),0)</f>
        <v>0</v>
      </c>
      <c r="K5531" s="455">
        <f t="shared" ca="1" si="188"/>
        <v>-15054904896200.348</v>
      </c>
      <c r="L5531" s="455">
        <f t="shared" ca="1" si="189"/>
        <v>-3628232079984284</v>
      </c>
      <c r="M5531" s="471">
        <f t="shared" si="191"/>
        <v>0.05</v>
      </c>
      <c r="N5531" s="475">
        <f t="shared" si="192"/>
        <v>219391</v>
      </c>
    </row>
    <row r="5532" spans="7:14" ht="11.25" customHeight="1" x14ac:dyDescent="0.3">
      <c r="G5532" s="470"/>
      <c r="H5532" s="470">
        <v>5525</v>
      </c>
      <c r="I5532" s="455">
        <f t="shared" ca="1" si="190"/>
        <v>-3628232079984284</v>
      </c>
      <c r="J5532" s="455">
        <f t="array" ref="J5532">IFERROR(INDEX('Retirement Calculator'!K:K,MATCH('Lorri 401b'!N5532,'Retirement Calculator'!A:A,0),0),0)</f>
        <v>0</v>
      </c>
      <c r="K5532" s="455">
        <f t="shared" ca="1" si="188"/>
        <v>-15117633666601.184</v>
      </c>
      <c r="L5532" s="455">
        <f t="shared" ca="1" si="189"/>
        <v>-3643349713650885</v>
      </c>
      <c r="M5532" s="471">
        <f t="shared" si="191"/>
        <v>0.05</v>
      </c>
      <c r="N5532" s="475">
        <f t="shared" si="192"/>
        <v>219421</v>
      </c>
    </row>
    <row r="5533" spans="7:14" ht="11.25" customHeight="1" x14ac:dyDescent="0.3">
      <c r="G5533" s="470"/>
      <c r="H5533" s="470">
        <v>5526</v>
      </c>
      <c r="I5533" s="455">
        <f t="shared" ca="1" si="190"/>
        <v>-3643349713650885</v>
      </c>
      <c r="J5533" s="455">
        <f t="array" ref="J5533">IFERROR(INDEX('Retirement Calculator'!K:K,MATCH('Lorri 401b'!N5533,'Retirement Calculator'!A:A,0),0),0)</f>
        <v>0</v>
      </c>
      <c r="K5533" s="455">
        <f t="shared" ca="1" si="188"/>
        <v>-15180623806878.688</v>
      </c>
      <c r="L5533" s="455">
        <f t="shared" ca="1" si="189"/>
        <v>-3658530337457763.5</v>
      </c>
      <c r="M5533" s="471">
        <f t="shared" si="191"/>
        <v>0.05</v>
      </c>
      <c r="N5533" s="475">
        <f t="shared" si="192"/>
        <v>219452</v>
      </c>
    </row>
    <row r="5534" spans="7:14" ht="11.25" customHeight="1" x14ac:dyDescent="0.3">
      <c r="G5534" s="470"/>
      <c r="H5534" s="470">
        <v>5527</v>
      </c>
      <c r="I5534" s="455">
        <f t="shared" ca="1" si="190"/>
        <v>-3658530337457763.5</v>
      </c>
      <c r="J5534" s="455">
        <f t="array" ref="J5534">IFERROR(INDEX('Retirement Calculator'!K:K,MATCH('Lorri 401b'!N5534,'Retirement Calculator'!A:A,0),0),0)</f>
        <v>0</v>
      </c>
      <c r="K5534" s="455">
        <f t="shared" ca="1" si="188"/>
        <v>-15243876406074.014</v>
      </c>
      <c r="L5534" s="455">
        <f t="shared" ca="1" si="189"/>
        <v>-3673774213863837.5</v>
      </c>
      <c r="M5534" s="471">
        <f t="shared" si="191"/>
        <v>0.05</v>
      </c>
      <c r="N5534" s="475">
        <f t="shared" si="192"/>
        <v>219482</v>
      </c>
    </row>
    <row r="5535" spans="7:14" ht="11.25" customHeight="1" x14ac:dyDescent="0.3">
      <c r="G5535" s="470"/>
      <c r="H5535" s="470">
        <v>5528</v>
      </c>
      <c r="I5535" s="455">
        <f t="shared" ca="1" si="190"/>
        <v>-3673774213863837.5</v>
      </c>
      <c r="J5535" s="455">
        <f t="array" ref="J5535">IFERROR(INDEX('Retirement Calculator'!K:K,MATCH('Lorri 401b'!N5535,'Retirement Calculator'!A:A,0),0),0)</f>
        <v>0</v>
      </c>
      <c r="K5535" s="455">
        <f t="shared" ca="1" si="188"/>
        <v>-15307392557765.99</v>
      </c>
      <c r="L5535" s="455">
        <f t="shared" ca="1" si="189"/>
        <v>-3689081606421603.5</v>
      </c>
      <c r="M5535" s="471">
        <f t="shared" si="191"/>
        <v>0.05</v>
      </c>
      <c r="N5535" s="475">
        <f t="shared" si="192"/>
        <v>219513</v>
      </c>
    </row>
    <row r="5536" spans="7:14" ht="11.25" customHeight="1" x14ac:dyDescent="0.3">
      <c r="G5536" s="470"/>
      <c r="H5536" s="470">
        <v>5529</v>
      </c>
      <c r="I5536" s="455">
        <f t="shared" ca="1" si="190"/>
        <v>-3689081606421603.5</v>
      </c>
      <c r="J5536" s="455">
        <f t="array" ref="J5536">IFERROR(INDEX('Retirement Calculator'!K:K,MATCH('Lorri 401b'!N5536,'Retirement Calculator'!A:A,0),0),0)</f>
        <v>0</v>
      </c>
      <c r="K5536" s="455">
        <f t="shared" ca="1" si="188"/>
        <v>-15371173360090.014</v>
      </c>
      <c r="L5536" s="455">
        <f t="shared" ca="1" si="189"/>
        <v>-3704452779781693.5</v>
      </c>
      <c r="M5536" s="471">
        <f t="shared" si="191"/>
        <v>0.05</v>
      </c>
      <c r="N5536" s="475">
        <f t="shared" si="192"/>
        <v>219544</v>
      </c>
    </row>
    <row r="5537" spans="7:14" ht="11.25" customHeight="1" x14ac:dyDescent="0.3">
      <c r="G5537" s="470"/>
      <c r="H5537" s="470">
        <v>5530</v>
      </c>
      <c r="I5537" s="455">
        <f t="shared" ca="1" si="190"/>
        <v>-3704452779781693.5</v>
      </c>
      <c r="J5537" s="455">
        <f t="array" ref="J5537">IFERROR(INDEX('Retirement Calculator'!K:K,MATCH('Lorri 401b'!N5537,'Retirement Calculator'!A:A,0),0),0)</f>
        <v>0</v>
      </c>
      <c r="K5537" s="455">
        <f t="shared" ca="1" si="188"/>
        <v>-15435219915757.055</v>
      </c>
      <c r="L5537" s="455">
        <f t="shared" ca="1" si="189"/>
        <v>-3719887999697450.5</v>
      </c>
      <c r="M5537" s="471">
        <f t="shared" si="191"/>
        <v>0.05</v>
      </c>
      <c r="N5537" s="475">
        <f t="shared" si="192"/>
        <v>219572</v>
      </c>
    </row>
    <row r="5538" spans="7:14" ht="11.25" customHeight="1" x14ac:dyDescent="0.3">
      <c r="G5538" s="470"/>
      <c r="H5538" s="470">
        <v>5531</v>
      </c>
      <c r="I5538" s="455">
        <f t="shared" ca="1" si="190"/>
        <v>-3719887999697450.5</v>
      </c>
      <c r="J5538" s="455">
        <f t="array" ref="J5538">IFERROR(INDEX('Retirement Calculator'!K:K,MATCH('Lorri 401b'!N5538,'Retirement Calculator'!A:A,0),0),0)</f>
        <v>0</v>
      </c>
      <c r="K5538" s="455">
        <f t="shared" ca="1" si="188"/>
        <v>-15499533332072.711</v>
      </c>
      <c r="L5538" s="455">
        <f t="shared" ca="1" si="189"/>
        <v>-3735387533029523</v>
      </c>
      <c r="M5538" s="471">
        <f t="shared" si="191"/>
        <v>0.05</v>
      </c>
      <c r="N5538" s="475">
        <f t="shared" si="192"/>
        <v>219603</v>
      </c>
    </row>
    <row r="5539" spans="7:14" ht="11.25" customHeight="1" x14ac:dyDescent="0.3">
      <c r="G5539" s="470"/>
      <c r="H5539" s="470">
        <v>5532</v>
      </c>
      <c r="I5539" s="455">
        <f t="shared" ca="1" si="190"/>
        <v>-3735387533029523</v>
      </c>
      <c r="J5539" s="455">
        <f t="array" ref="J5539">IFERROR(INDEX('Retirement Calculator'!K:K,MATCH('Lorri 401b'!N5539,'Retirement Calculator'!A:A,0),0),0)</f>
        <v>0</v>
      </c>
      <c r="K5539" s="455">
        <f t="shared" ca="1" si="188"/>
        <v>-15564114720956.346</v>
      </c>
      <c r="L5539" s="455">
        <f t="shared" ca="1" si="189"/>
        <v>-3750951647750479.5</v>
      </c>
      <c r="M5539" s="471">
        <f t="shared" si="191"/>
        <v>0.05</v>
      </c>
      <c r="N5539" s="475">
        <f t="shared" si="192"/>
        <v>219633</v>
      </c>
    </row>
    <row r="5540" spans="7:14" ht="11.25" customHeight="1" x14ac:dyDescent="0.3">
      <c r="G5540" s="470"/>
      <c r="H5540" s="470">
        <v>5533</v>
      </c>
      <c r="I5540" s="455">
        <f t="shared" ca="1" si="190"/>
        <v>-3750951647750479.5</v>
      </c>
      <c r="J5540" s="455">
        <f t="array" ref="J5540">IFERROR(INDEX('Retirement Calculator'!K:K,MATCH('Lorri 401b'!N5540,'Retirement Calculator'!A:A,0),0),0)</f>
        <v>0</v>
      </c>
      <c r="K5540" s="455">
        <f t="shared" ca="1" si="188"/>
        <v>-15628965198960.33</v>
      </c>
      <c r="L5540" s="455">
        <f t="shared" ca="1" si="189"/>
        <v>-3766580612949440</v>
      </c>
      <c r="M5540" s="471">
        <f t="shared" si="191"/>
        <v>0.05</v>
      </c>
      <c r="N5540" s="475">
        <f t="shared" si="192"/>
        <v>219664</v>
      </c>
    </row>
    <row r="5541" spans="7:14" ht="11.25" customHeight="1" x14ac:dyDescent="0.3">
      <c r="G5541" s="470"/>
      <c r="H5541" s="470">
        <v>5534</v>
      </c>
      <c r="I5541" s="455">
        <f t="shared" ca="1" si="190"/>
        <v>-3766580612949440</v>
      </c>
      <c r="J5541" s="455">
        <f t="array" ref="J5541">IFERROR(INDEX('Retirement Calculator'!K:K,MATCH('Lorri 401b'!N5541,'Retirement Calculator'!A:A,0),0),0)</f>
        <v>0</v>
      </c>
      <c r="K5541" s="455">
        <f t="shared" ca="1" si="188"/>
        <v>-15694085887289.334</v>
      </c>
      <c r="L5541" s="455">
        <f t="shared" ca="1" si="189"/>
        <v>-3782274698836729.5</v>
      </c>
      <c r="M5541" s="471">
        <f t="shared" si="191"/>
        <v>0.05</v>
      </c>
      <c r="N5541" s="475">
        <f t="shared" si="192"/>
        <v>219694</v>
      </c>
    </row>
    <row r="5542" spans="7:14" ht="11.25" customHeight="1" x14ac:dyDescent="0.3">
      <c r="G5542" s="470"/>
      <c r="H5542" s="470">
        <v>5535</v>
      </c>
      <c r="I5542" s="455">
        <f t="shared" ca="1" si="190"/>
        <v>-3782274698836729.5</v>
      </c>
      <c r="J5542" s="455">
        <f t="array" ref="J5542">IFERROR(INDEX('Retirement Calculator'!K:K,MATCH('Lorri 401b'!N5542,'Retirement Calculator'!A:A,0),0),0)</f>
        <v>0</v>
      </c>
      <c r="K5542" s="455">
        <f t="shared" ca="1" si="188"/>
        <v>-15759477911819.705</v>
      </c>
      <c r="L5542" s="455">
        <f t="shared" ca="1" si="189"/>
        <v>-3798034176748549</v>
      </c>
      <c r="M5542" s="471">
        <f t="shared" si="191"/>
        <v>0.05</v>
      </c>
      <c r="N5542" s="475">
        <f t="shared" si="192"/>
        <v>219725</v>
      </c>
    </row>
    <row r="5543" spans="7:14" ht="11.25" customHeight="1" x14ac:dyDescent="0.3">
      <c r="G5543" s="470"/>
      <c r="H5543" s="470">
        <v>5536</v>
      </c>
      <c r="I5543" s="455">
        <f t="shared" ca="1" si="190"/>
        <v>-3798034176748549</v>
      </c>
      <c r="J5543" s="455">
        <f t="array" ref="J5543">IFERROR(INDEX('Retirement Calculator'!K:K,MATCH('Lorri 401b'!N5543,'Retirement Calculator'!A:A,0),0),0)</f>
        <v>0</v>
      </c>
      <c r="K5543" s="455">
        <f t="shared" ca="1" si="188"/>
        <v>-15825142403118.951</v>
      </c>
      <c r="L5543" s="455">
        <f t="shared" ca="1" si="189"/>
        <v>-3813859319151668</v>
      </c>
      <c r="M5543" s="471">
        <f t="shared" si="191"/>
        <v>0.05</v>
      </c>
      <c r="N5543" s="475">
        <f t="shared" si="192"/>
        <v>219756</v>
      </c>
    </row>
    <row r="5544" spans="7:14" ht="11.25" customHeight="1" x14ac:dyDescent="0.3">
      <c r="G5544" s="470"/>
      <c r="H5544" s="470">
        <v>5537</v>
      </c>
      <c r="I5544" s="455">
        <f t="shared" ca="1" si="190"/>
        <v>-3813859319151668</v>
      </c>
      <c r="J5544" s="455">
        <f t="array" ref="J5544">IFERROR(INDEX('Retirement Calculator'!K:K,MATCH('Lorri 401b'!N5544,'Retirement Calculator'!A:A,0),0),0)</f>
        <v>0</v>
      </c>
      <c r="K5544" s="455">
        <f t="shared" ca="1" si="188"/>
        <v>-15891080496465.283</v>
      </c>
      <c r="L5544" s="455">
        <f t="shared" ca="1" si="189"/>
        <v>-3829750399648133.5</v>
      </c>
      <c r="M5544" s="471">
        <f t="shared" si="191"/>
        <v>0.05</v>
      </c>
      <c r="N5544" s="475">
        <f t="shared" si="192"/>
        <v>219786</v>
      </c>
    </row>
    <row r="5545" spans="7:14" ht="11.25" customHeight="1" x14ac:dyDescent="0.3">
      <c r="G5545" s="470"/>
      <c r="H5545" s="470">
        <v>5538</v>
      </c>
      <c r="I5545" s="455">
        <f t="shared" ca="1" si="190"/>
        <v>-3829750399648133.5</v>
      </c>
      <c r="J5545" s="455">
        <f t="array" ref="J5545">IFERROR(INDEX('Retirement Calculator'!K:K,MATCH('Lorri 401b'!N5545,'Retirement Calculator'!A:A,0),0),0)</f>
        <v>0</v>
      </c>
      <c r="K5545" s="455">
        <f t="shared" ca="1" si="188"/>
        <v>-15957293331867.221</v>
      </c>
      <c r="L5545" s="455">
        <f t="shared" ca="1" si="189"/>
        <v>-3845707692980000.5</v>
      </c>
      <c r="M5545" s="471">
        <f t="shared" si="191"/>
        <v>0.05</v>
      </c>
      <c r="N5545" s="475">
        <f t="shared" si="192"/>
        <v>219817</v>
      </c>
    </row>
    <row r="5546" spans="7:14" ht="11.25" customHeight="1" x14ac:dyDescent="0.3">
      <c r="G5546" s="470"/>
      <c r="H5546" s="470">
        <v>5539</v>
      </c>
      <c r="I5546" s="455">
        <f t="shared" ca="1" si="190"/>
        <v>-3845707692980000.5</v>
      </c>
      <c r="J5546" s="455">
        <f t="array" ref="J5546">IFERROR(INDEX('Retirement Calculator'!K:K,MATCH('Lorri 401b'!N5546,'Retirement Calculator'!A:A,0),0),0)</f>
        <v>0</v>
      </c>
      <c r="K5546" s="455">
        <f t="shared" ca="1" si="188"/>
        <v>-16023782054083.336</v>
      </c>
      <c r="L5546" s="455">
        <f t="shared" ca="1" si="189"/>
        <v>-3861731475034084</v>
      </c>
      <c r="M5546" s="471">
        <f t="shared" si="191"/>
        <v>0.05</v>
      </c>
      <c r="N5546" s="475">
        <f t="shared" si="192"/>
        <v>219847</v>
      </c>
    </row>
    <row r="5547" spans="7:14" ht="11.25" customHeight="1" x14ac:dyDescent="0.3">
      <c r="G5547" s="470"/>
      <c r="H5547" s="470">
        <v>5540</v>
      </c>
      <c r="I5547" s="455">
        <f t="shared" ca="1" si="190"/>
        <v>-3861731475034084</v>
      </c>
      <c r="J5547" s="455">
        <f t="array" ref="J5547">IFERROR(INDEX('Retirement Calculator'!K:K,MATCH('Lorri 401b'!N5547,'Retirement Calculator'!A:A,0),0),0)</f>
        <v>0</v>
      </c>
      <c r="K5547" s="455">
        <f t="shared" ca="1" si="188"/>
        <v>-16090547812642.016</v>
      </c>
      <c r="L5547" s="455">
        <f t="shared" ca="1" si="189"/>
        <v>-3877822022846726</v>
      </c>
      <c r="M5547" s="471">
        <f t="shared" si="191"/>
        <v>0.05</v>
      </c>
      <c r="N5547" s="475">
        <f t="shared" si="192"/>
        <v>219878</v>
      </c>
    </row>
    <row r="5548" spans="7:14" ht="11.25" customHeight="1" x14ac:dyDescent="0.3">
      <c r="G5548" s="470"/>
      <c r="H5548" s="470">
        <v>5541</v>
      </c>
      <c r="I5548" s="455">
        <f t="shared" ca="1" si="190"/>
        <v>-3877822022846726</v>
      </c>
      <c r="J5548" s="455">
        <f t="array" ref="J5548">IFERROR(INDEX('Retirement Calculator'!K:K,MATCH('Lorri 401b'!N5548,'Retirement Calculator'!A:A,0),0),0)</f>
        <v>0</v>
      </c>
      <c r="K5548" s="455">
        <f t="shared" ca="1" si="188"/>
        <v>-16157591761861.357</v>
      </c>
      <c r="L5548" s="455">
        <f t="shared" ca="1" si="189"/>
        <v>-3893979614608587.5</v>
      </c>
      <c r="M5548" s="471">
        <f t="shared" si="191"/>
        <v>0.05</v>
      </c>
      <c r="N5548" s="475">
        <f t="shared" si="192"/>
        <v>219909</v>
      </c>
    </row>
    <row r="5549" spans="7:14" ht="11.25" customHeight="1" x14ac:dyDescent="0.3">
      <c r="G5549" s="470"/>
      <c r="H5549" s="470">
        <v>5542</v>
      </c>
      <c r="I5549" s="455">
        <f t="shared" ca="1" si="190"/>
        <v>-3893979614608587.5</v>
      </c>
      <c r="J5549" s="455">
        <f t="array" ref="J5549">IFERROR(INDEX('Retirement Calculator'!K:K,MATCH('Lorri 401b'!N5549,'Retirement Calculator'!A:A,0),0),0)</f>
        <v>0</v>
      </c>
      <c r="K5549" s="455">
        <f t="shared" ca="1" si="188"/>
        <v>-16224915060869.117</v>
      </c>
      <c r="L5549" s="455">
        <f t="shared" ca="1" si="189"/>
        <v>-3910204529669456.5</v>
      </c>
      <c r="M5549" s="471">
        <f t="shared" si="191"/>
        <v>0.05</v>
      </c>
      <c r="N5549" s="475">
        <f t="shared" si="192"/>
        <v>219937</v>
      </c>
    </row>
    <row r="5550" spans="7:14" ht="11.25" customHeight="1" x14ac:dyDescent="0.3">
      <c r="G5550" s="470"/>
      <c r="H5550" s="470">
        <v>5543</v>
      </c>
      <c r="I5550" s="455">
        <f t="shared" ca="1" si="190"/>
        <v>-3910204529669456.5</v>
      </c>
      <c r="J5550" s="455">
        <f t="array" ref="J5550">IFERROR(INDEX('Retirement Calculator'!K:K,MATCH('Lorri 401b'!N5550,'Retirement Calculator'!A:A,0),0),0)</f>
        <v>0</v>
      </c>
      <c r="K5550" s="455">
        <f t="shared" ca="1" si="188"/>
        <v>-16292518873622.734</v>
      </c>
      <c r="L5550" s="455">
        <f t="shared" ca="1" si="189"/>
        <v>-3926497048543079</v>
      </c>
      <c r="M5550" s="471">
        <f t="shared" si="191"/>
        <v>0.05</v>
      </c>
      <c r="N5550" s="475">
        <f t="shared" si="192"/>
        <v>219968</v>
      </c>
    </row>
    <row r="5551" spans="7:14" ht="11.25" customHeight="1" x14ac:dyDescent="0.3">
      <c r="G5551" s="470"/>
      <c r="H5551" s="470">
        <v>5544</v>
      </c>
      <c r="I5551" s="455">
        <f t="shared" ca="1" si="190"/>
        <v>-3926497048543079</v>
      </c>
      <c r="J5551" s="455">
        <f t="array" ref="J5551">IFERROR(INDEX('Retirement Calculator'!K:K,MATCH('Lorri 401b'!N5551,'Retirement Calculator'!A:A,0),0),0)</f>
        <v>0</v>
      </c>
      <c r="K5551" s="455">
        <f t="shared" ca="1" si="188"/>
        <v>-16360404368929.498</v>
      </c>
      <c r="L5551" s="455">
        <f t="shared" ca="1" si="189"/>
        <v>-3942857452912008.5</v>
      </c>
      <c r="M5551" s="471">
        <f t="shared" si="191"/>
        <v>0.05</v>
      </c>
      <c r="N5551" s="475">
        <f t="shared" si="192"/>
        <v>219998</v>
      </c>
    </row>
    <row r="5552" spans="7:14" ht="11.25" customHeight="1" x14ac:dyDescent="0.3">
      <c r="G5552" s="470"/>
      <c r="H5552" s="470">
        <v>5545</v>
      </c>
      <c r="I5552" s="455">
        <f t="shared" ca="1" si="190"/>
        <v>-3942857452912008.5</v>
      </c>
      <c r="J5552" s="455">
        <f t="array" ref="J5552">IFERROR(INDEX('Retirement Calculator'!K:K,MATCH('Lorri 401b'!N5552,'Retirement Calculator'!A:A,0),0),0)</f>
        <v>0</v>
      </c>
      <c r="K5552" s="455">
        <f t="shared" ca="1" si="188"/>
        <v>-16428572720466.701</v>
      </c>
      <c r="L5552" s="455">
        <f t="shared" ca="1" si="189"/>
        <v>-3959286025632475</v>
      </c>
      <c r="M5552" s="471">
        <f t="shared" si="191"/>
        <v>0.05</v>
      </c>
      <c r="N5552" s="475">
        <f t="shared" si="192"/>
        <v>220029</v>
      </c>
    </row>
    <row r="5553" spans="7:14" ht="11.25" customHeight="1" x14ac:dyDescent="0.3">
      <c r="G5553" s="470"/>
      <c r="H5553" s="470">
        <v>5546</v>
      </c>
      <c r="I5553" s="455">
        <f t="shared" ca="1" si="190"/>
        <v>-3959286025632475</v>
      </c>
      <c r="J5553" s="455">
        <f t="array" ref="J5553">IFERROR(INDEX('Retirement Calculator'!K:K,MATCH('Lorri 401b'!N5553,'Retirement Calculator'!A:A,0),0),0)</f>
        <v>0</v>
      </c>
      <c r="K5553" s="455">
        <f t="shared" ca="1" si="188"/>
        <v>-16497025106801.98</v>
      </c>
      <c r="L5553" s="455">
        <f t="shared" ca="1" si="189"/>
        <v>-3975783050739277</v>
      </c>
      <c r="M5553" s="471">
        <f t="shared" si="191"/>
        <v>0.05</v>
      </c>
      <c r="N5553" s="475">
        <f t="shared" si="192"/>
        <v>220059</v>
      </c>
    </row>
    <row r="5554" spans="7:14" ht="11.25" customHeight="1" x14ac:dyDescent="0.3">
      <c r="G5554" s="470"/>
      <c r="H5554" s="470">
        <v>5547</v>
      </c>
      <c r="I5554" s="455">
        <f t="shared" ca="1" si="190"/>
        <v>-3975783050739277</v>
      </c>
      <c r="J5554" s="455">
        <f t="array" ref="J5554">IFERROR(INDEX('Retirement Calculator'!K:K,MATCH('Lorri 401b'!N5554,'Retirement Calculator'!A:A,0),0),0)</f>
        <v>0</v>
      </c>
      <c r="K5554" s="455">
        <f t="shared" ca="1" si="188"/>
        <v>-16565762711413.654</v>
      </c>
      <c r="L5554" s="455">
        <f t="shared" ca="1" si="189"/>
        <v>-3992348813450690.5</v>
      </c>
      <c r="M5554" s="471">
        <f t="shared" si="191"/>
        <v>0.05</v>
      </c>
      <c r="N5554" s="475">
        <f t="shared" si="192"/>
        <v>220090</v>
      </c>
    </row>
    <row r="5555" spans="7:14" ht="11.25" customHeight="1" x14ac:dyDescent="0.3">
      <c r="G5555" s="470"/>
      <c r="H5555" s="470">
        <v>5548</v>
      </c>
      <c r="I5555" s="455">
        <f t="shared" ca="1" si="190"/>
        <v>-3992348813450690.5</v>
      </c>
      <c r="J5555" s="455">
        <f t="array" ref="J5555">IFERROR(INDEX('Retirement Calculator'!K:K,MATCH('Lorri 401b'!N5555,'Retirement Calculator'!A:A,0),0),0)</f>
        <v>0</v>
      </c>
      <c r="K5555" s="455">
        <f t="shared" ca="1" si="188"/>
        <v>-16634786722711.211</v>
      </c>
      <c r="L5555" s="455">
        <f t="shared" ca="1" si="189"/>
        <v>-4008983600173401.5</v>
      </c>
      <c r="M5555" s="471">
        <f t="shared" si="191"/>
        <v>0.05</v>
      </c>
      <c r="N5555" s="475">
        <f t="shared" si="192"/>
        <v>220121</v>
      </c>
    </row>
    <row r="5556" spans="7:14" ht="11.25" customHeight="1" x14ac:dyDescent="0.3">
      <c r="G5556" s="470"/>
      <c r="H5556" s="470">
        <v>5549</v>
      </c>
      <c r="I5556" s="455">
        <f t="shared" ca="1" si="190"/>
        <v>-4008983600173401.5</v>
      </c>
      <c r="J5556" s="455">
        <f t="array" ref="J5556">IFERROR(INDEX('Retirement Calculator'!K:K,MATCH('Lorri 401b'!N5556,'Retirement Calculator'!A:A,0),0),0)</f>
        <v>0</v>
      </c>
      <c r="K5556" s="455">
        <f t="shared" ca="1" si="188"/>
        <v>-16704098334055.84</v>
      </c>
      <c r="L5556" s="455">
        <f t="shared" ca="1" si="189"/>
        <v>-4025687698507457.5</v>
      </c>
      <c r="M5556" s="471">
        <f t="shared" si="191"/>
        <v>0.05</v>
      </c>
      <c r="N5556" s="475">
        <f t="shared" si="192"/>
        <v>220151</v>
      </c>
    </row>
    <row r="5557" spans="7:14" ht="11.25" customHeight="1" x14ac:dyDescent="0.3">
      <c r="G5557" s="470"/>
      <c r="H5557" s="470">
        <v>5550</v>
      </c>
      <c r="I5557" s="455">
        <f t="shared" ca="1" si="190"/>
        <v>-4025687698507457.5</v>
      </c>
      <c r="J5557" s="455">
        <f t="array" ref="J5557">IFERROR(INDEX('Retirement Calculator'!K:K,MATCH('Lorri 401b'!N5557,'Retirement Calculator'!A:A,0),0),0)</f>
        <v>0</v>
      </c>
      <c r="K5557" s="455">
        <f t="shared" ca="1" si="188"/>
        <v>-16773698743781.072</v>
      </c>
      <c r="L5557" s="455">
        <f t="shared" ca="1" si="189"/>
        <v>-4042461397251238.5</v>
      </c>
      <c r="M5557" s="471">
        <f t="shared" si="191"/>
        <v>0.05</v>
      </c>
      <c r="N5557" s="475">
        <f t="shared" si="192"/>
        <v>220182</v>
      </c>
    </row>
    <row r="5558" spans="7:14" ht="11.25" customHeight="1" x14ac:dyDescent="0.3">
      <c r="G5558" s="470"/>
      <c r="H5558" s="470">
        <v>5551</v>
      </c>
      <c r="I5558" s="455">
        <f t="shared" ca="1" si="190"/>
        <v>-4042461397251238.5</v>
      </c>
      <c r="J5558" s="455">
        <f t="array" ref="J5558">IFERROR(INDEX('Retirement Calculator'!K:K,MATCH('Lorri 401b'!N5558,'Retirement Calculator'!A:A,0),0),0)</f>
        <v>0</v>
      </c>
      <c r="K5558" s="455">
        <f t="shared" ca="1" si="188"/>
        <v>-16843589155213.494</v>
      </c>
      <c r="L5558" s="455">
        <f t="shared" ca="1" si="189"/>
        <v>-4059304986406452</v>
      </c>
      <c r="M5558" s="471">
        <f t="shared" si="191"/>
        <v>0.05</v>
      </c>
      <c r="N5558" s="475">
        <f t="shared" si="192"/>
        <v>220212</v>
      </c>
    </row>
    <row r="5559" spans="7:14" ht="11.25" customHeight="1" x14ac:dyDescent="0.3">
      <c r="G5559" s="470"/>
      <c r="H5559" s="470">
        <v>5552</v>
      </c>
      <c r="I5559" s="455">
        <f t="shared" ca="1" si="190"/>
        <v>-4059304986406452</v>
      </c>
      <c r="J5559" s="455">
        <f t="array" ref="J5559">IFERROR(INDEX('Retirement Calculator'!K:K,MATCH('Lorri 401b'!N5559,'Retirement Calculator'!A:A,0),0),0)</f>
        <v>0</v>
      </c>
      <c r="K5559" s="455">
        <f t="shared" ca="1" si="188"/>
        <v>-16913770776693.549</v>
      </c>
      <c r="L5559" s="455">
        <f t="shared" ca="1" si="189"/>
        <v>-4076218757183145.5</v>
      </c>
      <c r="M5559" s="471">
        <f t="shared" si="191"/>
        <v>0.05</v>
      </c>
      <c r="N5559" s="475">
        <f t="shared" si="192"/>
        <v>220243</v>
      </c>
    </row>
    <row r="5560" spans="7:14" ht="11.25" customHeight="1" x14ac:dyDescent="0.3">
      <c r="G5560" s="470"/>
      <c r="H5560" s="470">
        <v>5553</v>
      </c>
      <c r="I5560" s="455">
        <f t="shared" ca="1" si="190"/>
        <v>-4076218757183145.5</v>
      </c>
      <c r="J5560" s="455">
        <f t="array" ref="J5560">IFERROR(INDEX('Retirement Calculator'!K:K,MATCH('Lorri 401b'!N5560,'Retirement Calculator'!A:A,0),0),0)</f>
        <v>0</v>
      </c>
      <c r="K5560" s="455">
        <f t="shared" ca="1" si="188"/>
        <v>-16984244821596.441</v>
      </c>
      <c r="L5560" s="455">
        <f t="shared" ca="1" si="189"/>
        <v>-4093203002004742</v>
      </c>
      <c r="M5560" s="471">
        <f t="shared" si="191"/>
        <v>0.05</v>
      </c>
      <c r="N5560" s="475">
        <f t="shared" si="192"/>
        <v>220274</v>
      </c>
    </row>
    <row r="5561" spans="7:14" ht="11.25" customHeight="1" x14ac:dyDescent="0.3">
      <c r="G5561" s="470"/>
      <c r="H5561" s="470">
        <v>5554</v>
      </c>
      <c r="I5561" s="455">
        <f t="shared" ca="1" si="190"/>
        <v>-4093203002004742</v>
      </c>
      <c r="J5561" s="455">
        <f t="array" ref="J5561">IFERROR(INDEX('Retirement Calculator'!K:K,MATCH('Lorri 401b'!N5561,'Retirement Calculator'!A:A,0),0),0)</f>
        <v>0</v>
      </c>
      <c r="K5561" s="455">
        <f t="shared" ca="1" si="188"/>
        <v>-17055012508353.092</v>
      </c>
      <c r="L5561" s="455">
        <f t="shared" ca="1" si="189"/>
        <v>-4110258014513095</v>
      </c>
      <c r="M5561" s="471">
        <f t="shared" si="191"/>
        <v>0.05</v>
      </c>
      <c r="N5561" s="475">
        <f t="shared" si="192"/>
        <v>220302</v>
      </c>
    </row>
    <row r="5562" spans="7:14" ht="11.25" customHeight="1" x14ac:dyDescent="0.3">
      <c r="G5562" s="470"/>
      <c r="H5562" s="470">
        <v>5555</v>
      </c>
      <c r="I5562" s="455">
        <f t="shared" ca="1" si="190"/>
        <v>-4110258014513095</v>
      </c>
      <c r="J5562" s="455">
        <f t="array" ref="J5562">IFERROR(INDEX('Retirement Calculator'!K:K,MATCH('Lorri 401b'!N5562,'Retirement Calculator'!A:A,0),0),0)</f>
        <v>0</v>
      </c>
      <c r="K5562" s="455">
        <f t="shared" ca="1" si="188"/>
        <v>-17126075060471.23</v>
      </c>
      <c r="L5562" s="455">
        <f t="shared" ca="1" si="189"/>
        <v>-4127384089573566</v>
      </c>
      <c r="M5562" s="471">
        <f t="shared" si="191"/>
        <v>0.05</v>
      </c>
      <c r="N5562" s="475">
        <f t="shared" si="192"/>
        <v>220333</v>
      </c>
    </row>
    <row r="5563" spans="7:14" ht="11.25" customHeight="1" x14ac:dyDescent="0.3">
      <c r="G5563" s="470"/>
      <c r="H5563" s="470">
        <v>5556</v>
      </c>
      <c r="I5563" s="455">
        <f t="shared" ca="1" si="190"/>
        <v>-4127384089573566</v>
      </c>
      <c r="J5563" s="455">
        <f t="array" ref="J5563">IFERROR(INDEX('Retirement Calculator'!K:K,MATCH('Lorri 401b'!N5563,'Retirement Calculator'!A:A,0),0),0)</f>
        <v>0</v>
      </c>
      <c r="K5563" s="455">
        <f t="shared" ca="1" si="188"/>
        <v>-17197433706556.527</v>
      </c>
      <c r="L5563" s="455">
        <f t="shared" ca="1" si="189"/>
        <v>-4144581523280122.5</v>
      </c>
      <c r="M5563" s="471">
        <f t="shared" si="191"/>
        <v>0.05</v>
      </c>
      <c r="N5563" s="475">
        <f t="shared" si="192"/>
        <v>220363</v>
      </c>
    </row>
    <row r="5564" spans="7:14" ht="11.25" customHeight="1" x14ac:dyDescent="0.3">
      <c r="G5564" s="470"/>
      <c r="H5564" s="470">
        <v>5557</v>
      </c>
      <c r="I5564" s="455">
        <f t="shared" ca="1" si="190"/>
        <v>-4144581523280122.5</v>
      </c>
      <c r="J5564" s="455">
        <f t="array" ref="J5564">IFERROR(INDEX('Retirement Calculator'!K:K,MATCH('Lorri 401b'!N5564,'Retirement Calculator'!A:A,0),0),0)</f>
        <v>0</v>
      </c>
      <c r="K5564" s="455">
        <f t="shared" ca="1" si="188"/>
        <v>-17269089680333.846</v>
      </c>
      <c r="L5564" s="455">
        <f t="shared" ca="1" si="189"/>
        <v>-4161850612960456.5</v>
      </c>
      <c r="M5564" s="471">
        <f t="shared" si="191"/>
        <v>0.05</v>
      </c>
      <c r="N5564" s="475">
        <f t="shared" si="192"/>
        <v>220394</v>
      </c>
    </row>
    <row r="5565" spans="7:14" ht="11.25" customHeight="1" x14ac:dyDescent="0.3">
      <c r="G5565" s="470"/>
      <c r="H5565" s="470">
        <v>5558</v>
      </c>
      <c r="I5565" s="455">
        <f t="shared" ca="1" si="190"/>
        <v>-4161850612960456.5</v>
      </c>
      <c r="J5565" s="455">
        <f t="array" ref="J5565">IFERROR(INDEX('Retirement Calculator'!K:K,MATCH('Lorri 401b'!N5565,'Retirement Calculator'!A:A,0),0),0)</f>
        <v>0</v>
      </c>
      <c r="K5565" s="455">
        <f t="shared" ca="1" si="188"/>
        <v>-17341044220668.57</v>
      </c>
      <c r="L5565" s="455">
        <f t="shared" ca="1" si="189"/>
        <v>-4179191657181125</v>
      </c>
      <c r="M5565" s="471">
        <f t="shared" si="191"/>
        <v>0.05</v>
      </c>
      <c r="N5565" s="475">
        <f t="shared" si="192"/>
        <v>220424</v>
      </c>
    </row>
    <row r="5566" spans="7:14" ht="11.25" customHeight="1" x14ac:dyDescent="0.3">
      <c r="G5566" s="470"/>
      <c r="H5566" s="470">
        <v>5559</v>
      </c>
      <c r="I5566" s="455">
        <f t="shared" ca="1" si="190"/>
        <v>-4179191657181125</v>
      </c>
      <c r="J5566" s="455">
        <f t="array" ref="J5566">IFERROR(INDEX('Retirement Calculator'!K:K,MATCH('Lorri 401b'!N5566,'Retirement Calculator'!A:A,0),0),0)</f>
        <v>0</v>
      </c>
      <c r="K5566" s="455">
        <f t="shared" ca="1" si="188"/>
        <v>-17413298571588.021</v>
      </c>
      <c r="L5566" s="455">
        <f t="shared" ca="1" si="189"/>
        <v>-4196604955752713</v>
      </c>
      <c r="M5566" s="471">
        <f t="shared" si="191"/>
        <v>0.05</v>
      </c>
      <c r="N5566" s="475">
        <f t="shared" si="192"/>
        <v>220455</v>
      </c>
    </row>
    <row r="5567" spans="7:14" ht="11.25" customHeight="1" x14ac:dyDescent="0.3">
      <c r="G5567" s="470"/>
      <c r="H5567" s="470">
        <v>5560</v>
      </c>
      <c r="I5567" s="455">
        <f t="shared" ca="1" si="190"/>
        <v>-4196604955752713</v>
      </c>
      <c r="J5567" s="455">
        <f t="array" ref="J5567">IFERROR(INDEX('Retirement Calculator'!K:K,MATCH('Lorri 401b'!N5567,'Retirement Calculator'!A:A,0),0),0)</f>
        <v>0</v>
      </c>
      <c r="K5567" s="455">
        <f t="shared" ca="1" si="188"/>
        <v>-17485853982302.971</v>
      </c>
      <c r="L5567" s="455">
        <f t="shared" ca="1" si="189"/>
        <v>-4214090809735016</v>
      </c>
      <c r="M5567" s="471">
        <f t="shared" si="191"/>
        <v>0.05</v>
      </c>
      <c r="N5567" s="475">
        <f t="shared" si="192"/>
        <v>220486</v>
      </c>
    </row>
    <row r="5568" spans="7:14" ht="11.25" customHeight="1" x14ac:dyDescent="0.3">
      <c r="G5568" s="470"/>
      <c r="H5568" s="470">
        <v>5561</v>
      </c>
      <c r="I5568" s="455">
        <f t="shared" ca="1" si="190"/>
        <v>-4214090809735016</v>
      </c>
      <c r="J5568" s="455">
        <f t="array" ref="J5568">IFERROR(INDEX('Retirement Calculator'!K:K,MATCH('Lorri 401b'!N5568,'Retirement Calculator'!A:A,0),0),0)</f>
        <v>0</v>
      </c>
      <c r="K5568" s="455">
        <f t="shared" ca="1" si="188"/>
        <v>-17558711707229.232</v>
      </c>
      <c r="L5568" s="455">
        <f t="shared" ca="1" si="189"/>
        <v>-4231649521442245</v>
      </c>
      <c r="M5568" s="471">
        <f t="shared" si="191"/>
        <v>0.05</v>
      </c>
      <c r="N5568" s="475">
        <f t="shared" si="192"/>
        <v>220516</v>
      </c>
    </row>
    <row r="5569" spans="7:14" ht="11.25" customHeight="1" x14ac:dyDescent="0.3">
      <c r="G5569" s="470"/>
      <c r="H5569" s="470">
        <v>5562</v>
      </c>
      <c r="I5569" s="455">
        <f t="shared" ca="1" si="190"/>
        <v>-4231649521442245</v>
      </c>
      <c r="J5569" s="455">
        <f t="array" ref="J5569">IFERROR(INDEX('Retirement Calculator'!K:K,MATCH('Lorri 401b'!N5569,'Retirement Calculator'!A:A,0),0),0)</f>
        <v>0</v>
      </c>
      <c r="K5569" s="455">
        <f t="shared" ca="1" si="188"/>
        <v>-17631873006009.352</v>
      </c>
      <c r="L5569" s="455">
        <f t="shared" ca="1" si="189"/>
        <v>-4249281394448254.5</v>
      </c>
      <c r="M5569" s="471">
        <f t="shared" si="191"/>
        <v>0.05</v>
      </c>
      <c r="N5569" s="475">
        <f t="shared" si="192"/>
        <v>220547</v>
      </c>
    </row>
    <row r="5570" spans="7:14" ht="11.25" customHeight="1" x14ac:dyDescent="0.3">
      <c r="G5570" s="470"/>
      <c r="H5570" s="470">
        <v>5563</v>
      </c>
      <c r="I5570" s="455">
        <f t="shared" ca="1" si="190"/>
        <v>-4249281394448254.5</v>
      </c>
      <c r="J5570" s="455">
        <f t="array" ref="J5570">IFERROR(INDEX('Retirement Calculator'!K:K,MATCH('Lorri 401b'!N5570,'Retirement Calculator'!A:A,0),0),0)</f>
        <v>0</v>
      </c>
      <c r="K5570" s="455">
        <f t="shared" ca="1" si="188"/>
        <v>-17705339143534.391</v>
      </c>
      <c r="L5570" s="455">
        <f t="shared" ca="1" si="189"/>
        <v>-4266986733591789</v>
      </c>
      <c r="M5570" s="471">
        <f t="shared" si="191"/>
        <v>0.05</v>
      </c>
      <c r="N5570" s="475">
        <f t="shared" si="192"/>
        <v>220577</v>
      </c>
    </row>
    <row r="5571" spans="7:14" ht="11.25" customHeight="1" x14ac:dyDescent="0.3">
      <c r="G5571" s="470"/>
      <c r="H5571" s="470">
        <v>5564</v>
      </c>
      <c r="I5571" s="455">
        <f t="shared" ca="1" si="190"/>
        <v>-4266986733591789</v>
      </c>
      <c r="J5571" s="455">
        <f t="array" ref="J5571">IFERROR(INDEX('Retirement Calculator'!K:K,MATCH('Lorri 401b'!N5571,'Retirement Calculator'!A:A,0),0),0)</f>
        <v>0</v>
      </c>
      <c r="K5571" s="455">
        <f t="shared" ca="1" si="188"/>
        <v>-17779111389965.789</v>
      </c>
      <c r="L5571" s="455">
        <f t="shared" ca="1" si="189"/>
        <v>-4284765844981755</v>
      </c>
      <c r="M5571" s="471">
        <f t="shared" si="191"/>
        <v>0.05</v>
      </c>
      <c r="N5571" s="475">
        <f t="shared" si="192"/>
        <v>220608</v>
      </c>
    </row>
    <row r="5572" spans="7:14" ht="11.25" customHeight="1" x14ac:dyDescent="0.3">
      <c r="G5572" s="470"/>
      <c r="H5572" s="470">
        <v>5565</v>
      </c>
      <c r="I5572" s="455">
        <f t="shared" ca="1" si="190"/>
        <v>-4284765844981755</v>
      </c>
      <c r="J5572" s="455">
        <f t="array" ref="J5572">IFERROR(INDEX('Retirement Calculator'!K:K,MATCH('Lorri 401b'!N5572,'Retirement Calculator'!A:A,0),0),0)</f>
        <v>0</v>
      </c>
      <c r="K5572" s="455">
        <f t="shared" ca="1" si="188"/>
        <v>-17853191020757.309</v>
      </c>
      <c r="L5572" s="455">
        <f t="shared" ca="1" si="189"/>
        <v>-4302619036002512.5</v>
      </c>
      <c r="M5572" s="471">
        <f t="shared" si="191"/>
        <v>0.05</v>
      </c>
      <c r="N5572" s="475">
        <f t="shared" si="192"/>
        <v>220639</v>
      </c>
    </row>
    <row r="5573" spans="7:14" ht="11.25" customHeight="1" x14ac:dyDescent="0.3">
      <c r="G5573" s="470"/>
      <c r="H5573" s="470">
        <v>5566</v>
      </c>
      <c r="I5573" s="455">
        <f t="shared" ca="1" si="190"/>
        <v>-4302619036002512.5</v>
      </c>
      <c r="J5573" s="455">
        <f t="array" ref="J5573">IFERROR(INDEX('Retirement Calculator'!K:K,MATCH('Lorri 401b'!N5573,'Retirement Calculator'!A:A,0),0),0)</f>
        <v>0</v>
      </c>
      <c r="K5573" s="455">
        <f t="shared" ca="1" si="188"/>
        <v>-17927579316677.137</v>
      </c>
      <c r="L5573" s="455">
        <f t="shared" ca="1" si="189"/>
        <v>-4320546615319189.5</v>
      </c>
      <c r="M5573" s="471">
        <f t="shared" si="191"/>
        <v>0.05</v>
      </c>
      <c r="N5573" s="475">
        <f t="shared" si="192"/>
        <v>220668</v>
      </c>
    </row>
    <row r="5574" spans="7:14" ht="11.25" customHeight="1" x14ac:dyDescent="0.3">
      <c r="G5574" s="470"/>
      <c r="H5574" s="470">
        <v>5567</v>
      </c>
      <c r="I5574" s="455">
        <f t="shared" ca="1" si="190"/>
        <v>-4320546615319189.5</v>
      </c>
      <c r="J5574" s="455">
        <f t="array" ref="J5574">IFERROR(INDEX('Retirement Calculator'!K:K,MATCH('Lorri 401b'!N5574,'Retirement Calculator'!A:A,0),0),0)</f>
        <v>0</v>
      </c>
      <c r="K5574" s="455">
        <f t="shared" ca="1" si="188"/>
        <v>-18002277563829.957</v>
      </c>
      <c r="L5574" s="455">
        <f t="shared" ca="1" si="189"/>
        <v>-4338548892883019.5</v>
      </c>
      <c r="M5574" s="471">
        <f t="shared" si="191"/>
        <v>0.05</v>
      </c>
      <c r="N5574" s="475">
        <f t="shared" si="192"/>
        <v>220699</v>
      </c>
    </row>
    <row r="5575" spans="7:14" ht="11.25" customHeight="1" x14ac:dyDescent="0.3">
      <c r="G5575" s="470"/>
      <c r="H5575" s="470">
        <v>5568</v>
      </c>
      <c r="I5575" s="455">
        <f t="shared" ca="1" si="190"/>
        <v>-4338548892883019.5</v>
      </c>
      <c r="J5575" s="455">
        <f t="array" ref="J5575">IFERROR(INDEX('Retirement Calculator'!K:K,MATCH('Lorri 401b'!N5575,'Retirement Calculator'!A:A,0),0),0)</f>
        <v>0</v>
      </c>
      <c r="K5575" s="455">
        <f t="shared" ca="1" si="188"/>
        <v>-18077287053679.246</v>
      </c>
      <c r="L5575" s="455">
        <f t="shared" ca="1" si="189"/>
        <v>-4356626179936698.5</v>
      </c>
      <c r="M5575" s="471">
        <f t="shared" si="191"/>
        <v>0.05</v>
      </c>
      <c r="N5575" s="475">
        <f t="shared" si="192"/>
        <v>220729</v>
      </c>
    </row>
    <row r="5576" spans="7:14" ht="11.25" customHeight="1" x14ac:dyDescent="0.3">
      <c r="G5576" s="470"/>
      <c r="H5576" s="470">
        <v>5569</v>
      </c>
      <c r="I5576" s="455">
        <f t="shared" ca="1" si="190"/>
        <v>-4356626179936698.5</v>
      </c>
      <c r="J5576" s="455">
        <f t="array" ref="J5576">IFERROR(INDEX('Retirement Calculator'!K:K,MATCH('Lorri 401b'!N5576,'Retirement Calculator'!A:A,0),0),0)</f>
        <v>0</v>
      </c>
      <c r="K5576" s="455">
        <f t="shared" ca="1" si="188"/>
        <v>-18152609083069.578</v>
      </c>
      <c r="L5576" s="455">
        <f t="shared" ca="1" si="189"/>
        <v>-4374778789019768</v>
      </c>
      <c r="M5576" s="471">
        <f t="shared" si="191"/>
        <v>0.05</v>
      </c>
      <c r="N5576" s="475">
        <f t="shared" si="192"/>
        <v>220760</v>
      </c>
    </row>
    <row r="5577" spans="7:14" ht="11.25" customHeight="1" x14ac:dyDescent="0.3">
      <c r="G5577" s="470"/>
      <c r="H5577" s="470">
        <v>5570</v>
      </c>
      <c r="I5577" s="455">
        <f t="shared" ca="1" si="190"/>
        <v>-4374778789019768</v>
      </c>
      <c r="J5577" s="455">
        <f t="array" ref="J5577">IFERROR(INDEX('Retirement Calculator'!K:K,MATCH('Lorri 401b'!N5577,'Retirement Calculator'!A:A,0),0),0)</f>
        <v>0</v>
      </c>
      <c r="K5577" s="455">
        <f t="shared" ca="1" si="188"/>
        <v>-18228244954249.031</v>
      </c>
      <c r="L5577" s="455">
        <f t="shared" ca="1" si="189"/>
        <v>-4393007033974017</v>
      </c>
      <c r="M5577" s="471">
        <f t="shared" si="191"/>
        <v>0.05</v>
      </c>
      <c r="N5577" s="475">
        <f t="shared" si="192"/>
        <v>220790</v>
      </c>
    </row>
    <row r="5578" spans="7:14" ht="11.25" customHeight="1" x14ac:dyDescent="0.3">
      <c r="G5578" s="470"/>
      <c r="H5578" s="470">
        <v>5571</v>
      </c>
      <c r="I5578" s="455">
        <f t="shared" ca="1" si="190"/>
        <v>-4393007033974017</v>
      </c>
      <c r="J5578" s="455">
        <f t="array" ref="J5578">IFERROR(INDEX('Retirement Calculator'!K:K,MATCH('Lorri 401b'!N5578,'Retirement Calculator'!A:A,0),0),0)</f>
        <v>0</v>
      </c>
      <c r="K5578" s="455">
        <f t="shared" ca="1" si="188"/>
        <v>-18304195974891.738</v>
      </c>
      <c r="L5578" s="455">
        <f t="shared" ca="1" si="189"/>
        <v>-4411311229948908.5</v>
      </c>
      <c r="M5578" s="471">
        <f t="shared" si="191"/>
        <v>0.05</v>
      </c>
      <c r="N5578" s="475">
        <f t="shared" si="192"/>
        <v>220821</v>
      </c>
    </row>
    <row r="5579" spans="7:14" ht="11.25" customHeight="1" x14ac:dyDescent="0.3">
      <c r="G5579" s="470"/>
      <c r="H5579" s="470">
        <v>5572</v>
      </c>
      <c r="I5579" s="455">
        <f t="shared" ca="1" si="190"/>
        <v>-4411311229948908.5</v>
      </c>
      <c r="J5579" s="455">
        <f t="array" ref="J5579">IFERROR(INDEX('Retirement Calculator'!K:K,MATCH('Lorri 401b'!N5579,'Retirement Calculator'!A:A,0),0),0)</f>
        <v>0</v>
      </c>
      <c r="K5579" s="455">
        <f t="shared" ca="1" si="188"/>
        <v>-18380463458120.453</v>
      </c>
      <c r="L5579" s="455">
        <f t="shared" ca="1" si="189"/>
        <v>-4429691693407029</v>
      </c>
      <c r="M5579" s="471">
        <f t="shared" si="191"/>
        <v>0.05</v>
      </c>
      <c r="N5579" s="475">
        <f t="shared" si="192"/>
        <v>220852</v>
      </c>
    </row>
    <row r="5580" spans="7:14" ht="11.25" customHeight="1" x14ac:dyDescent="0.3">
      <c r="G5580" s="470"/>
      <c r="H5580" s="470">
        <v>5573</v>
      </c>
      <c r="I5580" s="455">
        <f t="shared" ca="1" si="190"/>
        <v>-4429691693407029</v>
      </c>
      <c r="J5580" s="455">
        <f t="array" ref="J5580">IFERROR(INDEX('Retirement Calculator'!K:K,MATCH('Lorri 401b'!N5580,'Retirement Calculator'!A:A,0),0),0)</f>
        <v>0</v>
      </c>
      <c r="K5580" s="455">
        <f t="shared" ca="1" si="188"/>
        <v>-18457048722529.289</v>
      </c>
      <c r="L5580" s="455">
        <f t="shared" ca="1" si="189"/>
        <v>-4448148742129558.5</v>
      </c>
      <c r="M5580" s="471">
        <f t="shared" si="191"/>
        <v>0.05</v>
      </c>
      <c r="N5580" s="475">
        <f t="shared" si="192"/>
        <v>220882</v>
      </c>
    </row>
    <row r="5581" spans="7:14" ht="11.25" customHeight="1" x14ac:dyDescent="0.3">
      <c r="G5581" s="470"/>
      <c r="H5581" s="470">
        <v>5574</v>
      </c>
      <c r="I5581" s="455">
        <f t="shared" ca="1" si="190"/>
        <v>-4448148742129558.5</v>
      </c>
      <c r="J5581" s="455">
        <f t="array" ref="J5581">IFERROR(INDEX('Retirement Calculator'!K:K,MATCH('Lorri 401b'!N5581,'Retirement Calculator'!A:A,0),0),0)</f>
        <v>0</v>
      </c>
      <c r="K5581" s="455">
        <f t="shared" ca="1" si="188"/>
        <v>-18533953092206.492</v>
      </c>
      <c r="L5581" s="455">
        <f t="shared" ca="1" si="189"/>
        <v>-4466682695221765</v>
      </c>
      <c r="M5581" s="471">
        <f t="shared" si="191"/>
        <v>0.05</v>
      </c>
      <c r="N5581" s="475">
        <f t="shared" si="192"/>
        <v>220913</v>
      </c>
    </row>
    <row r="5582" spans="7:14" ht="11.25" customHeight="1" x14ac:dyDescent="0.3">
      <c r="G5582" s="470"/>
      <c r="H5582" s="470">
        <v>5575</v>
      </c>
      <c r="I5582" s="455">
        <f t="shared" ca="1" si="190"/>
        <v>-4466682695221765</v>
      </c>
      <c r="J5582" s="455">
        <f t="array" ref="J5582">IFERROR(INDEX('Retirement Calculator'!K:K,MATCH('Lorri 401b'!N5582,'Retirement Calculator'!A:A,0),0),0)</f>
        <v>0</v>
      </c>
      <c r="K5582" s="455">
        <f t="shared" ca="1" si="188"/>
        <v>-18611177896757.355</v>
      </c>
      <c r="L5582" s="455">
        <f t="shared" ca="1" si="189"/>
        <v>-4485293873118522.5</v>
      </c>
      <c r="M5582" s="471">
        <f t="shared" si="191"/>
        <v>0.05</v>
      </c>
      <c r="N5582" s="475">
        <f t="shared" si="192"/>
        <v>220943</v>
      </c>
    </row>
    <row r="5583" spans="7:14" ht="11.25" customHeight="1" x14ac:dyDescent="0.3">
      <c r="G5583" s="470"/>
      <c r="H5583" s="470">
        <v>5576</v>
      </c>
      <c r="I5583" s="455">
        <f t="shared" ca="1" si="190"/>
        <v>-4485293873118522.5</v>
      </c>
      <c r="J5583" s="455">
        <f t="array" ref="J5583">IFERROR(INDEX('Retirement Calculator'!K:K,MATCH('Lorri 401b'!N5583,'Retirement Calculator'!A:A,0),0),0)</f>
        <v>0</v>
      </c>
      <c r="K5583" s="455">
        <f t="shared" ca="1" si="188"/>
        <v>-18688724471327.18</v>
      </c>
      <c r="L5583" s="455">
        <f t="shared" ca="1" si="189"/>
        <v>-4503982597589850</v>
      </c>
      <c r="M5583" s="471">
        <f t="shared" si="191"/>
        <v>0.05</v>
      </c>
      <c r="N5583" s="475">
        <f t="shared" si="192"/>
        <v>220974</v>
      </c>
    </row>
    <row r="5584" spans="7:14" ht="11.25" customHeight="1" x14ac:dyDescent="0.3">
      <c r="G5584" s="470"/>
      <c r="H5584" s="470">
        <v>5577</v>
      </c>
      <c r="I5584" s="455">
        <f t="shared" ca="1" si="190"/>
        <v>-4503982597589850</v>
      </c>
      <c r="J5584" s="455">
        <f t="array" ref="J5584">IFERROR(INDEX('Retirement Calculator'!K:K,MATCH('Lorri 401b'!N5584,'Retirement Calculator'!A:A,0),0),0)</f>
        <v>0</v>
      </c>
      <c r="K5584" s="455">
        <f t="shared" ca="1" si="188"/>
        <v>-18766594156624.375</v>
      </c>
      <c r="L5584" s="455">
        <f t="shared" ca="1" si="189"/>
        <v>-4522749191746474</v>
      </c>
      <c r="M5584" s="471">
        <f t="shared" si="191"/>
        <v>0.05</v>
      </c>
      <c r="N5584" s="475">
        <f t="shared" si="192"/>
        <v>221005</v>
      </c>
    </row>
    <row r="5585" spans="7:14" ht="11.25" customHeight="1" x14ac:dyDescent="0.3">
      <c r="G5585" s="470"/>
      <c r="H5585" s="470">
        <v>5578</v>
      </c>
      <c r="I5585" s="455">
        <f t="shared" ca="1" si="190"/>
        <v>-4522749191746474</v>
      </c>
      <c r="J5585" s="455">
        <f t="array" ref="J5585">IFERROR(INDEX('Retirement Calculator'!K:K,MATCH('Lorri 401b'!N5585,'Retirement Calculator'!A:A,0),0),0)</f>
        <v>0</v>
      </c>
      <c r="K5585" s="455">
        <f t="shared" ca="1" si="188"/>
        <v>-18844788298943.641</v>
      </c>
      <c r="L5585" s="455">
        <f t="shared" ca="1" si="189"/>
        <v>-4541593980045418</v>
      </c>
      <c r="M5585" s="471">
        <f t="shared" si="191"/>
        <v>0.05</v>
      </c>
      <c r="N5585" s="475">
        <f t="shared" si="192"/>
        <v>221033</v>
      </c>
    </row>
    <row r="5586" spans="7:14" ht="11.25" customHeight="1" x14ac:dyDescent="0.3">
      <c r="G5586" s="470"/>
      <c r="H5586" s="470">
        <v>5579</v>
      </c>
      <c r="I5586" s="455">
        <f t="shared" ca="1" si="190"/>
        <v>-4541593980045418</v>
      </c>
      <c r="J5586" s="455">
        <f t="array" ref="J5586">IFERROR(INDEX('Retirement Calculator'!K:K,MATCH('Lorri 401b'!N5586,'Retirement Calculator'!A:A,0),0),0)</f>
        <v>0</v>
      </c>
      <c r="K5586" s="455">
        <f t="shared" ca="1" si="188"/>
        <v>-18923308250189.242</v>
      </c>
      <c r="L5586" s="455">
        <f t="shared" ca="1" si="189"/>
        <v>-4560517288295607</v>
      </c>
      <c r="M5586" s="471">
        <f t="shared" si="191"/>
        <v>0.05</v>
      </c>
      <c r="N5586" s="475">
        <f t="shared" si="192"/>
        <v>221064</v>
      </c>
    </row>
    <row r="5587" spans="7:14" ht="11.25" customHeight="1" x14ac:dyDescent="0.3">
      <c r="G5587" s="470"/>
      <c r="H5587" s="470">
        <v>5580</v>
      </c>
      <c r="I5587" s="455">
        <f t="shared" ca="1" si="190"/>
        <v>-4560517288295607</v>
      </c>
      <c r="J5587" s="455">
        <f t="array" ref="J5587">IFERROR(INDEX('Retirement Calculator'!K:K,MATCH('Lorri 401b'!N5587,'Retirement Calculator'!A:A,0),0),0)</f>
        <v>0</v>
      </c>
      <c r="K5587" s="455">
        <f t="shared" ca="1" si="188"/>
        <v>-19002155367898.363</v>
      </c>
      <c r="L5587" s="455">
        <f t="shared" ca="1" si="189"/>
        <v>-4579519443663505</v>
      </c>
      <c r="M5587" s="471">
        <f t="shared" si="191"/>
        <v>0.05</v>
      </c>
      <c r="N5587" s="475">
        <f t="shared" si="192"/>
        <v>221094</v>
      </c>
    </row>
    <row r="5588" spans="7:14" ht="11.25" customHeight="1" x14ac:dyDescent="0.3">
      <c r="G5588" s="470"/>
      <c r="H5588" s="470">
        <v>5581</v>
      </c>
      <c r="I5588" s="455">
        <f t="shared" ca="1" si="190"/>
        <v>-4579519443663505</v>
      </c>
      <c r="J5588" s="455">
        <f t="array" ref="J5588">IFERROR(INDEX('Retirement Calculator'!K:K,MATCH('Lorri 401b'!N5588,'Retirement Calculator'!A:A,0),0),0)</f>
        <v>0</v>
      </c>
      <c r="K5588" s="455">
        <f t="shared" ca="1" si="188"/>
        <v>-19081331015264.605</v>
      </c>
      <c r="L5588" s="455">
        <f t="shared" ca="1" si="189"/>
        <v>-4598600774678770</v>
      </c>
      <c r="M5588" s="471">
        <f t="shared" si="191"/>
        <v>0.05</v>
      </c>
      <c r="N5588" s="475">
        <f t="shared" si="192"/>
        <v>221125</v>
      </c>
    </row>
    <row r="5589" spans="7:14" ht="11.25" customHeight="1" x14ac:dyDescent="0.3">
      <c r="G5589" s="470"/>
      <c r="H5589" s="470">
        <v>5582</v>
      </c>
      <c r="I5589" s="455">
        <f t="shared" ca="1" si="190"/>
        <v>-4598600774678770</v>
      </c>
      <c r="J5589" s="455">
        <f t="array" ref="J5589">IFERROR(INDEX('Retirement Calculator'!K:K,MATCH('Lorri 401b'!N5589,'Retirement Calculator'!A:A,0),0),0)</f>
        <v>0</v>
      </c>
      <c r="K5589" s="455">
        <f t="shared" ca="1" si="188"/>
        <v>-19160836561161.543</v>
      </c>
      <c r="L5589" s="455">
        <f t="shared" ca="1" si="189"/>
        <v>-4617761611239932</v>
      </c>
      <c r="M5589" s="471">
        <f t="shared" si="191"/>
        <v>0.05</v>
      </c>
      <c r="N5589" s="475">
        <f t="shared" si="192"/>
        <v>221155</v>
      </c>
    </row>
    <row r="5590" spans="7:14" ht="11.25" customHeight="1" x14ac:dyDescent="0.3">
      <c r="G5590" s="470"/>
      <c r="H5590" s="470">
        <v>5583</v>
      </c>
      <c r="I5590" s="455">
        <f t="shared" ca="1" si="190"/>
        <v>-4617761611239932</v>
      </c>
      <c r="J5590" s="455">
        <f t="array" ref="J5590">IFERROR(INDEX('Retirement Calculator'!K:K,MATCH('Lorri 401b'!N5590,'Retirement Calculator'!A:A,0),0),0)</f>
        <v>0</v>
      </c>
      <c r="K5590" s="455">
        <f t="shared" ca="1" si="188"/>
        <v>-19240673380166.383</v>
      </c>
      <c r="L5590" s="455">
        <f t="shared" ca="1" si="189"/>
        <v>-4637002284620098</v>
      </c>
      <c r="M5590" s="471">
        <f t="shared" si="191"/>
        <v>0.05</v>
      </c>
      <c r="N5590" s="475">
        <f t="shared" si="192"/>
        <v>221186</v>
      </c>
    </row>
    <row r="5591" spans="7:14" ht="11.25" customHeight="1" x14ac:dyDescent="0.3">
      <c r="G5591" s="470"/>
      <c r="H5591" s="470">
        <v>5584</v>
      </c>
      <c r="I5591" s="455">
        <f t="shared" ca="1" si="190"/>
        <v>-4637002284620098</v>
      </c>
      <c r="J5591" s="455">
        <f t="array" ref="J5591">IFERROR(INDEX('Retirement Calculator'!K:K,MATCH('Lorri 401b'!N5591,'Retirement Calculator'!A:A,0),0),0)</f>
        <v>0</v>
      </c>
      <c r="K5591" s="455">
        <f t="shared" ca="1" si="188"/>
        <v>-19320842852583.742</v>
      </c>
      <c r="L5591" s="455">
        <f t="shared" ca="1" si="189"/>
        <v>-4656323127472682</v>
      </c>
      <c r="M5591" s="471">
        <f t="shared" si="191"/>
        <v>0.05</v>
      </c>
      <c r="N5591" s="475">
        <f t="shared" si="192"/>
        <v>221217</v>
      </c>
    </row>
    <row r="5592" spans="7:14" ht="11.25" customHeight="1" x14ac:dyDescent="0.3">
      <c r="G5592" s="470"/>
      <c r="H5592" s="470">
        <v>5585</v>
      </c>
      <c r="I5592" s="455">
        <f t="shared" ca="1" si="190"/>
        <v>-4656323127472682</v>
      </c>
      <c r="J5592" s="455">
        <f t="array" ref="J5592">IFERROR(INDEX('Retirement Calculator'!K:K,MATCH('Lorri 401b'!N5592,'Retirement Calculator'!A:A,0),0),0)</f>
        <v>0</v>
      </c>
      <c r="K5592" s="455">
        <f t="shared" ca="1" si="188"/>
        <v>-19401346364469.508</v>
      </c>
      <c r="L5592" s="455">
        <f t="shared" ca="1" si="189"/>
        <v>-4675724473837152</v>
      </c>
      <c r="M5592" s="471">
        <f t="shared" si="191"/>
        <v>0.05</v>
      </c>
      <c r="N5592" s="475">
        <f t="shared" si="192"/>
        <v>221247</v>
      </c>
    </row>
    <row r="5593" spans="7:14" ht="11.25" customHeight="1" x14ac:dyDescent="0.3">
      <c r="G5593" s="470"/>
      <c r="H5593" s="470">
        <v>5586</v>
      </c>
      <c r="I5593" s="455">
        <f t="shared" ca="1" si="190"/>
        <v>-4675724473837152</v>
      </c>
      <c r="J5593" s="455">
        <f t="array" ref="J5593">IFERROR(INDEX('Retirement Calculator'!K:K,MATCH('Lorri 401b'!N5593,'Retirement Calculator'!A:A,0),0),0)</f>
        <v>0</v>
      </c>
      <c r="K5593" s="455">
        <f t="shared" ca="1" si="188"/>
        <v>-19482185307654.801</v>
      </c>
      <c r="L5593" s="455">
        <f t="shared" ca="1" si="189"/>
        <v>-4695206659144807</v>
      </c>
      <c r="M5593" s="471">
        <f t="shared" si="191"/>
        <v>0.05</v>
      </c>
      <c r="N5593" s="475">
        <f t="shared" si="192"/>
        <v>221278</v>
      </c>
    </row>
    <row r="5594" spans="7:14" ht="11.25" customHeight="1" x14ac:dyDescent="0.3">
      <c r="G5594" s="470"/>
      <c r="H5594" s="470">
        <v>5587</v>
      </c>
      <c r="I5594" s="455">
        <f t="shared" ca="1" si="190"/>
        <v>-4695206659144807</v>
      </c>
      <c r="J5594" s="455">
        <f t="array" ref="J5594">IFERROR(INDEX('Retirement Calculator'!K:K,MATCH('Lorri 401b'!N5594,'Retirement Calculator'!A:A,0),0),0)</f>
        <v>0</v>
      </c>
      <c r="K5594" s="455">
        <f t="shared" ca="1" si="188"/>
        <v>-19563361079770.027</v>
      </c>
      <c r="L5594" s="455">
        <f t="shared" ca="1" si="189"/>
        <v>-4714770020224577</v>
      </c>
      <c r="M5594" s="471">
        <f t="shared" si="191"/>
        <v>0.05</v>
      </c>
      <c r="N5594" s="475">
        <f t="shared" si="192"/>
        <v>221308</v>
      </c>
    </row>
    <row r="5595" spans="7:14" ht="11.25" customHeight="1" x14ac:dyDescent="0.3">
      <c r="G5595" s="470"/>
      <c r="H5595" s="470">
        <v>5588</v>
      </c>
      <c r="I5595" s="455">
        <f t="shared" ca="1" si="190"/>
        <v>-4714770020224577</v>
      </c>
      <c r="J5595" s="455">
        <f t="array" ref="J5595">IFERROR(INDEX('Retirement Calculator'!K:K,MATCH('Lorri 401b'!N5595,'Retirement Calculator'!A:A,0),0),0)</f>
        <v>0</v>
      </c>
      <c r="K5595" s="455">
        <f t="shared" ca="1" si="188"/>
        <v>-19644875084269.07</v>
      </c>
      <c r="L5595" s="455">
        <f t="shared" ca="1" si="189"/>
        <v>-4734414895308846</v>
      </c>
      <c r="M5595" s="471">
        <f t="shared" si="191"/>
        <v>0.05</v>
      </c>
      <c r="N5595" s="475">
        <f t="shared" si="192"/>
        <v>221339</v>
      </c>
    </row>
    <row r="5596" spans="7:14" ht="11.25" customHeight="1" x14ac:dyDescent="0.3">
      <c r="G5596" s="470"/>
      <c r="H5596" s="470">
        <v>5589</v>
      </c>
      <c r="I5596" s="455">
        <f t="shared" ca="1" si="190"/>
        <v>-4734414895308846</v>
      </c>
      <c r="J5596" s="455">
        <f t="array" ref="J5596">IFERROR(INDEX('Retirement Calculator'!K:K,MATCH('Lorri 401b'!N5596,'Retirement Calculator'!A:A,0),0),0)</f>
        <v>0</v>
      </c>
      <c r="K5596" s="455">
        <f t="shared" ca="1" si="188"/>
        <v>-19726728730453.523</v>
      </c>
      <c r="L5596" s="455">
        <f t="shared" ca="1" si="189"/>
        <v>-4754141624039300</v>
      </c>
      <c r="M5596" s="471">
        <f t="shared" si="191"/>
        <v>0.05</v>
      </c>
      <c r="N5596" s="475">
        <f t="shared" si="192"/>
        <v>221370</v>
      </c>
    </row>
    <row r="5597" spans="7:14" ht="11.25" customHeight="1" x14ac:dyDescent="0.3">
      <c r="G5597" s="470"/>
      <c r="H5597" s="470">
        <v>5590</v>
      </c>
      <c r="I5597" s="455">
        <f t="shared" ca="1" si="190"/>
        <v>-4754141624039300</v>
      </c>
      <c r="J5597" s="455">
        <f t="array" ref="J5597">IFERROR(INDEX('Retirement Calculator'!K:K,MATCH('Lorri 401b'!N5597,'Retirement Calculator'!A:A,0),0),0)</f>
        <v>0</v>
      </c>
      <c r="K5597" s="455">
        <f t="shared" ca="1" si="188"/>
        <v>-19808923433497.082</v>
      </c>
      <c r="L5597" s="455">
        <f t="shared" ca="1" si="189"/>
        <v>-4773950547472797</v>
      </c>
      <c r="M5597" s="471">
        <f t="shared" si="191"/>
        <v>0.05</v>
      </c>
      <c r="N5597" s="475">
        <f t="shared" si="192"/>
        <v>221398</v>
      </c>
    </row>
    <row r="5598" spans="7:14" ht="11.25" customHeight="1" x14ac:dyDescent="0.3">
      <c r="G5598" s="470"/>
      <c r="H5598" s="470">
        <v>5591</v>
      </c>
      <c r="I5598" s="455">
        <f t="shared" ca="1" si="190"/>
        <v>-4773950547472797</v>
      </c>
      <c r="J5598" s="455">
        <f t="array" ref="J5598">IFERROR(INDEX('Retirement Calculator'!K:K,MATCH('Lorri 401b'!N5598,'Retirement Calculator'!A:A,0),0),0)</f>
        <v>0</v>
      </c>
      <c r="K5598" s="455">
        <f t="shared" ca="1" si="188"/>
        <v>-19891460614469.988</v>
      </c>
      <c r="L5598" s="455">
        <f t="shared" ca="1" si="189"/>
        <v>-4793842008087267</v>
      </c>
      <c r="M5598" s="471">
        <f t="shared" si="191"/>
        <v>0.05</v>
      </c>
      <c r="N5598" s="475">
        <f t="shared" si="192"/>
        <v>221429</v>
      </c>
    </row>
    <row r="5599" spans="7:14" ht="11.25" customHeight="1" x14ac:dyDescent="0.3">
      <c r="G5599" s="470"/>
      <c r="H5599" s="470">
        <v>5592</v>
      </c>
      <c r="I5599" s="455">
        <f t="shared" ca="1" si="190"/>
        <v>-4793842008087267</v>
      </c>
      <c r="J5599" s="455">
        <f t="array" ref="J5599">IFERROR(INDEX('Retirement Calculator'!K:K,MATCH('Lorri 401b'!N5599,'Retirement Calculator'!A:A,0),0),0)</f>
        <v>0</v>
      </c>
      <c r="K5599" s="455">
        <f t="shared" ca="1" si="188"/>
        <v>-19974341700363.613</v>
      </c>
      <c r="L5599" s="455">
        <f t="shared" ca="1" si="189"/>
        <v>-4813816349787631</v>
      </c>
      <c r="M5599" s="471">
        <f t="shared" si="191"/>
        <v>0.05</v>
      </c>
      <c r="N5599" s="475">
        <f t="shared" si="192"/>
        <v>221459</v>
      </c>
    </row>
    <row r="5600" spans="7:14" ht="11.25" customHeight="1" x14ac:dyDescent="0.3">
      <c r="G5600" s="470"/>
      <c r="H5600" s="470">
        <v>5593</v>
      </c>
      <c r="I5600" s="455">
        <f t="shared" ca="1" si="190"/>
        <v>-4813816349787631</v>
      </c>
      <c r="J5600" s="455">
        <f t="array" ref="J5600">IFERROR(INDEX('Retirement Calculator'!K:K,MATCH('Lorri 401b'!N5600,'Retirement Calculator'!A:A,0),0),0)</f>
        <v>0</v>
      </c>
      <c r="K5600" s="455">
        <f t="shared" ca="1" si="188"/>
        <v>-20057568124115.129</v>
      </c>
      <c r="L5600" s="455">
        <f t="shared" ca="1" si="189"/>
        <v>-4833873917911746</v>
      </c>
      <c r="M5600" s="471">
        <f t="shared" si="191"/>
        <v>0.05</v>
      </c>
      <c r="N5600" s="475">
        <f t="shared" si="192"/>
        <v>221490</v>
      </c>
    </row>
    <row r="5601" spans="7:14" ht="11.25" customHeight="1" x14ac:dyDescent="0.3">
      <c r="G5601" s="470"/>
      <c r="H5601" s="470">
        <v>5594</v>
      </c>
      <c r="I5601" s="455">
        <f t="shared" ca="1" si="190"/>
        <v>-4833873917911746</v>
      </c>
      <c r="J5601" s="455">
        <f t="array" ref="J5601">IFERROR(INDEX('Retirement Calculator'!K:K,MATCH('Lorri 401b'!N5601,'Retirement Calculator'!A:A,0),0),0)</f>
        <v>0</v>
      </c>
      <c r="K5601" s="455">
        <f t="shared" ca="1" si="188"/>
        <v>-20141141324632.273</v>
      </c>
      <c r="L5601" s="455">
        <f t="shared" ca="1" si="189"/>
        <v>-4854015059236378</v>
      </c>
      <c r="M5601" s="471">
        <f t="shared" si="191"/>
        <v>0.05</v>
      </c>
      <c r="N5601" s="475">
        <f t="shared" si="192"/>
        <v>221520</v>
      </c>
    </row>
    <row r="5602" spans="7:14" ht="11.25" customHeight="1" x14ac:dyDescent="0.3">
      <c r="G5602" s="470"/>
      <c r="H5602" s="470">
        <v>5595</v>
      </c>
      <c r="I5602" s="455">
        <f t="shared" ca="1" si="190"/>
        <v>-4854015059236378</v>
      </c>
      <c r="J5602" s="455">
        <f t="array" ref="J5602">IFERROR(INDEX('Retirement Calculator'!K:K,MATCH('Lorri 401b'!N5602,'Retirement Calculator'!A:A,0),0),0)</f>
        <v>0</v>
      </c>
      <c r="K5602" s="455">
        <f t="shared" ca="1" si="188"/>
        <v>-20225062746818.242</v>
      </c>
      <c r="L5602" s="455">
        <f t="shared" ca="1" si="189"/>
        <v>-4874240121983196</v>
      </c>
      <c r="M5602" s="471">
        <f t="shared" si="191"/>
        <v>0.05</v>
      </c>
      <c r="N5602" s="475">
        <f t="shared" si="192"/>
        <v>221551</v>
      </c>
    </row>
    <row r="5603" spans="7:14" ht="11.25" customHeight="1" x14ac:dyDescent="0.3">
      <c r="G5603" s="470"/>
      <c r="H5603" s="470">
        <v>5596</v>
      </c>
      <c r="I5603" s="455">
        <f t="shared" ca="1" si="190"/>
        <v>-4874240121983196</v>
      </c>
      <c r="J5603" s="455">
        <f t="array" ref="J5603">IFERROR(INDEX('Retirement Calculator'!K:K,MATCH('Lorri 401b'!N5603,'Retirement Calculator'!A:A,0),0),0)</f>
        <v>0</v>
      </c>
      <c r="K5603" s="455">
        <f t="shared" ca="1" si="188"/>
        <v>-20309333841596.648</v>
      </c>
      <c r="L5603" s="455">
        <f t="shared" ca="1" si="189"/>
        <v>-4894549455824793</v>
      </c>
      <c r="M5603" s="471">
        <f t="shared" si="191"/>
        <v>0.05</v>
      </c>
      <c r="N5603" s="475">
        <f t="shared" si="192"/>
        <v>221582</v>
      </c>
    </row>
    <row r="5604" spans="7:14" ht="11.25" customHeight="1" x14ac:dyDescent="0.3">
      <c r="G5604" s="470"/>
      <c r="H5604" s="470">
        <v>5597</v>
      </c>
      <c r="I5604" s="455">
        <f t="shared" ca="1" si="190"/>
        <v>-4894549455824793</v>
      </c>
      <c r="J5604" s="455">
        <f t="array" ref="J5604">IFERROR(INDEX('Retirement Calculator'!K:K,MATCH('Lorri 401b'!N5604,'Retirement Calculator'!A:A,0),0),0)</f>
        <v>0</v>
      </c>
      <c r="K5604" s="455">
        <f t="shared" ca="1" si="188"/>
        <v>-20393956065936.637</v>
      </c>
      <c r="L5604" s="455">
        <f t="shared" ca="1" si="189"/>
        <v>-4914943411890730</v>
      </c>
      <c r="M5604" s="471">
        <f t="shared" si="191"/>
        <v>0.05</v>
      </c>
      <c r="N5604" s="475">
        <f t="shared" si="192"/>
        <v>221612</v>
      </c>
    </row>
    <row r="5605" spans="7:14" ht="11.25" customHeight="1" x14ac:dyDescent="0.3">
      <c r="G5605" s="470"/>
      <c r="H5605" s="470">
        <v>5598</v>
      </c>
      <c r="I5605" s="455">
        <f t="shared" ca="1" si="190"/>
        <v>-4914943411890730</v>
      </c>
      <c r="J5605" s="455">
        <f t="array" ref="J5605">IFERROR(INDEX('Retirement Calculator'!K:K,MATCH('Lorri 401b'!N5605,'Retirement Calculator'!A:A,0),0),0)</f>
        <v>0</v>
      </c>
      <c r="K5605" s="455">
        <f t="shared" ca="1" si="188"/>
        <v>-20478930882878.043</v>
      </c>
      <c r="L5605" s="455">
        <f t="shared" ca="1" si="189"/>
        <v>-4935422342773608</v>
      </c>
      <c r="M5605" s="471">
        <f t="shared" si="191"/>
        <v>0.05</v>
      </c>
      <c r="N5605" s="475">
        <f t="shared" si="192"/>
        <v>221643</v>
      </c>
    </row>
    <row r="5606" spans="7:14" ht="11.25" customHeight="1" x14ac:dyDescent="0.3">
      <c r="G5606" s="470"/>
      <c r="H5606" s="470">
        <v>5599</v>
      </c>
      <c r="I5606" s="455">
        <f t="shared" ca="1" si="190"/>
        <v>-4935422342773608</v>
      </c>
      <c r="J5606" s="455">
        <f t="array" ref="J5606">IFERROR(INDEX('Retirement Calculator'!K:K,MATCH('Lorri 401b'!N5606,'Retirement Calculator'!A:A,0),0),0)</f>
        <v>0</v>
      </c>
      <c r="K5606" s="455">
        <f t="shared" ca="1" si="188"/>
        <v>-20564259761556.699</v>
      </c>
      <c r="L5606" s="455">
        <f t="shared" ca="1" si="189"/>
        <v>-4955986602535165</v>
      </c>
      <c r="M5606" s="471">
        <f t="shared" si="191"/>
        <v>0.05</v>
      </c>
      <c r="N5606" s="475">
        <f t="shared" si="192"/>
        <v>221673</v>
      </c>
    </row>
    <row r="5607" spans="7:14" ht="11.25" customHeight="1" x14ac:dyDescent="0.3">
      <c r="G5607" s="470"/>
      <c r="H5607" s="470">
        <v>5600</v>
      </c>
      <c r="I5607" s="455">
        <f t="shared" ca="1" si="190"/>
        <v>-4955986602535165</v>
      </c>
      <c r="J5607" s="455">
        <f t="array" ref="J5607">IFERROR(INDEX('Retirement Calculator'!K:K,MATCH('Lorri 401b'!N5607,'Retirement Calculator'!A:A,0),0),0)</f>
        <v>0</v>
      </c>
      <c r="K5607" s="455">
        <f t="shared" ca="1" si="188"/>
        <v>-20649944177229.855</v>
      </c>
      <c r="L5607" s="455">
        <f t="shared" ca="1" si="189"/>
        <v>-4976636546712395</v>
      </c>
      <c r="M5607" s="471">
        <f t="shared" si="191"/>
        <v>0.05</v>
      </c>
      <c r="N5607" s="475">
        <f t="shared" si="192"/>
        <v>221704</v>
      </c>
    </row>
    <row r="5608" spans="7:14" ht="11.25" customHeight="1" x14ac:dyDescent="0.3">
      <c r="G5608" s="470"/>
      <c r="H5608" s="470">
        <v>5601</v>
      </c>
      <c r="I5608" s="455">
        <f t="shared" ca="1" si="190"/>
        <v>-4976636546712395</v>
      </c>
      <c r="J5608" s="455">
        <f t="array" ref="J5608">IFERROR(INDEX('Retirement Calculator'!K:K,MATCH('Lorri 401b'!N5608,'Retirement Calculator'!A:A,0),0),0)</f>
        <v>0</v>
      </c>
      <c r="K5608" s="455">
        <f t="shared" ca="1" si="188"/>
        <v>-20735985611301.645</v>
      </c>
      <c r="L5608" s="455">
        <f t="shared" ca="1" si="189"/>
        <v>-4997372532323697</v>
      </c>
      <c r="M5608" s="471">
        <f t="shared" si="191"/>
        <v>0.05</v>
      </c>
      <c r="N5608" s="475">
        <f t="shared" si="192"/>
        <v>221735</v>
      </c>
    </row>
    <row r="5609" spans="7:14" ht="11.25" customHeight="1" x14ac:dyDescent="0.3">
      <c r="G5609" s="470"/>
      <c r="H5609" s="470">
        <v>5602</v>
      </c>
      <c r="I5609" s="455">
        <f t="shared" ca="1" si="190"/>
        <v>-4997372532323697</v>
      </c>
      <c r="J5609" s="455">
        <f t="array" ref="J5609">IFERROR(INDEX('Retirement Calculator'!K:K,MATCH('Lorri 401b'!N5609,'Retirement Calculator'!A:A,0),0),0)</f>
        <v>0</v>
      </c>
      <c r="K5609" s="455">
        <f t="shared" ca="1" si="188"/>
        <v>-20822385551348.738</v>
      </c>
      <c r="L5609" s="455">
        <f t="shared" ca="1" si="189"/>
        <v>-5018194917875046</v>
      </c>
      <c r="M5609" s="471">
        <f t="shared" si="191"/>
        <v>0.05</v>
      </c>
      <c r="N5609" s="475">
        <f t="shared" si="192"/>
        <v>221763</v>
      </c>
    </row>
    <row r="5610" spans="7:14" ht="11.25" customHeight="1" x14ac:dyDescent="0.3">
      <c r="G5610" s="470"/>
      <c r="H5610" s="470">
        <v>5603</v>
      </c>
      <c r="I5610" s="455">
        <f t="shared" ca="1" si="190"/>
        <v>-5018194917875046</v>
      </c>
      <c r="J5610" s="455">
        <f t="array" ref="J5610">IFERROR(INDEX('Retirement Calculator'!K:K,MATCH('Lorri 401b'!N5610,'Retirement Calculator'!A:A,0),0),0)</f>
        <v>0</v>
      </c>
      <c r="K5610" s="455">
        <f t="shared" ca="1" si="188"/>
        <v>-20909145491146.023</v>
      </c>
      <c r="L5610" s="455">
        <f t="shared" ca="1" si="189"/>
        <v>-5039104063366192</v>
      </c>
      <c r="M5610" s="471">
        <f t="shared" si="191"/>
        <v>0.05</v>
      </c>
      <c r="N5610" s="475">
        <f t="shared" si="192"/>
        <v>221794</v>
      </c>
    </row>
    <row r="5611" spans="7:14" ht="11.25" customHeight="1" x14ac:dyDescent="0.3">
      <c r="G5611" s="470"/>
      <c r="H5611" s="470">
        <v>5604</v>
      </c>
      <c r="I5611" s="455">
        <f t="shared" ca="1" si="190"/>
        <v>-5039104063366192</v>
      </c>
      <c r="J5611" s="455">
        <f t="array" ref="J5611">IFERROR(INDEX('Retirement Calculator'!K:K,MATCH('Lorri 401b'!N5611,'Retirement Calculator'!A:A,0),0),0)</f>
        <v>0</v>
      </c>
      <c r="K5611" s="455">
        <f t="shared" ca="1" si="188"/>
        <v>-20996266930692.465</v>
      </c>
      <c r="L5611" s="455">
        <f t="shared" ca="1" si="189"/>
        <v>-5060100330296884</v>
      </c>
      <c r="M5611" s="471">
        <f t="shared" si="191"/>
        <v>0.05</v>
      </c>
      <c r="N5611" s="475">
        <f t="shared" si="192"/>
        <v>221824</v>
      </c>
    </row>
    <row r="5612" spans="7:14" ht="11.25" customHeight="1" x14ac:dyDescent="0.3">
      <c r="G5612" s="470"/>
      <c r="H5612" s="470">
        <v>5605</v>
      </c>
      <c r="I5612" s="455">
        <f t="shared" ca="1" si="190"/>
        <v>-5060100330296884</v>
      </c>
      <c r="J5612" s="455">
        <f t="array" ref="J5612">IFERROR(INDEX('Retirement Calculator'!K:K,MATCH('Lorri 401b'!N5612,'Retirement Calculator'!A:A,0),0),0)</f>
        <v>0</v>
      </c>
      <c r="K5612" s="455">
        <f t="shared" ca="1" si="188"/>
        <v>-21083751376237.016</v>
      </c>
      <c r="L5612" s="455">
        <f t="shared" ca="1" si="189"/>
        <v>-5081184081673121</v>
      </c>
      <c r="M5612" s="471">
        <f t="shared" si="191"/>
        <v>0.05</v>
      </c>
      <c r="N5612" s="475">
        <f t="shared" si="192"/>
        <v>221855</v>
      </c>
    </row>
    <row r="5613" spans="7:14" ht="11.25" customHeight="1" x14ac:dyDescent="0.3">
      <c r="G5613" s="470"/>
      <c r="H5613" s="470">
        <v>5606</v>
      </c>
      <c r="I5613" s="455">
        <f t="shared" ca="1" si="190"/>
        <v>-5081184081673121</v>
      </c>
      <c r="J5613" s="455">
        <f t="array" ref="J5613">IFERROR(INDEX('Retirement Calculator'!K:K,MATCH('Lorri 401b'!N5613,'Retirement Calculator'!A:A,0),0),0)</f>
        <v>0</v>
      </c>
      <c r="K5613" s="455">
        <f t="shared" ca="1" si="188"/>
        <v>-21171600340304.672</v>
      </c>
      <c r="L5613" s="455">
        <f t="shared" ca="1" si="189"/>
        <v>-5102355682013426</v>
      </c>
      <c r="M5613" s="471">
        <f t="shared" si="191"/>
        <v>0.05</v>
      </c>
      <c r="N5613" s="475">
        <f t="shared" si="192"/>
        <v>221885</v>
      </c>
    </row>
    <row r="5614" spans="7:14" ht="11.25" customHeight="1" x14ac:dyDescent="0.3">
      <c r="G5614" s="470"/>
      <c r="H5614" s="470">
        <v>5607</v>
      </c>
      <c r="I5614" s="455">
        <f t="shared" ca="1" si="190"/>
        <v>-5102355682013426</v>
      </c>
      <c r="J5614" s="455">
        <f t="array" ref="J5614">IFERROR(INDEX('Retirement Calculator'!K:K,MATCH('Lorri 401b'!N5614,'Retirement Calculator'!A:A,0),0),0)</f>
        <v>0</v>
      </c>
      <c r="K5614" s="455">
        <f t="shared" ca="1" si="188"/>
        <v>-21259815341722.609</v>
      </c>
      <c r="L5614" s="455">
        <f t="shared" ca="1" si="189"/>
        <v>-5123615497355149</v>
      </c>
      <c r="M5614" s="471">
        <f t="shared" si="191"/>
        <v>0.05</v>
      </c>
      <c r="N5614" s="475">
        <f t="shared" si="192"/>
        <v>221916</v>
      </c>
    </row>
    <row r="5615" spans="7:14" ht="11.25" customHeight="1" x14ac:dyDescent="0.3">
      <c r="G5615" s="470"/>
      <c r="H5615" s="470">
        <v>5608</v>
      </c>
      <c r="I5615" s="455">
        <f t="shared" ca="1" si="190"/>
        <v>-5123615497355149</v>
      </c>
      <c r="J5615" s="455">
        <f t="array" ref="J5615">IFERROR(INDEX('Retirement Calculator'!K:K,MATCH('Lorri 401b'!N5615,'Retirement Calculator'!A:A,0),0),0)</f>
        <v>0</v>
      </c>
      <c r="K5615" s="455">
        <f t="shared" ca="1" si="188"/>
        <v>-21348397905646.453</v>
      </c>
      <c r="L5615" s="455">
        <f t="shared" ca="1" si="189"/>
        <v>-5144963895260795</v>
      </c>
      <c r="M5615" s="471">
        <f t="shared" si="191"/>
        <v>0.05</v>
      </c>
      <c r="N5615" s="475">
        <f t="shared" si="192"/>
        <v>221947</v>
      </c>
    </row>
    <row r="5616" spans="7:14" ht="11.25" customHeight="1" x14ac:dyDescent="0.3">
      <c r="G5616" s="470"/>
      <c r="H5616" s="470">
        <v>5609</v>
      </c>
      <c r="I5616" s="455">
        <f t="shared" ca="1" si="190"/>
        <v>-5144963895260795</v>
      </c>
      <c r="J5616" s="455">
        <f t="array" ref="J5616">IFERROR(INDEX('Retirement Calculator'!K:K,MATCH('Lorri 401b'!N5616,'Retirement Calculator'!A:A,0),0),0)</f>
        <v>0</v>
      </c>
      <c r="K5616" s="455">
        <f t="shared" ca="1" si="188"/>
        <v>-21437349563586.645</v>
      </c>
      <c r="L5616" s="455">
        <f t="shared" ca="1" si="189"/>
        <v>-5166401244824382</v>
      </c>
      <c r="M5616" s="471">
        <f t="shared" si="191"/>
        <v>0.05</v>
      </c>
      <c r="N5616" s="475">
        <f t="shared" si="192"/>
        <v>221977</v>
      </c>
    </row>
    <row r="5617" spans="7:14" ht="11.25" customHeight="1" x14ac:dyDescent="0.3">
      <c r="G5617" s="470"/>
      <c r="H5617" s="470">
        <v>5610</v>
      </c>
      <c r="I5617" s="455">
        <f t="shared" ca="1" si="190"/>
        <v>-5166401244824382</v>
      </c>
      <c r="J5617" s="455">
        <f t="array" ref="J5617">IFERROR(INDEX('Retirement Calculator'!K:K,MATCH('Lorri 401b'!N5617,'Retirement Calculator'!A:A,0),0),0)</f>
        <v>0</v>
      </c>
      <c r="K5617" s="455">
        <f t="shared" ca="1" si="188"/>
        <v>-21526671853434.926</v>
      </c>
      <c r="L5617" s="455">
        <f t="shared" ca="1" si="189"/>
        <v>-5187927916677817</v>
      </c>
      <c r="M5617" s="471">
        <f t="shared" si="191"/>
        <v>0.05</v>
      </c>
      <c r="N5617" s="475">
        <f t="shared" si="192"/>
        <v>222008</v>
      </c>
    </row>
    <row r="5618" spans="7:14" ht="11.25" customHeight="1" x14ac:dyDescent="0.3">
      <c r="G5618" s="470"/>
      <c r="H5618" s="470">
        <v>5611</v>
      </c>
      <c r="I5618" s="455">
        <f t="shared" ca="1" si="190"/>
        <v>-5187927916677817</v>
      </c>
      <c r="J5618" s="455">
        <f t="array" ref="J5618">IFERROR(INDEX('Retirement Calculator'!K:K,MATCH('Lorri 401b'!N5618,'Retirement Calculator'!A:A,0),0),0)</f>
        <v>0</v>
      </c>
      <c r="K5618" s="455">
        <f t="shared" ref="K5618:K5872" ca="1" si="193">IPMT(M5618/12,1,12,-I5618+J5618,,0)</f>
        <v>-21616366319490.902</v>
      </c>
      <c r="L5618" s="455">
        <f t="shared" ref="L5618:L5872" ca="1" si="194">I5618-J5618+K5618</f>
        <v>-5209544282997308</v>
      </c>
      <c r="M5618" s="471">
        <f t="shared" si="191"/>
        <v>0.05</v>
      </c>
      <c r="N5618" s="475">
        <f t="shared" si="192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195">L5618</f>
        <v>-5209544282997308</v>
      </c>
      <c r="J5619" s="455">
        <f t="array" ref="J5619">IFERROR(INDEX('Retirement Calculator'!K:K,MATCH('Lorri 401b'!N5619,'Retirement Calculator'!A:A,0),0),0)</f>
        <v>0</v>
      </c>
      <c r="K5619" s="455">
        <f t="shared" ca="1" si="193"/>
        <v>-21706434512488.781</v>
      </c>
      <c r="L5619" s="455">
        <f t="shared" ca="1" si="194"/>
        <v>-5231250717509797</v>
      </c>
      <c r="M5619" s="471">
        <f t="shared" ref="M5619:M5873" si="196">M5618</f>
        <v>0.05</v>
      </c>
      <c r="N5619" s="475">
        <f t="shared" ref="N5619:N5873" si="197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195"/>
        <v>-5231250717509797</v>
      </c>
      <c r="J5620" s="455">
        <f t="array" ref="J5620">IFERROR(INDEX('Retirement Calculator'!K:K,MATCH('Lorri 401b'!N5620,'Retirement Calculator'!A:A,0),0),0)</f>
        <v>0</v>
      </c>
      <c r="K5620" s="455">
        <f t="shared" ca="1" si="193"/>
        <v>-21796877989624.152</v>
      </c>
      <c r="L5620" s="455">
        <f t="shared" ca="1" si="194"/>
        <v>-5253047595499421</v>
      </c>
      <c r="M5620" s="471">
        <f t="shared" si="196"/>
        <v>0.05</v>
      </c>
      <c r="N5620" s="475">
        <f t="shared" si="197"/>
        <v>222100</v>
      </c>
    </row>
    <row r="5621" spans="7:14" ht="11.25" customHeight="1" x14ac:dyDescent="0.3">
      <c r="G5621" s="470"/>
      <c r="H5621" s="470">
        <v>5614</v>
      </c>
      <c r="I5621" s="455">
        <f t="shared" ca="1" si="195"/>
        <v>-5253047595499421</v>
      </c>
      <c r="J5621" s="455">
        <f t="array" ref="J5621">IFERROR(INDEX('Retirement Calculator'!K:K,MATCH('Lorri 401b'!N5621,'Retirement Calculator'!A:A,0),0),0)</f>
        <v>0</v>
      </c>
      <c r="K5621" s="455">
        <f t="shared" ca="1" si="193"/>
        <v>-21887698314580.922</v>
      </c>
      <c r="L5621" s="455">
        <f t="shared" ca="1" si="194"/>
        <v>-5274935293814002</v>
      </c>
      <c r="M5621" s="471">
        <f t="shared" si="196"/>
        <v>0.05</v>
      </c>
      <c r="N5621" s="475">
        <f t="shared" si="197"/>
        <v>222129</v>
      </c>
    </row>
    <row r="5622" spans="7:14" ht="11.25" customHeight="1" x14ac:dyDescent="0.3">
      <c r="G5622" s="470"/>
      <c r="H5622" s="470">
        <v>5615</v>
      </c>
      <c r="I5622" s="455">
        <f t="shared" ca="1" si="195"/>
        <v>-5274935293814002</v>
      </c>
      <c r="J5622" s="455">
        <f t="array" ref="J5622">IFERROR(INDEX('Retirement Calculator'!K:K,MATCH('Lorri 401b'!N5622,'Retirement Calculator'!A:A,0),0),0)</f>
        <v>0</v>
      </c>
      <c r="K5622" s="455">
        <f t="shared" ca="1" si="193"/>
        <v>-21978897057558.34</v>
      </c>
      <c r="L5622" s="455">
        <f t="shared" ca="1" si="194"/>
        <v>-5296914190871560</v>
      </c>
      <c r="M5622" s="471">
        <f t="shared" si="196"/>
        <v>0.05</v>
      </c>
      <c r="N5622" s="475">
        <f t="shared" si="197"/>
        <v>222160</v>
      </c>
    </row>
    <row r="5623" spans="7:14" ht="11.25" customHeight="1" x14ac:dyDescent="0.3">
      <c r="G5623" s="470"/>
      <c r="H5623" s="470">
        <v>5616</v>
      </c>
      <c r="I5623" s="455">
        <f t="shared" ca="1" si="195"/>
        <v>-5296914190871560</v>
      </c>
      <c r="J5623" s="455">
        <f t="array" ref="J5623">IFERROR(INDEX('Retirement Calculator'!K:K,MATCH('Lorri 401b'!N5623,'Retirement Calculator'!A:A,0),0),0)</f>
        <v>0</v>
      </c>
      <c r="K5623" s="455">
        <f t="shared" ca="1" si="193"/>
        <v>-22070475795298.168</v>
      </c>
      <c r="L5623" s="455">
        <f t="shared" ca="1" si="194"/>
        <v>-5318984666666858</v>
      </c>
      <c r="M5623" s="471">
        <f t="shared" si="196"/>
        <v>0.05</v>
      </c>
      <c r="N5623" s="475">
        <f t="shared" si="197"/>
        <v>222190</v>
      </c>
    </row>
    <row r="5624" spans="7:14" ht="11.25" customHeight="1" x14ac:dyDescent="0.3">
      <c r="G5624" s="470"/>
      <c r="H5624" s="470">
        <v>5617</v>
      </c>
      <c r="I5624" s="455">
        <f t="shared" ca="1" si="195"/>
        <v>-5318984666666858</v>
      </c>
      <c r="J5624" s="455">
        <f t="array" ref="J5624">IFERROR(INDEX('Retirement Calculator'!K:K,MATCH('Lorri 401b'!N5624,'Retirement Calculator'!A:A,0),0),0)</f>
        <v>0</v>
      </c>
      <c r="K5624" s="455">
        <f t="shared" ca="1" si="193"/>
        <v>-22162436111111.906</v>
      </c>
      <c r="L5624" s="455">
        <f t="shared" ca="1" si="194"/>
        <v>-5341147102777970</v>
      </c>
      <c r="M5624" s="471">
        <f t="shared" si="196"/>
        <v>0.05</v>
      </c>
      <c r="N5624" s="475">
        <f t="shared" si="197"/>
        <v>222221</v>
      </c>
    </row>
    <row r="5625" spans="7:14" ht="11.25" customHeight="1" x14ac:dyDescent="0.3">
      <c r="G5625" s="470"/>
      <c r="H5625" s="470">
        <v>5618</v>
      </c>
      <c r="I5625" s="455">
        <f t="shared" ca="1" si="195"/>
        <v>-5341147102777970</v>
      </c>
      <c r="J5625" s="455">
        <f t="array" ref="J5625">IFERROR(INDEX('Retirement Calculator'!K:K,MATCH('Lorri 401b'!N5625,'Retirement Calculator'!A:A,0),0),0)</f>
        <v>0</v>
      </c>
      <c r="K5625" s="455">
        <f t="shared" ca="1" si="193"/>
        <v>-22254779594908.207</v>
      </c>
      <c r="L5625" s="455">
        <f t="shared" ca="1" si="194"/>
        <v>-5363401882372878</v>
      </c>
      <c r="M5625" s="471">
        <f t="shared" si="196"/>
        <v>0.05</v>
      </c>
      <c r="N5625" s="475">
        <f t="shared" si="197"/>
        <v>222251</v>
      </c>
    </row>
    <row r="5626" spans="7:14" ht="11.25" customHeight="1" x14ac:dyDescent="0.3">
      <c r="G5626" s="470"/>
      <c r="H5626" s="470">
        <v>5619</v>
      </c>
      <c r="I5626" s="455">
        <f t="shared" ca="1" si="195"/>
        <v>-5363401882372878</v>
      </c>
      <c r="J5626" s="455">
        <f t="array" ref="J5626">IFERROR(INDEX('Retirement Calculator'!K:K,MATCH('Lorri 401b'!N5626,'Retirement Calculator'!A:A,0),0),0)</f>
        <v>0</v>
      </c>
      <c r="K5626" s="455">
        <f t="shared" ca="1" si="193"/>
        <v>-22347507843220.324</v>
      </c>
      <c r="L5626" s="455">
        <f t="shared" ca="1" si="194"/>
        <v>-5385749390216098</v>
      </c>
      <c r="M5626" s="471">
        <f t="shared" si="196"/>
        <v>0.05</v>
      </c>
      <c r="N5626" s="475">
        <f t="shared" si="197"/>
        <v>222282</v>
      </c>
    </row>
    <row r="5627" spans="7:14" ht="11.25" customHeight="1" x14ac:dyDescent="0.3">
      <c r="G5627" s="470"/>
      <c r="H5627" s="470">
        <v>5620</v>
      </c>
      <c r="I5627" s="455">
        <f t="shared" ca="1" si="195"/>
        <v>-5385749390216098</v>
      </c>
      <c r="J5627" s="455">
        <f t="array" ref="J5627">IFERROR(INDEX('Retirement Calculator'!K:K,MATCH('Lorri 401b'!N5627,'Retirement Calculator'!A:A,0),0),0)</f>
        <v>0</v>
      </c>
      <c r="K5627" s="455">
        <f t="shared" ca="1" si="193"/>
        <v>-22440622459233.742</v>
      </c>
      <c r="L5627" s="455">
        <f t="shared" ca="1" si="194"/>
        <v>-5408190012675332</v>
      </c>
      <c r="M5627" s="471">
        <f t="shared" si="196"/>
        <v>0.05</v>
      </c>
      <c r="N5627" s="475">
        <f t="shared" si="197"/>
        <v>222313</v>
      </c>
    </row>
    <row r="5628" spans="7:14" ht="11.25" customHeight="1" x14ac:dyDescent="0.3">
      <c r="G5628" s="470"/>
      <c r="H5628" s="470">
        <v>5621</v>
      </c>
      <c r="I5628" s="455">
        <f t="shared" ca="1" si="195"/>
        <v>-5408190012675332</v>
      </c>
      <c r="J5628" s="455">
        <f t="array" ref="J5628">IFERROR(INDEX('Retirement Calculator'!K:K,MATCH('Lorri 401b'!N5628,'Retirement Calculator'!A:A,0),0),0)</f>
        <v>0</v>
      </c>
      <c r="K5628" s="455">
        <f t="shared" ca="1" si="193"/>
        <v>-22534125052813.883</v>
      </c>
      <c r="L5628" s="455">
        <f t="shared" ca="1" si="194"/>
        <v>-5430724137728146</v>
      </c>
      <c r="M5628" s="471">
        <f t="shared" si="196"/>
        <v>0.05</v>
      </c>
      <c r="N5628" s="475">
        <f t="shared" si="197"/>
        <v>222343</v>
      </c>
    </row>
    <row r="5629" spans="7:14" ht="11.25" customHeight="1" x14ac:dyDescent="0.3">
      <c r="G5629" s="470"/>
      <c r="H5629" s="470">
        <v>5622</v>
      </c>
      <c r="I5629" s="455">
        <f t="shared" ca="1" si="195"/>
        <v>-5430724137728146</v>
      </c>
      <c r="J5629" s="455">
        <f t="array" ref="J5629">IFERROR(INDEX('Retirement Calculator'!K:K,MATCH('Lorri 401b'!N5629,'Retirement Calculator'!A:A,0),0),0)</f>
        <v>0</v>
      </c>
      <c r="K5629" s="455">
        <f t="shared" ca="1" si="193"/>
        <v>-22628017240533.941</v>
      </c>
      <c r="L5629" s="455">
        <f t="shared" ca="1" si="194"/>
        <v>-5453352154968680</v>
      </c>
      <c r="M5629" s="471">
        <f t="shared" si="196"/>
        <v>0.05</v>
      </c>
      <c r="N5629" s="475">
        <f t="shared" si="197"/>
        <v>222374</v>
      </c>
    </row>
    <row r="5630" spans="7:14" ht="11.25" customHeight="1" x14ac:dyDescent="0.3">
      <c r="G5630" s="470"/>
      <c r="H5630" s="470">
        <v>5623</v>
      </c>
      <c r="I5630" s="455">
        <f t="shared" ca="1" si="195"/>
        <v>-5453352154968680</v>
      </c>
      <c r="J5630" s="455">
        <f t="array" ref="J5630">IFERROR(INDEX('Retirement Calculator'!K:K,MATCH('Lorri 401b'!N5630,'Retirement Calculator'!A:A,0),0),0)</f>
        <v>0</v>
      </c>
      <c r="K5630" s="455">
        <f t="shared" ca="1" si="193"/>
        <v>-22722300645702.832</v>
      </c>
      <c r="L5630" s="455">
        <f t="shared" ca="1" si="194"/>
        <v>-5476074455614383</v>
      </c>
      <c r="M5630" s="471">
        <f t="shared" si="196"/>
        <v>0.05</v>
      </c>
      <c r="N5630" s="475">
        <f t="shared" si="197"/>
        <v>222404</v>
      </c>
    </row>
    <row r="5631" spans="7:14" ht="11.25" customHeight="1" x14ac:dyDescent="0.3">
      <c r="G5631" s="470"/>
      <c r="H5631" s="470">
        <v>5624</v>
      </c>
      <c r="I5631" s="455">
        <f t="shared" ca="1" si="195"/>
        <v>-5476074455614383</v>
      </c>
      <c r="J5631" s="455">
        <f t="array" ref="J5631">IFERROR(INDEX('Retirement Calculator'!K:K,MATCH('Lorri 401b'!N5631,'Retirement Calculator'!A:A,0),0),0)</f>
        <v>0</v>
      </c>
      <c r="K5631" s="455">
        <f t="shared" ca="1" si="193"/>
        <v>-22816976898393.262</v>
      </c>
      <c r="L5631" s="455">
        <f t="shared" ca="1" si="194"/>
        <v>-5498891432512776</v>
      </c>
      <c r="M5631" s="471">
        <f t="shared" si="196"/>
        <v>0.05</v>
      </c>
      <c r="N5631" s="475">
        <f t="shared" si="197"/>
        <v>222435</v>
      </c>
    </row>
    <row r="5632" spans="7:14" ht="11.25" customHeight="1" x14ac:dyDescent="0.3">
      <c r="G5632" s="470"/>
      <c r="H5632" s="470">
        <v>5625</v>
      </c>
      <c r="I5632" s="455">
        <f t="shared" ca="1" si="195"/>
        <v>-5498891432512776</v>
      </c>
      <c r="J5632" s="455">
        <f t="array" ref="J5632">IFERROR(INDEX('Retirement Calculator'!K:K,MATCH('Lorri 401b'!N5632,'Retirement Calculator'!A:A,0),0),0)</f>
        <v>0</v>
      </c>
      <c r="K5632" s="455">
        <f t="shared" ca="1" si="193"/>
        <v>-22912047635469.898</v>
      </c>
      <c r="L5632" s="455">
        <f t="shared" ca="1" si="194"/>
        <v>-5521803480148246</v>
      </c>
      <c r="M5632" s="471">
        <f t="shared" si="196"/>
        <v>0.05</v>
      </c>
      <c r="N5632" s="475">
        <f t="shared" si="197"/>
        <v>222466</v>
      </c>
    </row>
    <row r="5633" spans="7:14" ht="11.25" customHeight="1" x14ac:dyDescent="0.3">
      <c r="G5633" s="470"/>
      <c r="H5633" s="470">
        <v>5626</v>
      </c>
      <c r="I5633" s="455">
        <f t="shared" ca="1" si="195"/>
        <v>-5521803480148246</v>
      </c>
      <c r="J5633" s="455">
        <f t="array" ref="J5633">IFERROR(INDEX('Retirement Calculator'!K:K,MATCH('Lorri 401b'!N5633,'Retirement Calculator'!A:A,0),0),0)</f>
        <v>0</v>
      </c>
      <c r="K5633" s="455">
        <f t="shared" ca="1" si="193"/>
        <v>-23007514500617.691</v>
      </c>
      <c r="L5633" s="455">
        <f t="shared" ca="1" si="194"/>
        <v>-5544810994648864</v>
      </c>
      <c r="M5633" s="471">
        <f t="shared" si="196"/>
        <v>0.05</v>
      </c>
      <c r="N5633" s="475">
        <f t="shared" si="197"/>
        <v>222494</v>
      </c>
    </row>
    <row r="5634" spans="7:14" ht="11.25" customHeight="1" x14ac:dyDescent="0.3">
      <c r="G5634" s="470"/>
      <c r="H5634" s="470">
        <v>5627</v>
      </c>
      <c r="I5634" s="455">
        <f t="shared" ca="1" si="195"/>
        <v>-5544810994648864</v>
      </c>
      <c r="J5634" s="455">
        <f t="array" ref="J5634">IFERROR(INDEX('Retirement Calculator'!K:K,MATCH('Lorri 401b'!N5634,'Retirement Calculator'!A:A,0),0),0)</f>
        <v>0</v>
      </c>
      <c r="K5634" s="455">
        <f t="shared" ca="1" si="193"/>
        <v>-23103379144370.266</v>
      </c>
      <c r="L5634" s="455">
        <f t="shared" ca="1" si="194"/>
        <v>-5567914373793234</v>
      </c>
      <c r="M5634" s="471">
        <f t="shared" si="196"/>
        <v>0.05</v>
      </c>
      <c r="N5634" s="475">
        <f t="shared" si="197"/>
        <v>222525</v>
      </c>
    </row>
    <row r="5635" spans="7:14" ht="11.25" customHeight="1" x14ac:dyDescent="0.3">
      <c r="G5635" s="470"/>
      <c r="H5635" s="470">
        <v>5628</v>
      </c>
      <c r="I5635" s="455">
        <f t="shared" ca="1" si="195"/>
        <v>-5567914373793234</v>
      </c>
      <c r="J5635" s="455">
        <f t="array" ref="J5635">IFERROR(INDEX('Retirement Calculator'!K:K,MATCH('Lorri 401b'!N5635,'Retirement Calculator'!A:A,0),0),0)</f>
        <v>0</v>
      </c>
      <c r="K5635" s="455">
        <f t="shared" ca="1" si="193"/>
        <v>-23199643224138.477</v>
      </c>
      <c r="L5635" s="455">
        <f t="shared" ca="1" si="194"/>
        <v>-5591114017017372</v>
      </c>
      <c r="M5635" s="471">
        <f t="shared" si="196"/>
        <v>0.05</v>
      </c>
      <c r="N5635" s="475">
        <f t="shared" si="197"/>
        <v>222555</v>
      </c>
    </row>
    <row r="5636" spans="7:14" ht="11.25" customHeight="1" x14ac:dyDescent="0.3">
      <c r="G5636" s="470"/>
      <c r="H5636" s="470">
        <v>5629</v>
      </c>
      <c r="I5636" s="455">
        <f t="shared" ca="1" si="195"/>
        <v>-5591114017017372</v>
      </c>
      <c r="J5636" s="455">
        <f t="array" ref="J5636">IFERROR(INDEX('Retirement Calculator'!K:K,MATCH('Lorri 401b'!N5636,'Retirement Calculator'!A:A,0),0),0)</f>
        <v>0</v>
      </c>
      <c r="K5636" s="455">
        <f t="shared" ca="1" si="193"/>
        <v>-23296308404239.051</v>
      </c>
      <c r="L5636" s="455">
        <f t="shared" ca="1" si="194"/>
        <v>-5614410325421611</v>
      </c>
      <c r="M5636" s="471">
        <f t="shared" si="196"/>
        <v>0.05</v>
      </c>
      <c r="N5636" s="475">
        <f t="shared" si="197"/>
        <v>222586</v>
      </c>
    </row>
    <row r="5637" spans="7:14" ht="11.25" customHeight="1" x14ac:dyDescent="0.3">
      <c r="G5637" s="470"/>
      <c r="H5637" s="470">
        <v>5630</v>
      </c>
      <c r="I5637" s="455">
        <f t="shared" ca="1" si="195"/>
        <v>-5614410325421611</v>
      </c>
      <c r="J5637" s="455">
        <f t="array" ref="J5637">IFERROR(INDEX('Retirement Calculator'!K:K,MATCH('Lorri 401b'!N5637,'Retirement Calculator'!A:A,0),0),0)</f>
        <v>0</v>
      </c>
      <c r="K5637" s="455">
        <f t="shared" ca="1" si="193"/>
        <v>-23393376355923.379</v>
      </c>
      <c r="L5637" s="455">
        <f t="shared" ca="1" si="194"/>
        <v>-5637803701777534</v>
      </c>
      <c r="M5637" s="471">
        <f t="shared" si="196"/>
        <v>0.05</v>
      </c>
      <c r="N5637" s="475">
        <f t="shared" si="197"/>
        <v>222616</v>
      </c>
    </row>
    <row r="5638" spans="7:14" ht="11.25" customHeight="1" x14ac:dyDescent="0.3">
      <c r="G5638" s="470"/>
      <c r="H5638" s="470">
        <v>5631</v>
      </c>
      <c r="I5638" s="455">
        <f t="shared" ca="1" si="195"/>
        <v>-5637803701777534</v>
      </c>
      <c r="J5638" s="455">
        <f t="array" ref="J5638">IFERROR(INDEX('Retirement Calculator'!K:K,MATCH('Lorri 401b'!N5638,'Retirement Calculator'!A:A,0),0),0)</f>
        <v>0</v>
      </c>
      <c r="K5638" s="455">
        <f t="shared" ca="1" si="193"/>
        <v>-23490848757406.391</v>
      </c>
      <c r="L5638" s="455">
        <f t="shared" ca="1" si="194"/>
        <v>-5661294550534940</v>
      </c>
      <c r="M5638" s="471">
        <f t="shared" si="196"/>
        <v>0.05</v>
      </c>
      <c r="N5638" s="475">
        <f t="shared" si="197"/>
        <v>222647</v>
      </c>
    </row>
    <row r="5639" spans="7:14" ht="11.25" customHeight="1" x14ac:dyDescent="0.3">
      <c r="G5639" s="470"/>
      <c r="H5639" s="470">
        <v>5632</v>
      </c>
      <c r="I5639" s="455">
        <f t="shared" ca="1" si="195"/>
        <v>-5661294550534940</v>
      </c>
      <c r="J5639" s="455">
        <f t="array" ref="J5639">IFERROR(INDEX('Retirement Calculator'!K:K,MATCH('Lorri 401b'!N5639,'Retirement Calculator'!A:A,0),0),0)</f>
        <v>0</v>
      </c>
      <c r="K5639" s="455">
        <f t="shared" ca="1" si="193"/>
        <v>-23588727293895.582</v>
      </c>
      <c r="L5639" s="455">
        <f t="shared" ca="1" si="194"/>
        <v>-5684883277828836</v>
      </c>
      <c r="M5639" s="471">
        <f t="shared" si="196"/>
        <v>0.05</v>
      </c>
      <c r="N5639" s="475">
        <f t="shared" si="197"/>
        <v>222678</v>
      </c>
    </row>
    <row r="5640" spans="7:14" ht="11.25" customHeight="1" x14ac:dyDescent="0.3">
      <c r="G5640" s="470"/>
      <c r="H5640" s="470">
        <v>5633</v>
      </c>
      <c r="I5640" s="455">
        <f t="shared" ca="1" si="195"/>
        <v>-5684883277828836</v>
      </c>
      <c r="J5640" s="455">
        <f t="array" ref="J5640">IFERROR(INDEX('Retirement Calculator'!K:K,MATCH('Lorri 401b'!N5640,'Retirement Calculator'!A:A,0),0),0)</f>
        <v>0</v>
      </c>
      <c r="K5640" s="455">
        <f t="shared" ca="1" si="193"/>
        <v>-23687013657620.148</v>
      </c>
      <c r="L5640" s="455">
        <f t="shared" ca="1" si="194"/>
        <v>-5708570291486456</v>
      </c>
      <c r="M5640" s="471">
        <f t="shared" si="196"/>
        <v>0.05</v>
      </c>
      <c r="N5640" s="475">
        <f t="shared" si="197"/>
        <v>222708</v>
      </c>
    </row>
    <row r="5641" spans="7:14" ht="11.25" customHeight="1" x14ac:dyDescent="0.3">
      <c r="G5641" s="470"/>
      <c r="H5641" s="470">
        <v>5634</v>
      </c>
      <c r="I5641" s="455">
        <f t="shared" ca="1" si="195"/>
        <v>-5708570291486456</v>
      </c>
      <c r="J5641" s="455">
        <f t="array" ref="J5641">IFERROR(INDEX('Retirement Calculator'!K:K,MATCH('Lorri 401b'!N5641,'Retirement Calculator'!A:A,0),0),0)</f>
        <v>0</v>
      </c>
      <c r="K5641" s="455">
        <f t="shared" ca="1" si="193"/>
        <v>-23785709547860.234</v>
      </c>
      <c r="L5641" s="455">
        <f t="shared" ca="1" si="194"/>
        <v>-5732356001034316</v>
      </c>
      <c r="M5641" s="471">
        <f t="shared" si="196"/>
        <v>0.05</v>
      </c>
      <c r="N5641" s="475">
        <f t="shared" si="197"/>
        <v>222739</v>
      </c>
    </row>
    <row r="5642" spans="7:14" ht="11.25" customHeight="1" x14ac:dyDescent="0.3">
      <c r="G5642" s="470"/>
      <c r="H5642" s="470">
        <v>5635</v>
      </c>
      <c r="I5642" s="455">
        <f t="shared" ca="1" si="195"/>
        <v>-5732356001034316</v>
      </c>
      <c r="J5642" s="455">
        <f t="array" ref="J5642">IFERROR(INDEX('Retirement Calculator'!K:K,MATCH('Lorri 401b'!N5642,'Retirement Calculator'!A:A,0),0),0)</f>
        <v>0</v>
      </c>
      <c r="K5642" s="455">
        <f t="shared" ca="1" si="193"/>
        <v>-23884816670976.316</v>
      </c>
      <c r="L5642" s="455">
        <f t="shared" ca="1" si="194"/>
        <v>-5756240817705292</v>
      </c>
      <c r="M5642" s="471">
        <f t="shared" si="196"/>
        <v>0.05</v>
      </c>
      <c r="N5642" s="475">
        <f t="shared" si="197"/>
        <v>222769</v>
      </c>
    </row>
    <row r="5643" spans="7:14" ht="11.25" customHeight="1" x14ac:dyDescent="0.3">
      <c r="G5643" s="470"/>
      <c r="H5643" s="470">
        <v>5636</v>
      </c>
      <c r="I5643" s="455">
        <f t="shared" ca="1" si="195"/>
        <v>-5756240817705292</v>
      </c>
      <c r="J5643" s="455">
        <f t="array" ref="J5643">IFERROR(INDEX('Retirement Calculator'!K:K,MATCH('Lorri 401b'!N5643,'Retirement Calculator'!A:A,0),0),0)</f>
        <v>0</v>
      </c>
      <c r="K5643" s="455">
        <f t="shared" ca="1" si="193"/>
        <v>-23984336740438.715</v>
      </c>
      <c r="L5643" s="455">
        <f t="shared" ca="1" si="194"/>
        <v>-5780225154445731</v>
      </c>
      <c r="M5643" s="471">
        <f t="shared" si="196"/>
        <v>0.05</v>
      </c>
      <c r="N5643" s="475">
        <f t="shared" si="197"/>
        <v>222800</v>
      </c>
    </row>
    <row r="5644" spans="7:14" ht="11.25" customHeight="1" x14ac:dyDescent="0.3">
      <c r="G5644" s="470"/>
      <c r="H5644" s="470">
        <v>5637</v>
      </c>
      <c r="I5644" s="455">
        <f t="shared" ca="1" si="195"/>
        <v>-5780225154445731</v>
      </c>
      <c r="J5644" s="455">
        <f t="array" ref="J5644">IFERROR(INDEX('Retirement Calculator'!K:K,MATCH('Lorri 401b'!N5644,'Retirement Calculator'!A:A,0),0),0)</f>
        <v>0</v>
      </c>
      <c r="K5644" s="455">
        <f t="shared" ca="1" si="193"/>
        <v>-24084271476857.211</v>
      </c>
      <c r="L5644" s="455">
        <f t="shared" ca="1" si="194"/>
        <v>-5804309425922588</v>
      </c>
      <c r="M5644" s="471">
        <f t="shared" si="196"/>
        <v>0.05</v>
      </c>
      <c r="N5644" s="475">
        <f t="shared" si="197"/>
        <v>222831</v>
      </c>
    </row>
    <row r="5645" spans="7:14" ht="11.25" customHeight="1" x14ac:dyDescent="0.3">
      <c r="G5645" s="470"/>
      <c r="H5645" s="470">
        <v>5638</v>
      </c>
      <c r="I5645" s="455">
        <f t="shared" ca="1" si="195"/>
        <v>-5804309425922588</v>
      </c>
      <c r="J5645" s="455">
        <f t="array" ref="J5645">IFERROR(INDEX('Retirement Calculator'!K:K,MATCH('Lorri 401b'!N5645,'Retirement Calculator'!A:A,0),0),0)</f>
        <v>0</v>
      </c>
      <c r="K5645" s="455">
        <f t="shared" ca="1" si="193"/>
        <v>-24184622608010.781</v>
      </c>
      <c r="L5645" s="455">
        <f t="shared" ca="1" si="194"/>
        <v>-5828494048530599</v>
      </c>
      <c r="M5645" s="471">
        <f t="shared" si="196"/>
        <v>0.05</v>
      </c>
      <c r="N5645" s="475">
        <f t="shared" si="197"/>
        <v>222859</v>
      </c>
    </row>
    <row r="5646" spans="7:14" ht="11.25" customHeight="1" x14ac:dyDescent="0.3">
      <c r="G5646" s="470"/>
      <c r="H5646" s="470">
        <v>5639</v>
      </c>
      <c r="I5646" s="455">
        <f t="shared" ca="1" si="195"/>
        <v>-5828494048530599</v>
      </c>
      <c r="J5646" s="455">
        <f t="array" ref="J5646">IFERROR(INDEX('Retirement Calculator'!K:K,MATCH('Lorri 401b'!N5646,'Retirement Calculator'!A:A,0),0),0)</f>
        <v>0</v>
      </c>
      <c r="K5646" s="455">
        <f t="shared" ca="1" si="193"/>
        <v>-24285391868877.496</v>
      </c>
      <c r="L5646" s="455">
        <f t="shared" ca="1" si="194"/>
        <v>-5852779440399476</v>
      </c>
      <c r="M5646" s="471">
        <f t="shared" si="196"/>
        <v>0.05</v>
      </c>
      <c r="N5646" s="475">
        <f t="shared" si="197"/>
        <v>222890</v>
      </c>
    </row>
    <row r="5647" spans="7:14" ht="11.25" customHeight="1" x14ac:dyDescent="0.3">
      <c r="G5647" s="470"/>
      <c r="H5647" s="470">
        <v>5640</v>
      </c>
      <c r="I5647" s="455">
        <f t="shared" ca="1" si="195"/>
        <v>-5852779440399476</v>
      </c>
      <c r="J5647" s="455">
        <f t="array" ref="J5647">IFERROR(INDEX('Retirement Calculator'!K:K,MATCH('Lorri 401b'!N5647,'Retirement Calculator'!A:A,0),0),0)</f>
        <v>0</v>
      </c>
      <c r="K5647" s="455">
        <f t="shared" ca="1" si="193"/>
        <v>-24386581001664.484</v>
      </c>
      <c r="L5647" s="455">
        <f t="shared" ca="1" si="194"/>
        <v>-5877166021401140</v>
      </c>
      <c r="M5647" s="471">
        <f t="shared" si="196"/>
        <v>0.05</v>
      </c>
      <c r="N5647" s="475">
        <f t="shared" si="197"/>
        <v>222920</v>
      </c>
    </row>
    <row r="5648" spans="7:14" ht="11.25" customHeight="1" x14ac:dyDescent="0.3">
      <c r="G5648" s="470"/>
      <c r="H5648" s="470">
        <v>5641</v>
      </c>
      <c r="I5648" s="455">
        <f t="shared" ca="1" si="195"/>
        <v>-5877166021401140</v>
      </c>
      <c r="J5648" s="455">
        <f t="array" ref="J5648">IFERROR(INDEX('Retirement Calculator'!K:K,MATCH('Lorri 401b'!N5648,'Retirement Calculator'!A:A,0),0),0)</f>
        <v>0</v>
      </c>
      <c r="K5648" s="455">
        <f t="shared" ca="1" si="193"/>
        <v>-24488191755838.082</v>
      </c>
      <c r="L5648" s="455">
        <f t="shared" ca="1" si="194"/>
        <v>-5901654213156978</v>
      </c>
      <c r="M5648" s="471">
        <f t="shared" si="196"/>
        <v>0.05</v>
      </c>
      <c r="N5648" s="475">
        <f t="shared" si="197"/>
        <v>222951</v>
      </c>
    </row>
    <row r="5649" spans="7:14" ht="11.25" customHeight="1" x14ac:dyDescent="0.3">
      <c r="G5649" s="470"/>
      <c r="H5649" s="470">
        <v>5642</v>
      </c>
      <c r="I5649" s="455">
        <f t="shared" ca="1" si="195"/>
        <v>-5901654213156978</v>
      </c>
      <c r="J5649" s="455">
        <f t="array" ref="J5649">IFERROR(INDEX('Retirement Calculator'!K:K,MATCH('Lorri 401b'!N5649,'Retirement Calculator'!A:A,0),0),0)</f>
        <v>0</v>
      </c>
      <c r="K5649" s="455">
        <f t="shared" ca="1" si="193"/>
        <v>-24590225888154.074</v>
      </c>
      <c r="L5649" s="455">
        <f t="shared" ca="1" si="194"/>
        <v>-5926244439045132</v>
      </c>
      <c r="M5649" s="471">
        <f t="shared" si="196"/>
        <v>0.05</v>
      </c>
      <c r="N5649" s="475">
        <f t="shared" si="197"/>
        <v>222981</v>
      </c>
    </row>
    <row r="5650" spans="7:14" ht="11.25" customHeight="1" x14ac:dyDescent="0.3">
      <c r="G5650" s="470"/>
      <c r="H5650" s="470">
        <v>5643</v>
      </c>
      <c r="I5650" s="455">
        <f t="shared" ca="1" si="195"/>
        <v>-5926244439045132</v>
      </c>
      <c r="J5650" s="455">
        <f t="array" ref="J5650">IFERROR(INDEX('Retirement Calculator'!K:K,MATCH('Lorri 401b'!N5650,'Retirement Calculator'!A:A,0),0),0)</f>
        <v>0</v>
      </c>
      <c r="K5650" s="455">
        <f t="shared" ca="1" si="193"/>
        <v>-24692685162688.051</v>
      </c>
      <c r="L5650" s="455">
        <f t="shared" ca="1" si="194"/>
        <v>-5950937124207820</v>
      </c>
      <c r="M5650" s="471">
        <f t="shared" si="196"/>
        <v>0.05</v>
      </c>
      <c r="N5650" s="475">
        <f t="shared" si="197"/>
        <v>223012</v>
      </c>
    </row>
    <row r="5651" spans="7:14" ht="11.25" customHeight="1" x14ac:dyDescent="0.3">
      <c r="G5651" s="470"/>
      <c r="H5651" s="470">
        <v>5644</v>
      </c>
      <c r="I5651" s="455">
        <f t="shared" ca="1" si="195"/>
        <v>-5950937124207820</v>
      </c>
      <c r="J5651" s="455">
        <f t="array" ref="J5651">IFERROR(INDEX('Retirement Calculator'!K:K,MATCH('Lorri 401b'!N5651,'Retirement Calculator'!A:A,0),0),0)</f>
        <v>0</v>
      </c>
      <c r="K5651" s="455">
        <f t="shared" ca="1" si="193"/>
        <v>-24795571350865.918</v>
      </c>
      <c r="L5651" s="455">
        <f t="shared" ca="1" si="194"/>
        <v>-5975732695558686</v>
      </c>
      <c r="M5651" s="471">
        <f t="shared" si="196"/>
        <v>0.05</v>
      </c>
      <c r="N5651" s="475">
        <f t="shared" si="197"/>
        <v>223043</v>
      </c>
    </row>
    <row r="5652" spans="7:14" ht="11.25" customHeight="1" x14ac:dyDescent="0.3">
      <c r="G5652" s="470"/>
      <c r="H5652" s="470">
        <v>5645</v>
      </c>
      <c r="I5652" s="455">
        <f t="shared" ca="1" si="195"/>
        <v>-5975732695558686</v>
      </c>
      <c r="J5652" s="455">
        <f t="array" ref="J5652">IFERROR(INDEX('Retirement Calculator'!K:K,MATCH('Lorri 401b'!N5652,'Retirement Calculator'!A:A,0),0),0)</f>
        <v>0</v>
      </c>
      <c r="K5652" s="455">
        <f t="shared" ca="1" si="193"/>
        <v>-24898886231494.523</v>
      </c>
      <c r="L5652" s="455">
        <f t="shared" ca="1" si="194"/>
        <v>-6000631581790181</v>
      </c>
      <c r="M5652" s="471">
        <f t="shared" si="196"/>
        <v>0.05</v>
      </c>
      <c r="N5652" s="475">
        <f t="shared" si="197"/>
        <v>223073</v>
      </c>
    </row>
    <row r="5653" spans="7:14" ht="11.25" customHeight="1" x14ac:dyDescent="0.3">
      <c r="G5653" s="470"/>
      <c r="H5653" s="470">
        <v>5646</v>
      </c>
      <c r="I5653" s="455">
        <f t="shared" ca="1" si="195"/>
        <v>-6000631581790181</v>
      </c>
      <c r="J5653" s="455">
        <f t="array" ref="J5653">IFERROR(INDEX('Retirement Calculator'!K:K,MATCH('Lorri 401b'!N5653,'Retirement Calculator'!A:A,0),0),0)</f>
        <v>0</v>
      </c>
      <c r="K5653" s="455">
        <f t="shared" ca="1" si="193"/>
        <v>-25002631590792.422</v>
      </c>
      <c r="L5653" s="455">
        <f t="shared" ca="1" si="194"/>
        <v>-6025634213380973</v>
      </c>
      <c r="M5653" s="471">
        <f t="shared" si="196"/>
        <v>0.05</v>
      </c>
      <c r="N5653" s="475">
        <f t="shared" si="197"/>
        <v>223104</v>
      </c>
    </row>
    <row r="5654" spans="7:14" ht="11.25" customHeight="1" x14ac:dyDescent="0.3">
      <c r="G5654" s="470"/>
      <c r="H5654" s="470">
        <v>5647</v>
      </c>
      <c r="I5654" s="455">
        <f t="shared" ca="1" si="195"/>
        <v>-6025634213380973</v>
      </c>
      <c r="J5654" s="455">
        <f t="array" ref="J5654">IFERROR(INDEX('Retirement Calculator'!K:K,MATCH('Lorri 401b'!N5654,'Retirement Calculator'!A:A,0),0),0)</f>
        <v>0</v>
      </c>
      <c r="K5654" s="455">
        <f t="shared" ca="1" si="193"/>
        <v>-25106809222420.719</v>
      </c>
      <c r="L5654" s="455">
        <f t="shared" ca="1" si="194"/>
        <v>-6050741022603394</v>
      </c>
      <c r="M5654" s="471">
        <f t="shared" si="196"/>
        <v>0.05</v>
      </c>
      <c r="N5654" s="475">
        <f t="shared" si="197"/>
        <v>223134</v>
      </c>
    </row>
    <row r="5655" spans="7:14" ht="11.25" customHeight="1" x14ac:dyDescent="0.3">
      <c r="G5655" s="470"/>
      <c r="H5655" s="470">
        <v>5648</v>
      </c>
      <c r="I5655" s="455">
        <f t="shared" ca="1" si="195"/>
        <v>-6050741022603394</v>
      </c>
      <c r="J5655" s="455">
        <f t="array" ref="J5655">IFERROR(INDEX('Retirement Calculator'!K:K,MATCH('Lorri 401b'!N5655,'Retirement Calculator'!A:A,0),0),0)</f>
        <v>0</v>
      </c>
      <c r="K5655" s="455">
        <f t="shared" ca="1" si="193"/>
        <v>-25211420927514.141</v>
      </c>
      <c r="L5655" s="455">
        <f t="shared" ca="1" si="194"/>
        <v>-6075952443530908</v>
      </c>
      <c r="M5655" s="471">
        <f t="shared" si="196"/>
        <v>0.05</v>
      </c>
      <c r="N5655" s="475">
        <f t="shared" si="197"/>
        <v>223165</v>
      </c>
    </row>
    <row r="5656" spans="7:14" ht="11.25" customHeight="1" x14ac:dyDescent="0.3">
      <c r="G5656" s="470"/>
      <c r="H5656" s="470">
        <v>5649</v>
      </c>
      <c r="I5656" s="455">
        <f t="shared" ca="1" si="195"/>
        <v>-6075952443530908</v>
      </c>
      <c r="J5656" s="455">
        <f t="array" ref="J5656">IFERROR(INDEX('Retirement Calculator'!K:K,MATCH('Lorri 401b'!N5656,'Retirement Calculator'!A:A,0),0),0)</f>
        <v>0</v>
      </c>
      <c r="K5656" s="455">
        <f t="shared" ca="1" si="193"/>
        <v>-25316468514712.117</v>
      </c>
      <c r="L5656" s="455">
        <f t="shared" ca="1" si="194"/>
        <v>-6101268912045620</v>
      </c>
      <c r="M5656" s="471">
        <f t="shared" si="196"/>
        <v>0.05</v>
      </c>
      <c r="N5656" s="475">
        <f t="shared" si="197"/>
        <v>223196</v>
      </c>
    </row>
    <row r="5657" spans="7:14" ht="11.25" customHeight="1" x14ac:dyDescent="0.3">
      <c r="G5657" s="470"/>
      <c r="H5657" s="470">
        <v>5650</v>
      </c>
      <c r="I5657" s="455">
        <f t="shared" ca="1" si="195"/>
        <v>-6101268912045620</v>
      </c>
      <c r="J5657" s="455">
        <f t="array" ref="J5657">IFERROR(INDEX('Retirement Calculator'!K:K,MATCH('Lorri 401b'!N5657,'Retirement Calculator'!A:A,0),0),0)</f>
        <v>0</v>
      </c>
      <c r="K5657" s="455">
        <f t="shared" ca="1" si="193"/>
        <v>-25421953800190.082</v>
      </c>
      <c r="L5657" s="455">
        <f t="shared" ca="1" si="194"/>
        <v>-6126690865845810</v>
      </c>
      <c r="M5657" s="471">
        <f t="shared" si="196"/>
        <v>0.05</v>
      </c>
      <c r="N5657" s="475">
        <f t="shared" si="197"/>
        <v>223224</v>
      </c>
    </row>
    <row r="5658" spans="7:14" ht="11.25" customHeight="1" x14ac:dyDescent="0.3">
      <c r="G5658" s="470"/>
      <c r="H5658" s="470">
        <v>5651</v>
      </c>
      <c r="I5658" s="455">
        <f t="shared" ca="1" si="195"/>
        <v>-6126690865845810</v>
      </c>
      <c r="J5658" s="455">
        <f t="array" ref="J5658">IFERROR(INDEX('Retirement Calculator'!K:K,MATCH('Lorri 401b'!N5658,'Retirement Calculator'!A:A,0),0),0)</f>
        <v>0</v>
      </c>
      <c r="K5658" s="455">
        <f t="shared" ca="1" si="193"/>
        <v>-25527878607690.875</v>
      </c>
      <c r="L5658" s="455">
        <f t="shared" ca="1" si="194"/>
        <v>-6152218744453501</v>
      </c>
      <c r="M5658" s="471">
        <f t="shared" si="196"/>
        <v>0.05</v>
      </c>
      <c r="N5658" s="475">
        <f t="shared" si="197"/>
        <v>223255</v>
      </c>
    </row>
    <row r="5659" spans="7:14" ht="11.25" customHeight="1" x14ac:dyDescent="0.3">
      <c r="G5659" s="470"/>
      <c r="H5659" s="470">
        <v>5652</v>
      </c>
      <c r="I5659" s="455">
        <f t="shared" ca="1" si="195"/>
        <v>-6152218744453501</v>
      </c>
      <c r="J5659" s="455">
        <f t="array" ref="J5659">IFERROR(INDEX('Retirement Calculator'!K:K,MATCH('Lorri 401b'!N5659,'Retirement Calculator'!A:A,0),0),0)</f>
        <v>0</v>
      </c>
      <c r="K5659" s="455">
        <f t="shared" ca="1" si="193"/>
        <v>-25634244768556.254</v>
      </c>
      <c r="L5659" s="455">
        <f t="shared" ca="1" si="194"/>
        <v>-6177852989222057</v>
      </c>
      <c r="M5659" s="471">
        <f t="shared" si="196"/>
        <v>0.05</v>
      </c>
      <c r="N5659" s="475">
        <f t="shared" si="197"/>
        <v>223285</v>
      </c>
    </row>
    <row r="5660" spans="7:14" ht="11.25" customHeight="1" x14ac:dyDescent="0.3">
      <c r="G5660" s="470"/>
      <c r="H5660" s="470">
        <v>5653</v>
      </c>
      <c r="I5660" s="455">
        <f t="shared" ca="1" si="195"/>
        <v>-6177852989222057</v>
      </c>
      <c r="J5660" s="455">
        <f t="array" ref="J5660">IFERROR(INDEX('Retirement Calculator'!K:K,MATCH('Lorri 401b'!N5660,'Retirement Calculator'!A:A,0),0),0)</f>
        <v>0</v>
      </c>
      <c r="K5660" s="455">
        <f t="shared" ca="1" si="193"/>
        <v>-25741054121758.57</v>
      </c>
      <c r="L5660" s="455">
        <f t="shared" ca="1" si="194"/>
        <v>-6203594043343816</v>
      </c>
      <c r="M5660" s="471">
        <f t="shared" si="196"/>
        <v>0.05</v>
      </c>
      <c r="N5660" s="475">
        <f t="shared" si="197"/>
        <v>223316</v>
      </c>
    </row>
    <row r="5661" spans="7:14" ht="11.25" customHeight="1" x14ac:dyDescent="0.3">
      <c r="G5661" s="470"/>
      <c r="H5661" s="470">
        <v>5654</v>
      </c>
      <c r="I5661" s="455">
        <f t="shared" ca="1" si="195"/>
        <v>-6203594043343816</v>
      </c>
      <c r="J5661" s="455">
        <f t="array" ref="J5661">IFERROR(INDEX('Retirement Calculator'!K:K,MATCH('Lorri 401b'!N5661,'Retirement Calculator'!A:A,0),0),0)</f>
        <v>0</v>
      </c>
      <c r="K5661" s="455">
        <f t="shared" ca="1" si="193"/>
        <v>-25848308513932.566</v>
      </c>
      <c r="L5661" s="455">
        <f t="shared" ca="1" si="194"/>
        <v>-6229442351857749</v>
      </c>
      <c r="M5661" s="471">
        <f t="shared" si="196"/>
        <v>0.05</v>
      </c>
      <c r="N5661" s="475">
        <f t="shared" si="197"/>
        <v>223346</v>
      </c>
    </row>
    <row r="5662" spans="7:14" ht="11.25" customHeight="1" x14ac:dyDescent="0.3">
      <c r="G5662" s="470"/>
      <c r="H5662" s="470">
        <v>5655</v>
      </c>
      <c r="I5662" s="455">
        <f t="shared" ca="1" si="195"/>
        <v>-6229442351857749</v>
      </c>
      <c r="J5662" s="455">
        <f t="array" ref="J5662">IFERROR(INDEX('Retirement Calculator'!K:K,MATCH('Lorri 401b'!N5662,'Retirement Calculator'!A:A,0),0),0)</f>
        <v>0</v>
      </c>
      <c r="K5662" s="455">
        <f t="shared" ca="1" si="193"/>
        <v>-25956009799407.289</v>
      </c>
      <c r="L5662" s="455">
        <f t="shared" ca="1" si="194"/>
        <v>-6255398361657156</v>
      </c>
      <c r="M5662" s="471">
        <f t="shared" si="196"/>
        <v>0.05</v>
      </c>
      <c r="N5662" s="475">
        <f t="shared" si="197"/>
        <v>223377</v>
      </c>
    </row>
    <row r="5663" spans="7:14" ht="11.25" customHeight="1" x14ac:dyDescent="0.3">
      <c r="G5663" s="470"/>
      <c r="H5663" s="470">
        <v>5656</v>
      </c>
      <c r="I5663" s="455">
        <f t="shared" ca="1" si="195"/>
        <v>-6255398361657156</v>
      </c>
      <c r="J5663" s="455">
        <f t="array" ref="J5663">IFERROR(INDEX('Retirement Calculator'!K:K,MATCH('Lorri 401b'!N5663,'Retirement Calculator'!A:A,0),0),0)</f>
        <v>0</v>
      </c>
      <c r="K5663" s="455">
        <f t="shared" ca="1" si="193"/>
        <v>-26064159840238.148</v>
      </c>
      <c r="L5663" s="455">
        <f t="shared" ca="1" si="194"/>
        <v>-6281462521497394</v>
      </c>
      <c r="M5663" s="471">
        <f t="shared" si="196"/>
        <v>0.05</v>
      </c>
      <c r="N5663" s="475">
        <f t="shared" si="197"/>
        <v>223408</v>
      </c>
    </row>
    <row r="5664" spans="7:14" ht="11.25" customHeight="1" x14ac:dyDescent="0.3">
      <c r="G5664" s="470"/>
      <c r="H5664" s="470">
        <v>5657</v>
      </c>
      <c r="I5664" s="455">
        <f t="shared" ca="1" si="195"/>
        <v>-6281462521497394</v>
      </c>
      <c r="J5664" s="455">
        <f t="array" ref="J5664">IFERROR(INDEX('Retirement Calculator'!K:K,MATCH('Lorri 401b'!N5664,'Retirement Calculator'!A:A,0),0),0)</f>
        <v>0</v>
      </c>
      <c r="K5664" s="455">
        <f t="shared" ca="1" si="193"/>
        <v>-26172760506239.141</v>
      </c>
      <c r="L5664" s="455">
        <f t="shared" ca="1" si="194"/>
        <v>-6307635282003633</v>
      </c>
      <c r="M5664" s="471">
        <f t="shared" si="196"/>
        <v>0.05</v>
      </c>
      <c r="N5664" s="475">
        <f t="shared" si="197"/>
        <v>223438</v>
      </c>
    </row>
    <row r="5665" spans="7:14" ht="11.25" customHeight="1" x14ac:dyDescent="0.3">
      <c r="G5665" s="470"/>
      <c r="H5665" s="470">
        <v>5658</v>
      </c>
      <c r="I5665" s="455">
        <f t="shared" ca="1" si="195"/>
        <v>-6307635282003633</v>
      </c>
      <c r="J5665" s="455">
        <f t="array" ref="J5665">IFERROR(INDEX('Retirement Calculator'!K:K,MATCH('Lorri 401b'!N5665,'Retirement Calculator'!A:A,0),0),0)</f>
        <v>0</v>
      </c>
      <c r="K5665" s="455">
        <f t="shared" ca="1" si="193"/>
        <v>-26281813675015.137</v>
      </c>
      <c r="L5665" s="455">
        <f t="shared" ca="1" si="194"/>
        <v>-6333917095678648</v>
      </c>
      <c r="M5665" s="471">
        <f t="shared" si="196"/>
        <v>0.05</v>
      </c>
      <c r="N5665" s="475">
        <f t="shared" si="197"/>
        <v>223469</v>
      </c>
    </row>
    <row r="5666" spans="7:14" ht="11.25" customHeight="1" x14ac:dyDescent="0.3">
      <c r="G5666" s="470"/>
      <c r="H5666" s="470">
        <v>5659</v>
      </c>
      <c r="I5666" s="455">
        <f t="shared" ca="1" si="195"/>
        <v>-6333917095678648</v>
      </c>
      <c r="J5666" s="455">
        <f t="array" ref="J5666">IFERROR(INDEX('Retirement Calculator'!K:K,MATCH('Lorri 401b'!N5666,'Retirement Calculator'!A:A,0),0),0)</f>
        <v>0</v>
      </c>
      <c r="K5666" s="455">
        <f t="shared" ca="1" si="193"/>
        <v>-26391321231994.367</v>
      </c>
      <c r="L5666" s="455">
        <f t="shared" ca="1" si="194"/>
        <v>-6360308416910642</v>
      </c>
      <c r="M5666" s="471">
        <f t="shared" si="196"/>
        <v>0.05</v>
      </c>
      <c r="N5666" s="475">
        <f t="shared" si="197"/>
        <v>223499</v>
      </c>
    </row>
    <row r="5667" spans="7:14" ht="11.25" customHeight="1" x14ac:dyDescent="0.3">
      <c r="G5667" s="470"/>
      <c r="H5667" s="470">
        <v>5660</v>
      </c>
      <c r="I5667" s="455">
        <f t="shared" ca="1" si="195"/>
        <v>-6360308416910642</v>
      </c>
      <c r="J5667" s="455">
        <f t="array" ref="J5667">IFERROR(INDEX('Retirement Calculator'!K:K,MATCH('Lorri 401b'!N5667,'Retirement Calculator'!A:A,0),0),0)</f>
        <v>0</v>
      </c>
      <c r="K5667" s="455">
        <f t="shared" ca="1" si="193"/>
        <v>-26501285070461.008</v>
      </c>
      <c r="L5667" s="455">
        <f t="shared" ca="1" si="194"/>
        <v>-6386809701981103</v>
      </c>
      <c r="M5667" s="471">
        <f t="shared" si="196"/>
        <v>0.05</v>
      </c>
      <c r="N5667" s="475">
        <f t="shared" si="197"/>
        <v>223530</v>
      </c>
    </row>
    <row r="5668" spans="7:14" ht="11.25" customHeight="1" x14ac:dyDescent="0.3">
      <c r="G5668" s="470"/>
      <c r="H5668" s="470">
        <v>5661</v>
      </c>
      <c r="I5668" s="455">
        <f t="shared" ca="1" si="195"/>
        <v>-6386809701981103</v>
      </c>
      <c r="J5668" s="455">
        <f t="array" ref="J5668">IFERROR(INDEX('Retirement Calculator'!K:K,MATCH('Lorri 401b'!N5668,'Retirement Calculator'!A:A,0),0),0)</f>
        <v>0</v>
      </c>
      <c r="K5668" s="455">
        <f t="shared" ca="1" si="193"/>
        <v>-26611707091587.93</v>
      </c>
      <c r="L5668" s="455">
        <f t="shared" ca="1" si="194"/>
        <v>-6413421409072691</v>
      </c>
      <c r="M5668" s="471">
        <f t="shared" si="196"/>
        <v>0.05</v>
      </c>
      <c r="N5668" s="475">
        <f t="shared" si="197"/>
        <v>223561</v>
      </c>
    </row>
    <row r="5669" spans="7:14" ht="11.25" customHeight="1" x14ac:dyDescent="0.3">
      <c r="G5669" s="470"/>
      <c r="H5669" s="470">
        <v>5662</v>
      </c>
      <c r="I5669" s="455">
        <f t="shared" ca="1" si="195"/>
        <v>-6413421409072691</v>
      </c>
      <c r="J5669" s="455">
        <f t="array" ref="J5669">IFERROR(INDEX('Retirement Calculator'!K:K,MATCH('Lorri 401b'!N5669,'Retirement Calculator'!A:A,0),0),0)</f>
        <v>0</v>
      </c>
      <c r="K5669" s="455">
        <f t="shared" ca="1" si="193"/>
        <v>-26722589204469.547</v>
      </c>
      <c r="L5669" s="455">
        <f t="shared" ca="1" si="194"/>
        <v>-6440143998277161</v>
      </c>
      <c r="M5669" s="471">
        <f t="shared" si="196"/>
        <v>0.05</v>
      </c>
      <c r="N5669" s="475">
        <f t="shared" si="197"/>
        <v>223590</v>
      </c>
    </row>
    <row r="5670" spans="7:14" ht="11.25" customHeight="1" x14ac:dyDescent="0.3">
      <c r="G5670" s="470"/>
      <c r="H5670" s="470">
        <v>5663</v>
      </c>
      <c r="I5670" s="455">
        <f t="shared" ca="1" si="195"/>
        <v>-6440143998277161</v>
      </c>
      <c r="J5670" s="455">
        <f t="array" ref="J5670">IFERROR(INDEX('Retirement Calculator'!K:K,MATCH('Lorri 401b'!N5670,'Retirement Calculator'!A:A,0),0),0)</f>
        <v>0</v>
      </c>
      <c r="K5670" s="455">
        <f t="shared" ca="1" si="193"/>
        <v>-26833933326154.836</v>
      </c>
      <c r="L5670" s="455">
        <f t="shared" ca="1" si="194"/>
        <v>-6466977931603316</v>
      </c>
      <c r="M5670" s="471">
        <f t="shared" si="196"/>
        <v>0.05</v>
      </c>
      <c r="N5670" s="475">
        <f t="shared" si="197"/>
        <v>223621</v>
      </c>
    </row>
    <row r="5671" spans="7:14" ht="11.25" customHeight="1" x14ac:dyDescent="0.3">
      <c r="G5671" s="470"/>
      <c r="H5671" s="470">
        <v>5664</v>
      </c>
      <c r="I5671" s="455">
        <f t="shared" ca="1" si="195"/>
        <v>-6466977931603316</v>
      </c>
      <c r="J5671" s="455">
        <f t="array" ref="J5671">IFERROR(INDEX('Retirement Calculator'!K:K,MATCH('Lorri 401b'!N5671,'Retirement Calculator'!A:A,0),0),0)</f>
        <v>0</v>
      </c>
      <c r="K5671" s="455">
        <f t="shared" ca="1" si="193"/>
        <v>-26945741381680.484</v>
      </c>
      <c r="L5671" s="455">
        <f t="shared" ca="1" si="194"/>
        <v>-6493923672984996</v>
      </c>
      <c r="M5671" s="471">
        <f t="shared" si="196"/>
        <v>0.05</v>
      </c>
      <c r="N5671" s="475">
        <f t="shared" si="197"/>
        <v>223651</v>
      </c>
    </row>
    <row r="5672" spans="7:14" ht="11.25" customHeight="1" x14ac:dyDescent="0.3">
      <c r="G5672" s="470"/>
      <c r="H5672" s="470">
        <v>5665</v>
      </c>
      <c r="I5672" s="455">
        <f t="shared" ca="1" si="195"/>
        <v>-6493923672984996</v>
      </c>
      <c r="J5672" s="455">
        <f t="array" ref="J5672">IFERROR(INDEX('Retirement Calculator'!K:K,MATCH('Lorri 401b'!N5672,'Retirement Calculator'!A:A,0),0),0)</f>
        <v>0</v>
      </c>
      <c r="K5672" s="455">
        <f t="shared" ca="1" si="193"/>
        <v>-27058015304104.148</v>
      </c>
      <c r="L5672" s="455">
        <f t="shared" ca="1" si="194"/>
        <v>-6520981688289100</v>
      </c>
      <c r="M5672" s="471">
        <f t="shared" si="196"/>
        <v>0.05</v>
      </c>
      <c r="N5672" s="475">
        <f t="shared" si="197"/>
        <v>223682</v>
      </c>
    </row>
    <row r="5673" spans="7:14" ht="11.25" customHeight="1" x14ac:dyDescent="0.3">
      <c r="G5673" s="470"/>
      <c r="H5673" s="470">
        <v>5666</v>
      </c>
      <c r="I5673" s="455">
        <f t="shared" ca="1" si="195"/>
        <v>-6520981688289100</v>
      </c>
      <c r="J5673" s="455">
        <f t="array" ref="J5673">IFERROR(INDEX('Retirement Calculator'!K:K,MATCH('Lorri 401b'!N5673,'Retirement Calculator'!A:A,0),0),0)</f>
        <v>0</v>
      </c>
      <c r="K5673" s="455">
        <f t="shared" ca="1" si="193"/>
        <v>-27170757034537.918</v>
      </c>
      <c r="L5673" s="455">
        <f t="shared" ca="1" si="194"/>
        <v>-6548152445323638</v>
      </c>
      <c r="M5673" s="471">
        <f t="shared" si="196"/>
        <v>0.05</v>
      </c>
      <c r="N5673" s="475">
        <f t="shared" si="197"/>
        <v>223712</v>
      </c>
    </row>
    <row r="5674" spans="7:14" ht="11.25" customHeight="1" x14ac:dyDescent="0.3">
      <c r="G5674" s="470"/>
      <c r="H5674" s="470">
        <v>5667</v>
      </c>
      <c r="I5674" s="455">
        <f t="shared" ca="1" si="195"/>
        <v>-6548152445323638</v>
      </c>
      <c r="J5674" s="455">
        <f t="array" ref="J5674">IFERROR(INDEX('Retirement Calculator'!K:K,MATCH('Lorri 401b'!N5674,'Retirement Calculator'!A:A,0),0),0)</f>
        <v>0</v>
      </c>
      <c r="K5674" s="455">
        <f t="shared" ca="1" si="193"/>
        <v>-27283968522181.824</v>
      </c>
      <c r="L5674" s="455">
        <f t="shared" ca="1" si="194"/>
        <v>-6575436413845820</v>
      </c>
      <c r="M5674" s="471">
        <f t="shared" si="196"/>
        <v>0.05</v>
      </c>
      <c r="N5674" s="475">
        <f t="shared" si="197"/>
        <v>223743</v>
      </c>
    </row>
    <row r="5675" spans="7:14" ht="11.25" customHeight="1" x14ac:dyDescent="0.3">
      <c r="G5675" s="470"/>
      <c r="H5675" s="470">
        <v>5668</v>
      </c>
      <c r="I5675" s="455">
        <f t="shared" ca="1" si="195"/>
        <v>-6575436413845820</v>
      </c>
      <c r="J5675" s="455">
        <f t="array" ref="J5675">IFERROR(INDEX('Retirement Calculator'!K:K,MATCH('Lorri 401b'!N5675,'Retirement Calculator'!A:A,0),0),0)</f>
        <v>0</v>
      </c>
      <c r="K5675" s="455">
        <f t="shared" ca="1" si="193"/>
        <v>-27397651724357.582</v>
      </c>
      <c r="L5675" s="455">
        <f t="shared" ca="1" si="194"/>
        <v>-6602834065570178</v>
      </c>
      <c r="M5675" s="471">
        <f t="shared" si="196"/>
        <v>0.05</v>
      </c>
      <c r="N5675" s="475">
        <f t="shared" si="197"/>
        <v>223774</v>
      </c>
    </row>
    <row r="5676" spans="7:14" ht="11.25" customHeight="1" x14ac:dyDescent="0.3">
      <c r="G5676" s="470"/>
      <c r="H5676" s="470">
        <v>5669</v>
      </c>
      <c r="I5676" s="455">
        <f t="shared" ca="1" si="195"/>
        <v>-6602834065570178</v>
      </c>
      <c r="J5676" s="455">
        <f t="array" ref="J5676">IFERROR(INDEX('Retirement Calculator'!K:K,MATCH('Lorri 401b'!N5676,'Retirement Calculator'!A:A,0),0),0)</f>
        <v>0</v>
      </c>
      <c r="K5676" s="455">
        <f t="shared" ca="1" si="193"/>
        <v>-27511808606542.406</v>
      </c>
      <c r="L5676" s="455">
        <f t="shared" ca="1" si="194"/>
        <v>-6630345874176720</v>
      </c>
      <c r="M5676" s="471">
        <f t="shared" si="196"/>
        <v>0.05</v>
      </c>
      <c r="N5676" s="475">
        <f t="shared" si="197"/>
        <v>223804</v>
      </c>
    </row>
    <row r="5677" spans="7:14" ht="11.25" customHeight="1" x14ac:dyDescent="0.3">
      <c r="G5677" s="470"/>
      <c r="H5677" s="470">
        <v>5670</v>
      </c>
      <c r="I5677" s="455">
        <f t="shared" ca="1" si="195"/>
        <v>-6630345874176720</v>
      </c>
      <c r="J5677" s="455">
        <f t="array" ref="J5677">IFERROR(INDEX('Retirement Calculator'!K:K,MATCH('Lorri 401b'!N5677,'Retirement Calculator'!A:A,0),0),0)</f>
        <v>0</v>
      </c>
      <c r="K5677" s="455">
        <f t="shared" ca="1" si="193"/>
        <v>-27626441142403</v>
      </c>
      <c r="L5677" s="455">
        <f t="shared" ca="1" si="194"/>
        <v>-6657972315319123</v>
      </c>
      <c r="M5677" s="471">
        <f t="shared" si="196"/>
        <v>0.05</v>
      </c>
      <c r="N5677" s="475">
        <f t="shared" si="197"/>
        <v>223835</v>
      </c>
    </row>
    <row r="5678" spans="7:14" ht="11.25" customHeight="1" x14ac:dyDescent="0.3">
      <c r="G5678" s="470"/>
      <c r="H5678" s="470">
        <v>5671</v>
      </c>
      <c r="I5678" s="455">
        <f t="shared" ca="1" si="195"/>
        <v>-6657972315319123</v>
      </c>
      <c r="J5678" s="455">
        <f t="array" ref="J5678">IFERROR(INDEX('Retirement Calculator'!K:K,MATCH('Lorri 401b'!N5678,'Retirement Calculator'!A:A,0),0),0)</f>
        <v>0</v>
      </c>
      <c r="K5678" s="455">
        <f t="shared" ca="1" si="193"/>
        <v>-27741551313829.68</v>
      </c>
      <c r="L5678" s="455">
        <f t="shared" ca="1" si="194"/>
        <v>-6685713866632953</v>
      </c>
      <c r="M5678" s="471">
        <f t="shared" si="196"/>
        <v>0.05</v>
      </c>
      <c r="N5678" s="475">
        <f t="shared" si="197"/>
        <v>223865</v>
      </c>
    </row>
    <row r="5679" spans="7:14" ht="11.25" customHeight="1" x14ac:dyDescent="0.3">
      <c r="G5679" s="470"/>
      <c r="H5679" s="470">
        <v>5672</v>
      </c>
      <c r="I5679" s="455">
        <f t="shared" ca="1" si="195"/>
        <v>-6685713866632953</v>
      </c>
      <c r="J5679" s="455">
        <f t="array" ref="J5679">IFERROR(INDEX('Retirement Calculator'!K:K,MATCH('Lorri 401b'!N5679,'Retirement Calculator'!A:A,0),0),0)</f>
        <v>0</v>
      </c>
      <c r="K5679" s="455">
        <f t="shared" ca="1" si="193"/>
        <v>-27857141110970.637</v>
      </c>
      <c r="L5679" s="455">
        <f t="shared" ca="1" si="194"/>
        <v>-6713571007743924</v>
      </c>
      <c r="M5679" s="471">
        <f t="shared" si="196"/>
        <v>0.05</v>
      </c>
      <c r="N5679" s="475">
        <f t="shared" si="197"/>
        <v>223896</v>
      </c>
    </row>
    <row r="5680" spans="7:14" ht="11.25" customHeight="1" x14ac:dyDescent="0.3">
      <c r="G5680" s="470"/>
      <c r="H5680" s="470">
        <v>5673</v>
      </c>
      <c r="I5680" s="455">
        <f t="shared" ca="1" si="195"/>
        <v>-6713571007743924</v>
      </c>
      <c r="J5680" s="455">
        <f t="array" ref="J5680">IFERROR(INDEX('Retirement Calculator'!K:K,MATCH('Lorri 401b'!N5680,'Retirement Calculator'!A:A,0),0),0)</f>
        <v>0</v>
      </c>
      <c r="K5680" s="455">
        <f t="shared" ca="1" si="193"/>
        <v>-27973212532266.352</v>
      </c>
      <c r="L5680" s="455">
        <f t="shared" ca="1" si="194"/>
        <v>-6741544220276190</v>
      </c>
      <c r="M5680" s="471">
        <f t="shared" si="196"/>
        <v>0.05</v>
      </c>
      <c r="N5680" s="475">
        <f t="shared" si="197"/>
        <v>223927</v>
      </c>
    </row>
    <row r="5681" spans="7:14" ht="11.25" customHeight="1" x14ac:dyDescent="0.3">
      <c r="G5681" s="470"/>
      <c r="H5681" s="470">
        <v>5674</v>
      </c>
      <c r="I5681" s="455">
        <f t="shared" ca="1" si="195"/>
        <v>-6741544220276190</v>
      </c>
      <c r="J5681" s="455">
        <f t="array" ref="J5681">IFERROR(INDEX('Retirement Calculator'!K:K,MATCH('Lorri 401b'!N5681,'Retirement Calculator'!A:A,0),0),0)</f>
        <v>0</v>
      </c>
      <c r="K5681" s="455">
        <f t="shared" ca="1" si="193"/>
        <v>-28089767584484.125</v>
      </c>
      <c r="L5681" s="455">
        <f t="shared" ca="1" si="194"/>
        <v>-6769633987860674</v>
      </c>
      <c r="M5681" s="471">
        <f t="shared" si="196"/>
        <v>0.05</v>
      </c>
      <c r="N5681" s="475">
        <f t="shared" si="197"/>
        <v>223955</v>
      </c>
    </row>
    <row r="5682" spans="7:14" ht="11.25" customHeight="1" x14ac:dyDescent="0.3">
      <c r="G5682" s="470"/>
      <c r="H5682" s="470">
        <v>5675</v>
      </c>
      <c r="I5682" s="455">
        <f t="shared" ca="1" si="195"/>
        <v>-6769633987860674</v>
      </c>
      <c r="J5682" s="455">
        <f t="array" ref="J5682">IFERROR(INDEX('Retirement Calculator'!K:K,MATCH('Lorri 401b'!N5682,'Retirement Calculator'!A:A,0),0),0)</f>
        <v>0</v>
      </c>
      <c r="K5682" s="455">
        <f t="shared" ca="1" si="193"/>
        <v>-28206808282752.809</v>
      </c>
      <c r="L5682" s="455">
        <f t="shared" ca="1" si="194"/>
        <v>-6797840796143427</v>
      </c>
      <c r="M5682" s="471">
        <f t="shared" si="196"/>
        <v>0.05</v>
      </c>
      <c r="N5682" s="475">
        <f t="shared" si="197"/>
        <v>223986</v>
      </c>
    </row>
    <row r="5683" spans="7:14" ht="11.25" customHeight="1" x14ac:dyDescent="0.3">
      <c r="G5683" s="470"/>
      <c r="H5683" s="470">
        <v>5676</v>
      </c>
      <c r="I5683" s="455">
        <f t="shared" ca="1" si="195"/>
        <v>-6797840796143427</v>
      </c>
      <c r="J5683" s="455">
        <f t="array" ref="J5683">IFERROR(INDEX('Retirement Calculator'!K:K,MATCH('Lorri 401b'!N5683,'Retirement Calculator'!A:A,0),0),0)</f>
        <v>0</v>
      </c>
      <c r="K5683" s="455">
        <f t="shared" ca="1" si="193"/>
        <v>-28324336650597.613</v>
      </c>
      <c r="L5683" s="455">
        <f t="shared" ca="1" si="194"/>
        <v>-6826165132794025</v>
      </c>
      <c r="M5683" s="471">
        <f t="shared" si="196"/>
        <v>0.05</v>
      </c>
      <c r="N5683" s="475">
        <f t="shared" si="197"/>
        <v>224016</v>
      </c>
    </row>
    <row r="5684" spans="7:14" ht="11.25" customHeight="1" x14ac:dyDescent="0.3">
      <c r="G5684" s="470"/>
      <c r="H5684" s="470">
        <v>5677</v>
      </c>
      <c r="I5684" s="455">
        <f t="shared" ca="1" si="195"/>
        <v>-6826165132794025</v>
      </c>
      <c r="J5684" s="455">
        <f t="array" ref="J5684">IFERROR(INDEX('Retirement Calculator'!K:K,MATCH('Lorri 401b'!N5684,'Retirement Calculator'!A:A,0),0),0)</f>
        <v>0</v>
      </c>
      <c r="K5684" s="455">
        <f t="shared" ca="1" si="193"/>
        <v>-28442354719975.105</v>
      </c>
      <c r="L5684" s="455">
        <f t="shared" ca="1" si="194"/>
        <v>-6854607487514000</v>
      </c>
      <c r="M5684" s="471">
        <f t="shared" si="196"/>
        <v>0.05</v>
      </c>
      <c r="N5684" s="475">
        <f t="shared" si="197"/>
        <v>224047</v>
      </c>
    </row>
    <row r="5685" spans="7:14" ht="11.25" customHeight="1" x14ac:dyDescent="0.3">
      <c r="G5685" s="470"/>
      <c r="H5685" s="470">
        <v>5678</v>
      </c>
      <c r="I5685" s="455">
        <f t="shared" ca="1" si="195"/>
        <v>-6854607487514000</v>
      </c>
      <c r="J5685" s="455">
        <f t="array" ref="J5685">IFERROR(INDEX('Retirement Calculator'!K:K,MATCH('Lorri 401b'!N5685,'Retirement Calculator'!A:A,0),0),0)</f>
        <v>0</v>
      </c>
      <c r="K5685" s="455">
        <f t="shared" ca="1" si="193"/>
        <v>-28560864531308.332</v>
      </c>
      <c r="L5685" s="455">
        <f t="shared" ca="1" si="194"/>
        <v>-6883168352045308</v>
      </c>
      <c r="M5685" s="471">
        <f t="shared" si="196"/>
        <v>0.05</v>
      </c>
      <c r="N5685" s="475">
        <f t="shared" si="197"/>
        <v>224077</v>
      </c>
    </row>
    <row r="5686" spans="7:14" ht="11.25" customHeight="1" x14ac:dyDescent="0.3">
      <c r="G5686" s="470"/>
      <c r="H5686" s="470">
        <v>5679</v>
      </c>
      <c r="I5686" s="455">
        <f t="shared" ca="1" si="195"/>
        <v>-6883168352045308</v>
      </c>
      <c r="J5686" s="455">
        <f t="array" ref="J5686">IFERROR(INDEX('Retirement Calculator'!K:K,MATCH('Lorri 401b'!N5686,'Retirement Calculator'!A:A,0),0),0)</f>
        <v>0</v>
      </c>
      <c r="K5686" s="455">
        <f t="shared" ca="1" si="193"/>
        <v>-28679868133522.117</v>
      </c>
      <c r="L5686" s="455">
        <f t="shared" ca="1" si="194"/>
        <v>-6911848220178830</v>
      </c>
      <c r="M5686" s="471">
        <f t="shared" si="196"/>
        <v>0.05</v>
      </c>
      <c r="N5686" s="475">
        <f t="shared" si="197"/>
        <v>224108</v>
      </c>
    </row>
    <row r="5687" spans="7:14" ht="11.25" customHeight="1" x14ac:dyDescent="0.3">
      <c r="G5687" s="470"/>
      <c r="H5687" s="470">
        <v>5680</v>
      </c>
      <c r="I5687" s="455">
        <f t="shared" ca="1" si="195"/>
        <v>-6911848220178830</v>
      </c>
      <c r="J5687" s="455">
        <f t="array" ref="J5687">IFERROR(INDEX('Retirement Calculator'!K:K,MATCH('Lorri 401b'!N5687,'Retirement Calculator'!A:A,0),0),0)</f>
        <v>0</v>
      </c>
      <c r="K5687" s="455">
        <f t="shared" ca="1" si="193"/>
        <v>-28799367584078.457</v>
      </c>
      <c r="L5687" s="455">
        <f t="shared" ca="1" si="194"/>
        <v>-6940647587762908</v>
      </c>
      <c r="M5687" s="471">
        <f t="shared" si="196"/>
        <v>0.05</v>
      </c>
      <c r="N5687" s="475">
        <f t="shared" si="197"/>
        <v>224139</v>
      </c>
    </row>
    <row r="5688" spans="7:14" ht="11.25" customHeight="1" x14ac:dyDescent="0.3">
      <c r="G5688" s="470"/>
      <c r="H5688" s="470">
        <v>5681</v>
      </c>
      <c r="I5688" s="455">
        <f t="shared" ca="1" si="195"/>
        <v>-6940647587762908</v>
      </c>
      <c r="J5688" s="455">
        <f t="array" ref="J5688">IFERROR(INDEX('Retirement Calculator'!K:K,MATCH('Lorri 401b'!N5688,'Retirement Calculator'!A:A,0),0),0)</f>
        <v>0</v>
      </c>
      <c r="K5688" s="455">
        <f t="shared" ca="1" si="193"/>
        <v>-28919364949012.117</v>
      </c>
      <c r="L5688" s="455">
        <f t="shared" ca="1" si="194"/>
        <v>-6969566952711920</v>
      </c>
      <c r="M5688" s="471">
        <f t="shared" si="196"/>
        <v>0.05</v>
      </c>
      <c r="N5688" s="475">
        <f t="shared" si="197"/>
        <v>224169</v>
      </c>
    </row>
    <row r="5689" spans="7:14" ht="11.25" customHeight="1" x14ac:dyDescent="0.3">
      <c r="G5689" s="470"/>
      <c r="H5689" s="470">
        <v>5682</v>
      </c>
      <c r="I5689" s="455">
        <f t="shared" ca="1" si="195"/>
        <v>-6969566952711920</v>
      </c>
      <c r="J5689" s="455">
        <f t="array" ref="J5689">IFERROR(INDEX('Retirement Calculator'!K:K,MATCH('Lorri 401b'!N5689,'Retirement Calculator'!A:A,0),0),0)</f>
        <v>0</v>
      </c>
      <c r="K5689" s="455">
        <f t="shared" ca="1" si="193"/>
        <v>-29039862302966.332</v>
      </c>
      <c r="L5689" s="455">
        <f t="shared" ca="1" si="194"/>
        <v>-6998606815014886</v>
      </c>
      <c r="M5689" s="471">
        <f t="shared" si="196"/>
        <v>0.05</v>
      </c>
      <c r="N5689" s="475">
        <f t="shared" si="197"/>
        <v>224200</v>
      </c>
    </row>
    <row r="5690" spans="7:14" ht="11.25" customHeight="1" x14ac:dyDescent="0.3">
      <c r="G5690" s="470"/>
      <c r="H5690" s="470">
        <v>5683</v>
      </c>
      <c r="I5690" s="455">
        <f t="shared" ca="1" si="195"/>
        <v>-6998606815014886</v>
      </c>
      <c r="J5690" s="455">
        <f t="array" ref="J5690">IFERROR(INDEX('Retirement Calculator'!K:K,MATCH('Lorri 401b'!N5690,'Retirement Calculator'!A:A,0),0),0)</f>
        <v>0</v>
      </c>
      <c r="K5690" s="455">
        <f t="shared" ca="1" si="193"/>
        <v>-29160861729228.691</v>
      </c>
      <c r="L5690" s="455">
        <f t="shared" ca="1" si="194"/>
        <v>-7027767676744115</v>
      </c>
      <c r="M5690" s="471">
        <f t="shared" si="196"/>
        <v>0.05</v>
      </c>
      <c r="N5690" s="475">
        <f t="shared" si="197"/>
        <v>224230</v>
      </c>
    </row>
    <row r="5691" spans="7:14" ht="11.25" customHeight="1" x14ac:dyDescent="0.3">
      <c r="G5691" s="470"/>
      <c r="H5691" s="470">
        <v>5684</v>
      </c>
      <c r="I5691" s="455">
        <f t="shared" ca="1" si="195"/>
        <v>-7027767676744115</v>
      </c>
      <c r="J5691" s="455">
        <f t="array" ref="J5691">IFERROR(INDEX('Retirement Calculator'!K:K,MATCH('Lorri 401b'!N5691,'Retirement Calculator'!A:A,0),0),0)</f>
        <v>0</v>
      </c>
      <c r="K5691" s="455">
        <f t="shared" ca="1" si="193"/>
        <v>-29282365319767.145</v>
      </c>
      <c r="L5691" s="455">
        <f t="shared" ca="1" si="194"/>
        <v>-7057050042063882</v>
      </c>
      <c r="M5691" s="471">
        <f t="shared" si="196"/>
        <v>0.05</v>
      </c>
      <c r="N5691" s="475">
        <f t="shared" si="197"/>
        <v>224261</v>
      </c>
    </row>
    <row r="5692" spans="7:14" ht="11.25" customHeight="1" x14ac:dyDescent="0.3">
      <c r="G5692" s="470"/>
      <c r="H5692" s="470">
        <v>5685</v>
      </c>
      <c r="I5692" s="455">
        <f t="shared" ca="1" si="195"/>
        <v>-7057050042063882</v>
      </c>
      <c r="J5692" s="455">
        <f t="array" ref="J5692">IFERROR(INDEX('Retirement Calculator'!K:K,MATCH('Lorri 401b'!N5692,'Retirement Calculator'!A:A,0),0),0)</f>
        <v>0</v>
      </c>
      <c r="K5692" s="455">
        <f t="shared" ca="1" si="193"/>
        <v>-29404375175266.176</v>
      </c>
      <c r="L5692" s="455">
        <f t="shared" ca="1" si="194"/>
        <v>-7086454417239148</v>
      </c>
      <c r="M5692" s="471">
        <f t="shared" si="196"/>
        <v>0.05</v>
      </c>
      <c r="N5692" s="475">
        <f t="shared" si="197"/>
        <v>224292</v>
      </c>
    </row>
    <row r="5693" spans="7:14" ht="11.25" customHeight="1" x14ac:dyDescent="0.3">
      <c r="G5693" s="470"/>
      <c r="H5693" s="470">
        <v>5686</v>
      </c>
      <c r="I5693" s="455">
        <f t="shared" ca="1" si="195"/>
        <v>-7086454417239148</v>
      </c>
      <c r="J5693" s="455">
        <f t="array" ref="J5693">IFERROR(INDEX('Retirement Calculator'!K:K,MATCH('Lorri 401b'!N5693,'Retirement Calculator'!A:A,0),0),0)</f>
        <v>0</v>
      </c>
      <c r="K5693" s="455">
        <f t="shared" ca="1" si="193"/>
        <v>-29526893405163.117</v>
      </c>
      <c r="L5693" s="455">
        <f t="shared" ca="1" si="194"/>
        <v>-7115981310644311</v>
      </c>
      <c r="M5693" s="471">
        <f t="shared" si="196"/>
        <v>0.05</v>
      </c>
      <c r="N5693" s="475">
        <f t="shared" si="197"/>
        <v>224320</v>
      </c>
    </row>
    <row r="5694" spans="7:14" ht="11.25" customHeight="1" x14ac:dyDescent="0.3">
      <c r="G5694" s="470"/>
      <c r="H5694" s="470">
        <v>5687</v>
      </c>
      <c r="I5694" s="455">
        <f t="shared" ca="1" si="195"/>
        <v>-7115981310644311</v>
      </c>
      <c r="J5694" s="455">
        <f t="array" ref="J5694">IFERROR(INDEX('Retirement Calculator'!K:K,MATCH('Lorri 401b'!N5694,'Retirement Calculator'!A:A,0),0),0)</f>
        <v>0</v>
      </c>
      <c r="K5694" s="455">
        <f t="shared" ca="1" si="193"/>
        <v>-29649922127684.629</v>
      </c>
      <c r="L5694" s="455">
        <f t="shared" ca="1" si="194"/>
        <v>-7145631232771996</v>
      </c>
      <c r="M5694" s="471">
        <f t="shared" si="196"/>
        <v>0.05</v>
      </c>
      <c r="N5694" s="475">
        <f t="shared" si="197"/>
        <v>224351</v>
      </c>
    </row>
    <row r="5695" spans="7:14" ht="11.25" customHeight="1" x14ac:dyDescent="0.3">
      <c r="G5695" s="470"/>
      <c r="H5695" s="470">
        <v>5688</v>
      </c>
      <c r="I5695" s="455">
        <f t="shared" ca="1" si="195"/>
        <v>-7145631232771996</v>
      </c>
      <c r="J5695" s="455">
        <f t="array" ref="J5695">IFERROR(INDEX('Retirement Calculator'!K:K,MATCH('Lorri 401b'!N5695,'Retirement Calculator'!A:A,0),0),0)</f>
        <v>0</v>
      </c>
      <c r="K5695" s="455">
        <f t="shared" ca="1" si="193"/>
        <v>-29773463469883.316</v>
      </c>
      <c r="L5695" s="455">
        <f t="shared" ca="1" si="194"/>
        <v>-7175404696241879</v>
      </c>
      <c r="M5695" s="471">
        <f t="shared" si="196"/>
        <v>0.05</v>
      </c>
      <c r="N5695" s="475">
        <f t="shared" si="197"/>
        <v>224381</v>
      </c>
    </row>
    <row r="5696" spans="7:14" ht="11.25" customHeight="1" x14ac:dyDescent="0.3">
      <c r="G5696" s="470"/>
      <c r="H5696" s="470">
        <v>5689</v>
      </c>
      <c r="I5696" s="455">
        <f t="shared" ca="1" si="195"/>
        <v>-7175404696241879</v>
      </c>
      <c r="J5696" s="455">
        <f t="array" ref="J5696">IFERROR(INDEX('Retirement Calculator'!K:K,MATCH('Lorri 401b'!N5696,'Retirement Calculator'!A:A,0),0),0)</f>
        <v>0</v>
      </c>
      <c r="K5696" s="455">
        <f t="shared" ca="1" si="193"/>
        <v>-29897519567674.496</v>
      </c>
      <c r="L5696" s="455">
        <f t="shared" ca="1" si="194"/>
        <v>-7205302215809553</v>
      </c>
      <c r="M5696" s="471">
        <f t="shared" si="196"/>
        <v>0.05</v>
      </c>
      <c r="N5696" s="475">
        <f t="shared" si="197"/>
        <v>224412</v>
      </c>
    </row>
    <row r="5697" spans="7:14" ht="11.25" customHeight="1" x14ac:dyDescent="0.3">
      <c r="G5697" s="470"/>
      <c r="H5697" s="470">
        <v>5690</v>
      </c>
      <c r="I5697" s="455">
        <f t="shared" ca="1" si="195"/>
        <v>-7205302215809553</v>
      </c>
      <c r="J5697" s="455">
        <f t="array" ref="J5697">IFERROR(INDEX('Retirement Calculator'!K:K,MATCH('Lorri 401b'!N5697,'Retirement Calculator'!A:A,0),0),0)</f>
        <v>0</v>
      </c>
      <c r="K5697" s="455">
        <f t="shared" ca="1" si="193"/>
        <v>-30022092565873.137</v>
      </c>
      <c r="L5697" s="455">
        <f t="shared" ca="1" si="194"/>
        <v>-7235324308375426</v>
      </c>
      <c r="M5697" s="471">
        <f t="shared" si="196"/>
        <v>0.05</v>
      </c>
      <c r="N5697" s="475">
        <f t="shared" si="197"/>
        <v>224442</v>
      </c>
    </row>
    <row r="5698" spans="7:14" ht="11.25" customHeight="1" x14ac:dyDescent="0.3">
      <c r="G5698" s="470"/>
      <c r="H5698" s="470">
        <v>5691</v>
      </c>
      <c r="I5698" s="455">
        <f t="shared" ca="1" si="195"/>
        <v>-7235324308375426</v>
      </c>
      <c r="J5698" s="455">
        <f t="array" ref="J5698">IFERROR(INDEX('Retirement Calculator'!K:K,MATCH('Lorri 401b'!N5698,'Retirement Calculator'!A:A,0),0),0)</f>
        <v>0</v>
      </c>
      <c r="K5698" s="455">
        <f t="shared" ca="1" si="193"/>
        <v>-30147184618230.941</v>
      </c>
      <c r="L5698" s="455">
        <f t="shared" ca="1" si="194"/>
        <v>-7265471492993657</v>
      </c>
      <c r="M5698" s="471">
        <f t="shared" si="196"/>
        <v>0.05</v>
      </c>
      <c r="N5698" s="475">
        <f t="shared" si="197"/>
        <v>224473</v>
      </c>
    </row>
    <row r="5699" spans="7:14" ht="11.25" customHeight="1" x14ac:dyDescent="0.3">
      <c r="G5699" s="470"/>
      <c r="H5699" s="470">
        <v>5692</v>
      </c>
      <c r="I5699" s="455">
        <f t="shared" ca="1" si="195"/>
        <v>-7265471492993657</v>
      </c>
      <c r="J5699" s="455">
        <f t="array" ref="J5699">IFERROR(INDEX('Retirement Calculator'!K:K,MATCH('Lorri 401b'!N5699,'Retirement Calculator'!A:A,0),0),0)</f>
        <v>0</v>
      </c>
      <c r="K5699" s="455">
        <f t="shared" ca="1" si="193"/>
        <v>-30272797887473.57</v>
      </c>
      <c r="L5699" s="455">
        <f t="shared" ca="1" si="194"/>
        <v>-7295744290881131</v>
      </c>
      <c r="M5699" s="471">
        <f t="shared" si="196"/>
        <v>0.05</v>
      </c>
      <c r="N5699" s="475">
        <f t="shared" si="197"/>
        <v>224504</v>
      </c>
    </row>
    <row r="5700" spans="7:14" ht="11.25" customHeight="1" x14ac:dyDescent="0.3">
      <c r="G5700" s="470"/>
      <c r="H5700" s="470">
        <v>5693</v>
      </c>
      <c r="I5700" s="455">
        <f t="shared" ca="1" si="195"/>
        <v>-7295744290881131</v>
      </c>
      <c r="J5700" s="455">
        <f t="array" ref="J5700">IFERROR(INDEX('Retirement Calculator'!K:K,MATCH('Lorri 401b'!N5700,'Retirement Calculator'!A:A,0),0),0)</f>
        <v>0</v>
      </c>
      <c r="K5700" s="455">
        <f t="shared" ca="1" si="193"/>
        <v>-30398934545338.047</v>
      </c>
      <c r="L5700" s="455">
        <f t="shared" ca="1" si="194"/>
        <v>-7326143225426469</v>
      </c>
      <c r="M5700" s="471">
        <f t="shared" si="196"/>
        <v>0.05</v>
      </c>
      <c r="N5700" s="475">
        <f t="shared" si="197"/>
        <v>224534</v>
      </c>
    </row>
    <row r="5701" spans="7:14" ht="11.25" customHeight="1" x14ac:dyDescent="0.3">
      <c r="G5701" s="470"/>
      <c r="H5701" s="470">
        <v>5694</v>
      </c>
      <c r="I5701" s="455">
        <f t="shared" ca="1" si="195"/>
        <v>-7326143225426469</v>
      </c>
      <c r="J5701" s="455">
        <f t="array" ref="J5701">IFERROR(INDEX('Retirement Calculator'!K:K,MATCH('Lorri 401b'!N5701,'Retirement Calculator'!A:A,0),0),0)</f>
        <v>0</v>
      </c>
      <c r="K5701" s="455">
        <f t="shared" ca="1" si="193"/>
        <v>-30525596772610.285</v>
      </c>
      <c r="L5701" s="455">
        <f t="shared" ca="1" si="194"/>
        <v>-7356668822199079</v>
      </c>
      <c r="M5701" s="471">
        <f t="shared" si="196"/>
        <v>0.05</v>
      </c>
      <c r="N5701" s="475">
        <f t="shared" si="197"/>
        <v>224565</v>
      </c>
    </row>
    <row r="5702" spans="7:14" ht="11.25" customHeight="1" x14ac:dyDescent="0.3">
      <c r="G5702" s="470"/>
      <c r="H5702" s="470">
        <v>5695</v>
      </c>
      <c r="I5702" s="455">
        <f t="shared" ca="1" si="195"/>
        <v>-7356668822199079</v>
      </c>
      <c r="J5702" s="455">
        <f t="array" ref="J5702">IFERROR(INDEX('Retirement Calculator'!K:K,MATCH('Lorri 401b'!N5702,'Retirement Calculator'!A:A,0),0),0)</f>
        <v>0</v>
      </c>
      <c r="K5702" s="455">
        <f t="shared" ca="1" si="193"/>
        <v>-30652786759162.828</v>
      </c>
      <c r="L5702" s="455">
        <f t="shared" ca="1" si="194"/>
        <v>-7387321608958242</v>
      </c>
      <c r="M5702" s="471">
        <f t="shared" si="196"/>
        <v>0.05</v>
      </c>
      <c r="N5702" s="475">
        <f t="shared" si="197"/>
        <v>224595</v>
      </c>
    </row>
    <row r="5703" spans="7:14" ht="11.25" customHeight="1" x14ac:dyDescent="0.3">
      <c r="G5703" s="470"/>
      <c r="H5703" s="470">
        <v>5696</v>
      </c>
      <c r="I5703" s="455">
        <f t="shared" ca="1" si="195"/>
        <v>-7387321608958242</v>
      </c>
      <c r="J5703" s="455">
        <f t="array" ref="J5703">IFERROR(INDEX('Retirement Calculator'!K:K,MATCH('Lorri 401b'!N5703,'Retirement Calculator'!A:A,0),0),0)</f>
        <v>0</v>
      </c>
      <c r="K5703" s="455">
        <f t="shared" ca="1" si="193"/>
        <v>-30780506703992.676</v>
      </c>
      <c r="L5703" s="455">
        <f t="shared" ca="1" si="194"/>
        <v>-7418102115662235</v>
      </c>
      <c r="M5703" s="471">
        <f t="shared" si="196"/>
        <v>0.05</v>
      </c>
      <c r="N5703" s="475">
        <f t="shared" si="197"/>
        <v>224626</v>
      </c>
    </row>
    <row r="5704" spans="7:14" ht="11.25" customHeight="1" x14ac:dyDescent="0.3">
      <c r="G5704" s="470"/>
      <c r="H5704" s="470">
        <v>5697</v>
      </c>
      <c r="I5704" s="455">
        <f t="shared" ca="1" si="195"/>
        <v>-7418102115662235</v>
      </c>
      <c r="J5704" s="455">
        <f t="array" ref="J5704">IFERROR(INDEX('Retirement Calculator'!K:K,MATCH('Lorri 401b'!N5704,'Retirement Calculator'!A:A,0),0),0)</f>
        <v>0</v>
      </c>
      <c r="K5704" s="455">
        <f t="shared" ca="1" si="193"/>
        <v>-30908758815259.313</v>
      </c>
      <c r="L5704" s="455">
        <f t="shared" ca="1" si="194"/>
        <v>-7449010874477494</v>
      </c>
      <c r="M5704" s="471">
        <f t="shared" si="196"/>
        <v>0.05</v>
      </c>
      <c r="N5704" s="475">
        <f t="shared" si="197"/>
        <v>224657</v>
      </c>
    </row>
    <row r="5705" spans="7:14" ht="11.25" customHeight="1" x14ac:dyDescent="0.3">
      <c r="G5705" s="470"/>
      <c r="H5705" s="470">
        <v>5698</v>
      </c>
      <c r="I5705" s="455">
        <f t="shared" ca="1" si="195"/>
        <v>-7449010874477494</v>
      </c>
      <c r="J5705" s="455">
        <f t="array" ref="J5705">IFERROR(INDEX('Retirement Calculator'!K:K,MATCH('Lorri 401b'!N5705,'Retirement Calculator'!A:A,0),0),0)</f>
        <v>0</v>
      </c>
      <c r="K5705" s="455">
        <f t="shared" ca="1" si="193"/>
        <v>-31037545310322.895</v>
      </c>
      <c r="L5705" s="455">
        <f t="shared" ca="1" si="194"/>
        <v>-7480048419787817</v>
      </c>
      <c r="M5705" s="471">
        <f t="shared" si="196"/>
        <v>0.05</v>
      </c>
      <c r="N5705" s="475">
        <f t="shared" si="197"/>
        <v>224685</v>
      </c>
    </row>
    <row r="5706" spans="7:14" ht="11.25" customHeight="1" x14ac:dyDescent="0.3">
      <c r="G5706" s="470"/>
      <c r="H5706" s="470">
        <v>5699</v>
      </c>
      <c r="I5706" s="455">
        <f t="shared" ca="1" si="195"/>
        <v>-7480048419787817</v>
      </c>
      <c r="J5706" s="455">
        <f t="array" ref="J5706">IFERROR(INDEX('Retirement Calculator'!K:K,MATCH('Lorri 401b'!N5706,'Retirement Calculator'!A:A,0),0),0)</f>
        <v>0</v>
      </c>
      <c r="K5706" s="455">
        <f t="shared" ca="1" si="193"/>
        <v>-31166868415782.57</v>
      </c>
      <c r="L5706" s="455">
        <f t="shared" ca="1" si="194"/>
        <v>-7511215288203600</v>
      </c>
      <c r="M5706" s="471">
        <f t="shared" si="196"/>
        <v>0.05</v>
      </c>
      <c r="N5706" s="475">
        <f t="shared" si="197"/>
        <v>224716</v>
      </c>
    </row>
    <row r="5707" spans="7:14" ht="11.25" customHeight="1" x14ac:dyDescent="0.3">
      <c r="G5707" s="470"/>
      <c r="H5707" s="470">
        <v>5700</v>
      </c>
      <c r="I5707" s="455">
        <f t="shared" ca="1" si="195"/>
        <v>-7511215288203600</v>
      </c>
      <c r="J5707" s="455">
        <f t="array" ref="J5707">IFERROR(INDEX('Retirement Calculator'!K:K,MATCH('Lorri 401b'!N5707,'Retirement Calculator'!A:A,0),0),0)</f>
        <v>0</v>
      </c>
      <c r="K5707" s="455">
        <f t="shared" ca="1" si="193"/>
        <v>-31296730367515</v>
      </c>
      <c r="L5707" s="455">
        <f t="shared" ca="1" si="194"/>
        <v>-7542512018571115</v>
      </c>
      <c r="M5707" s="471">
        <f t="shared" si="196"/>
        <v>0.05</v>
      </c>
      <c r="N5707" s="475">
        <f t="shared" si="197"/>
        <v>224746</v>
      </c>
    </row>
    <row r="5708" spans="7:14" ht="11.25" customHeight="1" x14ac:dyDescent="0.3">
      <c r="G5708" s="470"/>
      <c r="H5708" s="470">
        <v>5701</v>
      </c>
      <c r="I5708" s="455">
        <f t="shared" ca="1" si="195"/>
        <v>-7542512018571115</v>
      </c>
      <c r="J5708" s="455">
        <f t="array" ref="J5708">IFERROR(INDEX('Retirement Calculator'!K:K,MATCH('Lorri 401b'!N5708,'Retirement Calculator'!A:A,0),0),0)</f>
        <v>0</v>
      </c>
      <c r="K5708" s="455">
        <f t="shared" ca="1" si="193"/>
        <v>-31427133410712.98</v>
      </c>
      <c r="L5708" s="455">
        <f t="shared" ca="1" si="194"/>
        <v>-7573939151981828</v>
      </c>
      <c r="M5708" s="471">
        <f t="shared" si="196"/>
        <v>0.05</v>
      </c>
      <c r="N5708" s="475">
        <f t="shared" si="197"/>
        <v>224777</v>
      </c>
    </row>
    <row r="5709" spans="7:14" ht="11.25" customHeight="1" x14ac:dyDescent="0.3">
      <c r="G5709" s="470"/>
      <c r="H5709" s="470">
        <v>5702</v>
      </c>
      <c r="I5709" s="455">
        <f t="shared" ca="1" si="195"/>
        <v>-7573939151981828</v>
      </c>
      <c r="J5709" s="455">
        <f t="array" ref="J5709">IFERROR(INDEX('Retirement Calculator'!K:K,MATCH('Lorri 401b'!N5709,'Retirement Calculator'!A:A,0),0),0)</f>
        <v>0</v>
      </c>
      <c r="K5709" s="455">
        <f t="shared" ca="1" si="193"/>
        <v>-31558079799924.281</v>
      </c>
      <c r="L5709" s="455">
        <f t="shared" ca="1" si="194"/>
        <v>-7605497231781752</v>
      </c>
      <c r="M5709" s="471">
        <f t="shared" si="196"/>
        <v>0.05</v>
      </c>
      <c r="N5709" s="475">
        <f t="shared" si="197"/>
        <v>224807</v>
      </c>
    </row>
    <row r="5710" spans="7:14" ht="11.25" customHeight="1" x14ac:dyDescent="0.3">
      <c r="G5710" s="470"/>
      <c r="H5710" s="470">
        <v>5703</v>
      </c>
      <c r="I5710" s="455">
        <f t="shared" ca="1" si="195"/>
        <v>-7605497231781752</v>
      </c>
      <c r="J5710" s="455">
        <f t="array" ref="J5710">IFERROR(INDEX('Retirement Calculator'!K:K,MATCH('Lorri 401b'!N5710,'Retirement Calculator'!A:A,0),0),0)</f>
        <v>0</v>
      </c>
      <c r="K5710" s="455">
        <f t="shared" ca="1" si="193"/>
        <v>-31689571799090.633</v>
      </c>
      <c r="L5710" s="455">
        <f t="shared" ca="1" si="194"/>
        <v>-7637186803580843</v>
      </c>
      <c r="M5710" s="471">
        <f t="shared" si="196"/>
        <v>0.05</v>
      </c>
      <c r="N5710" s="475">
        <f t="shared" si="197"/>
        <v>224838</v>
      </c>
    </row>
    <row r="5711" spans="7:14" ht="11.25" customHeight="1" x14ac:dyDescent="0.3">
      <c r="G5711" s="470"/>
      <c r="H5711" s="470">
        <v>5704</v>
      </c>
      <c r="I5711" s="455">
        <f t="shared" ca="1" si="195"/>
        <v>-7637186803580843</v>
      </c>
      <c r="J5711" s="455">
        <f t="array" ref="J5711">IFERROR(INDEX('Retirement Calculator'!K:K,MATCH('Lorri 401b'!N5711,'Retirement Calculator'!A:A,0),0),0)</f>
        <v>0</v>
      </c>
      <c r="K5711" s="455">
        <f t="shared" ca="1" si="193"/>
        <v>-31821611681586.844</v>
      </c>
      <c r="L5711" s="455">
        <f t="shared" ca="1" si="194"/>
        <v>-7669008415262430</v>
      </c>
      <c r="M5711" s="471">
        <f t="shared" si="196"/>
        <v>0.05</v>
      </c>
      <c r="N5711" s="475">
        <f t="shared" si="197"/>
        <v>224869</v>
      </c>
    </row>
    <row r="5712" spans="7:14" ht="11.25" customHeight="1" x14ac:dyDescent="0.3">
      <c r="G5712" s="470"/>
      <c r="H5712" s="470">
        <v>5705</v>
      </c>
      <c r="I5712" s="455">
        <f t="shared" ca="1" si="195"/>
        <v>-7669008415262430</v>
      </c>
      <c r="J5712" s="455">
        <f t="array" ref="J5712">IFERROR(INDEX('Retirement Calculator'!K:K,MATCH('Lorri 401b'!N5712,'Retirement Calculator'!A:A,0),0),0)</f>
        <v>0</v>
      </c>
      <c r="K5712" s="455">
        <f t="shared" ca="1" si="193"/>
        <v>-31954201730260.125</v>
      </c>
      <c r="L5712" s="455">
        <f t="shared" ca="1" si="194"/>
        <v>-7700962616992690</v>
      </c>
      <c r="M5712" s="471">
        <f t="shared" si="196"/>
        <v>0.05</v>
      </c>
      <c r="N5712" s="475">
        <f t="shared" si="197"/>
        <v>224899</v>
      </c>
    </row>
    <row r="5713" spans="7:14" ht="11.25" customHeight="1" x14ac:dyDescent="0.3">
      <c r="G5713" s="470"/>
      <c r="H5713" s="470">
        <v>5706</v>
      </c>
      <c r="I5713" s="455">
        <f t="shared" ca="1" si="195"/>
        <v>-7700962616992690</v>
      </c>
      <c r="J5713" s="455">
        <f t="array" ref="J5713">IFERROR(INDEX('Retirement Calculator'!K:K,MATCH('Lorri 401b'!N5713,'Retirement Calculator'!A:A,0),0),0)</f>
        <v>0</v>
      </c>
      <c r="K5713" s="455">
        <f t="shared" ca="1" si="193"/>
        <v>-32087344237469.543</v>
      </c>
      <c r="L5713" s="455">
        <f t="shared" ca="1" si="194"/>
        <v>-7733049961230160</v>
      </c>
      <c r="M5713" s="471">
        <f t="shared" si="196"/>
        <v>0.05</v>
      </c>
      <c r="N5713" s="475">
        <f t="shared" si="197"/>
        <v>224930</v>
      </c>
    </row>
    <row r="5714" spans="7:14" ht="11.25" customHeight="1" x14ac:dyDescent="0.3">
      <c r="G5714" s="470"/>
      <c r="H5714" s="470">
        <v>5707</v>
      </c>
      <c r="I5714" s="455">
        <f t="shared" ca="1" si="195"/>
        <v>-7733049961230160</v>
      </c>
      <c r="J5714" s="455">
        <f t="array" ref="J5714">IFERROR(INDEX('Retirement Calculator'!K:K,MATCH('Lorri 401b'!N5714,'Retirement Calculator'!A:A,0),0),0)</f>
        <v>0</v>
      </c>
      <c r="K5714" s="455">
        <f t="shared" ca="1" si="193"/>
        <v>-32221041505125.668</v>
      </c>
      <c r="L5714" s="455">
        <f t="shared" ca="1" si="194"/>
        <v>-7765271002735286</v>
      </c>
      <c r="M5714" s="471">
        <f t="shared" si="196"/>
        <v>0.05</v>
      </c>
      <c r="N5714" s="475">
        <f t="shared" si="197"/>
        <v>224960</v>
      </c>
    </row>
    <row r="5715" spans="7:14" ht="11.25" customHeight="1" x14ac:dyDescent="0.3">
      <c r="G5715" s="470"/>
      <c r="H5715" s="470">
        <v>5708</v>
      </c>
      <c r="I5715" s="455">
        <f t="shared" ca="1" si="195"/>
        <v>-7765271002735286</v>
      </c>
      <c r="J5715" s="455">
        <f t="array" ref="J5715">IFERROR(INDEX('Retirement Calculator'!K:K,MATCH('Lorri 401b'!N5715,'Retirement Calculator'!A:A,0),0),0)</f>
        <v>0</v>
      </c>
      <c r="K5715" s="455">
        <f t="shared" ca="1" si="193"/>
        <v>-32355295844730.363</v>
      </c>
      <c r="L5715" s="455">
        <f t="shared" ca="1" si="194"/>
        <v>-7797626298580016</v>
      </c>
      <c r="M5715" s="471">
        <f t="shared" si="196"/>
        <v>0.05</v>
      </c>
      <c r="N5715" s="475">
        <f t="shared" si="197"/>
        <v>224991</v>
      </c>
    </row>
    <row r="5716" spans="7:14" ht="11.25" customHeight="1" x14ac:dyDescent="0.3">
      <c r="G5716" s="470"/>
      <c r="H5716" s="470">
        <v>5709</v>
      </c>
      <c r="I5716" s="455">
        <f t="shared" ca="1" si="195"/>
        <v>-7797626298580016</v>
      </c>
      <c r="J5716" s="455">
        <f t="array" ref="J5716">IFERROR(INDEX('Retirement Calculator'!K:K,MATCH('Lorri 401b'!N5716,'Retirement Calculator'!A:A,0),0),0)</f>
        <v>0</v>
      </c>
      <c r="K5716" s="455">
        <f t="shared" ca="1" si="193"/>
        <v>-32490109577416.734</v>
      </c>
      <c r="L5716" s="455">
        <f t="shared" ca="1" si="194"/>
        <v>-7830116408157433</v>
      </c>
      <c r="M5716" s="471">
        <f t="shared" si="196"/>
        <v>0.05</v>
      </c>
      <c r="N5716" s="475">
        <f t="shared" si="197"/>
        <v>225022</v>
      </c>
    </row>
    <row r="5717" spans="7:14" ht="11.25" customHeight="1" x14ac:dyDescent="0.3">
      <c r="G5717" s="470"/>
      <c r="H5717" s="470">
        <v>5710</v>
      </c>
      <c r="I5717" s="455">
        <f t="shared" ca="1" si="195"/>
        <v>-7830116408157433</v>
      </c>
      <c r="J5717" s="455">
        <f t="array" ref="J5717">IFERROR(INDEX('Retirement Calculator'!K:K,MATCH('Lorri 401b'!N5717,'Retirement Calculator'!A:A,0),0),0)</f>
        <v>0</v>
      </c>
      <c r="K5717" s="455">
        <f t="shared" ca="1" si="193"/>
        <v>-32625485033989.305</v>
      </c>
      <c r="L5717" s="455">
        <f t="shared" ca="1" si="194"/>
        <v>-7862741893191422</v>
      </c>
      <c r="M5717" s="471">
        <f t="shared" si="196"/>
        <v>0.05</v>
      </c>
      <c r="N5717" s="475">
        <f t="shared" si="197"/>
        <v>225051</v>
      </c>
    </row>
    <row r="5718" spans="7:14" ht="11.25" customHeight="1" x14ac:dyDescent="0.3">
      <c r="G5718" s="470"/>
      <c r="H5718" s="470">
        <v>5711</v>
      </c>
      <c r="I5718" s="455">
        <f t="shared" ca="1" si="195"/>
        <v>-7862741893191422</v>
      </c>
      <c r="J5718" s="455">
        <f t="array" ref="J5718">IFERROR(INDEX('Retirement Calculator'!K:K,MATCH('Lorri 401b'!N5718,'Retirement Calculator'!A:A,0),0),0)</f>
        <v>0</v>
      </c>
      <c r="K5718" s="455">
        <f t="shared" ca="1" si="193"/>
        <v>-32761424554964.262</v>
      </c>
      <c r="L5718" s="455">
        <f t="shared" ca="1" si="194"/>
        <v>-7895503317746386</v>
      </c>
      <c r="M5718" s="471">
        <f t="shared" si="196"/>
        <v>0.05</v>
      </c>
      <c r="N5718" s="475">
        <f t="shared" si="197"/>
        <v>225082</v>
      </c>
    </row>
    <row r="5719" spans="7:14" ht="11.25" customHeight="1" x14ac:dyDescent="0.3">
      <c r="G5719" s="470"/>
      <c r="H5719" s="470">
        <v>5712</v>
      </c>
      <c r="I5719" s="455">
        <f t="shared" ca="1" si="195"/>
        <v>-7895503317746386</v>
      </c>
      <c r="J5719" s="455">
        <f t="array" ref="J5719">IFERROR(INDEX('Retirement Calculator'!K:K,MATCH('Lorri 401b'!N5719,'Retirement Calculator'!A:A,0),0),0)</f>
        <v>0</v>
      </c>
      <c r="K5719" s="455">
        <f t="shared" ca="1" si="193"/>
        <v>-32897930490609.945</v>
      </c>
      <c r="L5719" s="455">
        <f t="shared" ca="1" si="194"/>
        <v>-7928401248236996</v>
      </c>
      <c r="M5719" s="471">
        <f t="shared" si="196"/>
        <v>0.05</v>
      </c>
      <c r="N5719" s="475">
        <f t="shared" si="197"/>
        <v>225112</v>
      </c>
    </row>
    <row r="5720" spans="7:14" ht="11.25" customHeight="1" x14ac:dyDescent="0.3">
      <c r="G5720" s="470"/>
      <c r="H5720" s="470">
        <v>5713</v>
      </c>
      <c r="I5720" s="455">
        <f t="shared" ca="1" si="195"/>
        <v>-7928401248236996</v>
      </c>
      <c r="J5720" s="455">
        <f t="array" ref="J5720">IFERROR(INDEX('Retirement Calculator'!K:K,MATCH('Lorri 401b'!N5720,'Retirement Calculator'!A:A,0),0),0)</f>
        <v>0</v>
      </c>
      <c r="K5720" s="455">
        <f t="shared" ca="1" si="193"/>
        <v>-33035005200987.484</v>
      </c>
      <c r="L5720" s="455">
        <f t="shared" ca="1" si="194"/>
        <v>-7961436253437983</v>
      </c>
      <c r="M5720" s="471">
        <f t="shared" si="196"/>
        <v>0.05</v>
      </c>
      <c r="N5720" s="475">
        <f t="shared" si="197"/>
        <v>225143</v>
      </c>
    </row>
    <row r="5721" spans="7:14" ht="11.25" customHeight="1" x14ac:dyDescent="0.3">
      <c r="G5721" s="470"/>
      <c r="H5721" s="470">
        <v>5714</v>
      </c>
      <c r="I5721" s="455">
        <f t="shared" ca="1" si="195"/>
        <v>-7961436253437983</v>
      </c>
      <c r="J5721" s="455">
        <f t="array" ref="J5721">IFERROR(INDEX('Retirement Calculator'!K:K,MATCH('Lorri 401b'!N5721,'Retirement Calculator'!A:A,0),0),0)</f>
        <v>0</v>
      </c>
      <c r="K5721" s="455">
        <f t="shared" ca="1" si="193"/>
        <v>-33172651055991.594</v>
      </c>
      <c r="L5721" s="455">
        <f t="shared" ca="1" si="194"/>
        <v>-7994608904493975</v>
      </c>
      <c r="M5721" s="471">
        <f t="shared" si="196"/>
        <v>0.05</v>
      </c>
      <c r="N5721" s="475">
        <f t="shared" si="197"/>
        <v>225173</v>
      </c>
    </row>
    <row r="5722" spans="7:14" ht="11.25" customHeight="1" x14ac:dyDescent="0.3">
      <c r="G5722" s="470"/>
      <c r="H5722" s="470">
        <v>5715</v>
      </c>
      <c r="I5722" s="455">
        <f t="shared" ca="1" si="195"/>
        <v>-7994608904493975</v>
      </c>
      <c r="J5722" s="455">
        <f t="array" ref="J5722">IFERROR(INDEX('Retirement Calculator'!K:K,MATCH('Lorri 401b'!N5722,'Retirement Calculator'!A:A,0),0),0)</f>
        <v>0</v>
      </c>
      <c r="K5722" s="455">
        <f t="shared" ca="1" si="193"/>
        <v>-33310870435391.559</v>
      </c>
      <c r="L5722" s="455">
        <f t="shared" ca="1" si="194"/>
        <v>-8027919774929367</v>
      </c>
      <c r="M5722" s="471">
        <f t="shared" si="196"/>
        <v>0.05</v>
      </c>
      <c r="N5722" s="475">
        <f t="shared" si="197"/>
        <v>225204</v>
      </c>
    </row>
    <row r="5723" spans="7:14" ht="11.25" customHeight="1" x14ac:dyDescent="0.3">
      <c r="G5723" s="470"/>
      <c r="H5723" s="470">
        <v>5716</v>
      </c>
      <c r="I5723" s="455">
        <f t="shared" ca="1" si="195"/>
        <v>-8027919774929367</v>
      </c>
      <c r="J5723" s="455">
        <f t="array" ref="J5723">IFERROR(INDEX('Retirement Calculator'!K:K,MATCH('Lorri 401b'!N5723,'Retirement Calculator'!A:A,0),0),0)</f>
        <v>0</v>
      </c>
      <c r="K5723" s="455">
        <f t="shared" ca="1" si="193"/>
        <v>-33449665728872.363</v>
      </c>
      <c r="L5723" s="455">
        <f t="shared" ca="1" si="194"/>
        <v>-8061369440658239</v>
      </c>
      <c r="M5723" s="471">
        <f t="shared" si="196"/>
        <v>0.05</v>
      </c>
      <c r="N5723" s="475">
        <f t="shared" si="197"/>
        <v>225235</v>
      </c>
    </row>
    <row r="5724" spans="7:14" ht="11.25" customHeight="1" x14ac:dyDescent="0.3">
      <c r="G5724" s="470"/>
      <c r="H5724" s="470">
        <v>5717</v>
      </c>
      <c r="I5724" s="455">
        <f t="shared" ca="1" si="195"/>
        <v>-8061369440658239</v>
      </c>
      <c r="J5724" s="455">
        <f t="array" ref="J5724">IFERROR(INDEX('Retirement Calculator'!K:K,MATCH('Lorri 401b'!N5724,'Retirement Calculator'!A:A,0),0),0)</f>
        <v>0</v>
      </c>
      <c r="K5724" s="455">
        <f t="shared" ca="1" si="193"/>
        <v>-33589039336075.992</v>
      </c>
      <c r="L5724" s="455">
        <f t="shared" ca="1" si="194"/>
        <v>-8094958479994315</v>
      </c>
      <c r="M5724" s="471">
        <f t="shared" si="196"/>
        <v>0.05</v>
      </c>
      <c r="N5724" s="475">
        <f t="shared" si="197"/>
        <v>225265</v>
      </c>
    </row>
    <row r="5725" spans="7:14" ht="11.25" customHeight="1" x14ac:dyDescent="0.3">
      <c r="G5725" s="470"/>
      <c r="H5725" s="470">
        <v>5718</v>
      </c>
      <c r="I5725" s="455">
        <f t="shared" ca="1" si="195"/>
        <v>-8094958479994315</v>
      </c>
      <c r="J5725" s="455">
        <f t="array" ref="J5725">IFERROR(INDEX('Retirement Calculator'!K:K,MATCH('Lorri 401b'!N5725,'Retirement Calculator'!A:A,0),0),0)</f>
        <v>0</v>
      </c>
      <c r="K5725" s="455">
        <f t="shared" ca="1" si="193"/>
        <v>-33728993666642.984</v>
      </c>
      <c r="L5725" s="455">
        <f t="shared" ca="1" si="194"/>
        <v>-8128687473660958</v>
      </c>
      <c r="M5725" s="471">
        <f t="shared" si="196"/>
        <v>0.05</v>
      </c>
      <c r="N5725" s="475">
        <f t="shared" si="197"/>
        <v>225296</v>
      </c>
    </row>
    <row r="5726" spans="7:14" ht="11.25" customHeight="1" x14ac:dyDescent="0.3">
      <c r="G5726" s="470"/>
      <c r="H5726" s="470">
        <v>5719</v>
      </c>
      <c r="I5726" s="455">
        <f t="shared" ca="1" si="195"/>
        <v>-8128687473660958</v>
      </c>
      <c r="J5726" s="455">
        <f t="array" ref="J5726">IFERROR(INDEX('Retirement Calculator'!K:K,MATCH('Lorri 401b'!N5726,'Retirement Calculator'!A:A,0),0),0)</f>
        <v>0</v>
      </c>
      <c r="K5726" s="455">
        <f t="shared" ca="1" si="193"/>
        <v>-33869531140253.992</v>
      </c>
      <c r="L5726" s="455">
        <f t="shared" ca="1" si="194"/>
        <v>-8162557004801212</v>
      </c>
      <c r="M5726" s="471">
        <f t="shared" si="196"/>
        <v>0.05</v>
      </c>
      <c r="N5726" s="475">
        <f t="shared" si="197"/>
        <v>225326</v>
      </c>
    </row>
    <row r="5727" spans="7:14" ht="11.25" customHeight="1" x14ac:dyDescent="0.3">
      <c r="G5727" s="470"/>
      <c r="H5727" s="470">
        <v>5720</v>
      </c>
      <c r="I5727" s="455">
        <f t="shared" ca="1" si="195"/>
        <v>-8162557004801212</v>
      </c>
      <c r="J5727" s="455">
        <f t="array" ref="J5727">IFERROR(INDEX('Retirement Calculator'!K:K,MATCH('Lorri 401b'!N5727,'Retirement Calculator'!A:A,0),0),0)</f>
        <v>0</v>
      </c>
      <c r="K5727" s="455">
        <f t="shared" ca="1" si="193"/>
        <v>-34010654186671.715</v>
      </c>
      <c r="L5727" s="455">
        <f t="shared" ca="1" si="194"/>
        <v>-8196567658987884</v>
      </c>
      <c r="M5727" s="471">
        <f t="shared" si="196"/>
        <v>0.05</v>
      </c>
      <c r="N5727" s="475">
        <f t="shared" si="197"/>
        <v>225357</v>
      </c>
    </row>
    <row r="5728" spans="7:14" ht="11.25" customHeight="1" x14ac:dyDescent="0.3">
      <c r="G5728" s="470"/>
      <c r="H5728" s="470">
        <v>5721</v>
      </c>
      <c r="I5728" s="455">
        <f t="shared" ca="1" si="195"/>
        <v>-8196567658987884</v>
      </c>
      <c r="J5728" s="455">
        <f t="array" ref="J5728">IFERROR(INDEX('Retirement Calculator'!K:K,MATCH('Lorri 401b'!N5728,'Retirement Calculator'!A:A,0),0),0)</f>
        <v>0</v>
      </c>
      <c r="K5728" s="455">
        <f t="shared" ca="1" si="193"/>
        <v>-34152365245782.844</v>
      </c>
      <c r="L5728" s="455">
        <f t="shared" ca="1" si="194"/>
        <v>-8230720024233667</v>
      </c>
      <c r="M5728" s="471">
        <f t="shared" si="196"/>
        <v>0.05</v>
      </c>
      <c r="N5728" s="475">
        <f t="shared" si="197"/>
        <v>225388</v>
      </c>
    </row>
    <row r="5729" spans="7:14" ht="11.25" customHeight="1" x14ac:dyDescent="0.3">
      <c r="G5729" s="470"/>
      <c r="H5729" s="470">
        <v>5722</v>
      </c>
      <c r="I5729" s="455">
        <f t="shared" ca="1" si="195"/>
        <v>-8230720024233667</v>
      </c>
      <c r="J5729" s="455">
        <f t="array" ref="J5729">IFERROR(INDEX('Retirement Calculator'!K:K,MATCH('Lorri 401b'!N5729,'Retirement Calculator'!A:A,0),0),0)</f>
        <v>0</v>
      </c>
      <c r="K5729" s="455">
        <f t="shared" ca="1" si="193"/>
        <v>-34294666767640.273</v>
      </c>
      <c r="L5729" s="455">
        <f t="shared" ca="1" si="194"/>
        <v>-8265014691001307</v>
      </c>
      <c r="M5729" s="471">
        <f t="shared" si="196"/>
        <v>0.05</v>
      </c>
      <c r="N5729" s="475">
        <f t="shared" si="197"/>
        <v>225416</v>
      </c>
    </row>
    <row r="5730" spans="7:14" ht="11.25" customHeight="1" x14ac:dyDescent="0.3">
      <c r="G5730" s="470"/>
      <c r="H5730" s="470">
        <v>5723</v>
      </c>
      <c r="I5730" s="455">
        <f t="shared" ca="1" si="195"/>
        <v>-8265014691001307</v>
      </c>
      <c r="J5730" s="455">
        <f t="array" ref="J5730">IFERROR(INDEX('Retirement Calculator'!K:K,MATCH('Lorri 401b'!N5730,'Retirement Calculator'!A:A,0),0),0)</f>
        <v>0</v>
      </c>
      <c r="K5730" s="455">
        <f t="shared" ca="1" si="193"/>
        <v>-34437561212505.449</v>
      </c>
      <c r="L5730" s="455">
        <f t="shared" ca="1" si="194"/>
        <v>-8299452252213812</v>
      </c>
      <c r="M5730" s="471">
        <f t="shared" si="196"/>
        <v>0.05</v>
      </c>
      <c r="N5730" s="475">
        <f t="shared" si="197"/>
        <v>225447</v>
      </c>
    </row>
    <row r="5731" spans="7:14" ht="11.25" customHeight="1" x14ac:dyDescent="0.3">
      <c r="G5731" s="470"/>
      <c r="H5731" s="470">
        <v>5724</v>
      </c>
      <c r="I5731" s="455">
        <f t="shared" ca="1" si="195"/>
        <v>-8299452252213812</v>
      </c>
      <c r="J5731" s="455">
        <f t="array" ref="J5731">IFERROR(INDEX('Retirement Calculator'!K:K,MATCH('Lorri 401b'!N5731,'Retirement Calculator'!A:A,0),0),0)</f>
        <v>0</v>
      </c>
      <c r="K5731" s="455">
        <f t="shared" ca="1" si="193"/>
        <v>-34581051050890.883</v>
      </c>
      <c r="L5731" s="455">
        <f t="shared" ca="1" si="194"/>
        <v>-8334033303264703</v>
      </c>
      <c r="M5731" s="471">
        <f t="shared" si="196"/>
        <v>0.05</v>
      </c>
      <c r="N5731" s="475">
        <f t="shared" si="197"/>
        <v>225477</v>
      </c>
    </row>
    <row r="5732" spans="7:14" ht="11.25" customHeight="1" x14ac:dyDescent="0.3">
      <c r="G5732" s="470"/>
      <c r="H5732" s="470">
        <v>5725</v>
      </c>
      <c r="I5732" s="455">
        <f t="shared" ca="1" si="195"/>
        <v>-8334033303264703</v>
      </c>
      <c r="J5732" s="455">
        <f t="array" ref="J5732">IFERROR(INDEX('Retirement Calculator'!K:K,MATCH('Lorri 401b'!N5732,'Retirement Calculator'!A:A,0),0),0)</f>
        <v>0</v>
      </c>
      <c r="K5732" s="455">
        <f t="shared" ca="1" si="193"/>
        <v>-34725138763602.93</v>
      </c>
      <c r="L5732" s="455">
        <f t="shared" ca="1" si="194"/>
        <v>-8368758442028306</v>
      </c>
      <c r="M5732" s="471">
        <f t="shared" si="196"/>
        <v>0.05</v>
      </c>
      <c r="N5732" s="475">
        <f t="shared" si="197"/>
        <v>225508</v>
      </c>
    </row>
    <row r="5733" spans="7:14" ht="11.25" customHeight="1" x14ac:dyDescent="0.3">
      <c r="G5733" s="470"/>
      <c r="H5733" s="470">
        <v>5726</v>
      </c>
      <c r="I5733" s="455">
        <f t="shared" ca="1" si="195"/>
        <v>-8368758442028306</v>
      </c>
      <c r="J5733" s="455">
        <f t="array" ref="J5733">IFERROR(INDEX('Retirement Calculator'!K:K,MATCH('Lorri 401b'!N5733,'Retirement Calculator'!A:A,0),0),0)</f>
        <v>0</v>
      </c>
      <c r="K5733" s="455">
        <f t="shared" ca="1" si="193"/>
        <v>-34869826841784.613</v>
      </c>
      <c r="L5733" s="455">
        <f t="shared" ca="1" si="194"/>
        <v>-8403628268870091</v>
      </c>
      <c r="M5733" s="471">
        <f t="shared" si="196"/>
        <v>0.05</v>
      </c>
      <c r="N5733" s="475">
        <f t="shared" si="197"/>
        <v>225538</v>
      </c>
    </row>
    <row r="5734" spans="7:14" ht="11.25" customHeight="1" x14ac:dyDescent="0.3">
      <c r="G5734" s="470"/>
      <c r="H5734" s="470">
        <v>5727</v>
      </c>
      <c r="I5734" s="455">
        <f t="shared" ca="1" si="195"/>
        <v>-8403628268870091</v>
      </c>
      <c r="J5734" s="455">
        <f t="array" ref="J5734">IFERROR(INDEX('Retirement Calculator'!K:K,MATCH('Lorri 401b'!N5734,'Retirement Calculator'!A:A,0),0),0)</f>
        <v>0</v>
      </c>
      <c r="K5734" s="455">
        <f t="shared" ca="1" si="193"/>
        <v>-35015117786958.711</v>
      </c>
      <c r="L5734" s="455">
        <f t="shared" ca="1" si="194"/>
        <v>-8438643386657050</v>
      </c>
      <c r="M5734" s="471">
        <f t="shared" si="196"/>
        <v>0.05</v>
      </c>
      <c r="N5734" s="475">
        <f t="shared" si="197"/>
        <v>225569</v>
      </c>
    </row>
    <row r="5735" spans="7:14" ht="11.25" customHeight="1" x14ac:dyDescent="0.3">
      <c r="G5735" s="470"/>
      <c r="H5735" s="470">
        <v>5728</v>
      </c>
      <c r="I5735" s="455">
        <f t="shared" ca="1" si="195"/>
        <v>-8438643386657050</v>
      </c>
      <c r="J5735" s="455">
        <f t="array" ref="J5735">IFERROR(INDEX('Retirement Calculator'!K:K,MATCH('Lorri 401b'!N5735,'Retirement Calculator'!A:A,0),0),0)</f>
        <v>0</v>
      </c>
      <c r="K5735" s="455">
        <f t="shared" ca="1" si="193"/>
        <v>-35161014111071.043</v>
      </c>
      <c r="L5735" s="455">
        <f t="shared" ca="1" si="194"/>
        <v>-8473804400768121</v>
      </c>
      <c r="M5735" s="471">
        <f t="shared" si="196"/>
        <v>0.05</v>
      </c>
      <c r="N5735" s="475">
        <f t="shared" si="197"/>
        <v>225600</v>
      </c>
    </row>
    <row r="5736" spans="7:14" ht="11.25" customHeight="1" x14ac:dyDescent="0.3">
      <c r="G5736" s="470"/>
      <c r="H5736" s="470">
        <v>5729</v>
      </c>
      <c r="I5736" s="455">
        <f t="shared" ca="1" si="195"/>
        <v>-8473804400768121</v>
      </c>
      <c r="J5736" s="455">
        <f t="array" ref="J5736">IFERROR(INDEX('Retirement Calculator'!K:K,MATCH('Lorri 401b'!N5736,'Retirement Calculator'!A:A,0),0),0)</f>
        <v>0</v>
      </c>
      <c r="K5736" s="455">
        <f t="shared" ca="1" si="193"/>
        <v>-35307518336533.844</v>
      </c>
      <c r="L5736" s="455">
        <f t="shared" ca="1" si="194"/>
        <v>-8509111919104655</v>
      </c>
      <c r="M5736" s="471">
        <f t="shared" si="196"/>
        <v>0.05</v>
      </c>
      <c r="N5736" s="475">
        <f t="shared" si="197"/>
        <v>225630</v>
      </c>
    </row>
    <row r="5737" spans="7:14" ht="11.25" customHeight="1" x14ac:dyDescent="0.3">
      <c r="G5737" s="470"/>
      <c r="H5737" s="470">
        <v>5730</v>
      </c>
      <c r="I5737" s="455">
        <f t="shared" ca="1" si="195"/>
        <v>-8509111919104655</v>
      </c>
      <c r="J5737" s="455">
        <f t="array" ref="J5737">IFERROR(INDEX('Retirement Calculator'!K:K,MATCH('Lorri 401b'!N5737,'Retirement Calculator'!A:A,0),0),0)</f>
        <v>0</v>
      </c>
      <c r="K5737" s="455">
        <f t="shared" ca="1" si="193"/>
        <v>-35454632996269.398</v>
      </c>
      <c r="L5737" s="455">
        <f t="shared" ca="1" si="194"/>
        <v>-8544566552100924</v>
      </c>
      <c r="M5737" s="471">
        <f t="shared" si="196"/>
        <v>0.05</v>
      </c>
      <c r="N5737" s="475">
        <f t="shared" si="197"/>
        <v>225661</v>
      </c>
    </row>
    <row r="5738" spans="7:14" ht="11.25" customHeight="1" x14ac:dyDescent="0.3">
      <c r="G5738" s="470"/>
      <c r="H5738" s="470">
        <v>5731</v>
      </c>
      <c r="I5738" s="455">
        <f t="shared" ca="1" si="195"/>
        <v>-8544566552100924</v>
      </c>
      <c r="J5738" s="455">
        <f t="array" ref="J5738">IFERROR(INDEX('Retirement Calculator'!K:K,MATCH('Lorri 401b'!N5738,'Retirement Calculator'!A:A,0),0),0)</f>
        <v>0</v>
      </c>
      <c r="K5738" s="455">
        <f t="shared" ca="1" si="193"/>
        <v>-35602360633753.852</v>
      </c>
      <c r="L5738" s="455">
        <f t="shared" ca="1" si="194"/>
        <v>-8580168912734678</v>
      </c>
      <c r="M5738" s="471">
        <f t="shared" si="196"/>
        <v>0.05</v>
      </c>
      <c r="N5738" s="475">
        <f t="shared" si="197"/>
        <v>225691</v>
      </c>
    </row>
    <row r="5739" spans="7:14" ht="11.25" customHeight="1" x14ac:dyDescent="0.3">
      <c r="G5739" s="470"/>
      <c r="H5739" s="470">
        <v>5732</v>
      </c>
      <c r="I5739" s="455">
        <f t="shared" ca="1" si="195"/>
        <v>-8580168912734678</v>
      </c>
      <c r="J5739" s="455">
        <f t="array" ref="J5739">IFERROR(INDEX('Retirement Calculator'!K:K,MATCH('Lorri 401b'!N5739,'Retirement Calculator'!A:A,0),0),0)</f>
        <v>0</v>
      </c>
      <c r="K5739" s="455">
        <f t="shared" ca="1" si="193"/>
        <v>-35750703803061.156</v>
      </c>
      <c r="L5739" s="455">
        <f t="shared" ca="1" si="194"/>
        <v>-8615919616537739</v>
      </c>
      <c r="M5739" s="471">
        <f t="shared" si="196"/>
        <v>0.05</v>
      </c>
      <c r="N5739" s="475">
        <f t="shared" si="197"/>
        <v>225722</v>
      </c>
    </row>
    <row r="5740" spans="7:14" ht="11.25" customHeight="1" x14ac:dyDescent="0.3">
      <c r="G5740" s="470"/>
      <c r="H5740" s="470">
        <v>5733</v>
      </c>
      <c r="I5740" s="455">
        <f t="shared" ca="1" si="195"/>
        <v>-8615919616537739</v>
      </c>
      <c r="J5740" s="455">
        <f t="array" ref="J5740">IFERROR(INDEX('Retirement Calculator'!K:K,MATCH('Lorri 401b'!N5740,'Retirement Calculator'!A:A,0),0),0)</f>
        <v>0</v>
      </c>
      <c r="K5740" s="455">
        <f t="shared" ca="1" si="193"/>
        <v>-35899665068907.242</v>
      </c>
      <c r="L5740" s="455">
        <f t="shared" ca="1" si="194"/>
        <v>-8651819281606646</v>
      </c>
      <c r="M5740" s="471">
        <f t="shared" si="196"/>
        <v>0.05</v>
      </c>
      <c r="N5740" s="475">
        <f t="shared" si="197"/>
        <v>225753</v>
      </c>
    </row>
    <row r="5741" spans="7:14" ht="11.25" customHeight="1" x14ac:dyDescent="0.3">
      <c r="G5741" s="470"/>
      <c r="H5741" s="470">
        <v>5734</v>
      </c>
      <c r="I5741" s="455">
        <f t="shared" ca="1" si="195"/>
        <v>-8651819281606646</v>
      </c>
      <c r="J5741" s="455">
        <f t="array" ref="J5741">IFERROR(INDEX('Retirement Calculator'!K:K,MATCH('Lorri 401b'!N5741,'Retirement Calculator'!A:A,0),0),0)</f>
        <v>0</v>
      </c>
      <c r="K5741" s="455">
        <f t="shared" ca="1" si="193"/>
        <v>-36049247006694.359</v>
      </c>
      <c r="L5741" s="455">
        <f t="shared" ca="1" si="194"/>
        <v>-8687868528613340</v>
      </c>
      <c r="M5741" s="471">
        <f t="shared" si="196"/>
        <v>0.05</v>
      </c>
      <c r="N5741" s="475">
        <f t="shared" si="197"/>
        <v>225781</v>
      </c>
    </row>
    <row r="5742" spans="7:14" ht="11.25" customHeight="1" x14ac:dyDescent="0.3">
      <c r="G5742" s="470"/>
      <c r="H5742" s="470">
        <v>5735</v>
      </c>
      <c r="I5742" s="455">
        <f t="shared" ca="1" si="195"/>
        <v>-8687868528613340</v>
      </c>
      <c r="J5742" s="455">
        <f t="array" ref="J5742">IFERROR(INDEX('Retirement Calculator'!K:K,MATCH('Lorri 401b'!N5742,'Retirement Calculator'!A:A,0),0),0)</f>
        <v>0</v>
      </c>
      <c r="K5742" s="455">
        <f t="shared" ca="1" si="193"/>
        <v>-36199452202555.586</v>
      </c>
      <c r="L5742" s="455">
        <f t="shared" ca="1" si="194"/>
        <v>-8724067980815896</v>
      </c>
      <c r="M5742" s="471">
        <f t="shared" si="196"/>
        <v>0.05</v>
      </c>
      <c r="N5742" s="475">
        <f t="shared" si="197"/>
        <v>225812</v>
      </c>
    </row>
    <row r="5743" spans="7:14" ht="11.25" customHeight="1" x14ac:dyDescent="0.3">
      <c r="G5743" s="470"/>
      <c r="H5743" s="470">
        <v>5736</v>
      </c>
      <c r="I5743" s="455">
        <f t="shared" ca="1" si="195"/>
        <v>-8724067980815896</v>
      </c>
      <c r="J5743" s="455">
        <f t="array" ref="J5743">IFERROR(INDEX('Retirement Calculator'!K:K,MATCH('Lorri 401b'!N5743,'Retirement Calculator'!A:A,0),0),0)</f>
        <v>0</v>
      </c>
      <c r="K5743" s="455">
        <f t="shared" ca="1" si="193"/>
        <v>-36350283253399.563</v>
      </c>
      <c r="L5743" s="455">
        <f t="shared" ca="1" si="194"/>
        <v>-8760418264069296</v>
      </c>
      <c r="M5743" s="471">
        <f t="shared" si="196"/>
        <v>0.05</v>
      </c>
      <c r="N5743" s="475">
        <f t="shared" si="197"/>
        <v>225842</v>
      </c>
    </row>
    <row r="5744" spans="7:14" ht="11.25" customHeight="1" x14ac:dyDescent="0.3">
      <c r="G5744" s="470"/>
      <c r="H5744" s="470">
        <v>5737</v>
      </c>
      <c r="I5744" s="455">
        <f t="shared" ca="1" si="195"/>
        <v>-8760418264069296</v>
      </c>
      <c r="J5744" s="455">
        <f t="array" ref="J5744">IFERROR(INDEX('Retirement Calculator'!K:K,MATCH('Lorri 401b'!N5744,'Retirement Calculator'!A:A,0),0),0)</f>
        <v>0</v>
      </c>
      <c r="K5744" s="455">
        <f t="shared" ca="1" si="193"/>
        <v>-36501742766955.398</v>
      </c>
      <c r="L5744" s="455">
        <f t="shared" ca="1" si="194"/>
        <v>-8796920006836251</v>
      </c>
      <c r="M5744" s="471">
        <f t="shared" si="196"/>
        <v>0.05</v>
      </c>
      <c r="N5744" s="475">
        <f t="shared" si="197"/>
        <v>225873</v>
      </c>
    </row>
    <row r="5745" spans="7:14" ht="11.25" customHeight="1" x14ac:dyDescent="0.3">
      <c r="G5745" s="470"/>
      <c r="H5745" s="470">
        <v>5738</v>
      </c>
      <c r="I5745" s="455">
        <f t="shared" ca="1" si="195"/>
        <v>-8796920006836251</v>
      </c>
      <c r="J5745" s="455">
        <f t="array" ref="J5745">IFERROR(INDEX('Retirement Calculator'!K:K,MATCH('Lorri 401b'!N5745,'Retirement Calculator'!A:A,0),0),0)</f>
        <v>0</v>
      </c>
      <c r="K5745" s="455">
        <f t="shared" ca="1" si="193"/>
        <v>-36653833361817.711</v>
      </c>
      <c r="L5745" s="455">
        <f t="shared" ca="1" si="194"/>
        <v>-8833573840198069</v>
      </c>
      <c r="M5745" s="471">
        <f t="shared" si="196"/>
        <v>0.05</v>
      </c>
      <c r="N5745" s="475">
        <f t="shared" si="197"/>
        <v>225903</v>
      </c>
    </row>
    <row r="5746" spans="7:14" ht="11.25" customHeight="1" x14ac:dyDescent="0.3">
      <c r="G5746" s="470"/>
      <c r="H5746" s="470">
        <v>5739</v>
      </c>
      <c r="I5746" s="455">
        <f t="shared" ca="1" si="195"/>
        <v>-8833573840198069</v>
      </c>
      <c r="J5746" s="455">
        <f t="array" ref="J5746">IFERROR(INDEX('Retirement Calculator'!K:K,MATCH('Lorri 401b'!N5746,'Retirement Calculator'!A:A,0),0),0)</f>
        <v>0</v>
      </c>
      <c r="K5746" s="455">
        <f t="shared" ca="1" si="193"/>
        <v>-36806557667491.953</v>
      </c>
      <c r="L5746" s="455">
        <f t="shared" ca="1" si="194"/>
        <v>-8870380397865561</v>
      </c>
      <c r="M5746" s="471">
        <f t="shared" si="196"/>
        <v>0.05</v>
      </c>
      <c r="N5746" s="475">
        <f t="shared" si="197"/>
        <v>225934</v>
      </c>
    </row>
    <row r="5747" spans="7:14" ht="11.25" customHeight="1" x14ac:dyDescent="0.3">
      <c r="G5747" s="470"/>
      <c r="H5747" s="470">
        <v>5740</v>
      </c>
      <c r="I5747" s="455">
        <f t="shared" ca="1" si="195"/>
        <v>-8870380397865561</v>
      </c>
      <c r="J5747" s="455">
        <f t="array" ref="J5747">IFERROR(INDEX('Retirement Calculator'!K:K,MATCH('Lorri 401b'!N5747,'Retirement Calculator'!A:A,0),0),0)</f>
        <v>0</v>
      </c>
      <c r="K5747" s="455">
        <f t="shared" ca="1" si="193"/>
        <v>-36959918324439.844</v>
      </c>
      <c r="L5747" s="455">
        <f t="shared" ca="1" si="194"/>
        <v>-8907340316190001</v>
      </c>
      <c r="M5747" s="471">
        <f t="shared" si="196"/>
        <v>0.05</v>
      </c>
      <c r="N5747" s="475">
        <f t="shared" si="197"/>
        <v>225965</v>
      </c>
    </row>
    <row r="5748" spans="7:14" ht="11.25" customHeight="1" x14ac:dyDescent="0.3">
      <c r="G5748" s="470"/>
      <c r="H5748" s="470">
        <v>5741</v>
      </c>
      <c r="I5748" s="455">
        <f t="shared" ca="1" si="195"/>
        <v>-8907340316190001</v>
      </c>
      <c r="J5748" s="455">
        <f t="array" ref="J5748">IFERROR(INDEX('Retirement Calculator'!K:K,MATCH('Lorri 401b'!N5748,'Retirement Calculator'!A:A,0),0),0)</f>
        <v>0</v>
      </c>
      <c r="K5748" s="455">
        <f t="shared" ca="1" si="193"/>
        <v>-37113917984125</v>
      </c>
      <c r="L5748" s="455">
        <f t="shared" ca="1" si="194"/>
        <v>-8944454234174126</v>
      </c>
      <c r="M5748" s="471">
        <f t="shared" si="196"/>
        <v>0.05</v>
      </c>
      <c r="N5748" s="475">
        <f t="shared" si="197"/>
        <v>225995</v>
      </c>
    </row>
    <row r="5749" spans="7:14" ht="11.25" customHeight="1" x14ac:dyDescent="0.3">
      <c r="G5749" s="470"/>
      <c r="H5749" s="470">
        <v>5742</v>
      </c>
      <c r="I5749" s="455">
        <f t="shared" ca="1" si="195"/>
        <v>-8944454234174126</v>
      </c>
      <c r="J5749" s="455">
        <f t="array" ref="J5749">IFERROR(INDEX('Retirement Calculator'!K:K,MATCH('Lorri 401b'!N5749,'Retirement Calculator'!A:A,0),0),0)</f>
        <v>0</v>
      </c>
      <c r="K5749" s="455">
        <f t="shared" ca="1" si="193"/>
        <v>-37268559309058.859</v>
      </c>
      <c r="L5749" s="455">
        <f t="shared" ca="1" si="194"/>
        <v>-8981722793483185</v>
      </c>
      <c r="M5749" s="471">
        <f t="shared" si="196"/>
        <v>0.05</v>
      </c>
      <c r="N5749" s="475">
        <f t="shared" si="197"/>
        <v>226026</v>
      </c>
    </row>
    <row r="5750" spans="7:14" ht="11.25" customHeight="1" x14ac:dyDescent="0.3">
      <c r="G5750" s="470"/>
      <c r="H5750" s="470">
        <v>5743</v>
      </c>
      <c r="I5750" s="455">
        <f t="shared" ca="1" si="195"/>
        <v>-8981722793483185</v>
      </c>
      <c r="J5750" s="455">
        <f t="array" ref="J5750">IFERROR(INDEX('Retirement Calculator'!K:K,MATCH('Lorri 401b'!N5750,'Retirement Calculator'!A:A,0),0),0)</f>
        <v>0</v>
      </c>
      <c r="K5750" s="455">
        <f t="shared" ca="1" si="193"/>
        <v>-37423844972846.602</v>
      </c>
      <c r="L5750" s="455">
        <f t="shared" ca="1" si="194"/>
        <v>-9019146638456032</v>
      </c>
      <c r="M5750" s="471">
        <f t="shared" si="196"/>
        <v>0.05</v>
      </c>
      <c r="N5750" s="475">
        <f t="shared" si="197"/>
        <v>226056</v>
      </c>
    </row>
    <row r="5751" spans="7:14" ht="11.25" customHeight="1" x14ac:dyDescent="0.3">
      <c r="G5751" s="470"/>
      <c r="H5751" s="470">
        <v>5744</v>
      </c>
      <c r="I5751" s="455">
        <f t="shared" ca="1" si="195"/>
        <v>-9019146638456032</v>
      </c>
      <c r="J5751" s="455">
        <f t="array" ref="J5751">IFERROR(INDEX('Retirement Calculator'!K:K,MATCH('Lorri 401b'!N5751,'Retirement Calculator'!A:A,0),0),0)</f>
        <v>0</v>
      </c>
      <c r="K5751" s="455">
        <f t="shared" ca="1" si="193"/>
        <v>-37579777660233.469</v>
      </c>
      <c r="L5751" s="455">
        <f t="shared" ca="1" si="194"/>
        <v>-9056726416116266</v>
      </c>
      <c r="M5751" s="471">
        <f t="shared" si="196"/>
        <v>0.05</v>
      </c>
      <c r="N5751" s="475">
        <f t="shared" si="197"/>
        <v>226087</v>
      </c>
    </row>
    <row r="5752" spans="7:14" ht="11.25" customHeight="1" x14ac:dyDescent="0.3">
      <c r="G5752" s="470"/>
      <c r="H5752" s="470">
        <v>5745</v>
      </c>
      <c r="I5752" s="455">
        <f t="shared" ca="1" si="195"/>
        <v>-9056726416116266</v>
      </c>
      <c r="J5752" s="455">
        <f t="array" ref="J5752">IFERROR(INDEX('Retirement Calculator'!K:K,MATCH('Lorri 401b'!N5752,'Retirement Calculator'!A:A,0),0),0)</f>
        <v>0</v>
      </c>
      <c r="K5752" s="455">
        <f t="shared" ca="1" si="193"/>
        <v>-37736360067151.109</v>
      </c>
      <c r="L5752" s="455">
        <f t="shared" ca="1" si="194"/>
        <v>-9094462776183418</v>
      </c>
      <c r="M5752" s="471">
        <f t="shared" si="196"/>
        <v>0.05</v>
      </c>
      <c r="N5752" s="475">
        <f t="shared" si="197"/>
        <v>226118</v>
      </c>
    </row>
    <row r="5753" spans="7:14" ht="11.25" customHeight="1" x14ac:dyDescent="0.3">
      <c r="G5753" s="470"/>
      <c r="H5753" s="470">
        <v>5746</v>
      </c>
      <c r="I5753" s="455">
        <f t="shared" ca="1" si="195"/>
        <v>-9094462776183418</v>
      </c>
      <c r="J5753" s="455">
        <f t="array" ref="J5753">IFERROR(INDEX('Retirement Calculator'!K:K,MATCH('Lorri 401b'!N5753,'Retirement Calculator'!A:A,0),0),0)</f>
        <v>0</v>
      </c>
      <c r="K5753" s="455">
        <f t="shared" ca="1" si="193"/>
        <v>-37893594900764.242</v>
      </c>
      <c r="L5753" s="455">
        <f t="shared" ca="1" si="194"/>
        <v>-9132356371084182</v>
      </c>
      <c r="M5753" s="471">
        <f t="shared" si="196"/>
        <v>0.05</v>
      </c>
      <c r="N5753" s="475">
        <f t="shared" si="197"/>
        <v>226146</v>
      </c>
    </row>
    <row r="5754" spans="7:14" ht="11.25" customHeight="1" x14ac:dyDescent="0.3">
      <c r="G5754" s="470"/>
      <c r="H5754" s="470">
        <v>5747</v>
      </c>
      <c r="I5754" s="455">
        <f t="shared" ca="1" si="195"/>
        <v>-9132356371084182</v>
      </c>
      <c r="J5754" s="455">
        <f t="array" ref="J5754">IFERROR(INDEX('Retirement Calculator'!K:K,MATCH('Lorri 401b'!N5754,'Retirement Calculator'!A:A,0),0),0)</f>
        <v>0</v>
      </c>
      <c r="K5754" s="455">
        <f t="shared" ca="1" si="193"/>
        <v>-38051484879517.422</v>
      </c>
      <c r="L5754" s="455">
        <f t="shared" ca="1" si="194"/>
        <v>-9170407855963700</v>
      </c>
      <c r="M5754" s="471">
        <f t="shared" si="196"/>
        <v>0.05</v>
      </c>
      <c r="N5754" s="475">
        <f t="shared" si="197"/>
        <v>226177</v>
      </c>
    </row>
    <row r="5755" spans="7:14" ht="11.25" customHeight="1" x14ac:dyDescent="0.3">
      <c r="G5755" s="470"/>
      <c r="H5755" s="470">
        <v>5748</v>
      </c>
      <c r="I5755" s="455">
        <f t="shared" ca="1" si="195"/>
        <v>-9170407855963700</v>
      </c>
      <c r="J5755" s="455">
        <f t="array" ref="J5755">IFERROR(INDEX('Retirement Calculator'!K:K,MATCH('Lorri 401b'!N5755,'Retirement Calculator'!A:A,0),0),0)</f>
        <v>0</v>
      </c>
      <c r="K5755" s="455">
        <f t="shared" ca="1" si="193"/>
        <v>-38210032733182.086</v>
      </c>
      <c r="L5755" s="455">
        <f t="shared" ca="1" si="194"/>
        <v>-9208617888696882</v>
      </c>
      <c r="M5755" s="471">
        <f t="shared" si="196"/>
        <v>0.05</v>
      </c>
      <c r="N5755" s="475">
        <f t="shared" si="197"/>
        <v>226207</v>
      </c>
    </row>
    <row r="5756" spans="7:14" ht="11.25" customHeight="1" x14ac:dyDescent="0.3">
      <c r="G5756" s="470"/>
      <c r="H5756" s="470">
        <v>5749</v>
      </c>
      <c r="I5756" s="455">
        <f t="shared" ca="1" si="195"/>
        <v>-9208617888696882</v>
      </c>
      <c r="J5756" s="455">
        <f t="array" ref="J5756">IFERROR(INDEX('Retirement Calculator'!K:K,MATCH('Lorri 401b'!N5756,'Retirement Calculator'!A:A,0),0),0)</f>
        <v>0</v>
      </c>
      <c r="K5756" s="455">
        <f t="shared" ca="1" si="193"/>
        <v>-38369241202903.672</v>
      </c>
      <c r="L5756" s="455">
        <f t="shared" ca="1" si="194"/>
        <v>-9246987129899786</v>
      </c>
      <c r="M5756" s="471">
        <f t="shared" si="196"/>
        <v>0.05</v>
      </c>
      <c r="N5756" s="475">
        <f t="shared" si="197"/>
        <v>226238</v>
      </c>
    </row>
    <row r="5757" spans="7:14" ht="11.25" customHeight="1" x14ac:dyDescent="0.3">
      <c r="G5757" s="470"/>
      <c r="H5757" s="470">
        <v>5750</v>
      </c>
      <c r="I5757" s="455">
        <f t="shared" ca="1" si="195"/>
        <v>-9246987129899786</v>
      </c>
      <c r="J5757" s="455">
        <f t="array" ref="J5757">IFERROR(INDEX('Retirement Calculator'!K:K,MATCH('Lorri 401b'!N5757,'Retirement Calculator'!A:A,0),0),0)</f>
        <v>0</v>
      </c>
      <c r="K5757" s="455">
        <f t="shared" ca="1" si="193"/>
        <v>-38529113041249.109</v>
      </c>
      <c r="L5757" s="455">
        <f t="shared" ca="1" si="194"/>
        <v>-9285516242941036</v>
      </c>
      <c r="M5757" s="471">
        <f t="shared" si="196"/>
        <v>0.05</v>
      </c>
      <c r="N5757" s="475">
        <f t="shared" si="197"/>
        <v>226268</v>
      </c>
    </row>
    <row r="5758" spans="7:14" ht="11.25" customHeight="1" x14ac:dyDescent="0.3">
      <c r="G5758" s="470"/>
      <c r="H5758" s="470">
        <v>5751</v>
      </c>
      <c r="I5758" s="455">
        <f t="shared" ca="1" si="195"/>
        <v>-9285516242941036</v>
      </c>
      <c r="J5758" s="455">
        <f t="array" ref="J5758">IFERROR(INDEX('Retirement Calculator'!K:K,MATCH('Lorri 401b'!N5758,'Retirement Calculator'!A:A,0),0),0)</f>
        <v>0</v>
      </c>
      <c r="K5758" s="455">
        <f t="shared" ca="1" si="193"/>
        <v>-38689651012254.313</v>
      </c>
      <c r="L5758" s="455">
        <f t="shared" ca="1" si="194"/>
        <v>-9324205893953290</v>
      </c>
      <c r="M5758" s="471">
        <f t="shared" si="196"/>
        <v>0.05</v>
      </c>
      <c r="N5758" s="475">
        <f t="shared" si="197"/>
        <v>226299</v>
      </c>
    </row>
    <row r="5759" spans="7:14" ht="11.25" customHeight="1" x14ac:dyDescent="0.3">
      <c r="G5759" s="470"/>
      <c r="H5759" s="470">
        <v>5752</v>
      </c>
      <c r="I5759" s="455">
        <f t="shared" ca="1" si="195"/>
        <v>-9324205893953290</v>
      </c>
      <c r="J5759" s="455">
        <f t="array" ref="J5759">IFERROR(INDEX('Retirement Calculator'!K:K,MATCH('Lorri 401b'!N5759,'Retirement Calculator'!A:A,0),0),0)</f>
        <v>0</v>
      </c>
      <c r="K5759" s="455">
        <f t="shared" ca="1" si="193"/>
        <v>-38850857891472.039</v>
      </c>
      <c r="L5759" s="455">
        <f t="shared" ca="1" si="194"/>
        <v>-9363056751844762</v>
      </c>
      <c r="M5759" s="471">
        <f t="shared" si="196"/>
        <v>0.05</v>
      </c>
      <c r="N5759" s="475">
        <f t="shared" si="197"/>
        <v>226330</v>
      </c>
    </row>
    <row r="5760" spans="7:14" ht="11.25" customHeight="1" x14ac:dyDescent="0.3">
      <c r="G5760" s="470"/>
      <c r="H5760" s="470">
        <v>5753</v>
      </c>
      <c r="I5760" s="455">
        <f t="shared" ca="1" si="195"/>
        <v>-9363056751844762</v>
      </c>
      <c r="J5760" s="455">
        <f t="array" ref="J5760">IFERROR(INDEX('Retirement Calculator'!K:K,MATCH('Lorri 401b'!N5760,'Retirement Calculator'!A:A,0),0),0)</f>
        <v>0</v>
      </c>
      <c r="K5760" s="455">
        <f t="shared" ca="1" si="193"/>
        <v>-39012736466019.844</v>
      </c>
      <c r="L5760" s="455">
        <f t="shared" ca="1" si="194"/>
        <v>-9402069488310782</v>
      </c>
      <c r="M5760" s="471">
        <f t="shared" si="196"/>
        <v>0.05</v>
      </c>
      <c r="N5760" s="475">
        <f t="shared" si="197"/>
        <v>226360</v>
      </c>
    </row>
    <row r="5761" spans="7:14" ht="11.25" customHeight="1" x14ac:dyDescent="0.3">
      <c r="G5761" s="470"/>
      <c r="H5761" s="470">
        <v>5754</v>
      </c>
      <c r="I5761" s="455">
        <f t="shared" ca="1" si="195"/>
        <v>-9402069488310782</v>
      </c>
      <c r="J5761" s="455">
        <f t="array" ref="J5761">IFERROR(INDEX('Retirement Calculator'!K:K,MATCH('Lorri 401b'!N5761,'Retirement Calculator'!A:A,0),0),0)</f>
        <v>0</v>
      </c>
      <c r="K5761" s="455">
        <f t="shared" ca="1" si="193"/>
        <v>-39175289534628.258</v>
      </c>
      <c r="L5761" s="455">
        <f t="shared" ca="1" si="194"/>
        <v>-9441244777845410</v>
      </c>
      <c r="M5761" s="471">
        <f t="shared" si="196"/>
        <v>0.05</v>
      </c>
      <c r="N5761" s="475">
        <f t="shared" si="197"/>
        <v>226391</v>
      </c>
    </row>
    <row r="5762" spans="7:14" ht="11.25" customHeight="1" x14ac:dyDescent="0.3">
      <c r="G5762" s="470"/>
      <c r="H5762" s="470">
        <v>5755</v>
      </c>
      <c r="I5762" s="455">
        <f t="shared" ca="1" si="195"/>
        <v>-9441244777845410</v>
      </c>
      <c r="J5762" s="455">
        <f t="array" ref="J5762">IFERROR(INDEX('Retirement Calculator'!K:K,MATCH('Lorri 401b'!N5762,'Retirement Calculator'!A:A,0),0),0)</f>
        <v>0</v>
      </c>
      <c r="K5762" s="455">
        <f t="shared" ca="1" si="193"/>
        <v>-39338519907689.211</v>
      </c>
      <c r="L5762" s="455">
        <f t="shared" ca="1" si="194"/>
        <v>-9480583297753100</v>
      </c>
      <c r="M5762" s="471">
        <f t="shared" si="196"/>
        <v>0.05</v>
      </c>
      <c r="N5762" s="475">
        <f t="shared" si="197"/>
        <v>226421</v>
      </c>
    </row>
    <row r="5763" spans="7:14" ht="11.25" customHeight="1" x14ac:dyDescent="0.3">
      <c r="G5763" s="470"/>
      <c r="H5763" s="470">
        <v>5756</v>
      </c>
      <c r="I5763" s="455">
        <f t="shared" ca="1" si="195"/>
        <v>-9480583297753100</v>
      </c>
      <c r="J5763" s="455">
        <f t="array" ref="J5763">IFERROR(INDEX('Retirement Calculator'!K:K,MATCH('Lorri 401b'!N5763,'Retirement Calculator'!A:A,0),0),0)</f>
        <v>0</v>
      </c>
      <c r="K5763" s="455">
        <f t="shared" ca="1" si="193"/>
        <v>-39502430407304.586</v>
      </c>
      <c r="L5763" s="455">
        <f t="shared" ca="1" si="194"/>
        <v>-9520085728160404</v>
      </c>
      <c r="M5763" s="471">
        <f t="shared" si="196"/>
        <v>0.05</v>
      </c>
      <c r="N5763" s="475">
        <f t="shared" si="197"/>
        <v>226452</v>
      </c>
    </row>
    <row r="5764" spans="7:14" ht="11.25" customHeight="1" x14ac:dyDescent="0.3">
      <c r="G5764" s="470"/>
      <c r="H5764" s="470">
        <v>5757</v>
      </c>
      <c r="I5764" s="455">
        <f t="shared" ca="1" si="195"/>
        <v>-9520085728160404</v>
      </c>
      <c r="J5764" s="455">
        <f t="array" ref="J5764">IFERROR(INDEX('Retirement Calculator'!K:K,MATCH('Lorri 401b'!N5764,'Retirement Calculator'!A:A,0),0),0)</f>
        <v>0</v>
      </c>
      <c r="K5764" s="455">
        <f t="shared" ca="1" si="193"/>
        <v>-39667023867335.016</v>
      </c>
      <c r="L5764" s="455">
        <f t="shared" ca="1" si="194"/>
        <v>-9559752752027740</v>
      </c>
      <c r="M5764" s="471">
        <f t="shared" si="196"/>
        <v>0.05</v>
      </c>
      <c r="N5764" s="475">
        <f t="shared" si="197"/>
        <v>226483</v>
      </c>
    </row>
    <row r="5765" spans="7:14" ht="11.25" customHeight="1" x14ac:dyDescent="0.3">
      <c r="G5765" s="470"/>
      <c r="H5765" s="470">
        <v>5758</v>
      </c>
      <c r="I5765" s="455">
        <f t="shared" ca="1" si="195"/>
        <v>-9559752752027740</v>
      </c>
      <c r="J5765" s="455">
        <f t="array" ref="J5765">IFERROR(INDEX('Retirement Calculator'!K:K,MATCH('Lorri 401b'!N5765,'Retirement Calculator'!A:A,0),0),0)</f>
        <v>0</v>
      </c>
      <c r="K5765" s="455">
        <f t="shared" ca="1" si="193"/>
        <v>-39832303133448.914</v>
      </c>
      <c r="L5765" s="455">
        <f t="shared" ca="1" si="194"/>
        <v>-9599585055161188</v>
      </c>
      <c r="M5765" s="471">
        <f t="shared" si="196"/>
        <v>0.05</v>
      </c>
      <c r="N5765" s="475">
        <f t="shared" si="197"/>
        <v>226512</v>
      </c>
    </row>
    <row r="5766" spans="7:14" ht="11.25" customHeight="1" x14ac:dyDescent="0.3">
      <c r="G5766" s="470"/>
      <c r="H5766" s="470">
        <v>5759</v>
      </c>
      <c r="I5766" s="455">
        <f t="shared" ca="1" si="195"/>
        <v>-9599585055161188</v>
      </c>
      <c r="J5766" s="455">
        <f t="array" ref="J5766">IFERROR(INDEX('Retirement Calculator'!K:K,MATCH('Lorri 401b'!N5766,'Retirement Calculator'!A:A,0),0),0)</f>
        <v>0</v>
      </c>
      <c r="K5766" s="455">
        <f t="shared" ca="1" si="193"/>
        <v>-39998271063171.617</v>
      </c>
      <c r="L5766" s="455">
        <f t="shared" ca="1" si="194"/>
        <v>-9639583326224360</v>
      </c>
      <c r="M5766" s="471">
        <f t="shared" si="196"/>
        <v>0.05</v>
      </c>
      <c r="N5766" s="475">
        <f t="shared" si="197"/>
        <v>226543</v>
      </c>
    </row>
    <row r="5767" spans="7:14" ht="11.25" customHeight="1" x14ac:dyDescent="0.3">
      <c r="G5767" s="470"/>
      <c r="H5767" s="470">
        <v>5760</v>
      </c>
      <c r="I5767" s="455">
        <f t="shared" ca="1" si="195"/>
        <v>-9639583326224360</v>
      </c>
      <c r="J5767" s="455">
        <f t="array" ref="J5767">IFERROR(INDEX('Retirement Calculator'!K:K,MATCH('Lorri 401b'!N5767,'Retirement Calculator'!A:A,0),0),0)</f>
        <v>0</v>
      </c>
      <c r="K5767" s="455">
        <f t="shared" ca="1" si="193"/>
        <v>-40164930525934.836</v>
      </c>
      <c r="L5767" s="455">
        <f t="shared" ca="1" si="194"/>
        <v>-9679748256750294</v>
      </c>
      <c r="M5767" s="471">
        <f t="shared" si="196"/>
        <v>0.05</v>
      </c>
      <c r="N5767" s="475">
        <f t="shared" si="197"/>
        <v>226573</v>
      </c>
    </row>
    <row r="5768" spans="7:14" ht="11.25" customHeight="1" x14ac:dyDescent="0.3">
      <c r="G5768" s="470"/>
      <c r="H5768" s="470">
        <v>5761</v>
      </c>
      <c r="I5768" s="455">
        <f t="shared" ca="1" si="195"/>
        <v>-9679748256750294</v>
      </c>
      <c r="J5768" s="455">
        <f t="array" ref="J5768">IFERROR(INDEX('Retirement Calculator'!K:K,MATCH('Lorri 401b'!N5768,'Retirement Calculator'!A:A,0),0),0)</f>
        <v>0</v>
      </c>
      <c r="K5768" s="455">
        <f t="shared" ca="1" si="193"/>
        <v>-40332284403126.227</v>
      </c>
      <c r="L5768" s="455">
        <f t="shared" ca="1" si="194"/>
        <v>-9720080541153420</v>
      </c>
      <c r="M5768" s="471">
        <f t="shared" si="196"/>
        <v>0.05</v>
      </c>
      <c r="N5768" s="475">
        <f t="shared" si="197"/>
        <v>226604</v>
      </c>
    </row>
    <row r="5769" spans="7:14" ht="11.25" customHeight="1" x14ac:dyDescent="0.3">
      <c r="G5769" s="470"/>
      <c r="H5769" s="470">
        <v>5762</v>
      </c>
      <c r="I5769" s="455">
        <f t="shared" ca="1" si="195"/>
        <v>-9720080541153420</v>
      </c>
      <c r="J5769" s="455">
        <f t="array" ref="J5769">IFERROR(INDEX('Retirement Calculator'!K:K,MATCH('Lorri 401b'!N5769,'Retirement Calculator'!A:A,0),0),0)</f>
        <v>0</v>
      </c>
      <c r="K5769" s="455">
        <f t="shared" ca="1" si="193"/>
        <v>-40500335588139.25</v>
      </c>
      <c r="L5769" s="455">
        <f t="shared" ca="1" si="194"/>
        <v>-9760580876741560</v>
      </c>
      <c r="M5769" s="471">
        <f t="shared" si="196"/>
        <v>0.05</v>
      </c>
      <c r="N5769" s="475">
        <f t="shared" si="197"/>
        <v>226634</v>
      </c>
    </row>
    <row r="5770" spans="7:14" ht="11.25" customHeight="1" x14ac:dyDescent="0.3">
      <c r="G5770" s="470"/>
      <c r="H5770" s="470">
        <v>5763</v>
      </c>
      <c r="I5770" s="455">
        <f t="shared" ca="1" si="195"/>
        <v>-9760580876741560</v>
      </c>
      <c r="J5770" s="455">
        <f t="array" ref="J5770">IFERROR(INDEX('Retirement Calculator'!K:K,MATCH('Lorri 401b'!N5770,'Retirement Calculator'!A:A,0),0),0)</f>
        <v>0</v>
      </c>
      <c r="K5770" s="455">
        <f t="shared" ca="1" si="193"/>
        <v>-40669086986423.164</v>
      </c>
      <c r="L5770" s="455">
        <f t="shared" ca="1" si="194"/>
        <v>-9801249963727984</v>
      </c>
      <c r="M5770" s="471">
        <f t="shared" si="196"/>
        <v>0.05</v>
      </c>
      <c r="N5770" s="475">
        <f t="shared" si="197"/>
        <v>226665</v>
      </c>
    </row>
    <row r="5771" spans="7:14" ht="11.25" customHeight="1" x14ac:dyDescent="0.3">
      <c r="G5771" s="470"/>
      <c r="H5771" s="470">
        <v>5764</v>
      </c>
      <c r="I5771" s="455">
        <f t="shared" ca="1" si="195"/>
        <v>-9801249963727984</v>
      </c>
      <c r="J5771" s="455">
        <f t="array" ref="J5771">IFERROR(INDEX('Retirement Calculator'!K:K,MATCH('Lorri 401b'!N5771,'Retirement Calculator'!A:A,0),0),0)</f>
        <v>0</v>
      </c>
      <c r="K5771" s="455">
        <f t="shared" ca="1" si="193"/>
        <v>-40838541515533.266</v>
      </c>
      <c r="L5771" s="455">
        <f t="shared" ca="1" si="194"/>
        <v>-9842088505243518</v>
      </c>
      <c r="M5771" s="471">
        <f t="shared" si="196"/>
        <v>0.05</v>
      </c>
      <c r="N5771" s="475">
        <f t="shared" si="197"/>
        <v>226696</v>
      </c>
    </row>
    <row r="5772" spans="7:14" ht="11.25" customHeight="1" x14ac:dyDescent="0.3">
      <c r="G5772" s="470"/>
      <c r="H5772" s="470">
        <v>5765</v>
      </c>
      <c r="I5772" s="455">
        <f t="shared" ca="1" si="195"/>
        <v>-9842088505243518</v>
      </c>
      <c r="J5772" s="455">
        <f t="array" ref="J5772">IFERROR(INDEX('Retirement Calculator'!K:K,MATCH('Lorri 401b'!N5772,'Retirement Calculator'!A:A,0),0),0)</f>
        <v>0</v>
      </c>
      <c r="K5772" s="455">
        <f t="shared" ca="1" si="193"/>
        <v>-41008702105181.328</v>
      </c>
      <c r="L5772" s="455">
        <f t="shared" ca="1" si="194"/>
        <v>-9883097207348700</v>
      </c>
      <c r="M5772" s="471">
        <f t="shared" si="196"/>
        <v>0.05</v>
      </c>
      <c r="N5772" s="475">
        <f t="shared" si="197"/>
        <v>226726</v>
      </c>
    </row>
    <row r="5773" spans="7:14" ht="11.25" customHeight="1" x14ac:dyDescent="0.3">
      <c r="G5773" s="470"/>
      <c r="H5773" s="470">
        <v>5766</v>
      </c>
      <c r="I5773" s="455">
        <f t="shared" ca="1" si="195"/>
        <v>-9883097207348700</v>
      </c>
      <c r="J5773" s="455">
        <f t="array" ref="J5773">IFERROR(INDEX('Retirement Calculator'!K:K,MATCH('Lorri 401b'!N5773,'Retirement Calculator'!A:A,0),0),0)</f>
        <v>0</v>
      </c>
      <c r="K5773" s="455">
        <f t="shared" ca="1" si="193"/>
        <v>-41179571697286.25</v>
      </c>
      <c r="L5773" s="455">
        <f t="shared" ca="1" si="194"/>
        <v>-9924276779045986</v>
      </c>
      <c r="M5773" s="471">
        <f t="shared" si="196"/>
        <v>0.05</v>
      </c>
      <c r="N5773" s="475">
        <f t="shared" si="197"/>
        <v>226757</v>
      </c>
    </row>
    <row r="5774" spans="7:14" ht="11.25" customHeight="1" x14ac:dyDescent="0.3">
      <c r="G5774" s="470"/>
      <c r="H5774" s="470">
        <v>5767</v>
      </c>
      <c r="I5774" s="455">
        <f t="shared" ca="1" si="195"/>
        <v>-9924276779045986</v>
      </c>
      <c r="J5774" s="455">
        <f t="array" ref="J5774">IFERROR(INDEX('Retirement Calculator'!K:K,MATCH('Lorri 401b'!N5774,'Retirement Calculator'!A:A,0),0),0)</f>
        <v>0</v>
      </c>
      <c r="K5774" s="455">
        <f t="shared" ca="1" si="193"/>
        <v>-41351153246024.938</v>
      </c>
      <c r="L5774" s="455">
        <f t="shared" ca="1" si="194"/>
        <v>-9965627932292010</v>
      </c>
      <c r="M5774" s="471">
        <f t="shared" si="196"/>
        <v>0.05</v>
      </c>
      <c r="N5774" s="475">
        <f t="shared" si="197"/>
        <v>226787</v>
      </c>
    </row>
    <row r="5775" spans="7:14" ht="11.25" customHeight="1" x14ac:dyDescent="0.3">
      <c r="G5775" s="470"/>
      <c r="H5775" s="470">
        <v>5768</v>
      </c>
      <c r="I5775" s="455">
        <f t="shared" ca="1" si="195"/>
        <v>-9965627932292010</v>
      </c>
      <c r="J5775" s="455">
        <f t="array" ref="J5775">IFERROR(INDEX('Retirement Calculator'!K:K,MATCH('Lorri 401b'!N5775,'Retirement Calculator'!A:A,0),0),0)</f>
        <v>0</v>
      </c>
      <c r="K5775" s="455">
        <f t="shared" ca="1" si="193"/>
        <v>-41523449717883.375</v>
      </c>
      <c r="L5775" s="455">
        <f t="shared" ca="1" si="194"/>
        <v>-1.0007151382009894E+16</v>
      </c>
      <c r="M5775" s="471">
        <f t="shared" si="196"/>
        <v>0.05</v>
      </c>
      <c r="N5775" s="475">
        <f t="shared" si="197"/>
        <v>226818</v>
      </c>
    </row>
    <row r="5776" spans="7:14" ht="11.25" customHeight="1" x14ac:dyDescent="0.3">
      <c r="G5776" s="470"/>
      <c r="H5776" s="470">
        <v>5769</v>
      </c>
      <c r="I5776" s="455">
        <f t="shared" ca="1" si="195"/>
        <v>-1.0007151382009894E+16</v>
      </c>
      <c r="J5776" s="455">
        <f t="array" ref="J5776">IFERROR(INDEX('Retirement Calculator'!K:K,MATCH('Lorri 401b'!N5776,'Retirement Calculator'!A:A,0),0),0)</f>
        <v>0</v>
      </c>
      <c r="K5776" s="455">
        <f t="shared" ca="1" si="193"/>
        <v>-41696464091707.891</v>
      </c>
      <c r="L5776" s="455">
        <f t="shared" ca="1" si="194"/>
        <v>-1.0048847846101602E+16</v>
      </c>
      <c r="M5776" s="471">
        <f t="shared" si="196"/>
        <v>0.05</v>
      </c>
      <c r="N5776" s="475">
        <f t="shared" si="197"/>
        <v>226849</v>
      </c>
    </row>
    <row r="5777" spans="7:14" ht="11.25" customHeight="1" x14ac:dyDescent="0.3">
      <c r="G5777" s="470"/>
      <c r="H5777" s="470">
        <v>5770</v>
      </c>
      <c r="I5777" s="455">
        <f t="shared" ca="1" si="195"/>
        <v>-1.0048847846101602E+16</v>
      </c>
      <c r="J5777" s="455">
        <f t="array" ref="J5777">IFERROR(INDEX('Retirement Calculator'!K:K,MATCH('Lorri 401b'!N5777,'Retirement Calculator'!A:A,0),0),0)</f>
        <v>0</v>
      </c>
      <c r="K5777" s="455">
        <f t="shared" ca="1" si="193"/>
        <v>-41870199358756.672</v>
      </c>
      <c r="L5777" s="455">
        <f t="shared" ca="1" si="194"/>
        <v>-1.0090718045460358E+16</v>
      </c>
      <c r="M5777" s="471">
        <f t="shared" si="196"/>
        <v>0.05</v>
      </c>
      <c r="N5777" s="475">
        <f t="shared" si="197"/>
        <v>226877</v>
      </c>
    </row>
    <row r="5778" spans="7:14" ht="11.25" customHeight="1" x14ac:dyDescent="0.3">
      <c r="G5778" s="470"/>
      <c r="H5778" s="470">
        <v>5771</v>
      </c>
      <c r="I5778" s="455">
        <f t="shared" ca="1" si="195"/>
        <v>-1.0090718045460358E+16</v>
      </c>
      <c r="J5778" s="455">
        <f t="array" ref="J5778">IFERROR(INDEX('Retirement Calculator'!K:K,MATCH('Lorri 401b'!N5778,'Retirement Calculator'!A:A,0),0),0)</f>
        <v>0</v>
      </c>
      <c r="K5778" s="455">
        <f t="shared" ca="1" si="193"/>
        <v>-42044658522751.492</v>
      </c>
      <c r="L5778" s="455">
        <f t="shared" ca="1" si="194"/>
        <v>-1.013276270398311E+16</v>
      </c>
      <c r="M5778" s="471">
        <f t="shared" si="196"/>
        <v>0.05</v>
      </c>
      <c r="N5778" s="475">
        <f t="shared" si="197"/>
        <v>226908</v>
      </c>
    </row>
    <row r="5779" spans="7:14" ht="11.25" customHeight="1" x14ac:dyDescent="0.3">
      <c r="G5779" s="470"/>
      <c r="H5779" s="470">
        <v>5772</v>
      </c>
      <c r="I5779" s="455">
        <f t="shared" ca="1" si="195"/>
        <v>-1.013276270398311E+16</v>
      </c>
      <c r="J5779" s="455">
        <f t="array" ref="J5779">IFERROR(INDEX('Retirement Calculator'!K:K,MATCH('Lorri 401b'!N5779,'Retirement Calculator'!A:A,0),0),0)</f>
        <v>0</v>
      </c>
      <c r="K5779" s="455">
        <f t="shared" ca="1" si="193"/>
        <v>-42219844599929.625</v>
      </c>
      <c r="L5779" s="455">
        <f t="shared" ca="1" si="194"/>
        <v>-1.017498254858304E+16</v>
      </c>
      <c r="M5779" s="471">
        <f t="shared" si="196"/>
        <v>0.05</v>
      </c>
      <c r="N5779" s="475">
        <f t="shared" si="197"/>
        <v>226938</v>
      </c>
    </row>
    <row r="5780" spans="7:14" ht="11.25" customHeight="1" x14ac:dyDescent="0.3">
      <c r="G5780" s="470"/>
      <c r="H5780" s="470">
        <v>5773</v>
      </c>
      <c r="I5780" s="455">
        <f t="shared" ca="1" si="195"/>
        <v>-1.017498254858304E+16</v>
      </c>
      <c r="J5780" s="455">
        <f t="array" ref="J5780">IFERROR(INDEX('Retirement Calculator'!K:K,MATCH('Lorri 401b'!N5780,'Retirement Calculator'!A:A,0),0),0)</f>
        <v>0</v>
      </c>
      <c r="K5780" s="455">
        <f t="shared" ca="1" si="193"/>
        <v>-42395760619096</v>
      </c>
      <c r="L5780" s="455">
        <f t="shared" ca="1" si="194"/>
        <v>-1.0217378309202136E+16</v>
      </c>
      <c r="M5780" s="471">
        <f t="shared" si="196"/>
        <v>0.05</v>
      </c>
      <c r="N5780" s="475">
        <f t="shared" si="197"/>
        <v>226969</v>
      </c>
    </row>
    <row r="5781" spans="7:14" ht="11.25" customHeight="1" x14ac:dyDescent="0.3">
      <c r="G5781" s="470"/>
      <c r="H5781" s="470">
        <v>5774</v>
      </c>
      <c r="I5781" s="455">
        <f t="shared" ca="1" si="195"/>
        <v>-1.0217378309202136E+16</v>
      </c>
      <c r="J5781" s="455">
        <f t="array" ref="J5781">IFERROR(INDEX('Retirement Calculator'!K:K,MATCH('Lorri 401b'!N5781,'Retirement Calculator'!A:A,0),0),0)</f>
        <v>0</v>
      </c>
      <c r="K5781" s="455">
        <f t="shared" ca="1" si="193"/>
        <v>-42572409621675.563</v>
      </c>
      <c r="L5781" s="455">
        <f t="shared" ca="1" si="194"/>
        <v>-1.0259950718823812E+16</v>
      </c>
      <c r="M5781" s="471">
        <f t="shared" si="196"/>
        <v>0.05</v>
      </c>
      <c r="N5781" s="475">
        <f t="shared" si="197"/>
        <v>226999</v>
      </c>
    </row>
    <row r="5782" spans="7:14" ht="11.25" customHeight="1" x14ac:dyDescent="0.3">
      <c r="G5782" s="470"/>
      <c r="H5782" s="470">
        <v>5775</v>
      </c>
      <c r="I5782" s="455">
        <f t="shared" ca="1" si="195"/>
        <v>-1.0259950718823812E+16</v>
      </c>
      <c r="J5782" s="455">
        <f t="array" ref="J5782">IFERROR(INDEX('Retirement Calculator'!K:K,MATCH('Lorri 401b'!N5782,'Retirement Calculator'!A:A,0),0),0)</f>
        <v>0</v>
      </c>
      <c r="K5782" s="455">
        <f t="shared" ca="1" si="193"/>
        <v>-42749794661765.883</v>
      </c>
      <c r="L5782" s="455">
        <f t="shared" ca="1" si="194"/>
        <v>-1.0302700513485578E+16</v>
      </c>
      <c r="M5782" s="471">
        <f t="shared" si="196"/>
        <v>0.05</v>
      </c>
      <c r="N5782" s="475">
        <f t="shared" si="197"/>
        <v>227030</v>
      </c>
    </row>
    <row r="5783" spans="7:14" ht="11.25" customHeight="1" x14ac:dyDescent="0.3">
      <c r="G5783" s="470"/>
      <c r="H5783" s="470">
        <v>5776</v>
      </c>
      <c r="I5783" s="455">
        <f t="shared" ca="1" si="195"/>
        <v>-1.0302700513485578E+16</v>
      </c>
      <c r="J5783" s="455">
        <f t="array" ref="J5783">IFERROR(INDEX('Retirement Calculator'!K:K,MATCH('Lorri 401b'!N5783,'Retirement Calculator'!A:A,0),0),0)</f>
        <v>0</v>
      </c>
      <c r="K5783" s="455">
        <f t="shared" ca="1" si="193"/>
        <v>-42927918806189.906</v>
      </c>
      <c r="L5783" s="455">
        <f t="shared" ca="1" si="194"/>
        <v>-1.0345628432291768E+16</v>
      </c>
      <c r="M5783" s="471">
        <f t="shared" si="196"/>
        <v>0.05</v>
      </c>
      <c r="N5783" s="475">
        <f t="shared" si="197"/>
        <v>227061</v>
      </c>
    </row>
    <row r="5784" spans="7:14" ht="11.25" customHeight="1" x14ac:dyDescent="0.3">
      <c r="G5784" s="470"/>
      <c r="H5784" s="470">
        <v>5777</v>
      </c>
      <c r="I5784" s="455">
        <f t="shared" ca="1" si="195"/>
        <v>-1.0345628432291768E+16</v>
      </c>
      <c r="J5784" s="455">
        <f t="array" ref="J5784">IFERROR(INDEX('Retirement Calculator'!K:K,MATCH('Lorri 401b'!N5784,'Retirement Calculator'!A:A,0),0),0)</f>
        <v>0</v>
      </c>
      <c r="K5784" s="455">
        <f t="shared" ca="1" si="193"/>
        <v>-43106785134549.031</v>
      </c>
      <c r="L5784" s="455">
        <f t="shared" ca="1" si="194"/>
        <v>-1.0388735217426318E+16</v>
      </c>
      <c r="M5784" s="471">
        <f t="shared" si="196"/>
        <v>0.05</v>
      </c>
      <c r="N5784" s="475">
        <f t="shared" si="197"/>
        <v>227091</v>
      </c>
    </row>
    <row r="5785" spans="7:14" ht="11.25" customHeight="1" x14ac:dyDescent="0.3">
      <c r="G5785" s="470"/>
      <c r="H5785" s="470">
        <v>5778</v>
      </c>
      <c r="I5785" s="455">
        <f t="shared" ca="1" si="195"/>
        <v>-1.0388735217426318E+16</v>
      </c>
      <c r="J5785" s="455">
        <f t="array" ref="J5785">IFERROR(INDEX('Retirement Calculator'!K:K,MATCH('Lorri 401b'!N5785,'Retirement Calculator'!A:A,0),0),0)</f>
        <v>0</v>
      </c>
      <c r="K5785" s="455">
        <f t="shared" ca="1" si="193"/>
        <v>-43286396739276.328</v>
      </c>
      <c r="L5785" s="455">
        <f t="shared" ca="1" si="194"/>
        <v>-1.0432021614165594E+16</v>
      </c>
      <c r="M5785" s="471">
        <f t="shared" si="196"/>
        <v>0.05</v>
      </c>
      <c r="N5785" s="475">
        <f t="shared" si="197"/>
        <v>227122</v>
      </c>
    </row>
    <row r="5786" spans="7:14" ht="11.25" customHeight="1" x14ac:dyDescent="0.3">
      <c r="G5786" s="470"/>
      <c r="H5786" s="470">
        <v>5779</v>
      </c>
      <c r="I5786" s="455">
        <f t="shared" ca="1" si="195"/>
        <v>-1.0432021614165594E+16</v>
      </c>
      <c r="J5786" s="455">
        <f t="array" ref="J5786">IFERROR(INDEX('Retirement Calculator'!K:K,MATCH('Lorri 401b'!N5786,'Retirement Calculator'!A:A,0),0),0)</f>
        <v>0</v>
      </c>
      <c r="K5786" s="455">
        <f t="shared" ca="1" si="193"/>
        <v>-43466756725689.977</v>
      </c>
      <c r="L5786" s="455">
        <f t="shared" ca="1" si="194"/>
        <v>-1.0475488370891284E+16</v>
      </c>
      <c r="M5786" s="471">
        <f t="shared" si="196"/>
        <v>0.05</v>
      </c>
      <c r="N5786" s="475">
        <f t="shared" si="197"/>
        <v>227152</v>
      </c>
    </row>
    <row r="5787" spans="7:14" ht="11.25" customHeight="1" x14ac:dyDescent="0.3">
      <c r="G5787" s="470"/>
      <c r="H5787" s="470">
        <v>5780</v>
      </c>
      <c r="I5787" s="455">
        <f t="shared" ca="1" si="195"/>
        <v>-1.0475488370891284E+16</v>
      </c>
      <c r="J5787" s="455">
        <f t="array" ref="J5787">IFERROR(INDEX('Retirement Calculator'!K:K,MATCH('Lorri 401b'!N5787,'Retirement Calculator'!A:A,0),0),0)</f>
        <v>0</v>
      </c>
      <c r="K5787" s="455">
        <f t="shared" ca="1" si="193"/>
        <v>-43647868212047.016</v>
      </c>
      <c r="L5787" s="455">
        <f t="shared" ca="1" si="194"/>
        <v>-1.0519136239103332E+16</v>
      </c>
      <c r="M5787" s="471">
        <f t="shared" si="196"/>
        <v>0.05</v>
      </c>
      <c r="N5787" s="475">
        <f t="shared" si="197"/>
        <v>227183</v>
      </c>
    </row>
    <row r="5788" spans="7:14" ht="11.25" customHeight="1" x14ac:dyDescent="0.3">
      <c r="G5788" s="470"/>
      <c r="H5788" s="470">
        <v>5781</v>
      </c>
      <c r="I5788" s="455">
        <f t="shared" ca="1" si="195"/>
        <v>-1.0519136239103332E+16</v>
      </c>
      <c r="J5788" s="455">
        <f t="array" ref="J5788">IFERROR(INDEX('Retirement Calculator'!K:K,MATCH('Lorri 401b'!N5788,'Retirement Calculator'!A:A,0),0),0)</f>
        <v>0</v>
      </c>
      <c r="K5788" s="455">
        <f t="shared" ca="1" si="193"/>
        <v>-43829734329597.219</v>
      </c>
      <c r="L5788" s="455">
        <f t="shared" ca="1" si="194"/>
        <v>-1.056296597343293E+16</v>
      </c>
      <c r="M5788" s="471">
        <f t="shared" si="196"/>
        <v>0.05</v>
      </c>
      <c r="N5788" s="475">
        <f t="shared" si="197"/>
        <v>227214</v>
      </c>
    </row>
    <row r="5789" spans="7:14" ht="11.25" customHeight="1" x14ac:dyDescent="0.3">
      <c r="G5789" s="470"/>
      <c r="H5789" s="470">
        <v>5782</v>
      </c>
      <c r="I5789" s="455">
        <f t="shared" ca="1" si="195"/>
        <v>-1.056296597343293E+16</v>
      </c>
      <c r="J5789" s="455">
        <f t="array" ref="J5789">IFERROR(INDEX('Retirement Calculator'!K:K,MATCH('Lorri 401b'!N5789,'Retirement Calculator'!A:A,0),0),0)</f>
        <v>0</v>
      </c>
      <c r="K5789" s="455">
        <f t="shared" ca="1" si="193"/>
        <v>-44012358222637.211</v>
      </c>
      <c r="L5789" s="455">
        <f t="shared" ca="1" si="194"/>
        <v>-1.0606978331655568E+16</v>
      </c>
      <c r="M5789" s="471">
        <f t="shared" si="196"/>
        <v>0.05</v>
      </c>
      <c r="N5789" s="475">
        <f t="shared" si="197"/>
        <v>227242</v>
      </c>
    </row>
    <row r="5790" spans="7:14" ht="11.25" customHeight="1" x14ac:dyDescent="0.3">
      <c r="G5790" s="470"/>
      <c r="H5790" s="470">
        <v>5783</v>
      </c>
      <c r="I5790" s="455">
        <f t="shared" ca="1" si="195"/>
        <v>-1.0606978331655568E+16</v>
      </c>
      <c r="J5790" s="455">
        <f t="array" ref="J5790">IFERROR(INDEX('Retirement Calculator'!K:K,MATCH('Lorri 401b'!N5790,'Retirement Calculator'!A:A,0),0),0)</f>
        <v>0</v>
      </c>
      <c r="K5790" s="455">
        <f t="shared" ca="1" si="193"/>
        <v>-44195743048564.867</v>
      </c>
      <c r="L5790" s="455">
        <f t="shared" ca="1" si="194"/>
        <v>-1.0651174074704132E+16</v>
      </c>
      <c r="M5790" s="471">
        <f t="shared" si="196"/>
        <v>0.05</v>
      </c>
      <c r="N5790" s="475">
        <f t="shared" si="197"/>
        <v>227273</v>
      </c>
    </row>
    <row r="5791" spans="7:14" ht="11.25" customHeight="1" x14ac:dyDescent="0.3">
      <c r="G5791" s="470"/>
      <c r="H5791" s="470">
        <v>5784</v>
      </c>
      <c r="I5791" s="455">
        <f t="shared" ca="1" si="195"/>
        <v>-1.0651174074704132E+16</v>
      </c>
      <c r="J5791" s="455">
        <f t="array" ref="J5791">IFERROR(INDEX('Retirement Calculator'!K:K,MATCH('Lorri 401b'!N5791,'Retirement Calculator'!A:A,0),0),0)</f>
        <v>0</v>
      </c>
      <c r="K5791" s="455">
        <f t="shared" ca="1" si="193"/>
        <v>-44379891977933.883</v>
      </c>
      <c r="L5791" s="455">
        <f t="shared" ca="1" si="194"/>
        <v>-1.0695553966682066E+16</v>
      </c>
      <c r="M5791" s="471">
        <f t="shared" si="196"/>
        <v>0.05</v>
      </c>
      <c r="N5791" s="475">
        <f t="shared" si="197"/>
        <v>227303</v>
      </c>
    </row>
    <row r="5792" spans="7:14" ht="11.25" customHeight="1" x14ac:dyDescent="0.3">
      <c r="G5792" s="470"/>
      <c r="H5792" s="470">
        <v>5785</v>
      </c>
      <c r="I5792" s="455">
        <f t="shared" ca="1" si="195"/>
        <v>-1.0695553966682066E+16</v>
      </c>
      <c r="J5792" s="455">
        <f t="array" ref="J5792">IFERROR(INDEX('Retirement Calculator'!K:K,MATCH('Lorri 401b'!N5792,'Retirement Calculator'!A:A,0),0),0)</f>
        <v>0</v>
      </c>
      <c r="K5792" s="455">
        <f t="shared" ca="1" si="193"/>
        <v>-44564808194508.609</v>
      </c>
      <c r="L5792" s="455">
        <f t="shared" ca="1" si="194"/>
        <v>-1.0740118774876574E+16</v>
      </c>
      <c r="M5792" s="471">
        <f t="shared" si="196"/>
        <v>0.05</v>
      </c>
      <c r="N5792" s="475">
        <f t="shared" si="197"/>
        <v>227334</v>
      </c>
    </row>
    <row r="5793" spans="7:14" ht="11.25" customHeight="1" x14ac:dyDescent="0.3">
      <c r="G5793" s="470"/>
      <c r="H5793" s="470">
        <v>5786</v>
      </c>
      <c r="I5793" s="455">
        <f t="shared" ca="1" si="195"/>
        <v>-1.0740118774876574E+16</v>
      </c>
      <c r="J5793" s="455">
        <f t="array" ref="J5793">IFERROR(INDEX('Retirement Calculator'!K:K,MATCH('Lorri 401b'!N5793,'Retirement Calculator'!A:A,0),0),0)</f>
        <v>0</v>
      </c>
      <c r="K5793" s="455">
        <f t="shared" ca="1" si="193"/>
        <v>-44750494895319.055</v>
      </c>
      <c r="L5793" s="455">
        <f t="shared" ca="1" si="194"/>
        <v>-1.0784869269771894E+16</v>
      </c>
      <c r="M5793" s="471">
        <f t="shared" si="196"/>
        <v>0.05</v>
      </c>
      <c r="N5793" s="475">
        <f t="shared" si="197"/>
        <v>227364</v>
      </c>
    </row>
    <row r="5794" spans="7:14" ht="11.25" customHeight="1" x14ac:dyDescent="0.3">
      <c r="G5794" s="470"/>
      <c r="H5794" s="470">
        <v>5787</v>
      </c>
      <c r="I5794" s="455">
        <f t="shared" ca="1" si="195"/>
        <v>-1.0784869269771894E+16</v>
      </c>
      <c r="J5794" s="455">
        <f t="array" ref="J5794">IFERROR(INDEX('Retirement Calculator'!K:K,MATCH('Lorri 401b'!N5794,'Retirement Calculator'!A:A,0),0),0)</f>
        <v>0</v>
      </c>
      <c r="K5794" s="455">
        <f t="shared" ca="1" si="193"/>
        <v>-44936955290716.227</v>
      </c>
      <c r="L5794" s="455">
        <f t="shared" ca="1" si="194"/>
        <v>-1.082980622506261E+16</v>
      </c>
      <c r="M5794" s="471">
        <f t="shared" si="196"/>
        <v>0.05</v>
      </c>
      <c r="N5794" s="475">
        <f t="shared" si="197"/>
        <v>227395</v>
      </c>
    </row>
    <row r="5795" spans="7:14" ht="11.25" customHeight="1" x14ac:dyDescent="0.3">
      <c r="G5795" s="470"/>
      <c r="H5795" s="470">
        <v>5788</v>
      </c>
      <c r="I5795" s="455">
        <f t="shared" ca="1" si="195"/>
        <v>-1.082980622506261E+16</v>
      </c>
      <c r="J5795" s="455">
        <f t="array" ref="J5795">IFERROR(INDEX('Retirement Calculator'!K:K,MATCH('Lorri 401b'!N5795,'Retirement Calculator'!A:A,0),0),0)</f>
        <v>0</v>
      </c>
      <c r="K5795" s="455">
        <f t="shared" ca="1" si="193"/>
        <v>-45124192604427.539</v>
      </c>
      <c r="L5795" s="455">
        <f t="shared" ca="1" si="194"/>
        <v>-1.0874930417667038E+16</v>
      </c>
      <c r="M5795" s="471">
        <f t="shared" si="196"/>
        <v>0.05</v>
      </c>
      <c r="N5795" s="475">
        <f t="shared" si="197"/>
        <v>227426</v>
      </c>
    </row>
    <row r="5796" spans="7:14" ht="11.25" customHeight="1" x14ac:dyDescent="0.3">
      <c r="G5796" s="470"/>
      <c r="H5796" s="470">
        <v>5789</v>
      </c>
      <c r="I5796" s="455">
        <f t="shared" ca="1" si="195"/>
        <v>-1.0874930417667038E+16</v>
      </c>
      <c r="J5796" s="455">
        <f t="array" ref="J5796">IFERROR(INDEX('Retirement Calculator'!K:K,MATCH('Lorri 401b'!N5796,'Retirement Calculator'!A:A,0),0),0)</f>
        <v>0</v>
      </c>
      <c r="K5796" s="455">
        <f t="shared" ca="1" si="193"/>
        <v>-45312210073612.656</v>
      </c>
      <c r="L5796" s="455">
        <f t="shared" ca="1" si="194"/>
        <v>-1.092024262774065E+16</v>
      </c>
      <c r="M5796" s="471">
        <f t="shared" si="196"/>
        <v>0.05</v>
      </c>
      <c r="N5796" s="475">
        <f t="shared" si="197"/>
        <v>227456</v>
      </c>
    </row>
    <row r="5797" spans="7:14" ht="11.25" customHeight="1" x14ac:dyDescent="0.3">
      <c r="G5797" s="470"/>
      <c r="H5797" s="470">
        <v>5790</v>
      </c>
      <c r="I5797" s="455">
        <f t="shared" ca="1" si="195"/>
        <v>-1.092024262774065E+16</v>
      </c>
      <c r="J5797" s="455">
        <f t="array" ref="J5797">IFERROR(INDEX('Retirement Calculator'!K:K,MATCH('Lorri 401b'!N5797,'Retirement Calculator'!A:A,0),0),0)</f>
        <v>0</v>
      </c>
      <c r="K5797" s="455">
        <f t="shared" ca="1" si="193"/>
        <v>-45501010948919.375</v>
      </c>
      <c r="L5797" s="455">
        <f t="shared" ca="1" si="194"/>
        <v>-1.096574363868957E+16</v>
      </c>
      <c r="M5797" s="471">
        <f t="shared" si="196"/>
        <v>0.05</v>
      </c>
      <c r="N5797" s="475">
        <f t="shared" si="197"/>
        <v>227487</v>
      </c>
    </row>
    <row r="5798" spans="7:14" ht="11.25" customHeight="1" x14ac:dyDescent="0.3">
      <c r="G5798" s="470"/>
      <c r="H5798" s="470">
        <v>5791</v>
      </c>
      <c r="I5798" s="455">
        <f t="shared" ca="1" si="195"/>
        <v>-1.096574363868957E+16</v>
      </c>
      <c r="J5798" s="455">
        <f t="array" ref="J5798">IFERROR(INDEX('Retirement Calculator'!K:K,MATCH('Lorri 401b'!N5798,'Retirement Calculator'!A:A,0),0),0)</f>
        <v>0</v>
      </c>
      <c r="K5798" s="455">
        <f t="shared" ca="1" si="193"/>
        <v>-45690598494539.875</v>
      </c>
      <c r="L5798" s="455">
        <f t="shared" ca="1" si="194"/>
        <v>-1.101143423718411E+16</v>
      </c>
      <c r="M5798" s="471">
        <f t="shared" si="196"/>
        <v>0.05</v>
      </c>
      <c r="N5798" s="475">
        <f t="shared" si="197"/>
        <v>227517</v>
      </c>
    </row>
    <row r="5799" spans="7:14" ht="11.25" customHeight="1" x14ac:dyDescent="0.3">
      <c r="G5799" s="470"/>
      <c r="H5799" s="470">
        <v>5792</v>
      </c>
      <c r="I5799" s="455">
        <f t="shared" ca="1" si="195"/>
        <v>-1.101143423718411E+16</v>
      </c>
      <c r="J5799" s="455">
        <f t="array" ref="J5799">IFERROR(INDEX('Retirement Calculator'!K:K,MATCH('Lorri 401b'!N5799,'Retirement Calculator'!A:A,0),0),0)</f>
        <v>0</v>
      </c>
      <c r="K5799" s="455">
        <f t="shared" ca="1" si="193"/>
        <v>-45880975988267.125</v>
      </c>
      <c r="L5799" s="455">
        <f t="shared" ca="1" si="194"/>
        <v>-1.1057315213172378E+16</v>
      </c>
      <c r="M5799" s="471">
        <f t="shared" si="196"/>
        <v>0.05</v>
      </c>
      <c r="N5799" s="475">
        <f t="shared" si="197"/>
        <v>227548</v>
      </c>
    </row>
    <row r="5800" spans="7:14" ht="11.25" customHeight="1" x14ac:dyDescent="0.3">
      <c r="G5800" s="470"/>
      <c r="H5800" s="470">
        <v>5793</v>
      </c>
      <c r="I5800" s="455">
        <f t="shared" ca="1" si="195"/>
        <v>-1.1057315213172378E+16</v>
      </c>
      <c r="J5800" s="455">
        <f t="array" ref="J5800">IFERROR(INDEX('Retirement Calculator'!K:K,MATCH('Lorri 401b'!N5800,'Retirement Calculator'!A:A,0),0),0)</f>
        <v>0</v>
      </c>
      <c r="K5800" s="455">
        <f t="shared" ca="1" si="193"/>
        <v>-46072146721551.578</v>
      </c>
      <c r="L5800" s="455">
        <f t="shared" ca="1" si="194"/>
        <v>-1.110338735989393E+16</v>
      </c>
      <c r="M5800" s="471">
        <f t="shared" si="196"/>
        <v>0.05</v>
      </c>
      <c r="N5800" s="475">
        <f t="shared" si="197"/>
        <v>227579</v>
      </c>
    </row>
    <row r="5801" spans="7:14" ht="11.25" customHeight="1" x14ac:dyDescent="0.3">
      <c r="G5801" s="470"/>
      <c r="H5801" s="470">
        <v>5794</v>
      </c>
      <c r="I5801" s="455">
        <f t="shared" ca="1" si="195"/>
        <v>-1.110338735989393E+16</v>
      </c>
      <c r="J5801" s="455">
        <f t="array" ref="J5801">IFERROR(INDEX('Retirement Calculator'!K:K,MATCH('Lorri 401b'!N5801,'Retirement Calculator'!A:A,0),0),0)</f>
        <v>0</v>
      </c>
      <c r="K5801" s="455">
        <f t="shared" ca="1" si="193"/>
        <v>-46264113999558.039</v>
      </c>
      <c r="L5801" s="455">
        <f t="shared" ca="1" si="194"/>
        <v>-1.1149651473893488E+16</v>
      </c>
      <c r="M5801" s="471">
        <f t="shared" si="196"/>
        <v>0.05</v>
      </c>
      <c r="N5801" s="475">
        <f t="shared" si="197"/>
        <v>227607</v>
      </c>
    </row>
    <row r="5802" spans="7:14" ht="11.25" customHeight="1" x14ac:dyDescent="0.3">
      <c r="G5802" s="470"/>
      <c r="H5802" s="470">
        <v>5795</v>
      </c>
      <c r="I5802" s="455">
        <f t="shared" ca="1" si="195"/>
        <v>-1.1149651473893488E+16</v>
      </c>
      <c r="J5802" s="455">
        <f t="array" ref="J5802">IFERROR(INDEX('Retirement Calculator'!K:K,MATCH('Lorri 401b'!N5802,'Retirement Calculator'!A:A,0),0),0)</f>
        <v>0</v>
      </c>
      <c r="K5802" s="455">
        <f t="shared" ca="1" si="193"/>
        <v>-46456881141222.867</v>
      </c>
      <c r="L5802" s="455">
        <f t="shared" ca="1" si="194"/>
        <v>-1.119610835503471E+16</v>
      </c>
      <c r="M5802" s="471">
        <f t="shared" si="196"/>
        <v>0.05</v>
      </c>
      <c r="N5802" s="475">
        <f t="shared" si="197"/>
        <v>227638</v>
      </c>
    </row>
    <row r="5803" spans="7:14" ht="11.25" customHeight="1" x14ac:dyDescent="0.3">
      <c r="G5803" s="470"/>
      <c r="H5803" s="470">
        <v>5796</v>
      </c>
      <c r="I5803" s="455">
        <f t="shared" ca="1" si="195"/>
        <v>-1.119610835503471E+16</v>
      </c>
      <c r="J5803" s="455">
        <f t="array" ref="J5803">IFERROR(INDEX('Retirement Calculator'!K:K,MATCH('Lorri 401b'!N5803,'Retirement Calculator'!A:A,0),0),0)</f>
        <v>0</v>
      </c>
      <c r="K5803" s="455">
        <f t="shared" ca="1" si="193"/>
        <v>-46650451479311.289</v>
      </c>
      <c r="L5803" s="455">
        <f t="shared" ca="1" si="194"/>
        <v>-1.1242758806514022E+16</v>
      </c>
      <c r="M5803" s="471">
        <f t="shared" si="196"/>
        <v>0.05</v>
      </c>
      <c r="N5803" s="475">
        <f t="shared" si="197"/>
        <v>227668</v>
      </c>
    </row>
    <row r="5804" spans="7:14" ht="11.25" customHeight="1" x14ac:dyDescent="0.3">
      <c r="G5804" s="470"/>
      <c r="H5804" s="470">
        <v>5797</v>
      </c>
      <c r="I5804" s="455">
        <f t="shared" ca="1" si="195"/>
        <v>-1.1242758806514022E+16</v>
      </c>
      <c r="J5804" s="455">
        <f t="array" ref="J5804">IFERROR(INDEX('Retirement Calculator'!K:K,MATCH('Lorri 401b'!N5804,'Retirement Calculator'!A:A,0),0),0)</f>
        <v>0</v>
      </c>
      <c r="K5804" s="455">
        <f t="shared" ca="1" si="193"/>
        <v>-46844828360475.094</v>
      </c>
      <c r="L5804" s="455">
        <f t="shared" ca="1" si="194"/>
        <v>-1.1289603634874498E+16</v>
      </c>
      <c r="M5804" s="471">
        <f t="shared" si="196"/>
        <v>0.05</v>
      </c>
      <c r="N5804" s="475">
        <f t="shared" si="197"/>
        <v>227699</v>
      </c>
    </row>
    <row r="5805" spans="7:14" ht="11.25" customHeight="1" x14ac:dyDescent="0.3">
      <c r="G5805" s="470"/>
      <c r="H5805" s="470">
        <v>5798</v>
      </c>
      <c r="I5805" s="455">
        <f t="shared" ca="1" si="195"/>
        <v>-1.1289603634874498E+16</v>
      </c>
      <c r="J5805" s="455">
        <f t="array" ref="J5805">IFERROR(INDEX('Retirement Calculator'!K:K,MATCH('Lorri 401b'!N5805,'Retirement Calculator'!A:A,0),0),0)</f>
        <v>0</v>
      </c>
      <c r="K5805" s="455">
        <f t="shared" ca="1" si="193"/>
        <v>-47040015145310.406</v>
      </c>
      <c r="L5805" s="455">
        <f t="shared" ca="1" si="194"/>
        <v>-1.1336643650019808E+16</v>
      </c>
      <c r="M5805" s="471">
        <f t="shared" si="196"/>
        <v>0.05</v>
      </c>
      <c r="N5805" s="475">
        <f t="shared" si="197"/>
        <v>227729</v>
      </c>
    </row>
    <row r="5806" spans="7:14" ht="11.25" customHeight="1" x14ac:dyDescent="0.3">
      <c r="G5806" s="470"/>
      <c r="H5806" s="470">
        <v>5799</v>
      </c>
      <c r="I5806" s="455">
        <f t="shared" ca="1" si="195"/>
        <v>-1.1336643650019808E+16</v>
      </c>
      <c r="J5806" s="455">
        <f t="array" ref="J5806">IFERROR(INDEX('Retirement Calculator'!K:K,MATCH('Lorri 401b'!N5806,'Retirement Calculator'!A:A,0),0),0)</f>
        <v>0</v>
      </c>
      <c r="K5806" s="455">
        <f t="shared" ca="1" si="193"/>
        <v>-47236015208415.867</v>
      </c>
      <c r="L5806" s="455">
        <f t="shared" ca="1" si="194"/>
        <v>-1.1383879665228224E+16</v>
      </c>
      <c r="M5806" s="471">
        <f t="shared" si="196"/>
        <v>0.05</v>
      </c>
      <c r="N5806" s="475">
        <f t="shared" si="197"/>
        <v>227760</v>
      </c>
    </row>
    <row r="5807" spans="7:14" ht="11.25" customHeight="1" x14ac:dyDescent="0.3">
      <c r="G5807" s="470"/>
      <c r="H5807" s="470">
        <v>5800</v>
      </c>
      <c r="I5807" s="455">
        <f t="shared" ca="1" si="195"/>
        <v>-1.1383879665228224E+16</v>
      </c>
      <c r="J5807" s="455">
        <f t="array" ref="J5807">IFERROR(INDEX('Retirement Calculator'!K:K,MATCH('Lorri 401b'!N5807,'Retirement Calculator'!A:A,0),0),0)</f>
        <v>0</v>
      </c>
      <c r="K5807" s="455">
        <f t="shared" ca="1" si="193"/>
        <v>-47432831938450.93</v>
      </c>
      <c r="L5807" s="455">
        <f t="shared" ca="1" si="194"/>
        <v>-1.1431312497166674E+16</v>
      </c>
      <c r="M5807" s="471">
        <f t="shared" si="196"/>
        <v>0.05</v>
      </c>
      <c r="N5807" s="475">
        <f t="shared" si="197"/>
        <v>227791</v>
      </c>
    </row>
    <row r="5808" spans="7:14" ht="11.25" customHeight="1" x14ac:dyDescent="0.3">
      <c r="G5808" s="470"/>
      <c r="H5808" s="470">
        <v>5801</v>
      </c>
      <c r="I5808" s="455">
        <f t="shared" ca="1" si="195"/>
        <v>-1.1431312497166674E+16</v>
      </c>
      <c r="J5808" s="455">
        <f t="array" ref="J5808">IFERROR(INDEX('Retirement Calculator'!K:K,MATCH('Lorri 401b'!N5808,'Retirement Calculator'!A:A,0),0),0)</f>
        <v>0</v>
      </c>
      <c r="K5808" s="455">
        <f t="shared" ca="1" si="193"/>
        <v>-47630468738194.477</v>
      </c>
      <c r="L5808" s="455">
        <f t="shared" ca="1" si="194"/>
        <v>-1.1478942965904868E+16</v>
      </c>
      <c r="M5808" s="471">
        <f t="shared" si="196"/>
        <v>0.05</v>
      </c>
      <c r="N5808" s="475">
        <f t="shared" si="197"/>
        <v>227821</v>
      </c>
    </row>
    <row r="5809" spans="7:14" ht="11.25" customHeight="1" x14ac:dyDescent="0.3">
      <c r="G5809" s="470"/>
      <c r="H5809" s="470">
        <v>5802</v>
      </c>
      <c r="I5809" s="455">
        <f t="shared" ca="1" si="195"/>
        <v>-1.1478942965904868E+16</v>
      </c>
      <c r="J5809" s="455">
        <f t="array" ref="J5809">IFERROR(INDEX('Retirement Calculator'!K:K,MATCH('Lorri 401b'!N5809,'Retirement Calculator'!A:A,0),0),0)</f>
        <v>0</v>
      </c>
      <c r="K5809" s="455">
        <f t="shared" ca="1" si="193"/>
        <v>-47828929024603.617</v>
      </c>
      <c r="L5809" s="455">
        <f t="shared" ca="1" si="194"/>
        <v>-1.1526771894929472E+16</v>
      </c>
      <c r="M5809" s="471">
        <f t="shared" si="196"/>
        <v>0.05</v>
      </c>
      <c r="N5809" s="475">
        <f t="shared" si="197"/>
        <v>227852</v>
      </c>
    </row>
    <row r="5810" spans="7:14" ht="11.25" customHeight="1" x14ac:dyDescent="0.3">
      <c r="G5810" s="470"/>
      <c r="H5810" s="470">
        <v>5803</v>
      </c>
      <c r="I5810" s="455">
        <f t="shared" ca="1" si="195"/>
        <v>-1.1526771894929472E+16</v>
      </c>
      <c r="J5810" s="455">
        <f t="array" ref="J5810">IFERROR(INDEX('Retirement Calculator'!K:K,MATCH('Lorri 401b'!N5810,'Retirement Calculator'!A:A,0),0),0)</f>
        <v>0</v>
      </c>
      <c r="K5810" s="455">
        <f t="shared" ca="1" si="193"/>
        <v>-48028216228872.797</v>
      </c>
      <c r="L5810" s="455">
        <f t="shared" ca="1" si="194"/>
        <v>-1.1574800111158344E+16</v>
      </c>
      <c r="M5810" s="471">
        <f t="shared" si="196"/>
        <v>0.05</v>
      </c>
      <c r="N5810" s="475">
        <f t="shared" si="197"/>
        <v>227882</v>
      </c>
    </row>
    <row r="5811" spans="7:14" ht="11.25" customHeight="1" x14ac:dyDescent="0.3">
      <c r="G5811" s="470"/>
      <c r="H5811" s="470">
        <v>5804</v>
      </c>
      <c r="I5811" s="455">
        <f t="shared" ca="1" si="195"/>
        <v>-1.1574800111158344E+16</v>
      </c>
      <c r="J5811" s="455">
        <f t="array" ref="J5811">IFERROR(INDEX('Retirement Calculator'!K:K,MATCH('Lorri 401b'!N5811,'Retirement Calculator'!A:A,0),0),0)</f>
        <v>0</v>
      </c>
      <c r="K5811" s="455">
        <f t="shared" ca="1" si="193"/>
        <v>-48228333796493.102</v>
      </c>
      <c r="L5811" s="455">
        <f t="shared" ca="1" si="194"/>
        <v>-1.1623028444954838E+16</v>
      </c>
      <c r="M5811" s="471">
        <f t="shared" si="196"/>
        <v>0.05</v>
      </c>
      <c r="N5811" s="475">
        <f t="shared" si="197"/>
        <v>227913</v>
      </c>
    </row>
    <row r="5812" spans="7:14" ht="11.25" customHeight="1" x14ac:dyDescent="0.3">
      <c r="G5812" s="470"/>
      <c r="H5812" s="470">
        <v>5805</v>
      </c>
      <c r="I5812" s="455">
        <f t="shared" ca="1" si="195"/>
        <v>-1.1623028444954838E+16</v>
      </c>
      <c r="J5812" s="455">
        <f t="array" ref="J5812">IFERROR(INDEX('Retirement Calculator'!K:K,MATCH('Lorri 401b'!N5812,'Retirement Calculator'!A:A,0),0),0)</f>
        <v>0</v>
      </c>
      <c r="K5812" s="455">
        <f t="shared" ca="1" si="193"/>
        <v>-48429285187311.828</v>
      </c>
      <c r="L5812" s="455">
        <f t="shared" ca="1" si="194"/>
        <v>-1.167145773014215E+16</v>
      </c>
      <c r="M5812" s="471">
        <f t="shared" si="196"/>
        <v>0.05</v>
      </c>
      <c r="N5812" s="475">
        <f t="shared" si="197"/>
        <v>227944</v>
      </c>
    </row>
    <row r="5813" spans="7:14" ht="11.25" customHeight="1" x14ac:dyDescent="0.3">
      <c r="G5813" s="470"/>
      <c r="H5813" s="470">
        <v>5806</v>
      </c>
      <c r="I5813" s="455">
        <f t="shared" ca="1" si="195"/>
        <v>-1.167145773014215E+16</v>
      </c>
      <c r="J5813" s="455">
        <f t="array" ref="J5813">IFERROR(INDEX('Retirement Calculator'!K:K,MATCH('Lorri 401b'!N5813,'Retirement Calculator'!A:A,0),0),0)</f>
        <v>0</v>
      </c>
      <c r="K5813" s="455">
        <f t="shared" ca="1" si="193"/>
        <v>-48631073875592.289</v>
      </c>
      <c r="L5813" s="455">
        <f t="shared" ca="1" si="194"/>
        <v>-1.1720088804017742E+16</v>
      </c>
      <c r="M5813" s="471">
        <f t="shared" si="196"/>
        <v>0.05</v>
      </c>
      <c r="N5813" s="475">
        <f t="shared" si="197"/>
        <v>227973</v>
      </c>
    </row>
    <row r="5814" spans="7:14" ht="11.25" customHeight="1" x14ac:dyDescent="0.3">
      <c r="G5814" s="470"/>
      <c r="H5814" s="470">
        <v>5807</v>
      </c>
      <c r="I5814" s="455">
        <f t="shared" ca="1" si="195"/>
        <v>-1.1720088804017742E+16</v>
      </c>
      <c r="J5814" s="455">
        <f t="array" ref="J5814">IFERROR(INDEX('Retirement Calculator'!K:K,MATCH('Lorri 401b'!N5814,'Retirement Calculator'!A:A,0),0),0)</f>
        <v>0</v>
      </c>
      <c r="K5814" s="455">
        <f t="shared" ca="1" si="193"/>
        <v>-48833703350073.922</v>
      </c>
      <c r="L5814" s="455">
        <f t="shared" ca="1" si="194"/>
        <v>-1.1768922507367816E+16</v>
      </c>
      <c r="M5814" s="471">
        <f t="shared" si="196"/>
        <v>0.05</v>
      </c>
      <c r="N5814" s="475">
        <f t="shared" si="197"/>
        <v>228004</v>
      </c>
    </row>
    <row r="5815" spans="7:14" ht="11.25" customHeight="1" x14ac:dyDescent="0.3">
      <c r="G5815" s="470"/>
      <c r="H5815" s="470">
        <v>5808</v>
      </c>
      <c r="I5815" s="455">
        <f t="shared" ca="1" si="195"/>
        <v>-1.1768922507367816E+16</v>
      </c>
      <c r="J5815" s="455">
        <f t="array" ref="J5815">IFERROR(INDEX('Retirement Calculator'!K:K,MATCH('Lorri 401b'!N5815,'Retirement Calculator'!A:A,0),0),0)</f>
        <v>0</v>
      </c>
      <c r="K5815" s="455">
        <f t="shared" ca="1" si="193"/>
        <v>-49037177114032.563</v>
      </c>
      <c r="L5815" s="455">
        <f t="shared" ca="1" si="194"/>
        <v>-1.1817959684481848E+16</v>
      </c>
      <c r="M5815" s="471">
        <f t="shared" si="196"/>
        <v>0.05</v>
      </c>
      <c r="N5815" s="475">
        <f t="shared" si="197"/>
        <v>228034</v>
      </c>
    </row>
    <row r="5816" spans="7:14" ht="11.25" customHeight="1" x14ac:dyDescent="0.3">
      <c r="G5816" s="470"/>
      <c r="H5816" s="470">
        <v>5809</v>
      </c>
      <c r="I5816" s="455">
        <f t="shared" ca="1" si="195"/>
        <v>-1.1817959684481848E+16</v>
      </c>
      <c r="J5816" s="455">
        <f t="array" ref="J5816">IFERROR(INDEX('Retirement Calculator'!K:K,MATCH('Lorri 401b'!N5816,'Retirement Calculator'!A:A,0),0),0)</f>
        <v>0</v>
      </c>
      <c r="K5816" s="455">
        <f t="shared" ca="1" si="193"/>
        <v>-49241498685341.031</v>
      </c>
      <c r="L5816" s="455">
        <f t="shared" ca="1" si="194"/>
        <v>-1.186720118316719E+16</v>
      </c>
      <c r="M5816" s="471">
        <f t="shared" si="196"/>
        <v>0.05</v>
      </c>
      <c r="N5816" s="475">
        <f t="shared" si="197"/>
        <v>228065</v>
      </c>
    </row>
    <row r="5817" spans="7:14" ht="11.25" customHeight="1" x14ac:dyDescent="0.3">
      <c r="G5817" s="470"/>
      <c r="H5817" s="470">
        <v>5810</v>
      </c>
      <c r="I5817" s="455">
        <f t="shared" ca="1" si="195"/>
        <v>-1.186720118316719E+16</v>
      </c>
      <c r="J5817" s="455">
        <f t="array" ref="J5817">IFERROR(INDEX('Retirement Calculator'!K:K,MATCH('Lorri 401b'!N5817,'Retirement Calculator'!A:A,0),0),0)</f>
        <v>0</v>
      </c>
      <c r="K5817" s="455">
        <f t="shared" ca="1" si="193"/>
        <v>-49446671596529.961</v>
      </c>
      <c r="L5817" s="455">
        <f t="shared" ca="1" si="194"/>
        <v>-1.191664785476372E+16</v>
      </c>
      <c r="M5817" s="471">
        <f t="shared" si="196"/>
        <v>0.05</v>
      </c>
      <c r="N5817" s="475">
        <f t="shared" si="197"/>
        <v>228095</v>
      </c>
    </row>
    <row r="5818" spans="7:14" ht="11.25" customHeight="1" x14ac:dyDescent="0.3">
      <c r="G5818" s="470"/>
      <c r="H5818" s="470">
        <v>5811</v>
      </c>
      <c r="I5818" s="455">
        <f t="shared" ca="1" si="195"/>
        <v>-1.191664785476372E+16</v>
      </c>
      <c r="J5818" s="455">
        <f t="array" ref="J5818">IFERROR(INDEX('Retirement Calculator'!K:K,MATCH('Lorri 401b'!N5818,'Retirement Calculator'!A:A,0),0),0)</f>
        <v>0</v>
      </c>
      <c r="K5818" s="455">
        <f t="shared" ca="1" si="193"/>
        <v>-49652699394848.836</v>
      </c>
      <c r="L5818" s="455">
        <f t="shared" ca="1" si="194"/>
        <v>-1.1966300554158568E+16</v>
      </c>
      <c r="M5818" s="471">
        <f t="shared" si="196"/>
        <v>0.05</v>
      </c>
      <c r="N5818" s="475">
        <f t="shared" si="197"/>
        <v>228126</v>
      </c>
    </row>
    <row r="5819" spans="7:14" ht="11.25" customHeight="1" x14ac:dyDescent="0.3">
      <c r="G5819" s="470"/>
      <c r="H5819" s="470">
        <v>5812</v>
      </c>
      <c r="I5819" s="455">
        <f t="shared" ca="1" si="195"/>
        <v>-1.1966300554158568E+16</v>
      </c>
      <c r="J5819" s="455">
        <f t="array" ref="J5819">IFERROR(INDEX('Retirement Calculator'!K:K,MATCH('Lorri 401b'!N5819,'Retirement Calculator'!A:A,0),0),0)</f>
        <v>0</v>
      </c>
      <c r="K5819" s="455">
        <f t="shared" ca="1" si="193"/>
        <v>-49859585642327.367</v>
      </c>
      <c r="L5819" s="455">
        <f t="shared" ca="1" si="194"/>
        <v>-1.2016160139800896E+16</v>
      </c>
      <c r="M5819" s="471">
        <f t="shared" si="196"/>
        <v>0.05</v>
      </c>
      <c r="N5819" s="475">
        <f t="shared" si="197"/>
        <v>228157</v>
      </c>
    </row>
    <row r="5820" spans="7:14" ht="11.25" customHeight="1" x14ac:dyDescent="0.3">
      <c r="G5820" s="470"/>
      <c r="H5820" s="470">
        <v>5813</v>
      </c>
      <c r="I5820" s="455">
        <f t="shared" ca="1" si="195"/>
        <v>-1.2016160139800896E+16</v>
      </c>
      <c r="J5820" s="455">
        <f t="array" ref="J5820">IFERROR(INDEX('Retirement Calculator'!K:K,MATCH('Lorri 401b'!N5820,'Retirement Calculator'!A:A,0),0),0)</f>
        <v>0</v>
      </c>
      <c r="K5820" s="455">
        <f t="shared" ca="1" si="193"/>
        <v>-50067333915837.063</v>
      </c>
      <c r="L5820" s="455">
        <f t="shared" ca="1" si="194"/>
        <v>-1.2066227473716734E+16</v>
      </c>
      <c r="M5820" s="471">
        <f t="shared" si="196"/>
        <v>0.05</v>
      </c>
      <c r="N5820" s="475">
        <f t="shared" si="197"/>
        <v>228187</v>
      </c>
    </row>
    <row r="5821" spans="7:14" ht="11.25" customHeight="1" x14ac:dyDescent="0.3">
      <c r="G5821" s="470"/>
      <c r="H5821" s="470">
        <v>5814</v>
      </c>
      <c r="I5821" s="455">
        <f t="shared" ca="1" si="195"/>
        <v>-1.2066227473716734E+16</v>
      </c>
      <c r="J5821" s="455">
        <f t="array" ref="J5821">IFERROR(INDEX('Retirement Calculator'!K:K,MATCH('Lorri 401b'!N5821,'Retirement Calculator'!A:A,0),0),0)</f>
        <v>0</v>
      </c>
      <c r="K5821" s="455">
        <f t="shared" ca="1" si="193"/>
        <v>-50275947807153.055</v>
      </c>
      <c r="L5821" s="455">
        <f t="shared" ca="1" si="194"/>
        <v>-1.2116503421523888E+16</v>
      </c>
      <c r="M5821" s="471">
        <f t="shared" si="196"/>
        <v>0.05</v>
      </c>
      <c r="N5821" s="475">
        <f t="shared" si="197"/>
        <v>228218</v>
      </c>
    </row>
    <row r="5822" spans="7:14" ht="11.25" customHeight="1" x14ac:dyDescent="0.3">
      <c r="G5822" s="470"/>
      <c r="H5822" s="470">
        <v>5815</v>
      </c>
      <c r="I5822" s="455">
        <f t="shared" ca="1" si="195"/>
        <v>-1.2116503421523888E+16</v>
      </c>
      <c r="J5822" s="455">
        <f t="array" ref="J5822">IFERROR(INDEX('Retirement Calculator'!K:K,MATCH('Lorri 401b'!N5822,'Retirement Calculator'!A:A,0),0),0)</f>
        <v>0</v>
      </c>
      <c r="K5822" s="455">
        <f t="shared" ca="1" si="193"/>
        <v>-50485430923016.203</v>
      </c>
      <c r="L5822" s="455">
        <f t="shared" ca="1" si="194"/>
        <v>-1.2166988852446904E+16</v>
      </c>
      <c r="M5822" s="471">
        <f t="shared" si="196"/>
        <v>0.05</v>
      </c>
      <c r="N5822" s="475">
        <f t="shared" si="197"/>
        <v>228248</v>
      </c>
    </row>
    <row r="5823" spans="7:14" ht="11.25" customHeight="1" x14ac:dyDescent="0.3">
      <c r="G5823" s="470"/>
      <c r="H5823" s="470">
        <v>5816</v>
      </c>
      <c r="I5823" s="455">
        <f t="shared" ca="1" si="195"/>
        <v>-1.2166988852446904E+16</v>
      </c>
      <c r="J5823" s="455">
        <f t="array" ref="J5823">IFERROR(INDEX('Retirement Calculator'!K:K,MATCH('Lorri 401b'!N5823,'Retirement Calculator'!A:A,0),0),0)</f>
        <v>0</v>
      </c>
      <c r="K5823" s="455">
        <f t="shared" ca="1" si="193"/>
        <v>-50695786885195.43</v>
      </c>
      <c r="L5823" s="455">
        <f t="shared" ca="1" si="194"/>
        <v>-1.22176846393321E+16</v>
      </c>
      <c r="M5823" s="471">
        <f t="shared" si="196"/>
        <v>0.05</v>
      </c>
      <c r="N5823" s="475">
        <f t="shared" si="197"/>
        <v>228279</v>
      </c>
    </row>
    <row r="5824" spans="7:14" ht="11.25" customHeight="1" x14ac:dyDescent="0.3">
      <c r="G5824" s="470"/>
      <c r="H5824" s="470">
        <v>5817</v>
      </c>
      <c r="I5824" s="455">
        <f t="shared" ca="1" si="195"/>
        <v>-1.22176846393321E+16</v>
      </c>
      <c r="J5824" s="455">
        <f t="array" ref="J5824">IFERROR(INDEX('Retirement Calculator'!K:K,MATCH('Lorri 401b'!N5824,'Retirement Calculator'!A:A,0),0),0)</f>
        <v>0</v>
      </c>
      <c r="K5824" s="455">
        <f t="shared" ca="1" si="193"/>
        <v>-50907019330550.414</v>
      </c>
      <c r="L5824" s="455">
        <f t="shared" ca="1" si="194"/>
        <v>-1.226859165866265E+16</v>
      </c>
      <c r="M5824" s="471">
        <f t="shared" si="196"/>
        <v>0.05</v>
      </c>
      <c r="N5824" s="475">
        <f t="shared" si="197"/>
        <v>228310</v>
      </c>
    </row>
    <row r="5825" spans="7:14" ht="11.25" customHeight="1" x14ac:dyDescent="0.3">
      <c r="G5825" s="470"/>
      <c r="H5825" s="470">
        <v>5818</v>
      </c>
      <c r="I5825" s="455">
        <f t="shared" ca="1" si="195"/>
        <v>-1.226859165866265E+16</v>
      </c>
      <c r="J5825" s="455">
        <f t="array" ref="J5825">IFERROR(INDEX('Retirement Calculator'!K:K,MATCH('Lorri 401b'!N5825,'Retirement Calculator'!A:A,0),0),0)</f>
        <v>0</v>
      </c>
      <c r="K5825" s="455">
        <f t="shared" ca="1" si="193"/>
        <v>-51119131911094.375</v>
      </c>
      <c r="L5825" s="455">
        <f t="shared" ca="1" si="194"/>
        <v>-1.2319710790573744E+16</v>
      </c>
      <c r="M5825" s="471">
        <f t="shared" si="196"/>
        <v>0.05</v>
      </c>
      <c r="N5825" s="475">
        <f t="shared" si="197"/>
        <v>228338</v>
      </c>
    </row>
    <row r="5826" spans="7:14" ht="11.25" customHeight="1" x14ac:dyDescent="0.3">
      <c r="G5826" s="470"/>
      <c r="H5826" s="470">
        <v>5819</v>
      </c>
      <c r="I5826" s="455">
        <f t="shared" ca="1" si="195"/>
        <v>-1.2319710790573744E+16</v>
      </c>
      <c r="J5826" s="455">
        <f t="array" ref="J5826">IFERROR(INDEX('Retirement Calculator'!K:K,MATCH('Lorri 401b'!N5826,'Retirement Calculator'!A:A,0),0),0)</f>
        <v>0</v>
      </c>
      <c r="K5826" s="455">
        <f t="shared" ca="1" si="193"/>
        <v>-51332128294057.266</v>
      </c>
      <c r="L5826" s="455">
        <f t="shared" ca="1" si="194"/>
        <v>-1.2371042918867802E+16</v>
      </c>
      <c r="M5826" s="471">
        <f t="shared" si="196"/>
        <v>0.05</v>
      </c>
      <c r="N5826" s="475">
        <f t="shared" si="197"/>
        <v>228369</v>
      </c>
    </row>
    <row r="5827" spans="7:14" ht="11.25" customHeight="1" x14ac:dyDescent="0.3">
      <c r="G5827" s="470"/>
      <c r="H5827" s="470">
        <v>5820</v>
      </c>
      <c r="I5827" s="455">
        <f t="shared" ca="1" si="195"/>
        <v>-1.2371042918867802E+16</v>
      </c>
      <c r="J5827" s="455">
        <f t="array" ref="J5827">IFERROR(INDEX('Retirement Calculator'!K:K,MATCH('Lorri 401b'!N5827,'Retirement Calculator'!A:A,0),0),0)</f>
        <v>0</v>
      </c>
      <c r="K5827" s="455">
        <f t="shared" ca="1" si="193"/>
        <v>-51546012161949.172</v>
      </c>
      <c r="L5827" s="455">
        <f t="shared" ca="1" si="194"/>
        <v>-1.2422588931029752E+16</v>
      </c>
      <c r="M5827" s="471">
        <f t="shared" si="196"/>
        <v>0.05</v>
      </c>
      <c r="N5827" s="475">
        <f t="shared" si="197"/>
        <v>228399</v>
      </c>
    </row>
    <row r="5828" spans="7:14" ht="11.25" customHeight="1" x14ac:dyDescent="0.3">
      <c r="G5828" s="470"/>
      <c r="H5828" s="470">
        <v>5821</v>
      </c>
      <c r="I5828" s="455">
        <f t="shared" ca="1" si="195"/>
        <v>-1.2422588931029752E+16</v>
      </c>
      <c r="J5828" s="455">
        <f t="array" ref="J5828">IFERROR(INDEX('Retirement Calculator'!K:K,MATCH('Lorri 401b'!N5828,'Retirement Calculator'!A:A,0),0),0)</f>
        <v>0</v>
      </c>
      <c r="K5828" s="455">
        <f t="shared" ca="1" si="193"/>
        <v>-51760787212623.969</v>
      </c>
      <c r="L5828" s="455">
        <f t="shared" ca="1" si="194"/>
        <v>-1.2474349718242376E+16</v>
      </c>
      <c r="M5828" s="471">
        <f t="shared" si="196"/>
        <v>0.05</v>
      </c>
      <c r="N5828" s="475">
        <f t="shared" si="197"/>
        <v>228430</v>
      </c>
    </row>
    <row r="5829" spans="7:14" ht="11.25" customHeight="1" x14ac:dyDescent="0.3">
      <c r="G5829" s="470"/>
      <c r="H5829" s="470">
        <v>5822</v>
      </c>
      <c r="I5829" s="455">
        <f t="shared" ca="1" si="195"/>
        <v>-1.2474349718242376E+16</v>
      </c>
      <c r="J5829" s="455">
        <f t="array" ref="J5829">IFERROR(INDEX('Retirement Calculator'!K:K,MATCH('Lorri 401b'!N5829,'Retirement Calculator'!A:A,0),0),0)</f>
        <v>0</v>
      </c>
      <c r="K5829" s="455">
        <f t="shared" ca="1" si="193"/>
        <v>-51976457159343.234</v>
      </c>
      <c r="L5829" s="455">
        <f t="shared" ca="1" si="194"/>
        <v>-1.252632617540172E+16</v>
      </c>
      <c r="M5829" s="471">
        <f t="shared" si="196"/>
        <v>0.05</v>
      </c>
      <c r="N5829" s="475">
        <f t="shared" si="197"/>
        <v>228460</v>
      </c>
    </row>
    <row r="5830" spans="7:14" ht="11.25" customHeight="1" x14ac:dyDescent="0.3">
      <c r="G5830" s="470"/>
      <c r="H5830" s="470">
        <v>5823</v>
      </c>
      <c r="I5830" s="455">
        <f t="shared" ca="1" si="195"/>
        <v>-1.252632617540172E+16</v>
      </c>
      <c r="J5830" s="455">
        <f t="array" ref="J5830">IFERROR(INDEX('Retirement Calculator'!K:K,MATCH('Lorri 401b'!N5830,'Retirement Calculator'!A:A,0),0),0)</f>
        <v>0</v>
      </c>
      <c r="K5830" s="455">
        <f t="shared" ca="1" si="193"/>
        <v>-52193025730840.5</v>
      </c>
      <c r="L5830" s="455">
        <f t="shared" ca="1" si="194"/>
        <v>-1.257851920113256E+16</v>
      </c>
      <c r="M5830" s="471">
        <f t="shared" si="196"/>
        <v>0.05</v>
      </c>
      <c r="N5830" s="475">
        <f t="shared" si="197"/>
        <v>228491</v>
      </c>
    </row>
    <row r="5831" spans="7:14" ht="11.25" customHeight="1" x14ac:dyDescent="0.3">
      <c r="G5831" s="470"/>
      <c r="H5831" s="470">
        <v>5824</v>
      </c>
      <c r="I5831" s="455">
        <f t="shared" ca="1" si="195"/>
        <v>-1.257851920113256E+16</v>
      </c>
      <c r="J5831" s="455">
        <f t="array" ref="J5831">IFERROR(INDEX('Retirement Calculator'!K:K,MATCH('Lorri 401b'!N5831,'Retirement Calculator'!A:A,0),0),0)</f>
        <v>0</v>
      </c>
      <c r="K5831" s="455">
        <f t="shared" ca="1" si="193"/>
        <v>-52410496671385.664</v>
      </c>
      <c r="L5831" s="455">
        <f t="shared" ca="1" si="194"/>
        <v>-1.2630929697803946E+16</v>
      </c>
      <c r="M5831" s="471">
        <f t="shared" si="196"/>
        <v>0.05</v>
      </c>
      <c r="N5831" s="475">
        <f t="shared" si="197"/>
        <v>228522</v>
      </c>
    </row>
    <row r="5832" spans="7:14" ht="11.25" customHeight="1" x14ac:dyDescent="0.3">
      <c r="G5832" s="470"/>
      <c r="H5832" s="470">
        <v>5825</v>
      </c>
      <c r="I5832" s="455">
        <f t="shared" ca="1" si="195"/>
        <v>-1.2630929697803946E+16</v>
      </c>
      <c r="J5832" s="455">
        <f t="array" ref="J5832">IFERROR(INDEX('Retirement Calculator'!K:K,MATCH('Lorri 401b'!N5832,'Retirement Calculator'!A:A,0),0),0)</f>
        <v>0</v>
      </c>
      <c r="K5832" s="455">
        <f t="shared" ca="1" si="193"/>
        <v>-52628873740849.773</v>
      </c>
      <c r="L5832" s="455">
        <f t="shared" ca="1" si="194"/>
        <v>-1.2683558571544796E+16</v>
      </c>
      <c r="M5832" s="471">
        <f t="shared" si="196"/>
        <v>0.05</v>
      </c>
      <c r="N5832" s="475">
        <f t="shared" si="197"/>
        <v>228552</v>
      </c>
    </row>
    <row r="5833" spans="7:14" ht="11.25" customHeight="1" x14ac:dyDescent="0.3">
      <c r="G5833" s="470"/>
      <c r="H5833" s="470">
        <v>5826</v>
      </c>
      <c r="I5833" s="455">
        <f t="shared" ca="1" si="195"/>
        <v>-1.2683558571544796E+16</v>
      </c>
      <c r="J5833" s="455">
        <f t="array" ref="J5833">IFERROR(INDEX('Retirement Calculator'!K:K,MATCH('Lorri 401b'!N5833,'Retirement Calculator'!A:A,0),0),0)</f>
        <v>0</v>
      </c>
      <c r="K5833" s="455">
        <f t="shared" ca="1" si="193"/>
        <v>-52848160714769.984</v>
      </c>
      <c r="L5833" s="455">
        <f t="shared" ca="1" si="194"/>
        <v>-1.2736406732259566E+16</v>
      </c>
      <c r="M5833" s="471">
        <f t="shared" si="196"/>
        <v>0.05</v>
      </c>
      <c r="N5833" s="475">
        <f t="shared" si="197"/>
        <v>228583</v>
      </c>
    </row>
    <row r="5834" spans="7:14" ht="11.25" customHeight="1" x14ac:dyDescent="0.3">
      <c r="G5834" s="470"/>
      <c r="H5834" s="470">
        <v>5827</v>
      </c>
      <c r="I5834" s="455">
        <f t="shared" ca="1" si="195"/>
        <v>-1.2736406732259566E+16</v>
      </c>
      <c r="J5834" s="455">
        <f t="array" ref="J5834">IFERROR(INDEX('Retirement Calculator'!K:K,MATCH('Lorri 401b'!N5834,'Retirement Calculator'!A:A,0),0),0)</f>
        <v>0</v>
      </c>
      <c r="K5834" s="455">
        <f t="shared" ca="1" si="193"/>
        <v>-53068361384414.859</v>
      </c>
      <c r="L5834" s="455">
        <f t="shared" ca="1" si="194"/>
        <v>-1.278947509364398E+16</v>
      </c>
      <c r="M5834" s="471">
        <f t="shared" si="196"/>
        <v>0.05</v>
      </c>
      <c r="N5834" s="475">
        <f t="shared" si="197"/>
        <v>228613</v>
      </c>
    </row>
    <row r="5835" spans="7:14" ht="11.25" customHeight="1" x14ac:dyDescent="0.3">
      <c r="G5835" s="470"/>
      <c r="H5835" s="470">
        <v>5828</v>
      </c>
      <c r="I5835" s="455">
        <f t="shared" ca="1" si="195"/>
        <v>-1.278947509364398E+16</v>
      </c>
      <c r="J5835" s="455">
        <f t="array" ref="J5835">IFERROR(INDEX('Retirement Calculator'!K:K,MATCH('Lorri 401b'!N5835,'Retirement Calculator'!A:A,0),0),0)</f>
        <v>0</v>
      </c>
      <c r="K5835" s="455">
        <f t="shared" ca="1" si="193"/>
        <v>-53289479556849.914</v>
      </c>
      <c r="L5835" s="455">
        <f t="shared" ca="1" si="194"/>
        <v>-1.284276457320083E+16</v>
      </c>
      <c r="M5835" s="471">
        <f t="shared" si="196"/>
        <v>0.05</v>
      </c>
      <c r="N5835" s="475">
        <f t="shared" si="197"/>
        <v>228644</v>
      </c>
    </row>
    <row r="5836" spans="7:14" ht="11.25" customHeight="1" x14ac:dyDescent="0.3">
      <c r="G5836" s="470"/>
      <c r="H5836" s="470">
        <v>5829</v>
      </c>
      <c r="I5836" s="455">
        <f t="shared" ca="1" si="195"/>
        <v>-1.284276457320083E+16</v>
      </c>
      <c r="J5836" s="455">
        <f t="array" ref="J5836">IFERROR(INDEX('Retirement Calculator'!K:K,MATCH('Lorri 401b'!N5836,'Retirement Calculator'!A:A,0),0),0)</f>
        <v>0</v>
      </c>
      <c r="K5836" s="455">
        <f t="shared" ca="1" si="193"/>
        <v>-53511519055003.461</v>
      </c>
      <c r="L5836" s="455">
        <f t="shared" ca="1" si="194"/>
        <v>-1.2896276092255834E+16</v>
      </c>
      <c r="M5836" s="471">
        <f t="shared" si="196"/>
        <v>0.05</v>
      </c>
      <c r="N5836" s="475">
        <f t="shared" si="197"/>
        <v>228675</v>
      </c>
    </row>
    <row r="5837" spans="7:14" ht="11.25" customHeight="1" x14ac:dyDescent="0.3">
      <c r="G5837" s="470"/>
      <c r="H5837" s="470">
        <v>5830</v>
      </c>
      <c r="I5837" s="455">
        <f t="shared" ca="1" si="195"/>
        <v>-1.2896276092255834E+16</v>
      </c>
      <c r="J5837" s="455">
        <f t="array" ref="J5837">IFERROR(INDEX('Retirement Calculator'!K:K,MATCH('Lorri 401b'!N5837,'Retirement Calculator'!A:A,0),0),0)</f>
        <v>0</v>
      </c>
      <c r="K5837" s="455">
        <f t="shared" ca="1" si="193"/>
        <v>-53734483717732.641</v>
      </c>
      <c r="L5837" s="455">
        <f t="shared" ca="1" si="194"/>
        <v>-1.2950010575973566E+16</v>
      </c>
      <c r="M5837" s="471">
        <f t="shared" si="196"/>
        <v>0.05</v>
      </c>
      <c r="N5837" s="475">
        <f t="shared" si="197"/>
        <v>228703</v>
      </c>
    </row>
    <row r="5838" spans="7:14" ht="11.25" customHeight="1" x14ac:dyDescent="0.3">
      <c r="G5838" s="470"/>
      <c r="H5838" s="470">
        <v>5831</v>
      </c>
      <c r="I5838" s="455">
        <f t="shared" ca="1" si="195"/>
        <v>-1.2950010575973566E+16</v>
      </c>
      <c r="J5838" s="455">
        <f t="array" ref="J5838">IFERROR(INDEX('Retirement Calculator'!K:K,MATCH('Lorri 401b'!N5838,'Retirement Calculator'!A:A,0),0),0)</f>
        <v>0</v>
      </c>
      <c r="K5838" s="455">
        <f t="shared" ca="1" si="193"/>
        <v>-53958377399889.859</v>
      </c>
      <c r="L5838" s="455">
        <f t="shared" ca="1" si="194"/>
        <v>-1.3003968953373456E+16</v>
      </c>
      <c r="M5838" s="471">
        <f t="shared" si="196"/>
        <v>0.05</v>
      </c>
      <c r="N5838" s="475">
        <f t="shared" si="197"/>
        <v>228734</v>
      </c>
    </row>
    <row r="5839" spans="7:14" ht="11.25" customHeight="1" x14ac:dyDescent="0.3">
      <c r="G5839" s="470"/>
      <c r="H5839" s="470">
        <v>5832</v>
      </c>
      <c r="I5839" s="455">
        <f t="shared" ca="1" si="195"/>
        <v>-1.3003968953373456E+16</v>
      </c>
      <c r="J5839" s="455">
        <f t="array" ref="J5839">IFERROR(INDEX('Retirement Calculator'!K:K,MATCH('Lorri 401b'!N5839,'Retirement Calculator'!A:A,0),0),0)</f>
        <v>0</v>
      </c>
      <c r="K5839" s="455">
        <f t="shared" ca="1" si="193"/>
        <v>-54183203972389.398</v>
      </c>
      <c r="L5839" s="455">
        <f t="shared" ca="1" si="194"/>
        <v>-1.3058152157345846E+16</v>
      </c>
      <c r="M5839" s="471">
        <f t="shared" si="196"/>
        <v>0.05</v>
      </c>
      <c r="N5839" s="475">
        <f t="shared" si="197"/>
        <v>228764</v>
      </c>
    </row>
    <row r="5840" spans="7:14" ht="11.25" customHeight="1" x14ac:dyDescent="0.3">
      <c r="G5840" s="470"/>
      <c r="H5840" s="470">
        <v>5833</v>
      </c>
      <c r="I5840" s="455">
        <f t="shared" ca="1" si="195"/>
        <v>-1.3058152157345846E+16</v>
      </c>
      <c r="J5840" s="455">
        <f t="array" ref="J5840">IFERROR(INDEX('Retirement Calculator'!K:K,MATCH('Lorri 401b'!N5840,'Retirement Calculator'!A:A,0),0),0)</f>
        <v>0</v>
      </c>
      <c r="K5840" s="455">
        <f t="shared" ca="1" si="193"/>
        <v>-54408967322274.359</v>
      </c>
      <c r="L5840" s="455">
        <f t="shared" ca="1" si="194"/>
        <v>-1.311256112466812E+16</v>
      </c>
      <c r="M5840" s="471">
        <f t="shared" si="196"/>
        <v>0.05</v>
      </c>
      <c r="N5840" s="475">
        <f t="shared" si="197"/>
        <v>228795</v>
      </c>
    </row>
    <row r="5841" spans="7:14" ht="11.25" customHeight="1" x14ac:dyDescent="0.3">
      <c r="G5841" s="470"/>
      <c r="H5841" s="470">
        <v>5834</v>
      </c>
      <c r="I5841" s="455">
        <f t="shared" ca="1" si="195"/>
        <v>-1.311256112466812E+16</v>
      </c>
      <c r="J5841" s="455">
        <f t="array" ref="J5841">IFERROR(INDEX('Retirement Calculator'!K:K,MATCH('Lorri 401b'!N5841,'Retirement Calculator'!A:A,0),0),0)</f>
        <v>0</v>
      </c>
      <c r="K5841" s="455">
        <f t="shared" ca="1" si="193"/>
        <v>-54635671352783.836</v>
      </c>
      <c r="L5841" s="455">
        <f t="shared" ca="1" si="194"/>
        <v>-1.3167196796020904E+16</v>
      </c>
      <c r="M5841" s="471">
        <f t="shared" si="196"/>
        <v>0.05</v>
      </c>
      <c r="N5841" s="475">
        <f t="shared" si="197"/>
        <v>228825</v>
      </c>
    </row>
    <row r="5842" spans="7:14" ht="11.25" customHeight="1" x14ac:dyDescent="0.3">
      <c r="G5842" s="470"/>
      <c r="H5842" s="470">
        <v>5835</v>
      </c>
      <c r="I5842" s="455">
        <f t="shared" ca="1" si="195"/>
        <v>-1.3167196796020904E+16</v>
      </c>
      <c r="J5842" s="455">
        <f t="array" ref="J5842">IFERROR(INDEX('Retirement Calculator'!K:K,MATCH('Lorri 401b'!N5842,'Retirement Calculator'!A:A,0),0),0)</f>
        <v>0</v>
      </c>
      <c r="K5842" s="455">
        <f t="shared" ca="1" si="193"/>
        <v>-54863319983420.43</v>
      </c>
      <c r="L5842" s="455">
        <f t="shared" ca="1" si="194"/>
        <v>-1.3222060116004324E+16</v>
      </c>
      <c r="M5842" s="471">
        <f t="shared" si="196"/>
        <v>0.05</v>
      </c>
      <c r="N5842" s="475">
        <f t="shared" si="197"/>
        <v>228856</v>
      </c>
    </row>
    <row r="5843" spans="7:14" ht="11.25" customHeight="1" x14ac:dyDescent="0.3">
      <c r="G5843" s="470"/>
      <c r="H5843" s="470">
        <v>5836</v>
      </c>
      <c r="I5843" s="455">
        <f t="shared" ca="1" si="195"/>
        <v>-1.3222060116004324E+16</v>
      </c>
      <c r="J5843" s="455">
        <f t="array" ref="J5843">IFERROR(INDEX('Retirement Calculator'!K:K,MATCH('Lorri 401b'!N5843,'Retirement Calculator'!A:A,0),0),0)</f>
        <v>0</v>
      </c>
      <c r="K5843" s="455">
        <f t="shared" ca="1" si="193"/>
        <v>-55091917150018.016</v>
      </c>
      <c r="L5843" s="455">
        <f t="shared" ca="1" si="194"/>
        <v>-1.3277152033154342E+16</v>
      </c>
      <c r="M5843" s="471">
        <f t="shared" si="196"/>
        <v>0.05</v>
      </c>
      <c r="N5843" s="475">
        <f t="shared" si="197"/>
        <v>228887</v>
      </c>
    </row>
    <row r="5844" spans="7:14" ht="11.25" customHeight="1" x14ac:dyDescent="0.3">
      <c r="G5844" s="470"/>
      <c r="H5844" s="470">
        <v>5837</v>
      </c>
      <c r="I5844" s="455">
        <f t="shared" ca="1" si="195"/>
        <v>-1.3277152033154342E+16</v>
      </c>
      <c r="J5844" s="455">
        <f t="array" ref="J5844">IFERROR(INDEX('Retirement Calculator'!K:K,MATCH('Lorri 401b'!N5844,'Retirement Calculator'!A:A,0),0),0)</f>
        <v>0</v>
      </c>
      <c r="K5844" s="455">
        <f t="shared" ca="1" si="193"/>
        <v>-55321466804809.758</v>
      </c>
      <c r="L5844" s="455">
        <f t="shared" ca="1" si="194"/>
        <v>-1.3332473499959152E+16</v>
      </c>
      <c r="M5844" s="471">
        <f t="shared" si="196"/>
        <v>0.05</v>
      </c>
      <c r="N5844" s="475">
        <f t="shared" si="197"/>
        <v>228917</v>
      </c>
    </row>
    <row r="5845" spans="7:14" ht="11.25" customHeight="1" x14ac:dyDescent="0.3">
      <c r="G5845" s="470"/>
      <c r="H5845" s="470">
        <v>5838</v>
      </c>
      <c r="I5845" s="455">
        <f t="shared" ca="1" si="195"/>
        <v>-1.3332473499959152E+16</v>
      </c>
      <c r="J5845" s="455">
        <f t="array" ref="J5845">IFERROR(INDEX('Retirement Calculator'!K:K,MATCH('Lorri 401b'!N5845,'Retirement Calculator'!A:A,0),0),0)</f>
        <v>0</v>
      </c>
      <c r="K5845" s="455">
        <f t="shared" ca="1" si="193"/>
        <v>-55551972916496.469</v>
      </c>
      <c r="L5845" s="455">
        <f t="shared" ca="1" si="194"/>
        <v>-1.3388025472875648E+16</v>
      </c>
      <c r="M5845" s="471">
        <f t="shared" si="196"/>
        <v>0.05</v>
      </c>
      <c r="N5845" s="475">
        <f t="shared" si="197"/>
        <v>228948</v>
      </c>
    </row>
    <row r="5846" spans="7:14" ht="11.25" customHeight="1" x14ac:dyDescent="0.3">
      <c r="G5846" s="470"/>
      <c r="H5846" s="470">
        <v>5839</v>
      </c>
      <c r="I5846" s="455">
        <f t="shared" ca="1" si="195"/>
        <v>-1.3388025472875648E+16</v>
      </c>
      <c r="J5846" s="455">
        <f t="array" ref="J5846">IFERROR(INDEX('Retirement Calculator'!K:K,MATCH('Lorri 401b'!N5846,'Retirement Calculator'!A:A,0),0),0)</f>
        <v>0</v>
      </c>
      <c r="K5846" s="455">
        <f t="shared" ca="1" si="193"/>
        <v>-55783439470315.203</v>
      </c>
      <c r="L5846" s="455">
        <f t="shared" ca="1" si="194"/>
        <v>-1.3443808912345964E+16</v>
      </c>
      <c r="M5846" s="471">
        <f t="shared" si="196"/>
        <v>0.05</v>
      </c>
      <c r="N5846" s="475">
        <f t="shared" si="197"/>
        <v>228978</v>
      </c>
    </row>
    <row r="5847" spans="7:14" ht="11.25" customHeight="1" x14ac:dyDescent="0.3">
      <c r="G5847" s="470"/>
      <c r="H5847" s="470">
        <v>5840</v>
      </c>
      <c r="I5847" s="455">
        <f t="shared" ca="1" si="195"/>
        <v>-1.3443808912345964E+16</v>
      </c>
      <c r="J5847" s="455">
        <f t="array" ref="J5847">IFERROR(INDEX('Retirement Calculator'!K:K,MATCH('Lorri 401b'!N5847,'Retirement Calculator'!A:A,0),0),0)</f>
        <v>0</v>
      </c>
      <c r="K5847" s="455">
        <f t="shared" ca="1" si="193"/>
        <v>-56015870468108.18</v>
      </c>
      <c r="L5847" s="455">
        <f t="shared" ca="1" si="194"/>
        <v>-1.3499824782814072E+16</v>
      </c>
      <c r="M5847" s="471">
        <f t="shared" si="196"/>
        <v>0.05</v>
      </c>
      <c r="N5847" s="475">
        <f t="shared" si="197"/>
        <v>229009</v>
      </c>
    </row>
    <row r="5848" spans="7:14" ht="11.25" customHeight="1" x14ac:dyDescent="0.3">
      <c r="G5848" s="470"/>
      <c r="H5848" s="470">
        <v>5841</v>
      </c>
      <c r="I5848" s="455">
        <f t="shared" ca="1" si="195"/>
        <v>-1.3499824782814072E+16</v>
      </c>
      <c r="J5848" s="455">
        <f t="array" ref="J5848">IFERROR(INDEX('Retirement Calculator'!K:K,MATCH('Lorri 401b'!N5848,'Retirement Calculator'!A:A,0),0),0)</f>
        <v>0</v>
      </c>
      <c r="K5848" s="455">
        <f t="shared" ca="1" si="193"/>
        <v>-56249269928391.969</v>
      </c>
      <c r="L5848" s="455">
        <f t="shared" ca="1" si="194"/>
        <v>-1.3556074052742464E+16</v>
      </c>
      <c r="M5848" s="471">
        <f t="shared" si="196"/>
        <v>0.05</v>
      </c>
      <c r="N5848" s="475">
        <f t="shared" si="197"/>
        <v>229040</v>
      </c>
    </row>
    <row r="5849" spans="7:14" ht="11.25" customHeight="1" x14ac:dyDescent="0.3">
      <c r="G5849" s="470"/>
      <c r="H5849" s="470">
        <v>5842</v>
      </c>
      <c r="I5849" s="455">
        <f t="shared" ca="1" si="195"/>
        <v>-1.3556074052742464E+16</v>
      </c>
      <c r="J5849" s="455">
        <f t="array" ref="J5849">IFERROR(INDEX('Retirement Calculator'!K:K,MATCH('Lorri 401b'!N5849,'Retirement Calculator'!A:A,0),0),0)</f>
        <v>0</v>
      </c>
      <c r="K5849" s="455">
        <f t="shared" ca="1" si="193"/>
        <v>-56483641886426.93</v>
      </c>
      <c r="L5849" s="455">
        <f t="shared" ca="1" si="194"/>
        <v>-1.361255769462889E+16</v>
      </c>
      <c r="M5849" s="471">
        <f t="shared" si="196"/>
        <v>0.05</v>
      </c>
      <c r="N5849" s="475">
        <f t="shared" si="197"/>
        <v>229068</v>
      </c>
    </row>
    <row r="5850" spans="7:14" ht="11.25" customHeight="1" x14ac:dyDescent="0.3">
      <c r="G5850" s="470"/>
      <c r="H5850" s="470">
        <v>5843</v>
      </c>
      <c r="I5850" s="455">
        <f t="shared" ca="1" si="195"/>
        <v>-1.361255769462889E+16</v>
      </c>
      <c r="J5850" s="455">
        <f t="array" ref="J5850">IFERROR(INDEX('Retirement Calculator'!K:K,MATCH('Lorri 401b'!N5850,'Retirement Calculator'!A:A,0),0),0)</f>
        <v>0</v>
      </c>
      <c r="K5850" s="455">
        <f t="shared" ca="1" si="193"/>
        <v>-56718990394287.039</v>
      </c>
      <c r="L5850" s="455">
        <f t="shared" ca="1" si="194"/>
        <v>-1.3669276685023178E+16</v>
      </c>
      <c r="M5850" s="471">
        <f t="shared" si="196"/>
        <v>0.05</v>
      </c>
      <c r="N5850" s="475">
        <f t="shared" si="197"/>
        <v>229099</v>
      </c>
    </row>
    <row r="5851" spans="7:14" ht="11.25" customHeight="1" x14ac:dyDescent="0.3">
      <c r="G5851" s="470"/>
      <c r="H5851" s="470">
        <v>5844</v>
      </c>
      <c r="I5851" s="455">
        <f t="shared" ca="1" si="195"/>
        <v>-1.3669276685023178E+16</v>
      </c>
      <c r="J5851" s="455">
        <f t="array" ref="J5851">IFERROR(INDEX('Retirement Calculator'!K:K,MATCH('Lorri 401b'!N5851,'Retirement Calculator'!A:A,0),0),0)</f>
        <v>0</v>
      </c>
      <c r="K5851" s="455">
        <f t="shared" ca="1" si="193"/>
        <v>-56955319520929.906</v>
      </c>
      <c r="L5851" s="455">
        <f t="shared" ca="1" si="194"/>
        <v>-1.3726232004544108E+16</v>
      </c>
      <c r="M5851" s="471">
        <f t="shared" si="196"/>
        <v>0.05</v>
      </c>
      <c r="N5851" s="475">
        <f t="shared" si="197"/>
        <v>229129</v>
      </c>
    </row>
    <row r="5852" spans="7:14" ht="11.25" customHeight="1" x14ac:dyDescent="0.3">
      <c r="G5852" s="470"/>
      <c r="H5852" s="470">
        <v>5845</v>
      </c>
      <c r="I5852" s="455">
        <f t="shared" ca="1" si="195"/>
        <v>-1.3726232004544108E+16</v>
      </c>
      <c r="J5852" s="455">
        <f t="array" ref="J5852">IFERROR(INDEX('Retirement Calculator'!K:K,MATCH('Lorri 401b'!N5852,'Retirement Calculator'!A:A,0),0),0)</f>
        <v>0</v>
      </c>
      <c r="K5852" s="455">
        <f t="shared" ca="1" si="193"/>
        <v>-57192633352267.117</v>
      </c>
      <c r="L5852" s="455">
        <f t="shared" ca="1" si="194"/>
        <v>-1.3783424637896376E+16</v>
      </c>
      <c r="M5852" s="471">
        <f t="shared" si="196"/>
        <v>0.05</v>
      </c>
      <c r="N5852" s="475">
        <f t="shared" si="197"/>
        <v>229160</v>
      </c>
    </row>
    <row r="5853" spans="7:14" ht="11.25" customHeight="1" x14ac:dyDescent="0.3">
      <c r="G5853" s="470"/>
      <c r="H5853" s="470">
        <v>5846</v>
      </c>
      <c r="I5853" s="455">
        <f t="shared" ca="1" si="195"/>
        <v>-1.3783424637896376E+16</v>
      </c>
      <c r="J5853" s="455">
        <f t="array" ref="J5853">IFERROR(INDEX('Retirement Calculator'!K:K,MATCH('Lorri 401b'!N5853,'Retirement Calculator'!A:A,0),0),0)</f>
        <v>0</v>
      </c>
      <c r="K5853" s="455">
        <f t="shared" ca="1" si="193"/>
        <v>-57430935991234.898</v>
      </c>
      <c r="L5853" s="455">
        <f t="shared" ca="1" si="194"/>
        <v>-1.384085557388761E+16</v>
      </c>
      <c r="M5853" s="471">
        <f t="shared" si="196"/>
        <v>0.05</v>
      </c>
      <c r="N5853" s="475">
        <f t="shared" si="197"/>
        <v>229190</v>
      </c>
    </row>
    <row r="5854" spans="7:14" ht="11.25" customHeight="1" x14ac:dyDescent="0.3">
      <c r="G5854" s="470"/>
      <c r="H5854" s="470">
        <v>5847</v>
      </c>
      <c r="I5854" s="455">
        <f t="shared" ca="1" si="195"/>
        <v>-1.384085557388761E+16</v>
      </c>
      <c r="J5854" s="455">
        <f t="array" ref="J5854">IFERROR(INDEX('Retirement Calculator'!K:K,MATCH('Lorri 401b'!N5854,'Retirement Calculator'!A:A,0),0),0)</f>
        <v>0</v>
      </c>
      <c r="K5854" s="455">
        <f t="shared" ca="1" si="193"/>
        <v>-57670231557865.039</v>
      </c>
      <c r="L5854" s="455">
        <f t="shared" ca="1" si="194"/>
        <v>-1.3898525805445476E+16</v>
      </c>
      <c r="M5854" s="471">
        <f t="shared" si="196"/>
        <v>0.05</v>
      </c>
      <c r="N5854" s="475">
        <f t="shared" si="197"/>
        <v>229221</v>
      </c>
    </row>
    <row r="5855" spans="7:14" ht="11.25" customHeight="1" x14ac:dyDescent="0.3">
      <c r="G5855" s="470"/>
      <c r="H5855" s="470">
        <v>5848</v>
      </c>
      <c r="I5855" s="455">
        <f t="shared" ca="1" si="195"/>
        <v>-1.3898525805445476E+16</v>
      </c>
      <c r="J5855" s="455">
        <f t="array" ref="J5855">IFERROR(INDEX('Retirement Calculator'!K:K,MATCH('Lorri 401b'!N5855,'Retirement Calculator'!A:A,0),0),0)</f>
        <v>0</v>
      </c>
      <c r="K5855" s="455">
        <f t="shared" ca="1" si="193"/>
        <v>-57910524189356.148</v>
      </c>
      <c r="L5855" s="455">
        <f t="shared" ca="1" si="194"/>
        <v>-1.3956436329634832E+16</v>
      </c>
      <c r="M5855" s="471">
        <f t="shared" si="196"/>
        <v>0.05</v>
      </c>
      <c r="N5855" s="475">
        <f t="shared" si="197"/>
        <v>229252</v>
      </c>
    </row>
    <row r="5856" spans="7:14" ht="11.25" customHeight="1" x14ac:dyDescent="0.3">
      <c r="G5856" s="470"/>
      <c r="H5856" s="470">
        <v>5849</v>
      </c>
      <c r="I5856" s="455">
        <f t="shared" ca="1" si="195"/>
        <v>-1.3956436329634832E+16</v>
      </c>
      <c r="J5856" s="455">
        <f t="array" ref="J5856">IFERROR(INDEX('Retirement Calculator'!K:K,MATCH('Lorri 401b'!N5856,'Retirement Calculator'!A:A,0),0),0)</f>
        <v>0</v>
      </c>
      <c r="K5856" s="455">
        <f t="shared" ca="1" si="193"/>
        <v>-58151818040145.133</v>
      </c>
      <c r="L5856" s="455">
        <f t="shared" ca="1" si="194"/>
        <v>-1.4014588147674978E+16</v>
      </c>
      <c r="M5856" s="471">
        <f t="shared" si="196"/>
        <v>0.05</v>
      </c>
      <c r="N5856" s="475">
        <f t="shared" si="197"/>
        <v>229282</v>
      </c>
    </row>
    <row r="5857" spans="7:14" ht="11.25" customHeight="1" x14ac:dyDescent="0.3">
      <c r="G5857" s="470"/>
      <c r="H5857" s="470">
        <v>5850</v>
      </c>
      <c r="I5857" s="455">
        <f t="shared" ca="1" si="195"/>
        <v>-1.4014588147674978E+16</v>
      </c>
      <c r="J5857" s="455">
        <f t="array" ref="J5857">IFERROR(INDEX('Retirement Calculator'!K:K,MATCH('Lorri 401b'!N5857,'Retirement Calculator'!A:A,0),0),0)</f>
        <v>0</v>
      </c>
      <c r="K5857" s="455">
        <f t="shared" ca="1" si="193"/>
        <v>-58394117281979.07</v>
      </c>
      <c r="L5857" s="455">
        <f t="shared" ca="1" si="194"/>
        <v>-1.4072982264956958E+16</v>
      </c>
      <c r="M5857" s="471">
        <f t="shared" si="196"/>
        <v>0.05</v>
      </c>
      <c r="N5857" s="475">
        <f t="shared" si="197"/>
        <v>229313</v>
      </c>
    </row>
    <row r="5858" spans="7:14" ht="11.25" customHeight="1" x14ac:dyDescent="0.3">
      <c r="G5858" s="470"/>
      <c r="H5858" s="470">
        <v>5851</v>
      </c>
      <c r="I5858" s="455">
        <f t="shared" ca="1" si="195"/>
        <v>-1.4072982264956958E+16</v>
      </c>
      <c r="J5858" s="455">
        <f t="array" ref="J5858">IFERROR(INDEX('Retirement Calculator'!K:K,MATCH('Lorri 401b'!N5858,'Retirement Calculator'!A:A,0),0),0)</f>
        <v>0</v>
      </c>
      <c r="K5858" s="455">
        <f t="shared" ca="1" si="193"/>
        <v>-58637426103987.32</v>
      </c>
      <c r="L5858" s="455">
        <f t="shared" ca="1" si="194"/>
        <v>-1.4131619691060946E+16</v>
      </c>
      <c r="M5858" s="471">
        <f t="shared" si="196"/>
        <v>0.05</v>
      </c>
      <c r="N5858" s="475">
        <f t="shared" si="197"/>
        <v>229343</v>
      </c>
    </row>
    <row r="5859" spans="7:14" ht="11.25" customHeight="1" x14ac:dyDescent="0.3">
      <c r="G5859" s="470"/>
      <c r="H5859" s="470">
        <v>5852</v>
      </c>
      <c r="I5859" s="455">
        <f t="shared" ca="1" si="195"/>
        <v>-1.4131619691060946E+16</v>
      </c>
      <c r="J5859" s="455">
        <f t="array" ref="J5859">IFERROR(INDEX('Retirement Calculator'!K:K,MATCH('Lorri 401b'!N5859,'Retirement Calculator'!A:A,0),0),0)</f>
        <v>0</v>
      </c>
      <c r="K5859" s="455">
        <f t="shared" ca="1" si="193"/>
        <v>-58881748712753.938</v>
      </c>
      <c r="L5859" s="455">
        <f t="shared" ca="1" si="194"/>
        <v>-1.41905014397737E+16</v>
      </c>
      <c r="M5859" s="471">
        <f t="shared" si="196"/>
        <v>0.05</v>
      </c>
      <c r="N5859" s="475">
        <f t="shared" si="197"/>
        <v>229374</v>
      </c>
    </row>
    <row r="5860" spans="7:14" ht="11.25" customHeight="1" x14ac:dyDescent="0.3">
      <c r="G5860" s="470"/>
      <c r="H5860" s="470">
        <v>5853</v>
      </c>
      <c r="I5860" s="455">
        <f t="shared" ca="1" si="195"/>
        <v>-1.41905014397737E+16</v>
      </c>
      <c r="J5860" s="455">
        <f t="array" ref="J5860">IFERROR(INDEX('Retirement Calculator'!K:K,MATCH('Lorri 401b'!N5860,'Retirement Calculator'!A:A,0),0),0)</f>
        <v>0</v>
      </c>
      <c r="K5860" s="455">
        <f t="shared" ca="1" si="193"/>
        <v>-59127089332390.422</v>
      </c>
      <c r="L5860" s="455">
        <f t="shared" ca="1" si="194"/>
        <v>-1.424962852910609E+16</v>
      </c>
      <c r="M5860" s="471">
        <f t="shared" si="196"/>
        <v>0.05</v>
      </c>
      <c r="N5860" s="475">
        <f t="shared" si="197"/>
        <v>229405</v>
      </c>
    </row>
    <row r="5861" spans="7:14" ht="11.25" customHeight="1" x14ac:dyDescent="0.3">
      <c r="G5861" s="470"/>
      <c r="H5861" s="470">
        <v>5854</v>
      </c>
      <c r="I5861" s="455">
        <f t="shared" ca="1" si="195"/>
        <v>-1.424962852910609E+16</v>
      </c>
      <c r="J5861" s="455">
        <f t="array" ref="J5861">IFERROR(INDEX('Retirement Calculator'!K:K,MATCH('Lorri 401b'!N5861,'Retirement Calculator'!A:A,0),0),0)</f>
        <v>0</v>
      </c>
      <c r="K5861" s="455">
        <f t="shared" ca="1" si="193"/>
        <v>-59373452204608.711</v>
      </c>
      <c r="L5861" s="455">
        <f t="shared" ca="1" si="194"/>
        <v>-1.4309001981310698E+16</v>
      </c>
      <c r="M5861" s="471">
        <f t="shared" si="196"/>
        <v>0.05</v>
      </c>
      <c r="N5861" s="475">
        <f t="shared" si="197"/>
        <v>229434</v>
      </c>
    </row>
    <row r="5862" spans="7:14" ht="11.25" customHeight="1" x14ac:dyDescent="0.3">
      <c r="G5862" s="470"/>
      <c r="H5862" s="470">
        <v>5855</v>
      </c>
      <c r="I5862" s="455">
        <f t="shared" ca="1" si="195"/>
        <v>-1.4309001981310698E+16</v>
      </c>
      <c r="J5862" s="455">
        <f t="array" ref="J5862">IFERROR(INDEX('Retirement Calculator'!K:K,MATCH('Lorri 401b'!N5862,'Retirement Calculator'!A:A,0),0),0)</f>
        <v>0</v>
      </c>
      <c r="K5862" s="455">
        <f t="shared" ca="1" si="193"/>
        <v>-59620841588794.57</v>
      </c>
      <c r="L5862" s="455">
        <f t="shared" ca="1" si="194"/>
        <v>-1.4368622822899492E+16</v>
      </c>
      <c r="M5862" s="471">
        <f t="shared" si="196"/>
        <v>0.05</v>
      </c>
      <c r="N5862" s="475">
        <f t="shared" si="197"/>
        <v>229465</v>
      </c>
    </row>
    <row r="5863" spans="7:14" ht="11.25" customHeight="1" x14ac:dyDescent="0.3">
      <c r="G5863" s="470"/>
      <c r="H5863" s="470">
        <v>5856</v>
      </c>
      <c r="I5863" s="455">
        <f t="shared" ca="1" si="195"/>
        <v>-1.4368622822899492E+16</v>
      </c>
      <c r="J5863" s="455">
        <f t="array" ref="J5863">IFERROR(INDEX('Retirement Calculator'!K:K,MATCH('Lorri 401b'!N5863,'Retirement Calculator'!A:A,0),0),0)</f>
        <v>0</v>
      </c>
      <c r="K5863" s="455">
        <f t="shared" ca="1" si="193"/>
        <v>-59869261762081.219</v>
      </c>
      <c r="L5863" s="455">
        <f t="shared" ca="1" si="194"/>
        <v>-1.4428492084661574E+16</v>
      </c>
      <c r="M5863" s="471">
        <f t="shared" si="196"/>
        <v>0.05</v>
      </c>
      <c r="N5863" s="475">
        <f t="shared" si="197"/>
        <v>229495</v>
      </c>
    </row>
    <row r="5864" spans="7:14" ht="11.25" customHeight="1" x14ac:dyDescent="0.3">
      <c r="G5864" s="470"/>
      <c r="H5864" s="470">
        <v>5857</v>
      </c>
      <c r="I5864" s="455">
        <f t="shared" ca="1" si="195"/>
        <v>-1.4428492084661574E+16</v>
      </c>
      <c r="J5864" s="455">
        <f t="array" ref="J5864">IFERROR(INDEX('Retirement Calculator'!K:K,MATCH('Lorri 401b'!N5864,'Retirement Calculator'!A:A,0),0),0)</f>
        <v>0</v>
      </c>
      <c r="K5864" s="455">
        <f t="shared" ca="1" si="193"/>
        <v>-60118717019423.219</v>
      </c>
      <c r="L5864" s="455">
        <f t="shared" ca="1" si="194"/>
        <v>-1.4488610801680998E+16</v>
      </c>
      <c r="M5864" s="471">
        <f t="shared" si="196"/>
        <v>0.05</v>
      </c>
      <c r="N5864" s="475">
        <f t="shared" si="197"/>
        <v>229526</v>
      </c>
    </row>
    <row r="5865" spans="7:14" ht="11.25" customHeight="1" x14ac:dyDescent="0.3">
      <c r="G5865" s="470"/>
      <c r="H5865" s="470">
        <v>5858</v>
      </c>
      <c r="I5865" s="455">
        <f t="shared" ca="1" si="195"/>
        <v>-1.4488610801680998E+16</v>
      </c>
      <c r="J5865" s="455">
        <f t="array" ref="J5865">IFERROR(INDEX('Retirement Calculator'!K:K,MATCH('Lorri 401b'!N5865,'Retirement Calculator'!A:A,0),0),0)</f>
        <v>0</v>
      </c>
      <c r="K5865" s="455">
        <f t="shared" ca="1" si="193"/>
        <v>-60369211673670.82</v>
      </c>
      <c r="L5865" s="455">
        <f t="shared" ca="1" si="194"/>
        <v>-1.4548980013354668E+16</v>
      </c>
      <c r="M5865" s="471">
        <f t="shared" si="196"/>
        <v>0.05</v>
      </c>
      <c r="N5865" s="475">
        <f t="shared" si="197"/>
        <v>229556</v>
      </c>
    </row>
    <row r="5866" spans="7:14" ht="11.25" customHeight="1" x14ac:dyDescent="0.3">
      <c r="G5866" s="470"/>
      <c r="H5866" s="470">
        <v>5859</v>
      </c>
      <c r="I5866" s="455">
        <f t="shared" ca="1" si="195"/>
        <v>-1.4548980013354668E+16</v>
      </c>
      <c r="J5866" s="455">
        <f t="array" ref="J5866">IFERROR(INDEX('Retirement Calculator'!K:K,MATCH('Lorri 401b'!N5866,'Retirement Calculator'!A:A,0),0),0)</f>
        <v>0</v>
      </c>
      <c r="K5866" s="455">
        <f t="shared" ca="1" si="193"/>
        <v>-60620750055644.445</v>
      </c>
      <c r="L5866" s="455">
        <f t="shared" ca="1" si="194"/>
        <v>-1.4609600763410312E+16</v>
      </c>
      <c r="M5866" s="471">
        <f t="shared" si="196"/>
        <v>0.05</v>
      </c>
      <c r="N5866" s="475">
        <f t="shared" si="197"/>
        <v>229587</v>
      </c>
    </row>
    <row r="5867" spans="7:14" ht="11.25" customHeight="1" x14ac:dyDescent="0.3">
      <c r="G5867" s="470"/>
      <c r="H5867" s="470">
        <v>5860</v>
      </c>
      <c r="I5867" s="455">
        <f t="shared" ca="1" si="195"/>
        <v>-1.4609600763410312E+16</v>
      </c>
      <c r="J5867" s="455">
        <f t="array" ref="J5867">IFERROR(INDEX('Retirement Calculator'!K:K,MATCH('Lorri 401b'!N5867,'Retirement Calculator'!A:A,0),0),0)</f>
        <v>0</v>
      </c>
      <c r="K5867" s="455">
        <f t="shared" ca="1" si="193"/>
        <v>-60873336514209.633</v>
      </c>
      <c r="L5867" s="455">
        <f t="shared" ca="1" si="194"/>
        <v>-1.4670474099924522E+16</v>
      </c>
      <c r="M5867" s="471">
        <f t="shared" si="196"/>
        <v>0.05</v>
      </c>
      <c r="N5867" s="475">
        <f t="shared" si="197"/>
        <v>229618</v>
      </c>
    </row>
    <row r="5868" spans="7:14" ht="11.25" customHeight="1" x14ac:dyDescent="0.3">
      <c r="G5868" s="470"/>
      <c r="H5868" s="470">
        <v>5861</v>
      </c>
      <c r="I5868" s="455">
        <f t="shared" ca="1" si="195"/>
        <v>-1.4670474099924522E+16</v>
      </c>
      <c r="J5868" s="455">
        <f t="array" ref="J5868">IFERROR(INDEX('Retirement Calculator'!K:K,MATCH('Lorri 401b'!N5868,'Retirement Calculator'!A:A,0),0),0)</f>
        <v>0</v>
      </c>
      <c r="K5868" s="455">
        <f t="shared" ca="1" si="193"/>
        <v>-61126975416352.172</v>
      </c>
      <c r="L5868" s="455">
        <f t="shared" ca="1" si="194"/>
        <v>-1.4731601075340874E+16</v>
      </c>
      <c r="M5868" s="471">
        <f t="shared" si="196"/>
        <v>0.05</v>
      </c>
      <c r="N5868" s="475">
        <f t="shared" si="197"/>
        <v>229648</v>
      </c>
    </row>
    <row r="5869" spans="7:14" ht="11.25" customHeight="1" x14ac:dyDescent="0.3">
      <c r="G5869" s="470"/>
      <c r="H5869" s="470">
        <v>5862</v>
      </c>
      <c r="I5869" s="455">
        <f t="shared" ca="1" si="195"/>
        <v>-1.4731601075340874E+16</v>
      </c>
      <c r="J5869" s="455">
        <f t="array" ref="J5869">IFERROR(INDEX('Retirement Calculator'!K:K,MATCH('Lorri 401b'!N5869,'Retirement Calculator'!A:A,0),0),0)</f>
        <v>0</v>
      </c>
      <c r="K5869" s="455">
        <f t="shared" ca="1" si="193"/>
        <v>-61381671147253.641</v>
      </c>
      <c r="L5869" s="455">
        <f t="shared" ca="1" si="194"/>
        <v>-1.4792982746488128E+16</v>
      </c>
      <c r="M5869" s="471">
        <f t="shared" si="196"/>
        <v>0.05</v>
      </c>
      <c r="N5869" s="475">
        <f t="shared" si="197"/>
        <v>229679</v>
      </c>
    </row>
    <row r="5870" spans="7:14" ht="11.25" customHeight="1" x14ac:dyDescent="0.3">
      <c r="G5870" s="470"/>
      <c r="H5870" s="470">
        <v>5863</v>
      </c>
      <c r="I5870" s="455">
        <f t="shared" ca="1" si="195"/>
        <v>-1.4792982746488128E+16</v>
      </c>
      <c r="J5870" s="455">
        <f t="array" ref="J5870">IFERROR(INDEX('Retirement Calculator'!K:K,MATCH('Lorri 401b'!N5870,'Retirement Calculator'!A:A,0),0),0)</f>
        <v>0</v>
      </c>
      <c r="K5870" s="455">
        <f t="shared" ca="1" si="193"/>
        <v>-61637428110367.195</v>
      </c>
      <c r="L5870" s="455">
        <f t="shared" ca="1" si="194"/>
        <v>-1.4854620174598496E+16</v>
      </c>
      <c r="M5870" s="471">
        <f t="shared" si="196"/>
        <v>0.05</v>
      </c>
      <c r="N5870" s="475">
        <f t="shared" si="197"/>
        <v>229709</v>
      </c>
    </row>
    <row r="5871" spans="7:14" ht="11.25" customHeight="1" x14ac:dyDescent="0.3">
      <c r="G5871" s="470"/>
      <c r="H5871" s="470">
        <v>5864</v>
      </c>
      <c r="I5871" s="455">
        <f t="shared" ca="1" si="195"/>
        <v>-1.4854620174598496E+16</v>
      </c>
      <c r="J5871" s="455">
        <f t="array" ref="J5871">IFERROR(INDEX('Retirement Calculator'!K:K,MATCH('Lorri 401b'!N5871,'Retirement Calculator'!A:A,0),0),0)</f>
        <v>0</v>
      </c>
      <c r="K5871" s="455">
        <f t="shared" ca="1" si="193"/>
        <v>-61894250727493.727</v>
      </c>
      <c r="L5871" s="455">
        <f t="shared" ca="1" si="194"/>
        <v>-1.491651442532599E+16</v>
      </c>
      <c r="M5871" s="471">
        <f t="shared" si="196"/>
        <v>0.05</v>
      </c>
      <c r="N5871" s="475">
        <f t="shared" si="197"/>
        <v>229740</v>
      </c>
    </row>
    <row r="5872" spans="7:14" ht="11.25" customHeight="1" x14ac:dyDescent="0.3">
      <c r="G5872" s="470"/>
      <c r="H5872" s="470">
        <v>5865</v>
      </c>
      <c r="I5872" s="455">
        <f t="shared" ca="1" si="195"/>
        <v>-1.491651442532599E+16</v>
      </c>
      <c r="J5872" s="455">
        <f t="array" ref="J5872">IFERROR(INDEX('Retirement Calculator'!K:K,MATCH('Lorri 401b'!N5872,'Retirement Calculator'!A:A,0),0),0)</f>
        <v>0</v>
      </c>
      <c r="K5872" s="455">
        <f t="shared" ca="1" si="193"/>
        <v>-62152143438858.289</v>
      </c>
      <c r="L5872" s="455">
        <f t="shared" ca="1" si="194"/>
        <v>-1.4978666568764848E+16</v>
      </c>
      <c r="M5872" s="471">
        <f t="shared" si="196"/>
        <v>0.05</v>
      </c>
      <c r="N5872" s="475">
        <f t="shared" si="197"/>
        <v>229771</v>
      </c>
    </row>
    <row r="5873" spans="7:14" ht="11.25" customHeight="1" x14ac:dyDescent="0.3">
      <c r="G5873" s="470"/>
      <c r="H5873" s="470">
        <v>5866</v>
      </c>
      <c r="I5873" s="455">
        <f t="shared" ca="1" si="195"/>
        <v>-1.4978666568764848E+16</v>
      </c>
      <c r="J5873" s="455">
        <f t="array" ref="J5873">IFERROR(INDEX('Retirement Calculator'!K:K,MATCH('Lorri 401b'!N5873,'Retirement Calculator'!A:A,0),0),0)</f>
        <v>0</v>
      </c>
      <c r="K5873" s="455">
        <f t="shared" ref="K5873:K6127" ca="1" si="198">IPMT(M5873/12,1,12,-I5873+J5873,,0)</f>
        <v>-62411110703186.867</v>
      </c>
      <c r="L5873" s="455">
        <f t="shared" ref="L5873:L6127" ca="1" si="199">I5873-J5873+K5873</f>
        <v>-1.5041077679468034E+16</v>
      </c>
      <c r="M5873" s="471">
        <f t="shared" si="196"/>
        <v>0.05</v>
      </c>
      <c r="N5873" s="475">
        <f t="shared" si="197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00">L5873</f>
        <v>-1.5041077679468034E+16</v>
      </c>
      <c r="J5874" s="455">
        <f t="array" ref="J5874">IFERROR(INDEX('Retirement Calculator'!K:K,MATCH('Lorri 401b'!N5874,'Retirement Calculator'!A:A,0),0),0)</f>
        <v>0</v>
      </c>
      <c r="K5874" s="455">
        <f t="shared" ca="1" si="198"/>
        <v>-62671156997783.477</v>
      </c>
      <c r="L5874" s="455">
        <f t="shared" ca="1" si="199"/>
        <v>-1.5103748836465818E+16</v>
      </c>
      <c r="M5874" s="471">
        <f t="shared" ref="M5874:M6128" si="201">M5873</f>
        <v>0.05</v>
      </c>
      <c r="N5874" s="475">
        <f t="shared" ref="N5874:N6128" si="202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00"/>
        <v>-1.5103748836465818E+16</v>
      </c>
      <c r="J5875" s="455">
        <f t="array" ref="J5875">IFERROR(INDEX('Retirement Calculator'!K:K,MATCH('Lorri 401b'!N5875,'Retirement Calculator'!A:A,0),0),0)</f>
        <v>0</v>
      </c>
      <c r="K5875" s="455">
        <f t="shared" ca="1" si="198"/>
        <v>-62932286818607.57</v>
      </c>
      <c r="L5875" s="455">
        <f t="shared" ca="1" si="199"/>
        <v>-1.5166681123284426E+16</v>
      </c>
      <c r="M5875" s="471">
        <f t="shared" si="201"/>
        <v>0.05</v>
      </c>
      <c r="N5875" s="475">
        <f t="shared" si="202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00"/>
        <v>-1.5166681123284426E+16</v>
      </c>
      <c r="J5876" s="455">
        <f t="array" ref="J5876">IFERROR(INDEX('Retirement Calculator'!K:K,MATCH('Lorri 401b'!N5876,'Retirement Calculator'!A:A,0),0),0)</f>
        <v>0</v>
      </c>
      <c r="K5876" s="455">
        <f t="shared" ca="1" si="198"/>
        <v>-63194504680351.773</v>
      </c>
      <c r="L5876" s="455">
        <f t="shared" ca="1" si="199"/>
        <v>-1.5229875627964778E+16</v>
      </c>
      <c r="M5876" s="471">
        <f t="shared" si="201"/>
        <v>0.05</v>
      </c>
      <c r="N5876" s="475">
        <f t="shared" si="202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00"/>
        <v>-1.5229875627964778E+16</v>
      </c>
      <c r="J5877" s="455">
        <f t="array" ref="J5877">IFERROR(INDEX('Retirement Calculator'!K:K,MATCH('Lorri 401b'!N5877,'Retirement Calculator'!A:A,0),0),0)</f>
        <v>0</v>
      </c>
      <c r="K5877" s="455">
        <f t="shared" ca="1" si="198"/>
        <v>-63457815116519.906</v>
      </c>
      <c r="L5877" s="455">
        <f t="shared" ca="1" si="199"/>
        <v>-1.5293333443081298E+16</v>
      </c>
      <c r="M5877" s="471">
        <f t="shared" si="201"/>
        <v>0.05</v>
      </c>
      <c r="N5877" s="475">
        <f t="shared" si="202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00"/>
        <v>-1.5293333443081298E+16</v>
      </c>
      <c r="J5878" s="455">
        <f t="array" ref="J5878">IFERROR(INDEX('Retirement Calculator'!K:K,MATCH('Lorri 401b'!N5878,'Retirement Calculator'!A:A,0),0),0)</f>
        <v>0</v>
      </c>
      <c r="K5878" s="455">
        <f t="shared" ca="1" si="198"/>
        <v>-63722222679505.406</v>
      </c>
      <c r="L5878" s="455">
        <f t="shared" ca="1" si="199"/>
        <v>-1.5357055665760804E+16</v>
      </c>
      <c r="M5878" s="471">
        <f t="shared" si="201"/>
        <v>0.05</v>
      </c>
      <c r="N5878" s="475">
        <f t="shared" si="202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00"/>
        <v>-1.5357055665760804E+16</v>
      </c>
      <c r="J5879" s="455">
        <f t="array" ref="J5879">IFERROR(INDEX('Retirement Calculator'!K:K,MATCH('Lorri 401b'!N5879,'Retirement Calculator'!A:A,0),0),0)</f>
        <v>0</v>
      </c>
      <c r="K5879" s="455">
        <f t="shared" ca="1" si="198"/>
        <v>-63987731940670.008</v>
      </c>
      <c r="L5879" s="455">
        <f t="shared" ca="1" si="199"/>
        <v>-1.5421043397701474E+16</v>
      </c>
      <c r="M5879" s="471">
        <f t="shared" si="201"/>
        <v>0.05</v>
      </c>
      <c r="N5879" s="475">
        <f t="shared" si="202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00"/>
        <v>-1.5421043397701474E+16</v>
      </c>
      <c r="J5880" s="455">
        <f t="array" ref="J5880">IFERROR(INDEX('Retirement Calculator'!K:K,MATCH('Lorri 401b'!N5880,'Retirement Calculator'!A:A,0),0),0)</f>
        <v>0</v>
      </c>
      <c r="K5880" s="455">
        <f t="shared" ca="1" si="198"/>
        <v>-64254347490422.805</v>
      </c>
      <c r="L5880" s="455">
        <f t="shared" ca="1" si="199"/>
        <v>-1.5485297745191896E+16</v>
      </c>
      <c r="M5880" s="471">
        <f t="shared" si="201"/>
        <v>0.05</v>
      </c>
      <c r="N5880" s="475">
        <f t="shared" si="202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00"/>
        <v>-1.5485297745191896E+16</v>
      </c>
      <c r="J5881" s="455">
        <f t="array" ref="J5881">IFERROR(INDEX('Retirement Calculator'!K:K,MATCH('Lorri 401b'!N5881,'Retirement Calculator'!A:A,0),0),0)</f>
        <v>0</v>
      </c>
      <c r="K5881" s="455">
        <f t="shared" ca="1" si="198"/>
        <v>-64522073938299.563</v>
      </c>
      <c r="L5881" s="455">
        <f t="shared" ca="1" si="199"/>
        <v>-1.5549819819130196E+16</v>
      </c>
      <c r="M5881" s="471">
        <f t="shared" si="201"/>
        <v>0.05</v>
      </c>
      <c r="N5881" s="475">
        <f t="shared" si="202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00"/>
        <v>-1.5549819819130196E+16</v>
      </c>
      <c r="J5882" s="455">
        <f t="array" ref="J5882">IFERROR(INDEX('Retirement Calculator'!K:K,MATCH('Lorri 401b'!N5882,'Retirement Calculator'!A:A,0),0),0)</f>
        <v>0</v>
      </c>
      <c r="K5882" s="455">
        <f t="shared" ca="1" si="198"/>
        <v>-64790915913042.492</v>
      </c>
      <c r="L5882" s="455">
        <f t="shared" ca="1" si="199"/>
        <v>-1.5614610735043238E+16</v>
      </c>
      <c r="M5882" s="471">
        <f t="shared" si="201"/>
        <v>0.05</v>
      </c>
      <c r="N5882" s="475">
        <f t="shared" si="202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00"/>
        <v>-1.5614610735043238E+16</v>
      </c>
      <c r="J5883" s="455">
        <f t="array" ref="J5883">IFERROR(INDEX('Retirement Calculator'!K:K,MATCH('Lorri 401b'!N5883,'Retirement Calculator'!A:A,0),0),0)</f>
        <v>0</v>
      </c>
      <c r="K5883" s="455">
        <f t="shared" ca="1" si="198"/>
        <v>-65060878062680.156</v>
      </c>
      <c r="L5883" s="455">
        <f t="shared" ca="1" si="199"/>
        <v>-1.5679671613105918E+16</v>
      </c>
      <c r="M5883" s="471">
        <f t="shared" si="201"/>
        <v>0.05</v>
      </c>
      <c r="N5883" s="475">
        <f t="shared" si="202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00"/>
        <v>-1.5679671613105918E+16</v>
      </c>
      <c r="J5884" s="455">
        <f t="array" ref="J5884">IFERROR(INDEX('Retirement Calculator'!K:K,MATCH('Lorri 401b'!N5884,'Retirement Calculator'!A:A,0),0),0)</f>
        <v>0</v>
      </c>
      <c r="K5884" s="455">
        <f t="shared" ca="1" si="198"/>
        <v>-65331965054607.992</v>
      </c>
      <c r="L5884" s="455">
        <f t="shared" ca="1" si="199"/>
        <v>-1.5745003578160526E+16</v>
      </c>
      <c r="M5884" s="471">
        <f t="shared" si="201"/>
        <v>0.05</v>
      </c>
      <c r="N5884" s="475">
        <f t="shared" si="202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00"/>
        <v>-1.5745003578160526E+16</v>
      </c>
      <c r="J5885" s="455">
        <f t="array" ref="J5885">IFERROR(INDEX('Retirement Calculator'!K:K,MATCH('Lorri 401b'!N5885,'Retirement Calculator'!A:A,0),0),0)</f>
        <v>0</v>
      </c>
      <c r="K5885" s="455">
        <f t="shared" ca="1" si="198"/>
        <v>-65604181575668.859</v>
      </c>
      <c r="L5885" s="455">
        <f t="shared" ca="1" si="199"/>
        <v>-1.5810607759736194E+16</v>
      </c>
      <c r="M5885" s="471">
        <f t="shared" si="201"/>
        <v>0.05</v>
      </c>
      <c r="N5885" s="475">
        <f t="shared" si="202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00"/>
        <v>-1.5810607759736194E+16</v>
      </c>
      <c r="J5886" s="455">
        <f t="array" ref="J5886">IFERROR(INDEX('Retirement Calculator'!K:K,MATCH('Lorri 401b'!N5886,'Retirement Calculator'!A:A,0),0),0)</f>
        <v>0</v>
      </c>
      <c r="K5886" s="455">
        <f t="shared" ca="1" si="198"/>
        <v>-65877532332234.141</v>
      </c>
      <c r="L5886" s="455">
        <f t="shared" ca="1" si="199"/>
        <v>-1.5876485292068428E+16</v>
      </c>
      <c r="M5886" s="471">
        <f t="shared" si="201"/>
        <v>0.05</v>
      </c>
      <c r="N5886" s="475">
        <f t="shared" si="202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00"/>
        <v>-1.5876485292068428E+16</v>
      </c>
      <c r="J5887" s="455">
        <f t="array" ref="J5887">IFERROR(INDEX('Retirement Calculator'!K:K,MATCH('Lorri 401b'!N5887,'Retirement Calculator'!A:A,0),0),0)</f>
        <v>0</v>
      </c>
      <c r="K5887" s="455">
        <f t="shared" ca="1" si="198"/>
        <v>-66152022050285.117</v>
      </c>
      <c r="L5887" s="455">
        <f t="shared" ca="1" si="199"/>
        <v>-1.5942637314118714E+16</v>
      </c>
      <c r="M5887" s="471">
        <f t="shared" si="201"/>
        <v>0.05</v>
      </c>
      <c r="N5887" s="475">
        <f t="shared" si="202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00"/>
        <v>-1.5942637314118714E+16</v>
      </c>
      <c r="J5888" s="455">
        <f t="array" ref="J5888">IFERROR(INDEX('Retirement Calculator'!K:K,MATCH('Lorri 401b'!N5888,'Retirement Calculator'!A:A,0),0),0)</f>
        <v>0</v>
      </c>
      <c r="K5888" s="455">
        <f t="shared" ca="1" si="198"/>
        <v>-66427655475494.641</v>
      </c>
      <c r="L5888" s="455">
        <f t="shared" ca="1" si="199"/>
        <v>-1.6009064969594208E+16</v>
      </c>
      <c r="M5888" s="471">
        <f t="shared" si="201"/>
        <v>0.05</v>
      </c>
      <c r="N5888" s="475">
        <f t="shared" si="202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00"/>
        <v>-1.6009064969594208E+16</v>
      </c>
      <c r="J5889" s="455">
        <f t="array" ref="J5889">IFERROR(INDEX('Retirement Calculator'!K:K,MATCH('Lorri 401b'!N5889,'Retirement Calculator'!A:A,0),0),0)</f>
        <v>0</v>
      </c>
      <c r="K5889" s="455">
        <f t="shared" ca="1" si="198"/>
        <v>-66704437373309.195</v>
      </c>
      <c r="L5889" s="455">
        <f t="shared" ca="1" si="199"/>
        <v>-1.6075769406967518E+16</v>
      </c>
      <c r="M5889" s="471">
        <f t="shared" si="201"/>
        <v>0.05</v>
      </c>
      <c r="N5889" s="475">
        <f t="shared" si="202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00"/>
        <v>-1.6075769406967518E+16</v>
      </c>
      <c r="J5890" s="455">
        <f t="array" ref="J5890">IFERROR(INDEX('Retirement Calculator'!K:K,MATCH('Lorri 401b'!N5890,'Retirement Calculator'!A:A,0),0),0)</f>
        <v>0</v>
      </c>
      <c r="K5890" s="455">
        <f t="shared" ca="1" si="198"/>
        <v>-66982372529031.32</v>
      </c>
      <c r="L5890" s="455">
        <f t="shared" ca="1" si="199"/>
        <v>-1.614275177949655E+16</v>
      </c>
      <c r="M5890" s="471">
        <f t="shared" si="201"/>
        <v>0.05</v>
      </c>
      <c r="N5890" s="475">
        <f t="shared" si="202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00"/>
        <v>-1.614275177949655E+16</v>
      </c>
      <c r="J5891" s="455">
        <f t="array" ref="J5891">IFERROR(INDEX('Retirement Calculator'!K:K,MATCH('Lorri 401b'!N5891,'Retirement Calculator'!A:A,0),0),0)</f>
        <v>0</v>
      </c>
      <c r="K5891" s="455">
        <f t="shared" ca="1" si="198"/>
        <v>-67261465747902.289</v>
      </c>
      <c r="L5891" s="455">
        <f t="shared" ca="1" si="199"/>
        <v>-1.6210013245244452E+16</v>
      </c>
      <c r="M5891" s="471">
        <f t="shared" si="201"/>
        <v>0.05</v>
      </c>
      <c r="N5891" s="475">
        <f t="shared" si="202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00"/>
        <v>-1.6210013245244452E+16</v>
      </c>
      <c r="J5892" s="455">
        <f t="array" ref="J5892">IFERROR(INDEX('Retirement Calculator'!K:K,MATCH('Lorri 401b'!N5892,'Retirement Calculator'!A:A,0),0),0)</f>
        <v>0</v>
      </c>
      <c r="K5892" s="455">
        <f t="shared" ca="1" si="198"/>
        <v>-67541721855185.227</v>
      </c>
      <c r="L5892" s="455">
        <f t="shared" ca="1" si="199"/>
        <v>-1.6277554967099638E+16</v>
      </c>
      <c r="M5892" s="471">
        <f t="shared" si="201"/>
        <v>0.05</v>
      </c>
      <c r="N5892" s="475">
        <f t="shared" si="202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00"/>
        <v>-1.6277554967099638E+16</v>
      </c>
      <c r="J5893" s="455">
        <f t="array" ref="J5893">IFERROR(INDEX('Retirement Calculator'!K:K,MATCH('Lorri 401b'!N5893,'Retirement Calculator'!A:A,0),0),0)</f>
        <v>0</v>
      </c>
      <c r="K5893" s="455">
        <f t="shared" ca="1" si="198"/>
        <v>-67823145696248.492</v>
      </c>
      <c r="L5893" s="455">
        <f t="shared" ca="1" si="199"/>
        <v>-1.6345378112795886E+16</v>
      </c>
      <c r="M5893" s="471">
        <f t="shared" si="201"/>
        <v>0.05</v>
      </c>
      <c r="N5893" s="475">
        <f t="shared" si="202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00"/>
        <v>-1.6345378112795886E+16</v>
      </c>
      <c r="J5894" s="455">
        <f t="array" ref="J5894">IFERROR(INDEX('Retirement Calculator'!K:K,MATCH('Lorri 401b'!N5894,'Retirement Calculator'!A:A,0),0),0)</f>
        <v>0</v>
      </c>
      <c r="K5894" s="455">
        <f t="shared" ca="1" si="198"/>
        <v>-68105742136649.516</v>
      </c>
      <c r="L5894" s="455">
        <f t="shared" ca="1" si="199"/>
        <v>-1.6413483854932536E+16</v>
      </c>
      <c r="M5894" s="471">
        <f t="shared" si="201"/>
        <v>0.05</v>
      </c>
      <c r="N5894" s="475">
        <f t="shared" si="202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00"/>
        <v>-1.6413483854932536E+16</v>
      </c>
      <c r="J5895" s="455">
        <f t="array" ref="J5895">IFERROR(INDEX('Retirement Calculator'!K:K,MATCH('Lorri 401b'!N5895,'Retirement Calculator'!A:A,0),0),0)</f>
        <v>0</v>
      </c>
      <c r="K5895" s="455">
        <f t="shared" ca="1" si="198"/>
        <v>-68389516062218.898</v>
      </c>
      <c r="L5895" s="455">
        <f t="shared" ca="1" si="199"/>
        <v>-1.6481873370994754E+16</v>
      </c>
      <c r="M5895" s="471">
        <f t="shared" si="201"/>
        <v>0.05</v>
      </c>
      <c r="N5895" s="475">
        <f t="shared" si="202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00"/>
        <v>-1.6481873370994754E+16</v>
      </c>
      <c r="J5896" s="455">
        <f t="array" ref="J5896">IFERROR(INDEX('Retirement Calculator'!K:K,MATCH('Lorri 401b'!N5896,'Retirement Calculator'!A:A,0),0),0)</f>
        <v>0</v>
      </c>
      <c r="K5896" s="455">
        <f t="shared" ca="1" si="198"/>
        <v>-68674472379144.805</v>
      </c>
      <c r="L5896" s="455">
        <f t="shared" ca="1" si="199"/>
        <v>-1.6550547843373898E+16</v>
      </c>
      <c r="M5896" s="471">
        <f t="shared" si="201"/>
        <v>0.05</v>
      </c>
      <c r="N5896" s="475">
        <f t="shared" si="202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00"/>
        <v>-1.6550547843373898E+16</v>
      </c>
      <c r="J5897" s="455">
        <f t="array" ref="J5897">IFERROR(INDEX('Retirement Calculator'!K:K,MATCH('Lorri 401b'!N5897,'Retirement Calculator'!A:A,0),0),0)</f>
        <v>0</v>
      </c>
      <c r="K5897" s="455">
        <f t="shared" ca="1" si="198"/>
        <v>-68960616014057.898</v>
      </c>
      <c r="L5897" s="455">
        <f t="shared" ca="1" si="199"/>
        <v>-1.6619508459387956E+16</v>
      </c>
      <c r="M5897" s="471">
        <f t="shared" si="201"/>
        <v>0.05</v>
      </c>
      <c r="N5897" s="475">
        <f t="shared" si="202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00"/>
        <v>-1.6619508459387956E+16</v>
      </c>
      <c r="J5898" s="455">
        <f t="array" ref="J5898">IFERROR(INDEX('Retirement Calculator'!K:K,MATCH('Lorri 401b'!N5898,'Retirement Calculator'!A:A,0),0),0)</f>
        <v>0</v>
      </c>
      <c r="K5898" s="455">
        <f t="shared" ca="1" si="198"/>
        <v>-69247951914116.484</v>
      </c>
      <c r="L5898" s="455">
        <f t="shared" ca="1" si="199"/>
        <v>-1.6688756411302072E+16</v>
      </c>
      <c r="M5898" s="471">
        <f t="shared" si="201"/>
        <v>0.05</v>
      </c>
      <c r="N5898" s="475">
        <f t="shared" si="202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00"/>
        <v>-1.6688756411302072E+16</v>
      </c>
      <c r="J5899" s="455">
        <f t="array" ref="J5899">IFERROR(INDEX('Retirement Calculator'!K:K,MATCH('Lorri 401b'!N5899,'Retirement Calculator'!A:A,0),0),0)</f>
        <v>0</v>
      </c>
      <c r="K5899" s="455">
        <f t="shared" ca="1" si="198"/>
        <v>-69536485047091.969</v>
      </c>
      <c r="L5899" s="455">
        <f t="shared" ca="1" si="199"/>
        <v>-1.6758292896349164E+16</v>
      </c>
      <c r="M5899" s="471">
        <f t="shared" si="201"/>
        <v>0.05</v>
      </c>
      <c r="N5899" s="475">
        <f t="shared" si="202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00"/>
        <v>-1.6758292896349164E+16</v>
      </c>
      <c r="J5900" s="455">
        <f t="array" ref="J5900">IFERROR(INDEX('Retirement Calculator'!K:K,MATCH('Lorri 401b'!N5900,'Retirement Calculator'!A:A,0),0),0)</f>
        <v>0</v>
      </c>
      <c r="K5900" s="455">
        <f t="shared" ca="1" si="198"/>
        <v>-69826220401454.852</v>
      </c>
      <c r="L5900" s="455">
        <f t="shared" ca="1" si="199"/>
        <v>-1.6828119116750618E+16</v>
      </c>
      <c r="M5900" s="471">
        <f t="shared" si="201"/>
        <v>0.05</v>
      </c>
      <c r="N5900" s="475">
        <f t="shared" si="202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00"/>
        <v>-1.6828119116750618E+16</v>
      </c>
      <c r="J5901" s="455">
        <f t="array" ref="J5901">IFERROR(INDEX('Retirement Calculator'!K:K,MATCH('Lorri 401b'!N5901,'Retirement Calculator'!A:A,0),0),0)</f>
        <v>0</v>
      </c>
      <c r="K5901" s="455">
        <f t="shared" ca="1" si="198"/>
        <v>-70117162986460.898</v>
      </c>
      <c r="L5901" s="455">
        <f t="shared" ca="1" si="199"/>
        <v>-1.6898236279737078E+16</v>
      </c>
      <c r="M5901" s="471">
        <f t="shared" si="201"/>
        <v>0.05</v>
      </c>
      <c r="N5901" s="475">
        <f t="shared" si="202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00"/>
        <v>-1.6898236279737078E+16</v>
      </c>
      <c r="J5902" s="455">
        <f t="array" ref="J5902">IFERROR(INDEX('Retirement Calculator'!K:K,MATCH('Lorri 401b'!N5902,'Retirement Calculator'!A:A,0),0),0)</f>
        <v>0</v>
      </c>
      <c r="K5902" s="455">
        <f t="shared" ca="1" si="198"/>
        <v>-70409317832237.828</v>
      </c>
      <c r="L5902" s="455">
        <f t="shared" ca="1" si="199"/>
        <v>-1.6968645597569316E+16</v>
      </c>
      <c r="M5902" s="471">
        <f t="shared" si="201"/>
        <v>0.05</v>
      </c>
      <c r="N5902" s="475">
        <f t="shared" si="202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00"/>
        <v>-1.6968645597569316E+16</v>
      </c>
      <c r="J5903" s="455">
        <f t="array" ref="J5903">IFERROR(INDEX('Retirement Calculator'!K:K,MATCH('Lorri 401b'!N5903,'Retirement Calculator'!A:A,0),0),0)</f>
        <v>0</v>
      </c>
      <c r="K5903" s="455">
        <f t="shared" ca="1" si="198"/>
        <v>-70702689989872.156</v>
      </c>
      <c r="L5903" s="455">
        <f t="shared" ca="1" si="199"/>
        <v>-1.7039348287559188E+16</v>
      </c>
      <c r="M5903" s="471">
        <f t="shared" si="201"/>
        <v>0.05</v>
      </c>
      <c r="N5903" s="475">
        <f t="shared" si="202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00"/>
        <v>-1.7039348287559188E+16</v>
      </c>
      <c r="J5904" s="455">
        <f t="array" ref="J5904">IFERROR(INDEX('Retirement Calculator'!K:K,MATCH('Lorri 401b'!N5904,'Retirement Calculator'!A:A,0),0),0)</f>
        <v>0</v>
      </c>
      <c r="K5904" s="455">
        <f t="shared" ca="1" si="198"/>
        <v>-70997284531496.609</v>
      </c>
      <c r="L5904" s="455">
        <f t="shared" ca="1" si="199"/>
        <v>-1.7110345572090684E+16</v>
      </c>
      <c r="M5904" s="471">
        <f t="shared" si="201"/>
        <v>0.05</v>
      </c>
      <c r="N5904" s="475">
        <f t="shared" si="202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00"/>
        <v>-1.7110345572090684E+16</v>
      </c>
      <c r="J5905" s="455">
        <f t="array" ref="J5905">IFERROR(INDEX('Retirement Calculator'!K:K,MATCH('Lorri 401b'!N5905,'Retirement Calculator'!A:A,0),0),0)</f>
        <v>0</v>
      </c>
      <c r="K5905" s="455">
        <f t="shared" ca="1" si="198"/>
        <v>-71293106550377.859</v>
      </c>
      <c r="L5905" s="455">
        <f t="shared" ca="1" si="199"/>
        <v>-1.7181638678641062E+16</v>
      </c>
      <c r="M5905" s="471">
        <f t="shared" si="201"/>
        <v>0.05</v>
      </c>
      <c r="N5905" s="475">
        <f t="shared" si="202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00"/>
        <v>-1.7181638678641062E+16</v>
      </c>
      <c r="J5906" s="455">
        <f t="array" ref="J5906">IFERROR(INDEX('Retirement Calculator'!K:K,MATCH('Lorri 401b'!N5906,'Retirement Calculator'!A:A,0),0),0)</f>
        <v>0</v>
      </c>
      <c r="K5906" s="455">
        <f t="shared" ca="1" si="198"/>
        <v>-71590161161004.422</v>
      </c>
      <c r="L5906" s="455">
        <f t="shared" ca="1" si="199"/>
        <v>-1.7253228839802066E+16</v>
      </c>
      <c r="M5906" s="471">
        <f t="shared" si="201"/>
        <v>0.05</v>
      </c>
      <c r="N5906" s="475">
        <f t="shared" si="202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00"/>
        <v>-1.7253228839802066E+16</v>
      </c>
      <c r="J5907" s="455">
        <f t="array" ref="J5907">IFERROR(INDEX('Retirement Calculator'!K:K,MATCH('Lorri 401b'!N5907,'Retirement Calculator'!A:A,0),0),0)</f>
        <v>0</v>
      </c>
      <c r="K5907" s="455">
        <f t="shared" ca="1" si="198"/>
        <v>-71888453499175.281</v>
      </c>
      <c r="L5907" s="455">
        <f t="shared" ca="1" si="199"/>
        <v>-1.7325117293301242E+16</v>
      </c>
      <c r="M5907" s="471">
        <f t="shared" si="201"/>
        <v>0.05</v>
      </c>
      <c r="N5907" s="475">
        <f t="shared" si="202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00"/>
        <v>-1.7325117293301242E+16</v>
      </c>
      <c r="J5908" s="455">
        <f t="array" ref="J5908">IFERROR(INDEX('Retirement Calculator'!K:K,MATCH('Lorri 401b'!N5908,'Retirement Calculator'!A:A,0),0),0)</f>
        <v>0</v>
      </c>
      <c r="K5908" s="455">
        <f t="shared" ca="1" si="198"/>
        <v>-72187988722088.5</v>
      </c>
      <c r="L5908" s="455">
        <f t="shared" ca="1" si="199"/>
        <v>-1.739730528202333E+16</v>
      </c>
      <c r="M5908" s="471">
        <f t="shared" si="201"/>
        <v>0.05</v>
      </c>
      <c r="N5908" s="475">
        <f t="shared" si="202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00"/>
        <v>-1.739730528202333E+16</v>
      </c>
      <c r="J5909" s="455">
        <f t="array" ref="J5909">IFERROR(INDEX('Retirement Calculator'!K:K,MATCH('Lorri 401b'!N5909,'Retirement Calculator'!A:A,0),0),0)</f>
        <v>0</v>
      </c>
      <c r="K5909" s="455">
        <f t="shared" ca="1" si="198"/>
        <v>-72488772008430.547</v>
      </c>
      <c r="L5909" s="455">
        <f t="shared" ca="1" si="199"/>
        <v>-1.746979405403176E+16</v>
      </c>
      <c r="M5909" s="471">
        <f t="shared" si="201"/>
        <v>0.05</v>
      </c>
      <c r="N5909" s="475">
        <f t="shared" si="202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00"/>
        <v>-1.746979405403176E+16</v>
      </c>
      <c r="J5910" s="455">
        <f t="array" ref="J5910">IFERROR(INDEX('Retirement Calculator'!K:K,MATCH('Lorri 401b'!N5910,'Retirement Calculator'!A:A,0),0),0)</f>
        <v>0</v>
      </c>
      <c r="K5910" s="455">
        <f t="shared" ca="1" si="198"/>
        <v>-72790808558465.672</v>
      </c>
      <c r="L5910" s="455">
        <f t="shared" ca="1" si="199"/>
        <v>-1.7542584862590226E+16</v>
      </c>
      <c r="M5910" s="471">
        <f t="shared" si="201"/>
        <v>0.05</v>
      </c>
      <c r="N5910" s="475">
        <f t="shared" si="202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00"/>
        <v>-1.7542584862590226E+16</v>
      </c>
      <c r="J5911" s="455">
        <f t="array" ref="J5911">IFERROR(INDEX('Retirement Calculator'!K:K,MATCH('Lorri 401b'!N5911,'Retirement Calculator'!A:A,0),0),0)</f>
        <v>0</v>
      </c>
      <c r="K5911" s="455">
        <f t="shared" ca="1" si="198"/>
        <v>-73094103594125.953</v>
      </c>
      <c r="L5911" s="455">
        <f t="shared" ca="1" si="199"/>
        <v>-1.7615678966184352E+16</v>
      </c>
      <c r="M5911" s="471">
        <f t="shared" si="201"/>
        <v>0.05</v>
      </c>
      <c r="N5911" s="475">
        <f t="shared" si="202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00"/>
        <v>-1.7615678966184352E+16</v>
      </c>
      <c r="J5912" s="455">
        <f t="array" ref="J5912">IFERROR(INDEX('Retirement Calculator'!K:K,MATCH('Lorri 401b'!N5912,'Retirement Calculator'!A:A,0),0),0)</f>
        <v>0</v>
      </c>
      <c r="K5912" s="455">
        <f t="shared" ca="1" si="198"/>
        <v>-73398662359101.469</v>
      </c>
      <c r="L5912" s="455">
        <f t="shared" ca="1" si="199"/>
        <v>-1.7689077628543454E+16</v>
      </c>
      <c r="M5912" s="471">
        <f t="shared" si="201"/>
        <v>0.05</v>
      </c>
      <c r="N5912" s="475">
        <f t="shared" si="202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00"/>
        <v>-1.7689077628543454E+16</v>
      </c>
      <c r="J5913" s="455">
        <f t="array" ref="J5913">IFERROR(INDEX('Retirement Calculator'!K:K,MATCH('Lorri 401b'!N5913,'Retirement Calculator'!A:A,0),0),0)</f>
        <v>0</v>
      </c>
      <c r="K5913" s="455">
        <f t="shared" ca="1" si="198"/>
        <v>-73704490118931.047</v>
      </c>
      <c r="L5913" s="455">
        <f t="shared" ca="1" si="199"/>
        <v>-1.7762782118662386E+16</v>
      </c>
      <c r="M5913" s="471">
        <f t="shared" si="201"/>
        <v>0.05</v>
      </c>
      <c r="N5913" s="475">
        <f t="shared" si="202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00"/>
        <v>-1.7762782118662386E+16</v>
      </c>
      <c r="J5914" s="455">
        <f t="array" ref="J5914">IFERROR(INDEX('Retirement Calculator'!K:K,MATCH('Lorri 401b'!N5914,'Retirement Calculator'!A:A,0),0),0)</f>
        <v>0</v>
      </c>
      <c r="K5914" s="455">
        <f t="shared" ca="1" si="198"/>
        <v>-74011592161093.281</v>
      </c>
      <c r="L5914" s="455">
        <f t="shared" ca="1" si="199"/>
        <v>-1.783679371082348E+16</v>
      </c>
      <c r="M5914" s="471">
        <f t="shared" si="201"/>
        <v>0.05</v>
      </c>
      <c r="N5914" s="475">
        <f t="shared" si="202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00"/>
        <v>-1.783679371082348E+16</v>
      </c>
      <c r="J5915" s="455">
        <f t="array" ref="J5915">IFERROR(INDEX('Retirement Calculator'!K:K,MATCH('Lorri 401b'!N5915,'Retirement Calculator'!A:A,0),0),0)</f>
        <v>0</v>
      </c>
      <c r="K5915" s="455">
        <f t="shared" ca="1" si="198"/>
        <v>-74319973795097.828</v>
      </c>
      <c r="L5915" s="455">
        <f t="shared" ca="1" si="199"/>
        <v>-1.7911113684618578E+16</v>
      </c>
      <c r="M5915" s="471">
        <f t="shared" si="201"/>
        <v>0.05</v>
      </c>
      <c r="N5915" s="475">
        <f t="shared" si="202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00"/>
        <v>-1.7911113684618578E+16</v>
      </c>
      <c r="J5916" s="455">
        <f t="array" ref="J5916">IFERROR(INDEX('Retirement Calculator'!K:K,MATCH('Lorri 401b'!N5916,'Retirement Calculator'!A:A,0),0),0)</f>
        <v>0</v>
      </c>
      <c r="K5916" s="455">
        <f t="shared" ca="1" si="198"/>
        <v>-74629640352577.406</v>
      </c>
      <c r="L5916" s="455">
        <f t="shared" ca="1" si="199"/>
        <v>-1.7985743324971156E+16</v>
      </c>
      <c r="M5916" s="471">
        <f t="shared" si="201"/>
        <v>0.05</v>
      </c>
      <c r="N5916" s="475">
        <f t="shared" si="202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00"/>
        <v>-1.7985743324971156E+16</v>
      </c>
      <c r="J5917" s="455">
        <f t="array" ref="J5917">IFERROR(INDEX('Retirement Calculator'!K:K,MATCH('Lorri 401b'!N5917,'Retirement Calculator'!A:A,0),0),0)</f>
        <v>0</v>
      </c>
      <c r="K5917" s="455">
        <f t="shared" ca="1" si="198"/>
        <v>-74940597187379.813</v>
      </c>
      <c r="L5917" s="455">
        <f t="shared" ca="1" si="199"/>
        <v>-1.8060683922158536E+16</v>
      </c>
      <c r="M5917" s="471">
        <f t="shared" si="201"/>
        <v>0.05</v>
      </c>
      <c r="N5917" s="475">
        <f t="shared" si="202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00"/>
        <v>-1.8060683922158536E+16</v>
      </c>
      <c r="J5918" s="455">
        <f t="array" ref="J5918">IFERROR(INDEX('Retirement Calculator'!K:K,MATCH('Lorri 401b'!N5918,'Retirement Calculator'!A:A,0),0),0)</f>
        <v>0</v>
      </c>
      <c r="K5918" s="455">
        <f t="shared" ca="1" si="198"/>
        <v>-75252849675660.563</v>
      </c>
      <c r="L5918" s="455">
        <f t="shared" ca="1" si="199"/>
        <v>-1.8135936771834196E+16</v>
      </c>
      <c r="M5918" s="471">
        <f t="shared" si="201"/>
        <v>0.05</v>
      </c>
      <c r="N5918" s="475">
        <f t="shared" si="202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00"/>
        <v>-1.8135936771834196E+16</v>
      </c>
      <c r="J5919" s="455">
        <f t="array" ref="J5919">IFERROR(INDEX('Retirement Calculator'!K:K,MATCH('Lorri 401b'!N5919,'Retirement Calculator'!A:A,0),0),0)</f>
        <v>0</v>
      </c>
      <c r="K5919" s="455">
        <f t="shared" ca="1" si="198"/>
        <v>-75566403215975.813</v>
      </c>
      <c r="L5919" s="455">
        <f t="shared" ca="1" si="199"/>
        <v>-1.8211503175050172E+16</v>
      </c>
      <c r="M5919" s="471">
        <f t="shared" si="201"/>
        <v>0.05</v>
      </c>
      <c r="N5919" s="475">
        <f t="shared" si="202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00"/>
        <v>-1.8211503175050172E+16</v>
      </c>
      <c r="J5920" s="455">
        <f t="array" ref="J5920">IFERROR(INDEX('Retirement Calculator'!K:K,MATCH('Lorri 401b'!N5920,'Retirement Calculator'!A:A,0),0),0)</f>
        <v>0</v>
      </c>
      <c r="K5920" s="455">
        <f t="shared" ca="1" si="198"/>
        <v>-75881263229375.719</v>
      </c>
      <c r="L5920" s="455">
        <f t="shared" ca="1" si="199"/>
        <v>-1.8287384438279548E+16</v>
      </c>
      <c r="M5920" s="471">
        <f t="shared" si="201"/>
        <v>0.05</v>
      </c>
      <c r="N5920" s="475">
        <f t="shared" si="202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00"/>
        <v>-1.8287384438279548E+16</v>
      </c>
      <c r="J5921" s="455">
        <f t="array" ref="J5921">IFERROR(INDEX('Retirement Calculator'!K:K,MATCH('Lorri 401b'!N5921,'Retirement Calculator'!A:A,0),0),0)</f>
        <v>0</v>
      </c>
      <c r="K5921" s="455">
        <f t="shared" ca="1" si="198"/>
        <v>-76197435159498.109</v>
      </c>
      <c r="L5921" s="455">
        <f t="shared" ca="1" si="199"/>
        <v>-1.8363581873439048E+16</v>
      </c>
      <c r="M5921" s="471">
        <f t="shared" si="201"/>
        <v>0.05</v>
      </c>
      <c r="N5921" s="475">
        <f t="shared" si="202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00"/>
        <v>-1.8363581873439048E+16</v>
      </c>
      <c r="J5922" s="455">
        <f t="array" ref="J5922">IFERROR(INDEX('Retirement Calculator'!K:K,MATCH('Lorri 401b'!N5922,'Retirement Calculator'!A:A,0),0),0)</f>
        <v>0</v>
      </c>
      <c r="K5922" s="455">
        <f t="shared" ca="1" si="198"/>
        <v>-76514924472662.703</v>
      </c>
      <c r="L5922" s="455">
        <f t="shared" ca="1" si="199"/>
        <v>-1.8440096797911712E+16</v>
      </c>
      <c r="M5922" s="471">
        <f t="shared" si="201"/>
        <v>0.05</v>
      </c>
      <c r="N5922" s="475">
        <f t="shared" si="202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00"/>
        <v>-1.8440096797911712E+16</v>
      </c>
      <c r="J5923" s="455">
        <f t="array" ref="J5923">IFERROR(INDEX('Retirement Calculator'!K:K,MATCH('Lorri 401b'!N5923,'Retirement Calculator'!A:A,0),0),0)</f>
        <v>0</v>
      </c>
      <c r="K5923" s="455">
        <f t="shared" ca="1" si="198"/>
        <v>-76833736657965.469</v>
      </c>
      <c r="L5923" s="455">
        <f t="shared" ca="1" si="199"/>
        <v>-1.8516930534569676E+16</v>
      </c>
      <c r="M5923" s="471">
        <f t="shared" si="201"/>
        <v>0.05</v>
      </c>
      <c r="N5923" s="475">
        <f t="shared" si="202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00"/>
        <v>-1.8516930534569676E+16</v>
      </c>
      <c r="J5924" s="455">
        <f t="array" ref="J5924">IFERROR(INDEX('Retirement Calculator'!K:K,MATCH('Lorri 401b'!N5924,'Retirement Calculator'!A:A,0),0),0)</f>
        <v>0</v>
      </c>
      <c r="K5924" s="455">
        <f t="shared" ca="1" si="198"/>
        <v>-77153877227373.656</v>
      </c>
      <c r="L5924" s="455">
        <f t="shared" ca="1" si="199"/>
        <v>-1.8594084411797048E+16</v>
      </c>
      <c r="M5924" s="471">
        <f t="shared" si="201"/>
        <v>0.05</v>
      </c>
      <c r="N5924" s="475">
        <f t="shared" si="202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00"/>
        <v>-1.8594084411797048E+16</v>
      </c>
      <c r="J5925" s="455">
        <f t="array" ref="J5925">IFERROR(INDEX('Retirement Calculator'!K:K,MATCH('Lorri 401b'!N5925,'Retirement Calculator'!A:A,0),0),0)</f>
        <v>0</v>
      </c>
      <c r="K5925" s="455">
        <f t="shared" ca="1" si="198"/>
        <v>-77475351715821.031</v>
      </c>
      <c r="L5925" s="455">
        <f t="shared" ca="1" si="199"/>
        <v>-1.8671559763512868E+16</v>
      </c>
      <c r="M5925" s="471">
        <f t="shared" si="201"/>
        <v>0.05</v>
      </c>
      <c r="N5925" s="475">
        <f t="shared" si="202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00"/>
        <v>-1.8671559763512868E+16</v>
      </c>
      <c r="J5926" s="455">
        <f t="array" ref="J5926">IFERROR(INDEX('Retirement Calculator'!K:K,MATCH('Lorri 401b'!N5926,'Retirement Calculator'!A:A,0),0),0)</f>
        <v>0</v>
      </c>
      <c r="K5926" s="455">
        <f t="shared" ca="1" si="198"/>
        <v>-77798165681303.609</v>
      </c>
      <c r="L5926" s="455">
        <f t="shared" ca="1" si="199"/>
        <v>-1.8749357929194172E+16</v>
      </c>
      <c r="M5926" s="471">
        <f t="shared" si="201"/>
        <v>0.05</v>
      </c>
      <c r="N5926" s="475">
        <f t="shared" si="202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00"/>
        <v>-1.8749357929194172E+16</v>
      </c>
      <c r="J5927" s="455">
        <f t="array" ref="J5927">IFERROR(INDEX('Retirement Calculator'!K:K,MATCH('Lorri 401b'!N5927,'Retirement Calculator'!A:A,0),0),0)</f>
        <v>0</v>
      </c>
      <c r="K5927" s="455">
        <f t="shared" ca="1" si="198"/>
        <v>-78122324704975.719</v>
      </c>
      <c r="L5927" s="455">
        <f t="shared" ca="1" si="199"/>
        <v>-1.8827480253899148E+16</v>
      </c>
      <c r="M5927" s="471">
        <f t="shared" si="201"/>
        <v>0.05</v>
      </c>
      <c r="N5927" s="475">
        <f t="shared" si="202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00"/>
        <v>-1.8827480253899148E+16</v>
      </c>
      <c r="J5928" s="455">
        <f t="array" ref="J5928">IFERROR(INDEX('Retirement Calculator'!K:K,MATCH('Lorri 401b'!N5928,'Retirement Calculator'!A:A,0),0),0)</f>
        <v>0</v>
      </c>
      <c r="K5928" s="455">
        <f t="shared" ca="1" si="198"/>
        <v>-78447834391246.453</v>
      </c>
      <c r="L5928" s="455">
        <f t="shared" ca="1" si="199"/>
        <v>-1.8905928088290396E+16</v>
      </c>
      <c r="M5928" s="471">
        <f t="shared" si="201"/>
        <v>0.05</v>
      </c>
      <c r="N5928" s="475">
        <f t="shared" si="202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00"/>
        <v>-1.8905928088290396E+16</v>
      </c>
      <c r="J5929" s="455">
        <f t="array" ref="J5929">IFERROR(INDEX('Retirement Calculator'!K:K,MATCH('Lorri 401b'!N5929,'Retirement Calculator'!A:A,0),0),0)</f>
        <v>0</v>
      </c>
      <c r="K5929" s="455">
        <f t="shared" ca="1" si="198"/>
        <v>-78774700367876.656</v>
      </c>
      <c r="L5929" s="455">
        <f t="shared" ca="1" si="199"/>
        <v>-1.8984702788658272E+16</v>
      </c>
      <c r="M5929" s="471">
        <f t="shared" si="201"/>
        <v>0.05</v>
      </c>
      <c r="N5929" s="475">
        <f t="shared" si="202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00"/>
        <v>-1.8984702788658272E+16</v>
      </c>
      <c r="J5930" s="455">
        <f t="array" ref="J5930">IFERROR(INDEX('Retirement Calculator'!K:K,MATCH('Lorri 401b'!N5930,'Retirement Calculator'!A:A,0),0),0)</f>
        <v>0</v>
      </c>
      <c r="K5930" s="455">
        <f t="shared" ca="1" si="198"/>
        <v>-79102928286076.125</v>
      </c>
      <c r="L5930" s="455">
        <f t="shared" ca="1" si="199"/>
        <v>-1.9063805716944348E+16</v>
      </c>
      <c r="M5930" s="471">
        <f t="shared" si="201"/>
        <v>0.05</v>
      </c>
      <c r="N5930" s="475">
        <f t="shared" si="202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00"/>
        <v>-1.9063805716944348E+16</v>
      </c>
      <c r="J5931" s="455">
        <f t="array" ref="J5931">IFERROR(INDEX('Retirement Calculator'!K:K,MATCH('Lorri 401b'!N5931,'Retirement Calculator'!A:A,0),0),0)</f>
        <v>0</v>
      </c>
      <c r="K5931" s="455">
        <f t="shared" ca="1" si="198"/>
        <v>-79432523820601.453</v>
      </c>
      <c r="L5931" s="455">
        <f t="shared" ca="1" si="199"/>
        <v>-1.9143238240764948E+16</v>
      </c>
      <c r="M5931" s="471">
        <f t="shared" si="201"/>
        <v>0.05</v>
      </c>
      <c r="N5931" s="475">
        <f t="shared" si="202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00"/>
        <v>-1.9143238240764948E+16</v>
      </c>
      <c r="J5932" s="455">
        <f t="array" ref="J5932">IFERROR(INDEX('Retirement Calculator'!K:K,MATCH('Lorri 401b'!N5932,'Retirement Calculator'!A:A,0),0),0)</f>
        <v>0</v>
      </c>
      <c r="K5932" s="455">
        <f t="shared" ca="1" si="198"/>
        <v>-79763492669853.953</v>
      </c>
      <c r="L5932" s="455">
        <f t="shared" ca="1" si="199"/>
        <v>-1.92230017334348E+16</v>
      </c>
      <c r="M5932" s="471">
        <f t="shared" si="201"/>
        <v>0.05</v>
      </c>
      <c r="N5932" s="475">
        <f t="shared" si="202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00"/>
        <v>-1.92230017334348E+16</v>
      </c>
      <c r="J5933" s="455">
        <f t="array" ref="J5933">IFERROR(INDEX('Retirement Calculator'!K:K,MATCH('Lorri 401b'!N5933,'Retirement Calculator'!A:A,0),0),0)</f>
        <v>0</v>
      </c>
      <c r="K5933" s="455">
        <f t="shared" ca="1" si="198"/>
        <v>-80095840555978.328</v>
      </c>
      <c r="L5933" s="455">
        <f t="shared" ca="1" si="199"/>
        <v>-1.930309757399078E+16</v>
      </c>
      <c r="M5933" s="471">
        <f t="shared" si="201"/>
        <v>0.05</v>
      </c>
      <c r="N5933" s="475">
        <f t="shared" si="202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00"/>
        <v>-1.930309757399078E+16</v>
      </c>
      <c r="J5934" s="455">
        <f t="array" ref="J5934">IFERROR(INDEX('Retirement Calculator'!K:K,MATCH('Lorri 401b'!N5934,'Retirement Calculator'!A:A,0),0),0)</f>
        <v>0</v>
      </c>
      <c r="K5934" s="455">
        <f t="shared" ca="1" si="198"/>
        <v>-80429573224961.578</v>
      </c>
      <c r="L5934" s="455">
        <f t="shared" ca="1" si="199"/>
        <v>-1.938352714721574E+16</v>
      </c>
      <c r="M5934" s="471">
        <f t="shared" si="201"/>
        <v>0.05</v>
      </c>
      <c r="N5934" s="475">
        <f t="shared" si="202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00"/>
        <v>-1.938352714721574E+16</v>
      </c>
      <c r="J5935" s="455">
        <f t="array" ref="J5935">IFERROR(INDEX('Retirement Calculator'!K:K,MATCH('Lorri 401b'!N5935,'Retirement Calculator'!A:A,0),0),0)</f>
        <v>0</v>
      </c>
      <c r="K5935" s="455">
        <f t="shared" ca="1" si="198"/>
        <v>-80764696446732.25</v>
      </c>
      <c r="L5935" s="455">
        <f t="shared" ca="1" si="199"/>
        <v>-1.9464291843662472E+16</v>
      </c>
      <c r="M5935" s="471">
        <f t="shared" si="201"/>
        <v>0.05</v>
      </c>
      <c r="N5935" s="475">
        <f t="shared" si="202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00"/>
        <v>-1.9464291843662472E+16</v>
      </c>
      <c r="J5936" s="455">
        <f t="array" ref="J5936">IFERROR(INDEX('Retirement Calculator'!K:K,MATCH('Lorri 401b'!N5936,'Retirement Calculator'!A:A,0),0),0)</f>
        <v>0</v>
      </c>
      <c r="K5936" s="455">
        <f t="shared" ca="1" si="198"/>
        <v>-81101216015260.297</v>
      </c>
      <c r="L5936" s="455">
        <f t="shared" ca="1" si="199"/>
        <v>-1.9545393059677732E+16</v>
      </c>
      <c r="M5936" s="471">
        <f t="shared" si="201"/>
        <v>0.05</v>
      </c>
      <c r="N5936" s="475">
        <f t="shared" si="202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00"/>
        <v>-1.9545393059677732E+16</v>
      </c>
      <c r="J5937" s="455">
        <f t="array" ref="J5937">IFERROR(INDEX('Retirement Calculator'!K:K,MATCH('Lorri 401b'!N5937,'Retirement Calculator'!A:A,0),0),0)</f>
        <v>0</v>
      </c>
      <c r="K5937" s="455">
        <f t="shared" ca="1" si="198"/>
        <v>-81439137748657.219</v>
      </c>
      <c r="L5937" s="455">
        <f t="shared" ca="1" si="199"/>
        <v>-1.9626832197426388E+16</v>
      </c>
      <c r="M5937" s="471">
        <f t="shared" si="201"/>
        <v>0.05</v>
      </c>
      <c r="N5937" s="475">
        <f t="shared" si="202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00"/>
        <v>-1.9626832197426388E+16</v>
      </c>
      <c r="J5938" s="455">
        <f t="array" ref="J5938">IFERROR(INDEX('Retirement Calculator'!K:K,MATCH('Lorri 401b'!N5938,'Retirement Calculator'!A:A,0),0),0)</f>
        <v>0</v>
      </c>
      <c r="K5938" s="455">
        <f t="shared" ca="1" si="198"/>
        <v>-81778467489276.609</v>
      </c>
      <c r="L5938" s="455">
        <f t="shared" ca="1" si="199"/>
        <v>-1.9708610664915664E+16</v>
      </c>
      <c r="M5938" s="471">
        <f t="shared" si="201"/>
        <v>0.05</v>
      </c>
      <c r="N5938" s="475">
        <f t="shared" si="202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00"/>
        <v>-1.9708610664915664E+16</v>
      </c>
      <c r="J5939" s="455">
        <f t="array" ref="J5939">IFERROR(INDEX('Retirement Calculator'!K:K,MATCH('Lorri 401b'!N5939,'Retirement Calculator'!A:A,0),0),0)</f>
        <v>0</v>
      </c>
      <c r="K5939" s="455">
        <f t="shared" ca="1" si="198"/>
        <v>-82119211103815.266</v>
      </c>
      <c r="L5939" s="455">
        <f t="shared" ca="1" si="199"/>
        <v>-1.979072987601948E+16</v>
      </c>
      <c r="M5939" s="471">
        <f t="shared" si="201"/>
        <v>0.05</v>
      </c>
      <c r="N5939" s="475">
        <f t="shared" si="202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00"/>
        <v>-1.979072987601948E+16</v>
      </c>
      <c r="J5940" s="455">
        <f t="array" ref="J5940">IFERROR(INDEX('Retirement Calculator'!K:K,MATCH('Lorri 401b'!N5940,'Retirement Calculator'!A:A,0),0),0)</f>
        <v>0</v>
      </c>
      <c r="K5940" s="455">
        <f t="shared" ca="1" si="198"/>
        <v>-82461374483414.5</v>
      </c>
      <c r="L5940" s="455">
        <f t="shared" ca="1" si="199"/>
        <v>-1.9873191250502896E+16</v>
      </c>
      <c r="M5940" s="471">
        <f t="shared" si="201"/>
        <v>0.05</v>
      </c>
      <c r="N5940" s="475">
        <f t="shared" si="202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00"/>
        <v>-1.9873191250502896E+16</v>
      </c>
      <c r="J5941" s="455">
        <f t="array" ref="J5941">IFERROR(INDEX('Retirement Calculator'!K:K,MATCH('Lorri 401b'!N5941,'Retirement Calculator'!A:A,0),0),0)</f>
        <v>0</v>
      </c>
      <c r="K5941" s="455">
        <f t="shared" ca="1" si="198"/>
        <v>-82804963543762.063</v>
      </c>
      <c r="L5941" s="455">
        <f t="shared" ca="1" si="199"/>
        <v>-1.995599621404666E+16</v>
      </c>
      <c r="M5941" s="471">
        <f t="shared" si="201"/>
        <v>0.05</v>
      </c>
      <c r="N5941" s="475">
        <f t="shared" si="202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00"/>
        <v>-1.995599621404666E+16</v>
      </c>
      <c r="J5942" s="455">
        <f t="array" ref="J5942">IFERROR(INDEX('Retirement Calculator'!K:K,MATCH('Lorri 401b'!N5942,'Retirement Calculator'!A:A,0),0),0)</f>
        <v>0</v>
      </c>
      <c r="K5942" s="455">
        <f t="shared" ca="1" si="198"/>
        <v>-83149984225194.422</v>
      </c>
      <c r="L5942" s="455">
        <f t="shared" ca="1" si="199"/>
        <v>-2.0039146198271856E+16</v>
      </c>
      <c r="M5942" s="471">
        <f t="shared" si="201"/>
        <v>0.05</v>
      </c>
      <c r="N5942" s="475">
        <f t="shared" si="202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00"/>
        <v>-2.0039146198271856E+16</v>
      </c>
      <c r="J5943" s="455">
        <f t="array" ref="J5943">IFERROR(INDEX('Retirement Calculator'!K:K,MATCH('Lorri 401b'!N5943,'Retirement Calculator'!A:A,0),0),0)</f>
        <v>0</v>
      </c>
      <c r="K5943" s="455">
        <f t="shared" ca="1" si="198"/>
        <v>-83496442492799.406</v>
      </c>
      <c r="L5943" s="455">
        <f t="shared" ca="1" si="199"/>
        <v>-2.0122642640764656E+16</v>
      </c>
      <c r="M5943" s="471">
        <f t="shared" si="201"/>
        <v>0.05</v>
      </c>
      <c r="N5943" s="475">
        <f t="shared" si="202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00"/>
        <v>-2.0122642640764656E+16</v>
      </c>
      <c r="J5944" s="455">
        <f t="array" ref="J5944">IFERROR(INDEX('Retirement Calculator'!K:K,MATCH('Lorri 401b'!N5944,'Retirement Calculator'!A:A,0),0),0)</f>
        <v>0</v>
      </c>
      <c r="K5944" s="455">
        <f t="shared" ca="1" si="198"/>
        <v>-83844344336519.406</v>
      </c>
      <c r="L5944" s="455">
        <f t="shared" ca="1" si="199"/>
        <v>-2.0206486985101176E+16</v>
      </c>
      <c r="M5944" s="471">
        <f t="shared" si="201"/>
        <v>0.05</v>
      </c>
      <c r="N5944" s="475">
        <f t="shared" si="202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00"/>
        <v>-2.0206486985101176E+16</v>
      </c>
      <c r="J5945" s="455">
        <f t="array" ref="J5945">IFERROR(INDEX('Retirement Calculator'!K:K,MATCH('Lorri 401b'!N5945,'Retirement Calculator'!A:A,0),0),0)</f>
        <v>0</v>
      </c>
      <c r="K5945" s="455">
        <f t="shared" ca="1" si="198"/>
        <v>-84193695771254.906</v>
      </c>
      <c r="L5945" s="455">
        <f t="shared" ca="1" si="199"/>
        <v>-2.0290680680872432E+16</v>
      </c>
      <c r="M5945" s="471">
        <f t="shared" si="201"/>
        <v>0.05</v>
      </c>
      <c r="N5945" s="475">
        <f t="shared" si="202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00"/>
        <v>-2.0290680680872432E+16</v>
      </c>
      <c r="J5946" s="455">
        <f t="array" ref="J5946">IFERROR(INDEX('Retirement Calculator'!K:K,MATCH('Lorri 401b'!N5946,'Retirement Calculator'!A:A,0),0),0)</f>
        <v>0</v>
      </c>
      <c r="K5946" s="455">
        <f t="shared" ca="1" si="198"/>
        <v>-84544502836968.469</v>
      </c>
      <c r="L5946" s="455">
        <f t="shared" ca="1" si="199"/>
        <v>-2.03752251837094E+16</v>
      </c>
      <c r="M5946" s="471">
        <f t="shared" si="201"/>
        <v>0.05</v>
      </c>
      <c r="N5946" s="475">
        <f t="shared" si="202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00"/>
        <v>-2.03752251837094E+16</v>
      </c>
      <c r="J5947" s="455">
        <f t="array" ref="J5947">IFERROR(INDEX('Retirement Calculator'!K:K,MATCH('Lorri 401b'!N5947,'Retirement Calculator'!A:A,0),0),0)</f>
        <v>0</v>
      </c>
      <c r="K5947" s="455">
        <f t="shared" ca="1" si="198"/>
        <v>-84896771598789.172</v>
      </c>
      <c r="L5947" s="455">
        <f t="shared" ca="1" si="199"/>
        <v>-2.0460121955308188E+16</v>
      </c>
      <c r="M5947" s="471">
        <f t="shared" si="201"/>
        <v>0.05</v>
      </c>
      <c r="N5947" s="475">
        <f t="shared" si="202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00"/>
        <v>-2.0460121955308188E+16</v>
      </c>
      <c r="J5948" s="455">
        <f t="array" ref="J5948">IFERROR(INDEX('Retirement Calculator'!K:K,MATCH('Lorri 401b'!N5948,'Retirement Calculator'!A:A,0),0),0)</f>
        <v>0</v>
      </c>
      <c r="K5948" s="455">
        <f t="shared" ca="1" si="198"/>
        <v>-85250508147117.453</v>
      </c>
      <c r="L5948" s="455">
        <f t="shared" ca="1" si="199"/>
        <v>-2.0545372463455304E+16</v>
      </c>
      <c r="M5948" s="471">
        <f t="shared" si="201"/>
        <v>0.05</v>
      </c>
      <c r="N5948" s="475">
        <f t="shared" si="202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00"/>
        <v>-2.0545372463455304E+16</v>
      </c>
      <c r="J5949" s="455">
        <f t="array" ref="J5949">IFERROR(INDEX('Retirement Calculator'!K:K,MATCH('Lorri 401b'!N5949,'Retirement Calculator'!A:A,0),0),0)</f>
        <v>0</v>
      </c>
      <c r="K5949" s="455">
        <f t="shared" ca="1" si="198"/>
        <v>-85605718597730.438</v>
      </c>
      <c r="L5949" s="455">
        <f t="shared" ca="1" si="199"/>
        <v>-2.0630978182053036E+16</v>
      </c>
      <c r="M5949" s="471">
        <f t="shared" si="201"/>
        <v>0.05</v>
      </c>
      <c r="N5949" s="475">
        <f t="shared" si="202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00"/>
        <v>-2.0630978182053036E+16</v>
      </c>
      <c r="J5950" s="455">
        <f t="array" ref="J5950">IFERROR(INDEX('Retirement Calculator'!K:K,MATCH('Lorri 401b'!N5950,'Retirement Calculator'!A:A,0),0),0)</f>
        <v>0</v>
      </c>
      <c r="K5950" s="455">
        <f t="shared" ca="1" si="198"/>
        <v>-85962409091887.656</v>
      </c>
      <c r="L5950" s="455">
        <f t="shared" ca="1" si="199"/>
        <v>-2.0716940591144924E+16</v>
      </c>
      <c r="M5950" s="471">
        <f t="shared" si="201"/>
        <v>0.05</v>
      </c>
      <c r="N5950" s="475">
        <f t="shared" si="202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00"/>
        <v>-2.0716940591144924E+16</v>
      </c>
      <c r="J5951" s="455">
        <f t="array" ref="J5951">IFERROR(INDEX('Retirement Calculator'!K:K,MATCH('Lorri 401b'!N5951,'Retirement Calculator'!A:A,0),0),0)</f>
        <v>0</v>
      </c>
      <c r="K5951" s="455">
        <f t="shared" ca="1" si="198"/>
        <v>-86320585796437.188</v>
      </c>
      <c r="L5951" s="455">
        <f t="shared" ca="1" si="199"/>
        <v>-2.080326117694136E+16</v>
      </c>
      <c r="M5951" s="471">
        <f t="shared" si="201"/>
        <v>0.05</v>
      </c>
      <c r="N5951" s="475">
        <f t="shared" si="202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00"/>
        <v>-2.080326117694136E+16</v>
      </c>
      <c r="J5952" s="455">
        <f t="array" ref="J5952">IFERROR(INDEX('Retirement Calculator'!K:K,MATCH('Lorri 401b'!N5952,'Retirement Calculator'!A:A,0),0),0)</f>
        <v>0</v>
      </c>
      <c r="K5952" s="455">
        <f t="shared" ca="1" si="198"/>
        <v>-86680254903922.328</v>
      </c>
      <c r="L5952" s="455">
        <f t="shared" ca="1" si="199"/>
        <v>-2.0889941431845284E+16</v>
      </c>
      <c r="M5952" s="471">
        <f t="shared" si="201"/>
        <v>0.05</v>
      </c>
      <c r="N5952" s="475">
        <f t="shared" si="202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00"/>
        <v>-2.0889941431845284E+16</v>
      </c>
      <c r="J5953" s="455">
        <f t="array" ref="J5953">IFERROR(INDEX('Retirement Calculator'!K:K,MATCH('Lorri 401b'!N5953,'Retirement Calculator'!A:A,0),0),0)</f>
        <v>0</v>
      </c>
      <c r="K5953" s="455">
        <f t="shared" ca="1" si="198"/>
        <v>-87041422632688.688</v>
      </c>
      <c r="L5953" s="455">
        <f t="shared" ca="1" si="199"/>
        <v>-2.0976982854477972E+16</v>
      </c>
      <c r="M5953" s="471">
        <f t="shared" si="201"/>
        <v>0.05</v>
      </c>
      <c r="N5953" s="475">
        <f t="shared" si="202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00"/>
        <v>-2.0976982854477972E+16</v>
      </c>
      <c r="J5954" s="455">
        <f t="array" ref="J5954">IFERROR(INDEX('Retirement Calculator'!K:K,MATCH('Lorri 401b'!N5954,'Retirement Calculator'!A:A,0),0),0)</f>
        <v>0</v>
      </c>
      <c r="K5954" s="455">
        <f t="shared" ca="1" si="198"/>
        <v>-87404095226991.547</v>
      </c>
      <c r="L5954" s="455">
        <f t="shared" ca="1" si="199"/>
        <v>-2.1064386949704964E+16</v>
      </c>
      <c r="M5954" s="471">
        <f t="shared" si="201"/>
        <v>0.05</v>
      </c>
      <c r="N5954" s="475">
        <f t="shared" si="202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00"/>
        <v>-2.1064386949704964E+16</v>
      </c>
      <c r="J5955" s="455">
        <f t="array" ref="J5955">IFERROR(INDEX('Retirement Calculator'!K:K,MATCH('Lorri 401b'!N5955,'Retirement Calculator'!A:A,0),0),0)</f>
        <v>0</v>
      </c>
      <c r="K5955" s="455">
        <f t="shared" ca="1" si="198"/>
        <v>-87768278957104.016</v>
      </c>
      <c r="L5955" s="455">
        <f t="shared" ca="1" si="199"/>
        <v>-2.1152155228662068E+16</v>
      </c>
      <c r="M5955" s="471">
        <f t="shared" si="201"/>
        <v>0.05</v>
      </c>
      <c r="N5955" s="475">
        <f t="shared" si="202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00"/>
        <v>-2.1152155228662068E+16</v>
      </c>
      <c r="J5956" s="455">
        <f t="array" ref="J5956">IFERROR(INDEX('Retirement Calculator'!K:K,MATCH('Lorri 401b'!N5956,'Retirement Calculator'!A:A,0),0),0)</f>
        <v>0</v>
      </c>
      <c r="K5956" s="455">
        <f t="shared" ca="1" si="198"/>
        <v>-88133980119425.281</v>
      </c>
      <c r="L5956" s="455">
        <f t="shared" ca="1" si="199"/>
        <v>-2.1240289208781492E+16</v>
      </c>
      <c r="M5956" s="471">
        <f t="shared" si="201"/>
        <v>0.05</v>
      </c>
      <c r="N5956" s="475">
        <f t="shared" si="202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00"/>
        <v>-2.1240289208781492E+16</v>
      </c>
      <c r="J5957" s="455">
        <f t="array" ref="J5957">IFERROR(INDEX('Retirement Calculator'!K:K,MATCH('Lorri 401b'!N5957,'Retirement Calculator'!A:A,0),0),0)</f>
        <v>0</v>
      </c>
      <c r="K5957" s="455">
        <f t="shared" ca="1" si="198"/>
        <v>-88501205036589.547</v>
      </c>
      <c r="L5957" s="455">
        <f t="shared" ca="1" si="199"/>
        <v>-2.132879041381808E+16</v>
      </c>
      <c r="M5957" s="471">
        <f t="shared" si="201"/>
        <v>0.05</v>
      </c>
      <c r="N5957" s="475">
        <f t="shared" si="202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00"/>
        <v>-2.132879041381808E+16</v>
      </c>
      <c r="J5958" s="455">
        <f t="array" ref="J5958">IFERROR(INDEX('Retirement Calculator'!K:K,MATCH('Lorri 401b'!N5958,'Retirement Calculator'!A:A,0),0),0)</f>
        <v>0</v>
      </c>
      <c r="K5958" s="455">
        <f t="shared" ca="1" si="198"/>
        <v>-88869960057575.328</v>
      </c>
      <c r="L5958" s="455">
        <f t="shared" ca="1" si="199"/>
        <v>-2.1417660373875656E+16</v>
      </c>
      <c r="M5958" s="471">
        <f t="shared" si="201"/>
        <v>0.05</v>
      </c>
      <c r="N5958" s="475">
        <f t="shared" si="202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00"/>
        <v>-2.1417660373875656E+16</v>
      </c>
      <c r="J5959" s="455">
        <f t="array" ref="J5959">IFERROR(INDEX('Retirement Calculator'!K:K,MATCH('Lorri 401b'!N5959,'Retirement Calculator'!A:A,0),0),0)</f>
        <v>0</v>
      </c>
      <c r="K5959" s="455">
        <f t="shared" ca="1" si="198"/>
        <v>-89240251557815.234</v>
      </c>
      <c r="L5959" s="455">
        <f t="shared" ca="1" si="199"/>
        <v>-2.1506900625433472E+16</v>
      </c>
      <c r="M5959" s="471">
        <f t="shared" si="201"/>
        <v>0.05</v>
      </c>
      <c r="N5959" s="475">
        <f t="shared" si="202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00"/>
        <v>-2.1506900625433472E+16</v>
      </c>
      <c r="J5960" s="455">
        <f t="array" ref="J5960">IFERROR(INDEX('Retirement Calculator'!K:K,MATCH('Lorri 401b'!N5960,'Retirement Calculator'!A:A,0),0),0)</f>
        <v>0</v>
      </c>
      <c r="K5960" s="455">
        <f t="shared" ca="1" si="198"/>
        <v>-89612085939306.125</v>
      </c>
      <c r="L5960" s="455">
        <f t="shared" ca="1" si="199"/>
        <v>-2.159651271137278E+16</v>
      </c>
      <c r="M5960" s="471">
        <f t="shared" si="201"/>
        <v>0.05</v>
      </c>
      <c r="N5960" s="475">
        <f t="shared" si="202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00"/>
        <v>-2.159651271137278E+16</v>
      </c>
      <c r="J5961" s="455">
        <f t="array" ref="J5961">IFERROR(INDEX('Retirement Calculator'!K:K,MATCH('Lorri 401b'!N5961,'Retirement Calculator'!A:A,0),0),0)</f>
        <v>0</v>
      </c>
      <c r="K5961" s="455">
        <f t="shared" ca="1" si="198"/>
        <v>-89985469630719.922</v>
      </c>
      <c r="L5961" s="455">
        <f t="shared" ca="1" si="199"/>
        <v>-2.16864981810035E+16</v>
      </c>
      <c r="M5961" s="471">
        <f t="shared" si="201"/>
        <v>0.05</v>
      </c>
      <c r="N5961" s="475">
        <f t="shared" si="202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00"/>
        <v>-2.16864981810035E+16</v>
      </c>
      <c r="J5962" s="455">
        <f t="array" ref="J5962">IFERROR(INDEX('Retirement Calculator'!K:K,MATCH('Lorri 401b'!N5962,'Retirement Calculator'!A:A,0),0),0)</f>
        <v>0</v>
      </c>
      <c r="K5962" s="455">
        <f t="shared" ca="1" si="198"/>
        <v>-90360409087514.578</v>
      </c>
      <c r="L5962" s="455">
        <f t="shared" ca="1" si="199"/>
        <v>-2.1776858590091016E+16</v>
      </c>
      <c r="M5962" s="471">
        <f t="shared" si="201"/>
        <v>0.05</v>
      </c>
      <c r="N5962" s="475">
        <f t="shared" si="202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00"/>
        <v>-2.1776858590091016E+16</v>
      </c>
      <c r="J5963" s="455">
        <f t="array" ref="J5963">IFERROR(INDEX('Retirement Calculator'!K:K,MATCH('Lorri 401b'!N5963,'Retirement Calculator'!A:A,0),0),0)</f>
        <v>0</v>
      </c>
      <c r="K5963" s="455">
        <f t="shared" ca="1" si="198"/>
        <v>-90736910792045.906</v>
      </c>
      <c r="L5963" s="455">
        <f t="shared" ca="1" si="199"/>
        <v>-2.186759550088306E+16</v>
      </c>
      <c r="M5963" s="471">
        <f t="shared" si="201"/>
        <v>0.05</v>
      </c>
      <c r="N5963" s="475">
        <f t="shared" si="202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00"/>
        <v>-2.186759550088306E+16</v>
      </c>
      <c r="J5964" s="455">
        <f t="array" ref="J5964">IFERROR(INDEX('Retirement Calculator'!K:K,MATCH('Lorri 401b'!N5964,'Retirement Calculator'!A:A,0),0),0)</f>
        <v>0</v>
      </c>
      <c r="K5964" s="455">
        <f t="shared" ca="1" si="198"/>
        <v>-91114981253679.422</v>
      </c>
      <c r="L5964" s="455">
        <f t="shared" ca="1" si="199"/>
        <v>-2.195871048213674E+16</v>
      </c>
      <c r="M5964" s="471">
        <f t="shared" si="201"/>
        <v>0.05</v>
      </c>
      <c r="N5964" s="475">
        <f t="shared" si="202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00"/>
        <v>-2.195871048213674E+16</v>
      </c>
      <c r="J5965" s="455">
        <f t="array" ref="J5965">IFERROR(INDEX('Retirement Calculator'!K:K,MATCH('Lorri 401b'!N5965,'Retirement Calculator'!A:A,0),0),0)</f>
        <v>0</v>
      </c>
      <c r="K5965" s="455">
        <f t="shared" ca="1" si="198"/>
        <v>-91494627008903.078</v>
      </c>
      <c r="L5965" s="455">
        <f t="shared" ca="1" si="199"/>
        <v>-2.2050205109145644E+16</v>
      </c>
      <c r="M5965" s="471">
        <f t="shared" si="201"/>
        <v>0.05</v>
      </c>
      <c r="N5965" s="475">
        <f t="shared" si="202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00"/>
        <v>-2.2050205109145644E+16</v>
      </c>
      <c r="J5966" s="455">
        <f t="array" ref="J5966">IFERROR(INDEX('Retirement Calculator'!K:K,MATCH('Lorri 401b'!N5966,'Retirement Calculator'!A:A,0),0),0)</f>
        <v>0</v>
      </c>
      <c r="K5966" s="455">
        <f t="shared" ca="1" si="198"/>
        <v>-91875854621440.188</v>
      </c>
      <c r="L5966" s="455">
        <f t="shared" ca="1" si="199"/>
        <v>-2.2142080963767084E+16</v>
      </c>
      <c r="M5966" s="471">
        <f t="shared" si="201"/>
        <v>0.05</v>
      </c>
      <c r="N5966" s="475">
        <f t="shared" si="202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00"/>
        <v>-2.2142080963767084E+16</v>
      </c>
      <c r="J5967" s="455">
        <f t="array" ref="J5967">IFERROR(INDEX('Retirement Calculator'!K:K,MATCH('Lorri 401b'!N5967,'Retirement Calculator'!A:A,0),0),0)</f>
        <v>0</v>
      </c>
      <c r="K5967" s="455">
        <f t="shared" ca="1" si="198"/>
        <v>-92258670682362.844</v>
      </c>
      <c r="L5967" s="455">
        <f t="shared" ca="1" si="199"/>
        <v>-2.2234339634449448E+16</v>
      </c>
      <c r="M5967" s="471">
        <f t="shared" si="201"/>
        <v>0.05</v>
      </c>
      <c r="N5967" s="475">
        <f t="shared" si="202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00"/>
        <v>-2.2234339634449448E+16</v>
      </c>
      <c r="J5968" s="455">
        <f t="array" ref="J5968">IFERROR(INDEX('Retirement Calculator'!K:K,MATCH('Lorri 401b'!N5968,'Retirement Calculator'!A:A,0),0),0)</f>
        <v>0</v>
      </c>
      <c r="K5968" s="455">
        <f t="shared" ca="1" si="198"/>
        <v>-92643081810206.031</v>
      </c>
      <c r="L5968" s="455">
        <f t="shared" ca="1" si="199"/>
        <v>-2.2326982716259656E+16</v>
      </c>
      <c r="M5968" s="471">
        <f t="shared" si="201"/>
        <v>0.05</v>
      </c>
      <c r="N5968" s="475">
        <f t="shared" si="202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00"/>
        <v>-2.2326982716259656E+16</v>
      </c>
      <c r="J5969" s="455">
        <f t="array" ref="J5969">IFERROR(INDEX('Retirement Calculator'!K:K,MATCH('Lorri 401b'!N5969,'Retirement Calculator'!A:A,0),0),0)</f>
        <v>0</v>
      </c>
      <c r="K5969" s="455">
        <f t="shared" ca="1" si="198"/>
        <v>-93029094651081.906</v>
      </c>
      <c r="L5969" s="455">
        <f t="shared" ca="1" si="199"/>
        <v>-2.2420011810910736E+16</v>
      </c>
      <c r="M5969" s="471">
        <f t="shared" si="201"/>
        <v>0.05</v>
      </c>
      <c r="N5969" s="475">
        <f t="shared" si="202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00"/>
        <v>-2.2420011810910736E+16</v>
      </c>
      <c r="J5970" s="455">
        <f t="array" ref="J5970">IFERROR(INDEX('Retirement Calculator'!K:K,MATCH('Lorri 401b'!N5970,'Retirement Calculator'!A:A,0),0),0)</f>
        <v>0</v>
      </c>
      <c r="K5970" s="455">
        <f t="shared" ca="1" si="198"/>
        <v>-93416715878794.734</v>
      </c>
      <c r="L5970" s="455">
        <f t="shared" ca="1" si="199"/>
        <v>-2.2513428526789532E+16</v>
      </c>
      <c r="M5970" s="471">
        <f t="shared" si="201"/>
        <v>0.05</v>
      </c>
      <c r="N5970" s="475">
        <f t="shared" si="202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00"/>
        <v>-2.2513428526789532E+16</v>
      </c>
      <c r="J5971" s="455">
        <f t="array" ref="J5971">IFERROR(INDEX('Retirement Calculator'!K:K,MATCH('Lorri 401b'!N5971,'Retirement Calculator'!A:A,0),0),0)</f>
        <v>0</v>
      </c>
      <c r="K5971" s="455">
        <f t="shared" ca="1" si="198"/>
        <v>-93805952194956.375</v>
      </c>
      <c r="L5971" s="455">
        <f t="shared" ca="1" si="199"/>
        <v>-2.2607234478984488E+16</v>
      </c>
      <c r="M5971" s="471">
        <f t="shared" si="201"/>
        <v>0.05</v>
      </c>
      <c r="N5971" s="475">
        <f t="shared" si="202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00"/>
        <v>-2.2607234478984488E+16</v>
      </c>
      <c r="J5972" s="455">
        <f t="array" ref="J5972">IFERROR(INDEX('Retirement Calculator'!K:K,MATCH('Lorri 401b'!N5972,'Retirement Calculator'!A:A,0),0),0)</f>
        <v>0</v>
      </c>
      <c r="K5972" s="455">
        <f t="shared" ca="1" si="198"/>
        <v>-94196810329102.031</v>
      </c>
      <c r="L5972" s="455">
        <f t="shared" ca="1" si="199"/>
        <v>-2.2701431289313592E+16</v>
      </c>
      <c r="M5972" s="471">
        <f t="shared" si="201"/>
        <v>0.05</v>
      </c>
      <c r="N5972" s="475">
        <f t="shared" si="202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00"/>
        <v>-2.2701431289313592E+16</v>
      </c>
      <c r="J5973" s="455">
        <f t="array" ref="J5973">IFERROR(INDEX('Retirement Calculator'!K:K,MATCH('Lorri 401b'!N5973,'Retirement Calculator'!A:A,0),0),0)</f>
        <v>0</v>
      </c>
      <c r="K5973" s="455">
        <f t="shared" ca="1" si="198"/>
        <v>-94589297038806.625</v>
      </c>
      <c r="L5973" s="455">
        <f t="shared" ca="1" si="199"/>
        <v>-2.27960205863524E+16</v>
      </c>
      <c r="M5973" s="471">
        <f t="shared" si="201"/>
        <v>0.05</v>
      </c>
      <c r="N5973" s="475">
        <f t="shared" si="202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00"/>
        <v>-2.27960205863524E+16</v>
      </c>
      <c r="J5974" s="455">
        <f t="array" ref="J5974">IFERROR(INDEX('Retirement Calculator'!K:K,MATCH('Lorri 401b'!N5974,'Retirement Calculator'!A:A,0),0),0)</f>
        <v>0</v>
      </c>
      <c r="K5974" s="455">
        <f t="shared" ca="1" si="198"/>
        <v>-94983419109801.672</v>
      </c>
      <c r="L5974" s="455">
        <f t="shared" ca="1" si="199"/>
        <v>-2.28910040054622E+16</v>
      </c>
      <c r="M5974" s="471">
        <f t="shared" si="201"/>
        <v>0.05</v>
      </c>
      <c r="N5974" s="475">
        <f t="shared" si="202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00"/>
        <v>-2.28910040054622E+16</v>
      </c>
      <c r="J5975" s="455">
        <f t="array" ref="J5975">IFERROR(INDEX('Retirement Calculator'!K:K,MATCH('Lorri 401b'!N5975,'Retirement Calculator'!A:A,0),0),0)</f>
        <v>0</v>
      </c>
      <c r="K5975" s="455">
        <f t="shared" ca="1" si="198"/>
        <v>-95379183356092.5</v>
      </c>
      <c r="L5975" s="455">
        <f t="shared" ca="1" si="199"/>
        <v>-2.2986383188818292E+16</v>
      </c>
      <c r="M5975" s="471">
        <f t="shared" si="201"/>
        <v>0.05</v>
      </c>
      <c r="N5975" s="475">
        <f t="shared" si="202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00"/>
        <v>-2.2986383188818292E+16</v>
      </c>
      <c r="J5976" s="455">
        <f t="array" ref="J5976">IFERROR(INDEX('Retirement Calculator'!K:K,MATCH('Lorri 401b'!N5976,'Retirement Calculator'!A:A,0),0),0)</f>
        <v>0</v>
      </c>
      <c r="K5976" s="455">
        <f t="shared" ca="1" si="198"/>
        <v>-95776596620076.219</v>
      </c>
      <c r="L5976" s="455">
        <f t="shared" ca="1" si="199"/>
        <v>-2.3082159785438368E+16</v>
      </c>
      <c r="M5976" s="471">
        <f t="shared" si="201"/>
        <v>0.05</v>
      </c>
      <c r="N5976" s="475">
        <f t="shared" si="202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00"/>
        <v>-2.3082159785438368E+16</v>
      </c>
      <c r="J5977" s="455">
        <f t="array" ref="J5977">IFERROR(INDEX('Retirement Calculator'!K:K,MATCH('Lorri 401b'!N5977,'Retirement Calculator'!A:A,0),0),0)</f>
        <v>0</v>
      </c>
      <c r="K5977" s="455">
        <f t="shared" ca="1" si="198"/>
        <v>-96175665772659.859</v>
      </c>
      <c r="L5977" s="455">
        <f t="shared" ca="1" si="199"/>
        <v>-2.3178335451211028E+16</v>
      </c>
      <c r="M5977" s="471">
        <f t="shared" si="201"/>
        <v>0.05</v>
      </c>
      <c r="N5977" s="475">
        <f t="shared" si="202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00"/>
        <v>-2.3178335451211028E+16</v>
      </c>
      <c r="J5978" s="455">
        <f t="array" ref="J5978">IFERROR(INDEX('Retirement Calculator'!K:K,MATCH('Lorri 401b'!N5978,'Retirement Calculator'!A:A,0),0),0)</f>
        <v>0</v>
      </c>
      <c r="K5978" s="455">
        <f t="shared" ca="1" si="198"/>
        <v>-96576397713379.281</v>
      </c>
      <c r="L5978" s="455">
        <f t="shared" ca="1" si="199"/>
        <v>-2.3274911848924408E+16</v>
      </c>
      <c r="M5978" s="471">
        <f t="shared" si="201"/>
        <v>0.05</v>
      </c>
      <c r="N5978" s="475">
        <f t="shared" si="202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00"/>
        <v>-2.3274911848924408E+16</v>
      </c>
      <c r="J5979" s="455">
        <f t="array" ref="J5979">IFERROR(INDEX('Retirement Calculator'!K:K,MATCH('Lorri 401b'!N5979,'Retirement Calculator'!A:A,0),0),0)</f>
        <v>0</v>
      </c>
      <c r="K5979" s="455">
        <f t="shared" ca="1" si="198"/>
        <v>-96978799370518.359</v>
      </c>
      <c r="L5979" s="455">
        <f t="shared" ca="1" si="199"/>
        <v>-2.3371890648294928E+16</v>
      </c>
      <c r="M5979" s="471">
        <f t="shared" si="201"/>
        <v>0.05</v>
      </c>
      <c r="N5979" s="475">
        <f t="shared" si="202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00"/>
        <v>-2.3371890648294928E+16</v>
      </c>
      <c r="J5980" s="455">
        <f t="array" ref="J5980">IFERROR(INDEX('Retirement Calculator'!K:K,MATCH('Lorri 401b'!N5980,'Retirement Calculator'!A:A,0),0),0)</f>
        <v>0</v>
      </c>
      <c r="K5980" s="455">
        <f t="shared" ca="1" si="198"/>
        <v>-97382877701228.859</v>
      </c>
      <c r="L5980" s="455">
        <f t="shared" ca="1" si="199"/>
        <v>-2.3469273525996156E+16</v>
      </c>
      <c r="M5980" s="471">
        <f t="shared" si="201"/>
        <v>0.05</v>
      </c>
      <c r="N5980" s="475">
        <f t="shared" si="202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00"/>
        <v>-2.3469273525996156E+16</v>
      </c>
      <c r="J5981" s="455">
        <f t="array" ref="J5981">IFERROR(INDEX('Retirement Calculator'!K:K,MATCH('Lorri 401b'!N5981,'Retirement Calculator'!A:A,0),0),0)</f>
        <v>0</v>
      </c>
      <c r="K5981" s="455">
        <f t="shared" ca="1" si="198"/>
        <v>-97788639691650.656</v>
      </c>
      <c r="L5981" s="455">
        <f t="shared" ca="1" si="199"/>
        <v>-2.3567062165687808E+16</v>
      </c>
      <c r="M5981" s="471">
        <f t="shared" si="201"/>
        <v>0.05</v>
      </c>
      <c r="N5981" s="475">
        <f t="shared" si="202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00"/>
        <v>-2.3567062165687808E+16</v>
      </c>
      <c r="J5982" s="455">
        <f t="array" ref="J5982">IFERROR(INDEX('Retirement Calculator'!K:K,MATCH('Lorri 401b'!N5982,'Retirement Calculator'!A:A,0),0),0)</f>
        <v>0</v>
      </c>
      <c r="K5982" s="455">
        <f t="shared" ca="1" si="198"/>
        <v>-98196092357032.531</v>
      </c>
      <c r="L5982" s="455">
        <f t="shared" ca="1" si="199"/>
        <v>-2.366525825804484E+16</v>
      </c>
      <c r="M5982" s="471">
        <f t="shared" si="201"/>
        <v>0.05</v>
      </c>
      <c r="N5982" s="475">
        <f t="shared" si="202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00"/>
        <v>-2.366525825804484E+16</v>
      </c>
      <c r="J5983" s="455">
        <f t="array" ref="J5983">IFERROR(INDEX('Retirement Calculator'!K:K,MATCH('Lorri 401b'!N5983,'Retirement Calculator'!A:A,0),0),0)</f>
        <v>0</v>
      </c>
      <c r="K5983" s="455">
        <f t="shared" ca="1" si="198"/>
        <v>-98605242741853.5</v>
      </c>
      <c r="L5983" s="455">
        <f t="shared" ca="1" si="199"/>
        <v>-2.3763863500786692E+16</v>
      </c>
      <c r="M5983" s="471">
        <f t="shared" si="201"/>
        <v>0.05</v>
      </c>
      <c r="N5983" s="475">
        <f t="shared" si="202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00"/>
        <v>-2.3763863500786692E+16</v>
      </c>
      <c r="J5984" s="455">
        <f t="array" ref="J5984">IFERROR(INDEX('Retirement Calculator'!K:K,MATCH('Lorri 401b'!N5984,'Retirement Calculator'!A:A,0),0),0)</f>
        <v>0</v>
      </c>
      <c r="K5984" s="455">
        <f t="shared" ca="1" si="198"/>
        <v>-99016097919944.547</v>
      </c>
      <c r="L5984" s="455">
        <f t="shared" ca="1" si="199"/>
        <v>-2.3862879598706636E+16</v>
      </c>
      <c r="M5984" s="471">
        <f t="shared" si="201"/>
        <v>0.05</v>
      </c>
      <c r="N5984" s="475">
        <f t="shared" si="202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00"/>
        <v>-2.3862879598706636E+16</v>
      </c>
      <c r="J5985" s="455">
        <f t="array" ref="J5985">IFERROR(INDEX('Retirement Calculator'!K:K,MATCH('Lorri 401b'!N5985,'Retirement Calculator'!A:A,0),0),0)</f>
        <v>0</v>
      </c>
      <c r="K5985" s="455">
        <f t="shared" ca="1" si="198"/>
        <v>-99428664994610.984</v>
      </c>
      <c r="L5985" s="455">
        <f t="shared" ca="1" si="199"/>
        <v>-2.3962308263701248E+16</v>
      </c>
      <c r="M5985" s="471">
        <f t="shared" si="201"/>
        <v>0.05</v>
      </c>
      <c r="N5985" s="475">
        <f t="shared" si="202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00"/>
        <v>-2.3962308263701248E+16</v>
      </c>
      <c r="J5986" s="455">
        <f t="array" ref="J5986">IFERROR(INDEX('Retirement Calculator'!K:K,MATCH('Lorri 401b'!N5986,'Retirement Calculator'!A:A,0),0),0)</f>
        <v>0</v>
      </c>
      <c r="K5986" s="455">
        <f t="shared" ca="1" si="198"/>
        <v>-99842951098755.203</v>
      </c>
      <c r="L5986" s="455">
        <f t="shared" ca="1" si="199"/>
        <v>-2.4062151214800004E+16</v>
      </c>
      <c r="M5986" s="471">
        <f t="shared" si="201"/>
        <v>0.05</v>
      </c>
      <c r="N5986" s="475">
        <f t="shared" si="202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00"/>
        <v>-2.4062151214800004E+16</v>
      </c>
      <c r="J5987" s="455">
        <f t="array" ref="J5987">IFERROR(INDEX('Retirement Calculator'!K:K,MATCH('Lorri 401b'!N5987,'Retirement Calculator'!A:A,0),0),0)</f>
        <v>0</v>
      </c>
      <c r="K5987" s="455">
        <f t="shared" ca="1" si="198"/>
        <v>-100258963395000.02</v>
      </c>
      <c r="L5987" s="455">
        <f t="shared" ca="1" si="199"/>
        <v>-2.4162410178195004E+16</v>
      </c>
      <c r="M5987" s="471">
        <f t="shared" si="201"/>
        <v>0.05</v>
      </c>
      <c r="N5987" s="475">
        <f t="shared" si="202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00"/>
        <v>-2.4162410178195004E+16</v>
      </c>
      <c r="J5988" s="455">
        <f t="array" ref="J5988">IFERROR(INDEX('Retirement Calculator'!K:K,MATCH('Lorri 401b'!N5988,'Retirement Calculator'!A:A,0),0),0)</f>
        <v>0</v>
      </c>
      <c r="K5988" s="455">
        <f t="shared" ca="1" si="198"/>
        <v>-100676709075812.52</v>
      </c>
      <c r="L5988" s="455">
        <f t="shared" ca="1" si="199"/>
        <v>-2.4263086887270816E+16</v>
      </c>
      <c r="M5988" s="471">
        <f t="shared" si="201"/>
        <v>0.05</v>
      </c>
      <c r="N5988" s="475">
        <f t="shared" si="202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00"/>
        <v>-2.4263086887270816E+16</v>
      </c>
      <c r="J5989" s="455">
        <f t="array" ref="J5989">IFERROR(INDEX('Retirement Calculator'!K:K,MATCH('Lorri 401b'!N5989,'Retirement Calculator'!A:A,0),0),0)</f>
        <v>0</v>
      </c>
      <c r="K5989" s="455">
        <f t="shared" ca="1" si="198"/>
        <v>-101096195363628.41</v>
      </c>
      <c r="L5989" s="455">
        <f t="shared" ca="1" si="199"/>
        <v>-2.4364183082634444E+16</v>
      </c>
      <c r="M5989" s="471">
        <f t="shared" si="201"/>
        <v>0.05</v>
      </c>
      <c r="N5989" s="475">
        <f t="shared" si="202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00"/>
        <v>-2.4364183082634444E+16</v>
      </c>
      <c r="J5990" s="455">
        <f t="array" ref="J5990">IFERROR(INDEX('Retirement Calculator'!K:K,MATCH('Lorri 401b'!N5990,'Retirement Calculator'!A:A,0),0),0)</f>
        <v>0</v>
      </c>
      <c r="K5990" s="455">
        <f t="shared" ca="1" si="198"/>
        <v>-101517429510976.84</v>
      </c>
      <c r="L5990" s="455">
        <f t="shared" ca="1" si="199"/>
        <v>-2.446570051214542E+16</v>
      </c>
      <c r="M5990" s="471">
        <f t="shared" si="201"/>
        <v>0.05</v>
      </c>
      <c r="N5990" s="475">
        <f t="shared" si="202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00"/>
        <v>-2.446570051214542E+16</v>
      </c>
      <c r="J5991" s="455">
        <f t="array" ref="J5991">IFERROR(INDEX('Retirement Calculator'!K:K,MATCH('Lorri 401b'!N5991,'Retirement Calculator'!A:A,0),0),0)</f>
        <v>0</v>
      </c>
      <c r="K5991" s="455">
        <f t="shared" ca="1" si="198"/>
        <v>-101940418800605.92</v>
      </c>
      <c r="L5991" s="455">
        <f t="shared" ca="1" si="199"/>
        <v>-2.4567640930946024E+16</v>
      </c>
      <c r="M5991" s="471">
        <f t="shared" si="201"/>
        <v>0.05</v>
      </c>
      <c r="N5991" s="475">
        <f t="shared" si="202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00"/>
        <v>-2.4567640930946024E+16</v>
      </c>
      <c r="J5992" s="455">
        <f t="array" ref="J5992">IFERROR(INDEX('Retirement Calculator'!K:K,MATCH('Lorri 401b'!N5992,'Retirement Calculator'!A:A,0),0),0)</f>
        <v>0</v>
      </c>
      <c r="K5992" s="455">
        <f t="shared" ca="1" si="198"/>
        <v>-102365170545608.44</v>
      </c>
      <c r="L5992" s="455">
        <f t="shared" ca="1" si="199"/>
        <v>-2.4670006101491632E+16</v>
      </c>
      <c r="M5992" s="471">
        <f t="shared" si="201"/>
        <v>0.05</v>
      </c>
      <c r="N5992" s="475">
        <f t="shared" si="202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00"/>
        <v>-2.4670006101491632E+16</v>
      </c>
      <c r="J5993" s="455">
        <f t="array" ref="J5993">IFERROR(INDEX('Retirement Calculator'!K:K,MATCH('Lorri 401b'!N5993,'Retirement Calculator'!A:A,0),0),0)</f>
        <v>0</v>
      </c>
      <c r="K5993" s="455">
        <f t="shared" ca="1" si="198"/>
        <v>-102791692089548.47</v>
      </c>
      <c r="L5993" s="455">
        <f t="shared" ca="1" si="199"/>
        <v>-2.477279779358118E+16</v>
      </c>
      <c r="M5993" s="471">
        <f t="shared" si="201"/>
        <v>0.05</v>
      </c>
      <c r="N5993" s="475">
        <f t="shared" si="202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00"/>
        <v>-2.477279779358118E+16</v>
      </c>
      <c r="J5994" s="455">
        <f t="array" ref="J5994">IFERROR(INDEX('Retirement Calculator'!K:K,MATCH('Lorri 401b'!N5994,'Retirement Calculator'!A:A,0),0),0)</f>
        <v>0</v>
      </c>
      <c r="K5994" s="455">
        <f t="shared" ca="1" si="198"/>
        <v>-103219990806588.25</v>
      </c>
      <c r="L5994" s="455">
        <f t="shared" ca="1" si="199"/>
        <v>-2.4876017784387768E+16</v>
      </c>
      <c r="M5994" s="471">
        <f t="shared" si="201"/>
        <v>0.05</v>
      </c>
      <c r="N5994" s="475">
        <f t="shared" si="202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00"/>
        <v>-2.4876017784387768E+16</v>
      </c>
      <c r="J5995" s="455">
        <f t="array" ref="J5995">IFERROR(INDEX('Retirement Calculator'!K:K,MATCH('Lorri 401b'!N5995,'Retirement Calculator'!A:A,0),0),0)</f>
        <v>0</v>
      </c>
      <c r="K5995" s="455">
        <f t="shared" ca="1" si="198"/>
        <v>-103650074101615.7</v>
      </c>
      <c r="L5995" s="455">
        <f t="shared" ca="1" si="199"/>
        <v>-2.4979667858489384E+16</v>
      </c>
      <c r="M5995" s="471">
        <f t="shared" si="201"/>
        <v>0.05</v>
      </c>
      <c r="N5995" s="475">
        <f t="shared" si="202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00"/>
        <v>-2.4979667858489384E+16</v>
      </c>
      <c r="J5996" s="455">
        <f t="array" ref="J5996">IFERROR(INDEX('Retirement Calculator'!K:K,MATCH('Lorri 401b'!N5996,'Retirement Calculator'!A:A,0),0),0)</f>
        <v>0</v>
      </c>
      <c r="K5996" s="455">
        <f t="shared" ca="1" si="198"/>
        <v>-104081949410372.44</v>
      </c>
      <c r="L5996" s="455">
        <f t="shared" ca="1" si="199"/>
        <v>-2.5083749807899756E+16</v>
      </c>
      <c r="M5996" s="471">
        <f t="shared" si="201"/>
        <v>0.05</v>
      </c>
      <c r="N5996" s="475">
        <f t="shared" si="202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00"/>
        <v>-2.5083749807899756E+16</v>
      </c>
      <c r="J5997" s="455">
        <f t="array" ref="J5997">IFERROR(INDEX('Retirement Calculator'!K:K,MATCH('Lorri 401b'!N5997,'Retirement Calculator'!A:A,0),0),0)</f>
        <v>0</v>
      </c>
      <c r="K5997" s="455">
        <f t="shared" ca="1" si="198"/>
        <v>-104515624199582.31</v>
      </c>
      <c r="L5997" s="455">
        <f t="shared" ca="1" si="199"/>
        <v>-2.518826543209934E+16</v>
      </c>
      <c r="M5997" s="471">
        <f t="shared" si="201"/>
        <v>0.05</v>
      </c>
      <c r="N5997" s="475">
        <f t="shared" si="202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00"/>
        <v>-2.518826543209934E+16</v>
      </c>
      <c r="J5998" s="455">
        <f t="array" ref="J5998">IFERROR(INDEX('Retirement Calculator'!K:K,MATCH('Lorri 401b'!N5998,'Retirement Calculator'!A:A,0),0),0)</f>
        <v>0</v>
      </c>
      <c r="K5998" s="455">
        <f t="shared" ca="1" si="198"/>
        <v>-104951105967080.58</v>
      </c>
      <c r="L5998" s="455">
        <f t="shared" ca="1" si="199"/>
        <v>-2.529321653806642E+16</v>
      </c>
      <c r="M5998" s="471">
        <f t="shared" si="201"/>
        <v>0.05</v>
      </c>
      <c r="N5998" s="475">
        <f t="shared" si="202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00"/>
        <v>-2.529321653806642E+16</v>
      </c>
      <c r="J5999" s="455">
        <f t="array" ref="J5999">IFERROR(INDEX('Retirement Calculator'!K:K,MATCH('Lorri 401b'!N5999,'Retirement Calculator'!A:A,0),0),0)</f>
        <v>0</v>
      </c>
      <c r="K5999" s="455">
        <f t="shared" ca="1" si="198"/>
        <v>-105388402241943.42</v>
      </c>
      <c r="L5999" s="455">
        <f t="shared" ca="1" si="199"/>
        <v>-2.5398604940308364E+16</v>
      </c>
      <c r="M5999" s="471">
        <f t="shared" si="201"/>
        <v>0.05</v>
      </c>
      <c r="N5999" s="475">
        <f t="shared" si="202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00"/>
        <v>-2.5398604940308364E+16</v>
      </c>
      <c r="J6000" s="455">
        <f t="array" ref="J6000">IFERROR(INDEX('Retirement Calculator'!K:K,MATCH('Lorri 401b'!N6000,'Retirement Calculator'!A:A,0),0),0)</f>
        <v>0</v>
      </c>
      <c r="K6000" s="455">
        <f t="shared" ca="1" si="198"/>
        <v>-105827520584618.19</v>
      </c>
      <c r="L6000" s="455">
        <f t="shared" ca="1" si="199"/>
        <v>-2.5504432460892984E+16</v>
      </c>
      <c r="M6000" s="471">
        <f t="shared" si="201"/>
        <v>0.05</v>
      </c>
      <c r="N6000" s="475">
        <f t="shared" si="202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00"/>
        <v>-2.5504432460892984E+16</v>
      </c>
      <c r="J6001" s="455">
        <f t="array" ref="J6001">IFERROR(INDEX('Retirement Calculator'!K:K,MATCH('Lorri 401b'!N6001,'Retirement Calculator'!A:A,0),0),0)</f>
        <v>0</v>
      </c>
      <c r="K6001" s="455">
        <f t="shared" ca="1" si="198"/>
        <v>-106268468587054.09</v>
      </c>
      <c r="L6001" s="455">
        <f t="shared" ca="1" si="199"/>
        <v>-2.561070092948004E+16</v>
      </c>
      <c r="M6001" s="471">
        <f t="shared" si="201"/>
        <v>0.05</v>
      </c>
      <c r="N6001" s="475">
        <f t="shared" si="202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00"/>
        <v>-2.561070092948004E+16</v>
      </c>
      <c r="J6002" s="455">
        <f t="array" ref="J6002">IFERROR(INDEX('Retirement Calculator'!K:K,MATCH('Lorri 401b'!N6002,'Retirement Calculator'!A:A,0),0),0)</f>
        <v>0</v>
      </c>
      <c r="K6002" s="455">
        <f t="shared" ca="1" si="198"/>
        <v>-106711253872833.5</v>
      </c>
      <c r="L6002" s="455">
        <f t="shared" ca="1" si="199"/>
        <v>-2.5717412183352872E+16</v>
      </c>
      <c r="M6002" s="471">
        <f t="shared" si="201"/>
        <v>0.05</v>
      </c>
      <c r="N6002" s="475">
        <f t="shared" si="202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00"/>
        <v>-2.5717412183352872E+16</v>
      </c>
      <c r="J6003" s="455">
        <f t="array" ref="J6003">IFERROR(INDEX('Retirement Calculator'!K:K,MATCH('Lorri 401b'!N6003,'Retirement Calculator'!A:A,0),0),0)</f>
        <v>0</v>
      </c>
      <c r="K6003" s="455">
        <f t="shared" ca="1" si="198"/>
        <v>-107155884097303.63</v>
      </c>
      <c r="L6003" s="455">
        <f t="shared" ca="1" si="199"/>
        <v>-2.5824568067450176E+16</v>
      </c>
      <c r="M6003" s="471">
        <f t="shared" si="201"/>
        <v>0.05</v>
      </c>
      <c r="N6003" s="475">
        <f t="shared" si="202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00"/>
        <v>-2.5824568067450176E+16</v>
      </c>
      <c r="J6004" s="455">
        <f t="array" ref="J6004">IFERROR(INDEX('Retirement Calculator'!K:K,MATCH('Lorri 401b'!N6004,'Retirement Calculator'!A:A,0),0),0)</f>
        <v>0</v>
      </c>
      <c r="K6004" s="455">
        <f t="shared" ca="1" si="198"/>
        <v>-107602366947709.06</v>
      </c>
      <c r="L6004" s="455">
        <f t="shared" ca="1" si="199"/>
        <v>-2.5932170434397884E+16</v>
      </c>
      <c r="M6004" s="471">
        <f t="shared" si="201"/>
        <v>0.05</v>
      </c>
      <c r="N6004" s="475">
        <f t="shared" si="202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00"/>
        <v>-2.5932170434397884E+16</v>
      </c>
      <c r="J6005" s="455">
        <f t="array" ref="J6005">IFERROR(INDEX('Retirement Calculator'!K:K,MATCH('Lorri 401b'!N6005,'Retirement Calculator'!A:A,0),0),0)</f>
        <v>0</v>
      </c>
      <c r="K6005" s="455">
        <f t="shared" ca="1" si="198"/>
        <v>-108050710143324.52</v>
      </c>
      <c r="L6005" s="455">
        <f t="shared" ca="1" si="199"/>
        <v>-2.6040221144541208E+16</v>
      </c>
      <c r="M6005" s="471">
        <f t="shared" si="201"/>
        <v>0.05</v>
      </c>
      <c r="N6005" s="475">
        <f t="shared" si="202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00"/>
        <v>-2.6040221144541208E+16</v>
      </c>
      <c r="J6006" s="455">
        <f t="array" ref="J6006">IFERROR(INDEX('Retirement Calculator'!K:K,MATCH('Lorri 401b'!N6006,'Retirement Calculator'!A:A,0),0),0)</f>
        <v>0</v>
      </c>
      <c r="K6006" s="455">
        <f t="shared" ca="1" si="198"/>
        <v>-108500921435588.36</v>
      </c>
      <c r="L6006" s="455">
        <f t="shared" ca="1" si="199"/>
        <v>-2.6148722065976796E+16</v>
      </c>
      <c r="M6006" s="471">
        <f t="shared" si="201"/>
        <v>0.05</v>
      </c>
      <c r="N6006" s="475">
        <f t="shared" si="202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00"/>
        <v>-2.6148722065976796E+16</v>
      </c>
      <c r="J6007" s="455">
        <f t="array" ref="J6007">IFERROR(INDEX('Retirement Calculator'!K:K,MATCH('Lorri 401b'!N6007,'Retirement Calculator'!A:A,0),0),0)</f>
        <v>0</v>
      </c>
      <c r="K6007" s="455">
        <f t="shared" ca="1" si="198"/>
        <v>-108953008608236.66</v>
      </c>
      <c r="L6007" s="455">
        <f t="shared" ca="1" si="199"/>
        <v>-2.6257675074585032E+16</v>
      </c>
      <c r="M6007" s="471">
        <f t="shared" si="201"/>
        <v>0.05</v>
      </c>
      <c r="N6007" s="475">
        <f t="shared" si="202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00"/>
        <v>-2.6257675074585032E+16</v>
      </c>
      <c r="J6008" s="455">
        <f t="array" ref="J6008">IFERROR(INDEX('Retirement Calculator'!K:K,MATCH('Lorri 401b'!N6008,'Retirement Calculator'!A:A,0),0),0)</f>
        <v>0</v>
      </c>
      <c r="K6008" s="455">
        <f t="shared" ca="1" si="198"/>
        <v>-109406979477437.63</v>
      </c>
      <c r="L6008" s="455">
        <f t="shared" ca="1" si="199"/>
        <v>-2.6367082054062468E+16</v>
      </c>
      <c r="M6008" s="471">
        <f t="shared" si="201"/>
        <v>0.05</v>
      </c>
      <c r="N6008" s="475">
        <f t="shared" si="202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00"/>
        <v>-2.6367082054062468E+16</v>
      </c>
      <c r="J6009" s="455">
        <f t="array" ref="J6009">IFERROR(INDEX('Retirement Calculator'!K:K,MATCH('Lorri 401b'!N6009,'Retirement Calculator'!A:A,0),0),0)</f>
        <v>0</v>
      </c>
      <c r="K6009" s="455">
        <f t="shared" ca="1" si="198"/>
        <v>-109862841891926.95</v>
      </c>
      <c r="L6009" s="455">
        <f t="shared" ca="1" si="199"/>
        <v>-2.6476944895954396E+16</v>
      </c>
      <c r="M6009" s="471">
        <f t="shared" si="201"/>
        <v>0.05</v>
      </c>
      <c r="N6009" s="475">
        <f t="shared" si="202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00"/>
        <v>-2.6476944895954396E+16</v>
      </c>
      <c r="J6010" s="455">
        <f t="array" ref="J6010">IFERROR(INDEX('Retirement Calculator'!K:K,MATCH('Lorri 401b'!N6010,'Retirement Calculator'!A:A,0),0),0)</f>
        <v>0</v>
      </c>
      <c r="K6010" s="455">
        <f t="shared" ca="1" si="198"/>
        <v>-110320603733143.31</v>
      </c>
      <c r="L6010" s="455">
        <f t="shared" ca="1" si="199"/>
        <v>-2.658726549968754E+16</v>
      </c>
      <c r="M6010" s="471">
        <f t="shared" si="201"/>
        <v>0.05</v>
      </c>
      <c r="N6010" s="475">
        <f t="shared" si="202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00"/>
        <v>-2.658726549968754E+16</v>
      </c>
      <c r="J6011" s="455">
        <f t="array" ref="J6011">IFERROR(INDEX('Retirement Calculator'!K:K,MATCH('Lorri 401b'!N6011,'Retirement Calculator'!A:A,0),0),0)</f>
        <v>0</v>
      </c>
      <c r="K6011" s="455">
        <f t="shared" ca="1" si="198"/>
        <v>-110780272915364.75</v>
      </c>
      <c r="L6011" s="455">
        <f t="shared" ca="1" si="199"/>
        <v>-2.6698045772602904E+16</v>
      </c>
      <c r="M6011" s="471">
        <f t="shared" si="201"/>
        <v>0.05</v>
      </c>
      <c r="N6011" s="475">
        <f t="shared" si="202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00"/>
        <v>-2.6698045772602904E+16</v>
      </c>
      <c r="J6012" s="455">
        <f t="array" ref="J6012">IFERROR(INDEX('Retirement Calculator'!K:K,MATCH('Lorri 401b'!N6012,'Retirement Calculator'!A:A,0),0),0)</f>
        <v>0</v>
      </c>
      <c r="K6012" s="455">
        <f t="shared" ca="1" si="198"/>
        <v>-111241857385845.44</v>
      </c>
      <c r="L6012" s="455">
        <f t="shared" ca="1" si="199"/>
        <v>-2.6809287629988748E+16</v>
      </c>
      <c r="M6012" s="471">
        <f t="shared" si="201"/>
        <v>0.05</v>
      </c>
      <c r="N6012" s="475">
        <f t="shared" si="202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00"/>
        <v>-2.6809287629988748E+16</v>
      </c>
      <c r="J6013" s="455">
        <f t="array" ref="J6013">IFERROR(INDEX('Retirement Calculator'!K:K,MATCH('Lorri 401b'!N6013,'Retirement Calculator'!A:A,0),0),0)</f>
        <v>0</v>
      </c>
      <c r="K6013" s="455">
        <f t="shared" ca="1" si="198"/>
        <v>-111705365124953.11</v>
      </c>
      <c r="L6013" s="455">
        <f t="shared" ca="1" si="199"/>
        <v>-2.69209929951137E+16</v>
      </c>
      <c r="M6013" s="471">
        <f t="shared" si="201"/>
        <v>0.05</v>
      </c>
      <c r="N6013" s="475">
        <f t="shared" si="202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00"/>
        <v>-2.69209929951137E+16</v>
      </c>
      <c r="J6014" s="455">
        <f t="array" ref="J6014">IFERROR(INDEX('Retirement Calculator'!K:K,MATCH('Lorri 401b'!N6014,'Retirement Calculator'!A:A,0),0),0)</f>
        <v>0</v>
      </c>
      <c r="K6014" s="455">
        <f t="shared" ca="1" si="198"/>
        <v>-112170804146307.08</v>
      </c>
      <c r="L6014" s="455">
        <f t="shared" ca="1" si="199"/>
        <v>-2.7033163799260008E+16</v>
      </c>
      <c r="M6014" s="471">
        <f t="shared" si="201"/>
        <v>0.05</v>
      </c>
      <c r="N6014" s="475">
        <f t="shared" si="202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00"/>
        <v>-2.7033163799260008E+16</v>
      </c>
      <c r="J6015" s="455">
        <f t="array" ref="J6015">IFERROR(INDEX('Retirement Calculator'!K:K,MATCH('Lorri 401b'!N6015,'Retirement Calculator'!A:A,0),0),0)</f>
        <v>0</v>
      </c>
      <c r="K6015" s="455">
        <f t="shared" ca="1" si="198"/>
        <v>-112638182496916.7</v>
      </c>
      <c r="L6015" s="455">
        <f t="shared" ca="1" si="199"/>
        <v>-2.7145801981756924E+16</v>
      </c>
      <c r="M6015" s="471">
        <f t="shared" si="201"/>
        <v>0.05</v>
      </c>
      <c r="N6015" s="475">
        <f t="shared" si="202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00"/>
        <v>-2.7145801981756924E+16</v>
      </c>
      <c r="J6016" s="455">
        <f t="array" ref="J6016">IFERROR(INDEX('Retirement Calculator'!K:K,MATCH('Lorri 401b'!N6016,'Retirement Calculator'!A:A,0),0),0)</f>
        <v>0</v>
      </c>
      <c r="K6016" s="455">
        <f t="shared" ca="1" si="198"/>
        <v>-113107508257320.52</v>
      </c>
      <c r="L6016" s="455">
        <f t="shared" ca="1" si="199"/>
        <v>-2.7258909490014244E+16</v>
      </c>
      <c r="M6016" s="471">
        <f t="shared" si="201"/>
        <v>0.05</v>
      </c>
      <c r="N6016" s="475">
        <f t="shared" si="202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00"/>
        <v>-2.7258909490014244E+16</v>
      </c>
      <c r="J6017" s="455">
        <f t="array" ref="J6017">IFERROR(INDEX('Retirement Calculator'!K:K,MATCH('Lorri 401b'!N6017,'Retirement Calculator'!A:A,0),0),0)</f>
        <v>0</v>
      </c>
      <c r="K6017" s="455">
        <f t="shared" ca="1" si="198"/>
        <v>-113578789541726.02</v>
      </c>
      <c r="L6017" s="455">
        <f t="shared" ca="1" si="199"/>
        <v>-2.7372488279555972E+16</v>
      </c>
      <c r="M6017" s="471">
        <f t="shared" si="201"/>
        <v>0.05</v>
      </c>
      <c r="N6017" s="475">
        <f t="shared" si="202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00"/>
        <v>-2.7372488279555972E+16</v>
      </c>
      <c r="J6018" s="455">
        <f t="array" ref="J6018">IFERROR(INDEX('Retirement Calculator'!K:K,MATCH('Lorri 401b'!N6018,'Retirement Calculator'!A:A,0),0),0)</f>
        <v>0</v>
      </c>
      <c r="K6018" s="455">
        <f t="shared" ca="1" si="198"/>
        <v>-114052034498149.88</v>
      </c>
      <c r="L6018" s="455">
        <f t="shared" ca="1" si="199"/>
        <v>-2.748654031405412E+16</v>
      </c>
      <c r="M6018" s="471">
        <f t="shared" si="201"/>
        <v>0.05</v>
      </c>
      <c r="N6018" s="475">
        <f t="shared" si="202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00"/>
        <v>-2.748654031405412E+16</v>
      </c>
      <c r="J6019" s="455">
        <f t="array" ref="J6019">IFERROR(INDEX('Retirement Calculator'!K:K,MATCH('Lorri 401b'!N6019,'Retirement Calculator'!A:A,0),0),0)</f>
        <v>0</v>
      </c>
      <c r="K6019" s="455">
        <f t="shared" ca="1" si="198"/>
        <v>-114527251308558.83</v>
      </c>
      <c r="L6019" s="455">
        <f t="shared" ca="1" si="199"/>
        <v>-2.760106756536268E+16</v>
      </c>
      <c r="M6019" s="471">
        <f t="shared" si="201"/>
        <v>0.05</v>
      </c>
      <c r="N6019" s="475">
        <f t="shared" si="202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00"/>
        <v>-2.760106756536268E+16</v>
      </c>
      <c r="J6020" s="455">
        <f t="array" ref="J6020">IFERROR(INDEX('Retirement Calculator'!K:K,MATCH('Lorri 401b'!N6020,'Retirement Calculator'!A:A,0),0),0)</f>
        <v>0</v>
      </c>
      <c r="K6020" s="455">
        <f t="shared" ca="1" si="198"/>
        <v>-115004448189011.17</v>
      </c>
      <c r="L6020" s="455">
        <f t="shared" ca="1" si="199"/>
        <v>-2.7716072013551692E+16</v>
      </c>
      <c r="M6020" s="471">
        <f t="shared" si="201"/>
        <v>0.05</v>
      </c>
      <c r="N6020" s="475">
        <f t="shared" si="202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00"/>
        <v>-2.7716072013551692E+16</v>
      </c>
      <c r="J6021" s="455">
        <f t="array" ref="J6021">IFERROR(INDEX('Retirement Calculator'!K:K,MATCH('Lorri 401b'!N6021,'Retirement Calculator'!A:A,0),0),0)</f>
        <v>0</v>
      </c>
      <c r="K6021" s="455">
        <f t="shared" ca="1" si="198"/>
        <v>-115483633389798.72</v>
      </c>
      <c r="L6021" s="455">
        <f t="shared" ca="1" si="199"/>
        <v>-2.7831555646941492E+16</v>
      </c>
      <c r="M6021" s="471">
        <f t="shared" si="201"/>
        <v>0.05</v>
      </c>
      <c r="N6021" s="475">
        <f t="shared" si="202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00"/>
        <v>-2.7831555646941492E+16</v>
      </c>
      <c r="J6022" s="455">
        <f t="array" ref="J6022">IFERROR(INDEX('Retirement Calculator'!K:K,MATCH('Lorri 401b'!N6022,'Retirement Calculator'!A:A,0),0),0)</f>
        <v>0</v>
      </c>
      <c r="K6022" s="455">
        <f t="shared" ca="1" si="198"/>
        <v>-115964815195589.55</v>
      </c>
      <c r="L6022" s="455">
        <f t="shared" ca="1" si="199"/>
        <v>-2.794752046213708E+16</v>
      </c>
      <c r="M6022" s="471">
        <f t="shared" si="201"/>
        <v>0.05</v>
      </c>
      <c r="N6022" s="475">
        <f t="shared" si="202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00"/>
        <v>-2.794752046213708E+16</v>
      </c>
      <c r="J6023" s="455">
        <f t="array" ref="J6023">IFERROR(INDEX('Retirement Calculator'!K:K,MATCH('Lorri 401b'!N6023,'Retirement Calculator'!A:A,0),0),0)</f>
        <v>0</v>
      </c>
      <c r="K6023" s="455">
        <f t="shared" ca="1" si="198"/>
        <v>-116448001925571.17</v>
      </c>
      <c r="L6023" s="455">
        <f t="shared" ca="1" si="199"/>
        <v>-2.8063968464062652E+16</v>
      </c>
      <c r="M6023" s="471">
        <f t="shared" si="201"/>
        <v>0.05</v>
      </c>
      <c r="N6023" s="475">
        <f t="shared" si="202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00"/>
        <v>-2.8063968464062652E+16</v>
      </c>
      <c r="J6024" s="455">
        <f t="array" ref="J6024">IFERROR(INDEX('Retirement Calculator'!K:K,MATCH('Lorri 401b'!N6024,'Retirement Calculator'!A:A,0),0),0)</f>
        <v>0</v>
      </c>
      <c r="K6024" s="455">
        <f t="shared" ca="1" si="198"/>
        <v>-116933201933594.38</v>
      </c>
      <c r="L6024" s="455">
        <f t="shared" ca="1" si="199"/>
        <v>-2.8180901665996248E+16</v>
      </c>
      <c r="M6024" s="471">
        <f t="shared" si="201"/>
        <v>0.05</v>
      </c>
      <c r="N6024" s="475">
        <f t="shared" si="202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00"/>
        <v>-2.8180901665996248E+16</v>
      </c>
      <c r="J6025" s="455">
        <f t="array" ref="J6025">IFERROR(INDEX('Retirement Calculator'!K:K,MATCH('Lorri 401b'!N6025,'Retirement Calculator'!A:A,0),0),0)</f>
        <v>0</v>
      </c>
      <c r="K6025" s="455">
        <f t="shared" ca="1" si="198"/>
        <v>-117420423608317.7</v>
      </c>
      <c r="L6025" s="455">
        <f t="shared" ca="1" si="199"/>
        <v>-2.8298322089604564E+16</v>
      </c>
      <c r="M6025" s="471">
        <f t="shared" si="201"/>
        <v>0.05</v>
      </c>
      <c r="N6025" s="475">
        <f t="shared" si="202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00"/>
        <v>-2.8298322089604564E+16</v>
      </c>
      <c r="J6026" s="455">
        <f t="array" ref="J6026">IFERROR(INDEX('Retirement Calculator'!K:K,MATCH('Lorri 401b'!N6026,'Retirement Calculator'!A:A,0),0),0)</f>
        <v>0</v>
      </c>
      <c r="K6026" s="455">
        <f t="shared" ca="1" si="198"/>
        <v>-117909675373352.36</v>
      </c>
      <c r="L6026" s="455">
        <f t="shared" ca="1" si="199"/>
        <v>-2.8416231764977916E+16</v>
      </c>
      <c r="M6026" s="471">
        <f t="shared" si="201"/>
        <v>0.05</v>
      </c>
      <c r="N6026" s="475">
        <f t="shared" si="202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00"/>
        <v>-2.8416231764977916E+16</v>
      </c>
      <c r="J6027" s="455">
        <f t="array" ref="J6027">IFERROR(INDEX('Retirement Calculator'!K:K,MATCH('Lorri 401b'!N6027,'Retirement Calculator'!A:A,0),0),0)</f>
        <v>0</v>
      </c>
      <c r="K6027" s="455">
        <f t="shared" ca="1" si="198"/>
        <v>-118400965687407.98</v>
      </c>
      <c r="L6027" s="455">
        <f t="shared" ca="1" si="199"/>
        <v>-2.8534632730665324E+16</v>
      </c>
      <c r="M6027" s="471">
        <f t="shared" si="201"/>
        <v>0.05</v>
      </c>
      <c r="N6027" s="475">
        <f t="shared" si="202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00"/>
        <v>-2.8534632730665324E+16</v>
      </c>
      <c r="J6028" s="455">
        <f t="array" ref="J6028">IFERROR(INDEX('Retirement Calculator'!K:K,MATCH('Lorri 401b'!N6028,'Retirement Calculator'!A:A,0),0),0)</f>
        <v>0</v>
      </c>
      <c r="K6028" s="455">
        <f t="shared" ca="1" si="198"/>
        <v>-118894303044438.84</v>
      </c>
      <c r="L6028" s="455">
        <f t="shared" ca="1" si="199"/>
        <v>-2.8653527033709764E+16</v>
      </c>
      <c r="M6028" s="471">
        <f t="shared" si="201"/>
        <v>0.05</v>
      </c>
      <c r="N6028" s="475">
        <f t="shared" si="202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00"/>
        <v>-2.8653527033709764E+16</v>
      </c>
      <c r="J6029" s="455">
        <f t="array" ref="J6029">IFERROR(INDEX('Retirement Calculator'!K:K,MATCH('Lorri 401b'!N6029,'Retirement Calculator'!A:A,0),0),0)</f>
        <v>0</v>
      </c>
      <c r="K6029" s="455">
        <f t="shared" ca="1" si="198"/>
        <v>-119389695973790.69</v>
      </c>
      <c r="L6029" s="455">
        <f t="shared" ca="1" si="199"/>
        <v>-2.8772916729683556E+16</v>
      </c>
      <c r="M6029" s="471">
        <f t="shared" si="201"/>
        <v>0.05</v>
      </c>
      <c r="N6029" s="475">
        <f t="shared" si="202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00"/>
        <v>-2.8772916729683556E+16</v>
      </c>
      <c r="J6030" s="455">
        <f t="array" ref="J6030">IFERROR(INDEX('Retirement Calculator'!K:K,MATCH('Lorri 401b'!N6030,'Retirement Calculator'!A:A,0),0),0)</f>
        <v>0</v>
      </c>
      <c r="K6030" s="455">
        <f t="shared" ca="1" si="198"/>
        <v>-119887153040348.14</v>
      </c>
      <c r="L6030" s="455">
        <f t="shared" ca="1" si="199"/>
        <v>-2.8892803882723904E+16</v>
      </c>
      <c r="M6030" s="471">
        <f t="shared" si="201"/>
        <v>0.05</v>
      </c>
      <c r="N6030" s="475">
        <f t="shared" si="202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00"/>
        <v>-2.8892803882723904E+16</v>
      </c>
      <c r="J6031" s="455">
        <f t="array" ref="J6031">IFERROR(INDEX('Retirement Calculator'!K:K,MATCH('Lorri 401b'!N6031,'Retirement Calculator'!A:A,0),0),0)</f>
        <v>0</v>
      </c>
      <c r="K6031" s="455">
        <f t="shared" ca="1" si="198"/>
        <v>-120386682844682.94</v>
      </c>
      <c r="L6031" s="455">
        <f t="shared" ca="1" si="199"/>
        <v>-2.9013190565568588E+16</v>
      </c>
      <c r="M6031" s="471">
        <f t="shared" si="201"/>
        <v>0.05</v>
      </c>
      <c r="N6031" s="475">
        <f t="shared" si="202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00"/>
        <v>-2.9013190565568588E+16</v>
      </c>
      <c r="J6032" s="455">
        <f t="array" ref="J6032">IFERROR(INDEX('Retirement Calculator'!K:K,MATCH('Lorri 401b'!N6032,'Retirement Calculator'!A:A,0),0),0)</f>
        <v>0</v>
      </c>
      <c r="K6032" s="455">
        <f t="shared" ca="1" si="198"/>
        <v>-120888294023202.47</v>
      </c>
      <c r="L6032" s="455">
        <f t="shared" ca="1" si="199"/>
        <v>-2.9134078859591792E+16</v>
      </c>
      <c r="M6032" s="471">
        <f t="shared" si="201"/>
        <v>0.05</v>
      </c>
      <c r="N6032" s="475">
        <f t="shared" si="202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00"/>
        <v>-2.9134078859591792E+16</v>
      </c>
      <c r="J6033" s="455">
        <f t="array" ref="J6033">IFERROR(INDEX('Retirement Calculator'!K:K,MATCH('Lorri 401b'!N6033,'Retirement Calculator'!A:A,0),0),0)</f>
        <v>0</v>
      </c>
      <c r="K6033" s="455">
        <f t="shared" ca="1" si="198"/>
        <v>-121391995248299.11</v>
      </c>
      <c r="L6033" s="455">
        <f t="shared" ca="1" si="199"/>
        <v>-2.9255470854840092E+16</v>
      </c>
      <c r="M6033" s="471">
        <f t="shared" si="201"/>
        <v>0.05</v>
      </c>
      <c r="N6033" s="475">
        <f t="shared" si="202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00"/>
        <v>-2.9255470854840092E+16</v>
      </c>
      <c r="J6034" s="455">
        <f t="array" ref="J6034">IFERROR(INDEX('Retirement Calculator'!K:K,MATCH('Lorri 401b'!N6034,'Retirement Calculator'!A:A,0),0),0)</f>
        <v>0</v>
      </c>
      <c r="K6034" s="455">
        <f t="shared" ca="1" si="198"/>
        <v>-121897795228500.38</v>
      </c>
      <c r="L6034" s="455">
        <f t="shared" ca="1" si="199"/>
        <v>-2.9377368650068592E+16</v>
      </c>
      <c r="M6034" s="471">
        <f t="shared" si="201"/>
        <v>0.05</v>
      </c>
      <c r="N6034" s="475">
        <f t="shared" si="202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00"/>
        <v>-2.9377368650068592E+16</v>
      </c>
      <c r="J6035" s="455">
        <f t="array" ref="J6035">IFERROR(INDEX('Retirement Calculator'!K:K,MATCH('Lorri 401b'!N6035,'Retirement Calculator'!A:A,0),0),0)</f>
        <v>0</v>
      </c>
      <c r="K6035" s="455">
        <f t="shared" ca="1" si="198"/>
        <v>-122405702708619.13</v>
      </c>
      <c r="L6035" s="455">
        <f t="shared" ca="1" si="199"/>
        <v>-2.9499774352777212E+16</v>
      </c>
      <c r="M6035" s="471">
        <f t="shared" si="201"/>
        <v>0.05</v>
      </c>
      <c r="N6035" s="475">
        <f t="shared" si="202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00"/>
        <v>-2.9499774352777212E+16</v>
      </c>
      <c r="J6036" s="455">
        <f t="array" ref="J6036">IFERROR(INDEX('Retirement Calculator'!K:K,MATCH('Lorri 401b'!N6036,'Retirement Calculator'!A:A,0),0),0)</f>
        <v>0</v>
      </c>
      <c r="K6036" s="455">
        <f t="shared" ca="1" si="198"/>
        <v>-122915726469905.06</v>
      </c>
      <c r="L6036" s="455">
        <f t="shared" ca="1" si="199"/>
        <v>-2.9622690079247116E+16</v>
      </c>
      <c r="M6036" s="471">
        <f t="shared" si="201"/>
        <v>0.05</v>
      </c>
      <c r="N6036" s="475">
        <f t="shared" si="202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00"/>
        <v>-2.9622690079247116E+16</v>
      </c>
      <c r="J6037" s="455">
        <f t="array" ref="J6037">IFERROR(INDEX('Retirement Calculator'!K:K,MATCH('Lorri 401b'!N6037,'Retirement Calculator'!A:A,0),0),0)</f>
        <v>0</v>
      </c>
      <c r="K6037" s="455">
        <f t="shared" ca="1" si="198"/>
        <v>-123427875330196.33</v>
      </c>
      <c r="L6037" s="455">
        <f t="shared" ca="1" si="199"/>
        <v>-2.9746117954577312E+16</v>
      </c>
      <c r="M6037" s="471">
        <f t="shared" si="201"/>
        <v>0.05</v>
      </c>
      <c r="N6037" s="475">
        <f t="shared" si="202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00"/>
        <v>-2.9746117954577312E+16</v>
      </c>
      <c r="J6038" s="455">
        <f t="array" ref="J6038">IFERROR(INDEX('Retirement Calculator'!K:K,MATCH('Lorri 401b'!N6038,'Retirement Calculator'!A:A,0),0),0)</f>
        <v>0</v>
      </c>
      <c r="K6038" s="455">
        <f t="shared" ca="1" si="198"/>
        <v>-123942158144072.14</v>
      </c>
      <c r="L6038" s="455">
        <f t="shared" ca="1" si="199"/>
        <v>-2.9870060112721384E+16</v>
      </c>
      <c r="M6038" s="471">
        <f t="shared" si="201"/>
        <v>0.05</v>
      </c>
      <c r="N6038" s="475">
        <f t="shared" si="202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00"/>
        <v>-2.9870060112721384E+16</v>
      </c>
      <c r="J6039" s="455">
        <f t="array" ref="J6039">IFERROR(INDEX('Retirement Calculator'!K:K,MATCH('Lorri 401b'!N6039,'Retirement Calculator'!A:A,0),0),0)</f>
        <v>0</v>
      </c>
      <c r="K6039" s="455">
        <f t="shared" ca="1" si="198"/>
        <v>-124458583803005.77</v>
      </c>
      <c r="L6039" s="455">
        <f t="shared" ca="1" si="199"/>
        <v>-2.9994518696524388E+16</v>
      </c>
      <c r="M6039" s="471">
        <f t="shared" si="201"/>
        <v>0.05</v>
      </c>
      <c r="N6039" s="475">
        <f t="shared" si="202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00"/>
        <v>-2.9994518696524388E+16</v>
      </c>
      <c r="J6040" s="455">
        <f t="array" ref="J6040">IFERROR(INDEX('Retirement Calculator'!K:K,MATCH('Lorri 401b'!N6040,'Retirement Calculator'!A:A,0),0),0)</f>
        <v>0</v>
      </c>
      <c r="K6040" s="455">
        <f t="shared" ca="1" si="198"/>
        <v>-124977161235518.28</v>
      </c>
      <c r="L6040" s="455">
        <f t="shared" ca="1" si="199"/>
        <v>-3.0119495857759908E+16</v>
      </c>
      <c r="M6040" s="471">
        <f t="shared" si="201"/>
        <v>0.05</v>
      </c>
      <c r="N6040" s="475">
        <f t="shared" si="202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00"/>
        <v>-3.0119495857759908E+16</v>
      </c>
      <c r="J6041" s="455">
        <f t="array" ref="J6041">IFERROR(INDEX('Retirement Calculator'!K:K,MATCH('Lorri 401b'!N6041,'Retirement Calculator'!A:A,0),0),0)</f>
        <v>0</v>
      </c>
      <c r="K6041" s="455">
        <f t="shared" ca="1" si="198"/>
        <v>-125497899407332.95</v>
      </c>
      <c r="L6041" s="455">
        <f t="shared" ca="1" si="199"/>
        <v>-3.024499375716724E+16</v>
      </c>
      <c r="M6041" s="471">
        <f t="shared" si="201"/>
        <v>0.05</v>
      </c>
      <c r="N6041" s="475">
        <f t="shared" si="202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00"/>
        <v>-3.024499375716724E+16</v>
      </c>
      <c r="J6042" s="455">
        <f t="array" ref="J6042">IFERROR(INDEX('Retirement Calculator'!K:K,MATCH('Lorri 401b'!N6042,'Retirement Calculator'!A:A,0),0),0)</f>
        <v>0</v>
      </c>
      <c r="K6042" s="455">
        <f t="shared" ca="1" si="198"/>
        <v>-126020807321530.14</v>
      </c>
      <c r="L6042" s="455">
        <f t="shared" ca="1" si="199"/>
        <v>-3.0371014564488772E+16</v>
      </c>
      <c r="M6042" s="471">
        <f t="shared" si="201"/>
        <v>0.05</v>
      </c>
      <c r="N6042" s="475">
        <f t="shared" si="202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00"/>
        <v>-3.0371014564488772E+16</v>
      </c>
      <c r="J6043" s="455">
        <f t="array" ref="J6043">IFERROR(INDEX('Retirement Calculator'!K:K,MATCH('Lorri 401b'!N6043,'Retirement Calculator'!A:A,0),0),0)</f>
        <v>0</v>
      </c>
      <c r="K6043" s="455">
        <f t="shared" ca="1" si="198"/>
        <v>-126545894018703.22</v>
      </c>
      <c r="L6043" s="455">
        <f t="shared" ca="1" si="199"/>
        <v>-3.0497560458507476E+16</v>
      </c>
      <c r="M6043" s="471">
        <f t="shared" si="201"/>
        <v>0.05</v>
      </c>
      <c r="N6043" s="475">
        <f t="shared" si="202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00"/>
        <v>-3.0497560458507476E+16</v>
      </c>
      <c r="J6044" s="455">
        <f t="array" ref="J6044">IFERROR(INDEX('Retirement Calculator'!K:K,MATCH('Lorri 401b'!N6044,'Retirement Calculator'!A:A,0),0),0)</f>
        <v>0</v>
      </c>
      <c r="K6044" s="455">
        <f t="shared" ca="1" si="198"/>
        <v>-127073168577114.48</v>
      </c>
      <c r="L6044" s="455">
        <f t="shared" ca="1" si="199"/>
        <v>-3.0624633627084592E+16</v>
      </c>
      <c r="M6044" s="471">
        <f t="shared" si="201"/>
        <v>0.05</v>
      </c>
      <c r="N6044" s="475">
        <f t="shared" si="202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00"/>
        <v>-3.0624633627084592E+16</v>
      </c>
      <c r="J6045" s="455">
        <f t="array" ref="J6045">IFERROR(INDEX('Retirement Calculator'!K:K,MATCH('Lorri 401b'!N6045,'Retirement Calculator'!A:A,0),0),0)</f>
        <v>0</v>
      </c>
      <c r="K6045" s="455">
        <f t="shared" ca="1" si="198"/>
        <v>-127602640112852.47</v>
      </c>
      <c r="L6045" s="455">
        <f t="shared" ca="1" si="199"/>
        <v>-3.0752236267197444E+16</v>
      </c>
      <c r="M6045" s="471">
        <f t="shared" si="201"/>
        <v>0.05</v>
      </c>
      <c r="N6045" s="475">
        <f t="shared" si="202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00"/>
        <v>-3.0752236267197444E+16</v>
      </c>
      <c r="J6046" s="455">
        <f t="array" ref="J6046">IFERROR(INDEX('Retirement Calculator'!K:K,MATCH('Lorri 401b'!N6046,'Retirement Calculator'!A:A,0),0),0)</f>
        <v>0</v>
      </c>
      <c r="K6046" s="455">
        <f t="shared" ca="1" si="198"/>
        <v>-128134317779989.34</v>
      </c>
      <c r="L6046" s="455">
        <f t="shared" ca="1" si="199"/>
        <v>-3.0880370584977432E+16</v>
      </c>
      <c r="M6046" s="471">
        <f t="shared" si="201"/>
        <v>0.05</v>
      </c>
      <c r="N6046" s="475">
        <f t="shared" si="202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00"/>
        <v>-3.0880370584977432E+16</v>
      </c>
      <c r="J6047" s="455">
        <f t="array" ref="J6047">IFERROR(INDEX('Retirement Calculator'!K:K,MATCH('Lorri 401b'!N6047,'Retirement Calculator'!A:A,0),0),0)</f>
        <v>0</v>
      </c>
      <c r="K6047" s="455">
        <f t="shared" ca="1" si="198"/>
        <v>-128668210770739.31</v>
      </c>
      <c r="L6047" s="455">
        <f t="shared" ca="1" si="199"/>
        <v>-3.1009038795748172E+16</v>
      </c>
      <c r="M6047" s="471">
        <f t="shared" si="201"/>
        <v>0.05</v>
      </c>
      <c r="N6047" s="475">
        <f t="shared" si="202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00"/>
        <v>-3.1009038795748172E+16</v>
      </c>
      <c r="J6048" s="455">
        <f t="array" ref="J6048">IFERROR(INDEX('Retirement Calculator'!K:K,MATCH('Lorri 401b'!N6048,'Retirement Calculator'!A:A,0),0),0)</f>
        <v>0</v>
      </c>
      <c r="K6048" s="455">
        <f t="shared" ca="1" si="198"/>
        <v>-129204328315617.36</v>
      </c>
      <c r="L6048" s="455">
        <f t="shared" ca="1" si="199"/>
        <v>-3.1138243124063788E+16</v>
      </c>
      <c r="M6048" s="471">
        <f t="shared" si="201"/>
        <v>0.05</v>
      </c>
      <c r="N6048" s="475">
        <f t="shared" si="202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00"/>
        <v>-3.1138243124063788E+16</v>
      </c>
      <c r="J6049" s="455">
        <f t="array" ref="J6049">IFERROR(INDEX('Retirement Calculator'!K:K,MATCH('Lorri 401b'!N6049,'Retirement Calculator'!A:A,0),0),0)</f>
        <v>0</v>
      </c>
      <c r="K6049" s="455">
        <f t="shared" ca="1" si="198"/>
        <v>-129742679683599.11</v>
      </c>
      <c r="L6049" s="455">
        <f t="shared" ca="1" si="199"/>
        <v>-3.1267985803747388E+16</v>
      </c>
      <c r="M6049" s="471">
        <f t="shared" si="201"/>
        <v>0.05</v>
      </c>
      <c r="N6049" s="475">
        <f t="shared" si="202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00"/>
        <v>-3.1267985803747388E+16</v>
      </c>
      <c r="J6050" s="455">
        <f t="array" ref="J6050">IFERROR(INDEX('Retirement Calculator'!K:K,MATCH('Lorri 401b'!N6050,'Retirement Calculator'!A:A,0),0),0)</f>
        <v>0</v>
      </c>
      <c r="K6050" s="455">
        <f t="shared" ca="1" si="198"/>
        <v>-130283274182280.77</v>
      </c>
      <c r="L6050" s="455">
        <f t="shared" ca="1" si="199"/>
        <v>-3.1398269077929668E+16</v>
      </c>
      <c r="M6050" s="471">
        <f t="shared" si="201"/>
        <v>0.05</v>
      </c>
      <c r="N6050" s="475">
        <f t="shared" si="202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00"/>
        <v>-3.1398269077929668E+16</v>
      </c>
      <c r="J6051" s="455">
        <f t="array" ref="J6051">IFERROR(INDEX('Retirement Calculator'!K:K,MATCH('Lorri 401b'!N6051,'Retirement Calculator'!A:A,0),0),0)</f>
        <v>0</v>
      </c>
      <c r="K6051" s="455">
        <f t="shared" ca="1" si="198"/>
        <v>-130826121158040.27</v>
      </c>
      <c r="L6051" s="455">
        <f t="shared" ca="1" si="199"/>
        <v>-3.1529095199087708E+16</v>
      </c>
      <c r="M6051" s="471">
        <f t="shared" si="201"/>
        <v>0.05</v>
      </c>
      <c r="N6051" s="475">
        <f t="shared" si="202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00"/>
        <v>-3.1529095199087708E+16</v>
      </c>
      <c r="J6052" s="455">
        <f t="array" ref="J6052">IFERROR(INDEX('Retirement Calculator'!K:K,MATCH('Lorri 401b'!N6052,'Retirement Calculator'!A:A,0),0),0)</f>
        <v>0</v>
      </c>
      <c r="K6052" s="455">
        <f t="shared" ca="1" si="198"/>
        <v>-131371229996198.78</v>
      </c>
      <c r="L6052" s="455">
        <f t="shared" ca="1" si="199"/>
        <v>-3.1660466429083908E+16</v>
      </c>
      <c r="M6052" s="471">
        <f t="shared" si="201"/>
        <v>0.05</v>
      </c>
      <c r="N6052" s="475">
        <f t="shared" si="202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00"/>
        <v>-3.1660466429083908E+16</v>
      </c>
      <c r="J6053" s="455">
        <f t="array" ref="J6053">IFERROR(INDEX('Retirement Calculator'!K:K,MATCH('Lorri 401b'!N6053,'Retirement Calculator'!A:A,0),0),0)</f>
        <v>0</v>
      </c>
      <c r="K6053" s="455">
        <f t="shared" ca="1" si="198"/>
        <v>-131918610121182.95</v>
      </c>
      <c r="L6053" s="455">
        <f t="shared" ca="1" si="199"/>
        <v>-3.1792385039205092E+16</v>
      </c>
      <c r="M6053" s="471">
        <f t="shared" si="201"/>
        <v>0.05</v>
      </c>
      <c r="N6053" s="475">
        <f t="shared" si="202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00"/>
        <v>-3.1792385039205092E+16</v>
      </c>
      <c r="J6054" s="455">
        <f t="array" ref="J6054">IFERROR(INDEX('Retirement Calculator'!K:K,MATCH('Lorri 401b'!N6054,'Retirement Calculator'!A:A,0),0),0)</f>
        <v>0</v>
      </c>
      <c r="K6054" s="455">
        <f t="shared" ca="1" si="198"/>
        <v>-132468270996687.88</v>
      </c>
      <c r="L6054" s="455">
        <f t="shared" ca="1" si="199"/>
        <v>-3.192485331020178E+16</v>
      </c>
      <c r="M6054" s="471">
        <f t="shared" si="201"/>
        <v>0.05</v>
      </c>
      <c r="N6054" s="475">
        <f t="shared" si="202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00"/>
        <v>-3.192485331020178E+16</v>
      </c>
      <c r="J6055" s="455">
        <f t="array" ref="J6055">IFERROR(INDEX('Retirement Calculator'!K:K,MATCH('Lorri 401b'!N6055,'Retirement Calculator'!A:A,0),0),0)</f>
        <v>0</v>
      </c>
      <c r="K6055" s="455">
        <f t="shared" ca="1" si="198"/>
        <v>-133020222125840.75</v>
      </c>
      <c r="L6055" s="455">
        <f t="shared" ca="1" si="199"/>
        <v>-3.205787353232762E+16</v>
      </c>
      <c r="M6055" s="471">
        <f t="shared" si="201"/>
        <v>0.05</v>
      </c>
      <c r="N6055" s="475">
        <f t="shared" si="202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00"/>
        <v>-3.205787353232762E+16</v>
      </c>
      <c r="J6056" s="455">
        <f t="array" ref="J6056">IFERROR(INDEX('Retirement Calculator'!K:K,MATCH('Lorri 401b'!N6056,'Retirement Calculator'!A:A,0),0),0)</f>
        <v>0</v>
      </c>
      <c r="K6056" s="455">
        <f t="shared" ca="1" si="198"/>
        <v>-133574473051365.06</v>
      </c>
      <c r="L6056" s="455">
        <f t="shared" ca="1" si="199"/>
        <v>-3.2191448005378984E+16</v>
      </c>
      <c r="M6056" s="471">
        <f t="shared" si="201"/>
        <v>0.05</v>
      </c>
      <c r="N6056" s="475">
        <f t="shared" si="202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00"/>
        <v>-3.2191448005378984E+16</v>
      </c>
      <c r="J6057" s="455">
        <f t="array" ref="J6057">IFERROR(INDEX('Retirement Calculator'!K:K,MATCH('Lorri 401b'!N6057,'Retirement Calculator'!A:A,0),0),0)</f>
        <v>0</v>
      </c>
      <c r="K6057" s="455">
        <f t="shared" ca="1" si="198"/>
        <v>-134131033355745.77</v>
      </c>
      <c r="L6057" s="455">
        <f t="shared" ca="1" si="199"/>
        <v>-3.2325579038734728E+16</v>
      </c>
      <c r="M6057" s="471">
        <f t="shared" si="201"/>
        <v>0.05</v>
      </c>
      <c r="N6057" s="475">
        <f t="shared" si="202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00"/>
        <v>-3.2325579038734728E+16</v>
      </c>
      <c r="J6058" s="455">
        <f t="array" ref="J6058">IFERROR(INDEX('Retirement Calculator'!K:K,MATCH('Lorri 401b'!N6058,'Retirement Calculator'!A:A,0),0),0)</f>
        <v>0</v>
      </c>
      <c r="K6058" s="455">
        <f t="shared" ca="1" si="198"/>
        <v>-134689912661394.7</v>
      </c>
      <c r="L6058" s="455">
        <f t="shared" ca="1" si="199"/>
        <v>-3.2460268951396124E+16</v>
      </c>
      <c r="M6058" s="471">
        <f t="shared" si="201"/>
        <v>0.05</v>
      </c>
      <c r="N6058" s="475">
        <f t="shared" si="202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00"/>
        <v>-3.2460268951396124E+16</v>
      </c>
      <c r="J6059" s="455">
        <f t="array" ref="J6059">IFERROR(INDEX('Retirement Calculator'!K:K,MATCH('Lorri 401b'!N6059,'Retirement Calculator'!A:A,0),0),0)</f>
        <v>0</v>
      </c>
      <c r="K6059" s="455">
        <f t="shared" ca="1" si="198"/>
        <v>-135251120630817.19</v>
      </c>
      <c r="L6059" s="455">
        <f t="shared" ca="1" si="199"/>
        <v>-3.259552007202694E+16</v>
      </c>
      <c r="M6059" s="471">
        <f t="shared" si="201"/>
        <v>0.05</v>
      </c>
      <c r="N6059" s="475">
        <f t="shared" si="202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00"/>
        <v>-3.259552007202694E+16</v>
      </c>
      <c r="J6060" s="455">
        <f t="array" ref="J6060">IFERROR(INDEX('Retirement Calculator'!K:K,MATCH('Lorri 401b'!N6060,'Retirement Calculator'!A:A,0),0),0)</f>
        <v>0</v>
      </c>
      <c r="K6060" s="455">
        <f t="shared" ca="1" si="198"/>
        <v>-135814666966778.89</v>
      </c>
      <c r="L6060" s="455">
        <f t="shared" ca="1" si="199"/>
        <v>-3.273133473899372E+16</v>
      </c>
      <c r="M6060" s="471">
        <f t="shared" si="201"/>
        <v>0.05</v>
      </c>
      <c r="N6060" s="475">
        <f t="shared" si="202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00"/>
        <v>-3.273133473899372E+16</v>
      </c>
      <c r="J6061" s="455">
        <f t="array" ref="J6061">IFERROR(INDEX('Retirement Calculator'!K:K,MATCH('Lorri 401b'!N6061,'Retirement Calculator'!A:A,0),0),0)</f>
        <v>0</v>
      </c>
      <c r="K6061" s="455">
        <f t="shared" ca="1" si="198"/>
        <v>-136380561412473.81</v>
      </c>
      <c r="L6061" s="455">
        <f t="shared" ca="1" si="199"/>
        <v>-3.2867715300406192E+16</v>
      </c>
      <c r="M6061" s="471">
        <f t="shared" si="201"/>
        <v>0.05</v>
      </c>
      <c r="N6061" s="475">
        <f t="shared" si="202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00"/>
        <v>-3.2867715300406192E+16</v>
      </c>
      <c r="J6062" s="455">
        <f t="array" ref="J6062">IFERROR(INDEX('Retirement Calculator'!K:K,MATCH('Lorri 401b'!N6062,'Retirement Calculator'!A:A,0),0),0)</f>
        <v>0</v>
      </c>
      <c r="K6062" s="455">
        <f t="shared" ca="1" si="198"/>
        <v>-136948813751692.45</v>
      </c>
      <c r="L6062" s="455">
        <f t="shared" ca="1" si="199"/>
        <v>-3.3004664114157884E+16</v>
      </c>
      <c r="M6062" s="471">
        <f t="shared" si="201"/>
        <v>0.05</v>
      </c>
      <c r="N6062" s="475">
        <f t="shared" si="202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00"/>
        <v>-3.3004664114157884E+16</v>
      </c>
      <c r="J6063" s="455">
        <f t="array" ref="J6063">IFERROR(INDEX('Retirement Calculator'!K:K,MATCH('Lorri 401b'!N6063,'Retirement Calculator'!A:A,0),0),0)</f>
        <v>0</v>
      </c>
      <c r="K6063" s="455">
        <f t="shared" ca="1" si="198"/>
        <v>-137519433808991.2</v>
      </c>
      <c r="L6063" s="455">
        <f t="shared" ca="1" si="199"/>
        <v>-3.3142183547966876E+16</v>
      </c>
      <c r="M6063" s="471">
        <f t="shared" si="201"/>
        <v>0.05</v>
      </c>
      <c r="N6063" s="475">
        <f t="shared" si="202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00"/>
        <v>-3.3142183547966876E+16</v>
      </c>
      <c r="J6064" s="455">
        <f t="array" ref="J6064">IFERROR(INDEX('Retirement Calculator'!K:K,MATCH('Lorri 401b'!N6064,'Retirement Calculator'!A:A,0),0),0)</f>
        <v>0</v>
      </c>
      <c r="K6064" s="455">
        <f t="shared" ca="1" si="198"/>
        <v>-138092431449861.97</v>
      </c>
      <c r="L6064" s="455">
        <f t="shared" ca="1" si="199"/>
        <v>-3.3280275979416736E+16</v>
      </c>
      <c r="M6064" s="471">
        <f t="shared" si="201"/>
        <v>0.05</v>
      </c>
      <c r="N6064" s="475">
        <f t="shared" si="202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00"/>
        <v>-3.3280275979416736E+16</v>
      </c>
      <c r="J6065" s="455">
        <f t="array" ref="J6065">IFERROR(INDEX('Retirement Calculator'!K:K,MATCH('Lorri 401b'!N6065,'Retirement Calculator'!A:A,0),0),0)</f>
        <v>0</v>
      </c>
      <c r="K6065" s="455">
        <f t="shared" ca="1" si="198"/>
        <v>-138667816580903.06</v>
      </c>
      <c r="L6065" s="455">
        <f t="shared" ca="1" si="199"/>
        <v>-3.341894379599764E+16</v>
      </c>
      <c r="M6065" s="471">
        <f t="shared" si="201"/>
        <v>0.05</v>
      </c>
      <c r="N6065" s="475">
        <f t="shared" si="202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00"/>
        <v>-3.341894379599764E+16</v>
      </c>
      <c r="J6066" s="455">
        <f t="array" ref="J6066">IFERROR(INDEX('Retirement Calculator'!K:K,MATCH('Lorri 401b'!N6066,'Retirement Calculator'!A:A,0),0),0)</f>
        <v>0</v>
      </c>
      <c r="K6066" s="455">
        <f t="shared" ca="1" si="198"/>
        <v>-139245599149990.17</v>
      </c>
      <c r="L6066" s="455">
        <f t="shared" ca="1" si="199"/>
        <v>-3.3558189395147632E+16</v>
      </c>
      <c r="M6066" s="471">
        <f t="shared" si="201"/>
        <v>0.05</v>
      </c>
      <c r="N6066" s="475">
        <f t="shared" si="202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00"/>
        <v>-3.3558189395147632E+16</v>
      </c>
      <c r="J6067" s="455">
        <f t="array" ref="J6067">IFERROR(INDEX('Retirement Calculator'!K:K,MATCH('Lorri 401b'!N6067,'Retirement Calculator'!A:A,0),0),0)</f>
        <v>0</v>
      </c>
      <c r="K6067" s="455">
        <f t="shared" ca="1" si="198"/>
        <v>-139825789146448.45</v>
      </c>
      <c r="L6067" s="455">
        <f t="shared" ca="1" si="199"/>
        <v>-3.369801518429408E+16</v>
      </c>
      <c r="M6067" s="471">
        <f t="shared" si="201"/>
        <v>0.05</v>
      </c>
      <c r="N6067" s="475">
        <f t="shared" si="202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00"/>
        <v>-3.369801518429408E+16</v>
      </c>
      <c r="J6068" s="455">
        <f t="array" ref="J6068">IFERROR(INDEX('Retirement Calculator'!K:K,MATCH('Lorri 401b'!N6068,'Retirement Calculator'!A:A,0),0),0)</f>
        <v>0</v>
      </c>
      <c r="K6068" s="455">
        <f t="shared" ca="1" si="198"/>
        <v>-140408396601225.31</v>
      </c>
      <c r="L6068" s="455">
        <f t="shared" ca="1" si="199"/>
        <v>-3.3838423580895304E+16</v>
      </c>
      <c r="M6068" s="471">
        <f t="shared" si="201"/>
        <v>0.05</v>
      </c>
      <c r="N6068" s="475">
        <f t="shared" si="202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00"/>
        <v>-3.3838423580895304E+16</v>
      </c>
      <c r="J6069" s="455">
        <f t="array" ref="J6069">IFERROR(INDEX('Retirement Calculator'!K:K,MATCH('Lorri 401b'!N6069,'Retirement Calculator'!A:A,0),0),0)</f>
        <v>0</v>
      </c>
      <c r="K6069" s="455">
        <f t="shared" ca="1" si="198"/>
        <v>-140993431587063.75</v>
      </c>
      <c r="L6069" s="455">
        <f t="shared" ca="1" si="199"/>
        <v>-3.3979417012482368E+16</v>
      </c>
      <c r="M6069" s="471">
        <f t="shared" si="201"/>
        <v>0.05</v>
      </c>
      <c r="N6069" s="475">
        <f t="shared" si="202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00"/>
        <v>-3.3979417012482368E+16</v>
      </c>
      <c r="J6070" s="455">
        <f t="array" ref="J6070">IFERROR(INDEX('Retirement Calculator'!K:K,MATCH('Lorri 401b'!N6070,'Retirement Calculator'!A:A,0),0),0)</f>
        <v>0</v>
      </c>
      <c r="K6070" s="455">
        <f t="shared" ca="1" si="198"/>
        <v>-141580904218676.53</v>
      </c>
      <c r="L6070" s="455">
        <f t="shared" ca="1" si="199"/>
        <v>-3.4120997916701044E+16</v>
      </c>
      <c r="M6070" s="471">
        <f t="shared" si="201"/>
        <v>0.05</v>
      </c>
      <c r="N6070" s="475">
        <f t="shared" si="202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00"/>
        <v>-3.4120997916701044E+16</v>
      </c>
      <c r="J6071" s="455">
        <f t="array" ref="J6071">IFERROR(INDEX('Retirement Calculator'!K:K,MATCH('Lorri 401b'!N6071,'Retirement Calculator'!A:A,0),0),0)</f>
        <v>0</v>
      </c>
      <c r="K6071" s="455">
        <f t="shared" ca="1" si="198"/>
        <v>-142170824652921</v>
      </c>
      <c r="L6071" s="455">
        <f t="shared" ca="1" si="199"/>
        <v>-3.4263168741353964E+16</v>
      </c>
      <c r="M6071" s="471">
        <f t="shared" si="201"/>
        <v>0.05</v>
      </c>
      <c r="N6071" s="475">
        <f t="shared" si="202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00"/>
        <v>-3.4263168741353964E+16</v>
      </c>
      <c r="J6072" s="455">
        <f t="array" ref="J6072">IFERROR(INDEX('Retirement Calculator'!K:K,MATCH('Lorri 401b'!N6072,'Retirement Calculator'!A:A,0),0),0)</f>
        <v>0</v>
      </c>
      <c r="K6072" s="455">
        <f t="shared" ca="1" si="198"/>
        <v>-142763203088974.84</v>
      </c>
      <c r="L6072" s="455">
        <f t="shared" ca="1" si="199"/>
        <v>-3.440593194444294E+16</v>
      </c>
      <c r="M6072" s="471">
        <f t="shared" si="201"/>
        <v>0.05</v>
      </c>
      <c r="N6072" s="475">
        <f t="shared" si="202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00"/>
        <v>-3.440593194444294E+16</v>
      </c>
      <c r="J6073" s="455">
        <f t="array" ref="J6073">IFERROR(INDEX('Retirement Calculator'!K:K,MATCH('Lorri 401b'!N6073,'Retirement Calculator'!A:A,0),0),0)</f>
        <v>0</v>
      </c>
      <c r="K6073" s="455">
        <f t="shared" ca="1" si="198"/>
        <v>-143358049768512.25</v>
      </c>
      <c r="L6073" s="455">
        <f t="shared" ca="1" si="199"/>
        <v>-3.4549289994211452E+16</v>
      </c>
      <c r="M6073" s="471">
        <f t="shared" si="201"/>
        <v>0.05</v>
      </c>
      <c r="N6073" s="475">
        <f t="shared" si="202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00"/>
        <v>-3.4549289994211452E+16</v>
      </c>
      <c r="J6074" s="455">
        <f t="array" ref="J6074">IFERROR(INDEX('Retirement Calculator'!K:K,MATCH('Lorri 401b'!N6074,'Retirement Calculator'!A:A,0),0),0)</f>
        <v>0</v>
      </c>
      <c r="K6074" s="455">
        <f t="shared" ca="1" si="198"/>
        <v>-143955374975881.06</v>
      </c>
      <c r="L6074" s="455">
        <f t="shared" ca="1" si="199"/>
        <v>-3.4693245369187332E+16</v>
      </c>
      <c r="M6074" s="471">
        <f t="shared" si="201"/>
        <v>0.05</v>
      </c>
      <c r="N6074" s="475">
        <f t="shared" si="202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00"/>
        <v>-3.4693245369187332E+16</v>
      </c>
      <c r="J6075" s="455">
        <f t="array" ref="J6075">IFERROR(INDEX('Retirement Calculator'!K:K,MATCH('Lorri 401b'!N6075,'Retirement Calculator'!A:A,0),0),0)</f>
        <v>0</v>
      </c>
      <c r="K6075" s="455">
        <f t="shared" ca="1" si="198"/>
        <v>-144555189038280.53</v>
      </c>
      <c r="L6075" s="455">
        <f t="shared" ca="1" si="199"/>
        <v>-3.4837800558225612E+16</v>
      </c>
      <c r="M6075" s="471">
        <f t="shared" si="201"/>
        <v>0.05</v>
      </c>
      <c r="N6075" s="475">
        <f t="shared" si="202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00"/>
        <v>-3.4837800558225612E+16</v>
      </c>
      <c r="J6076" s="455">
        <f t="array" ref="J6076">IFERROR(INDEX('Retirement Calculator'!K:K,MATCH('Lorri 401b'!N6076,'Retirement Calculator'!A:A,0),0),0)</f>
        <v>0</v>
      </c>
      <c r="K6076" s="455">
        <f t="shared" ca="1" si="198"/>
        <v>-145157502325940.06</v>
      </c>
      <c r="L6076" s="455">
        <f t="shared" ca="1" si="199"/>
        <v>-3.4982958060551552E+16</v>
      </c>
      <c r="M6076" s="471">
        <f t="shared" si="201"/>
        <v>0.05</v>
      </c>
      <c r="N6076" s="475">
        <f t="shared" si="202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00"/>
        <v>-3.4982958060551552E+16</v>
      </c>
      <c r="J6077" s="455">
        <f t="array" ref="J6077">IFERROR(INDEX('Retirement Calculator'!K:K,MATCH('Lorri 401b'!N6077,'Retirement Calculator'!A:A,0),0),0)</f>
        <v>0</v>
      </c>
      <c r="K6077" s="455">
        <f t="shared" ca="1" si="198"/>
        <v>-145762325252298.16</v>
      </c>
      <c r="L6077" s="455">
        <f t="shared" ca="1" si="199"/>
        <v>-3.5128720385803852E+16</v>
      </c>
      <c r="M6077" s="471">
        <f t="shared" si="201"/>
        <v>0.05</v>
      </c>
      <c r="N6077" s="475">
        <f t="shared" si="202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00"/>
        <v>-3.5128720385803852E+16</v>
      </c>
      <c r="J6078" s="455">
        <f t="array" ref="J6078">IFERROR(INDEX('Retirement Calculator'!K:K,MATCH('Lorri 401b'!N6078,'Retirement Calculator'!A:A,0),0),0)</f>
        <v>0</v>
      </c>
      <c r="K6078" s="455">
        <f t="shared" ca="1" si="198"/>
        <v>-146369668274182.69</v>
      </c>
      <c r="L6078" s="455">
        <f t="shared" ca="1" si="199"/>
        <v>-3.5275090054078036E+16</v>
      </c>
      <c r="M6078" s="471">
        <f t="shared" si="201"/>
        <v>0.05</v>
      </c>
      <c r="N6078" s="475">
        <f t="shared" si="202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00"/>
        <v>-3.5275090054078036E+16</v>
      </c>
      <c r="J6079" s="455">
        <f t="array" ref="J6079">IFERROR(INDEX('Retirement Calculator'!K:K,MATCH('Lorri 401b'!N6079,'Retirement Calculator'!A:A,0),0),0)</f>
        <v>0</v>
      </c>
      <c r="K6079" s="455">
        <f t="shared" ca="1" si="198"/>
        <v>-146979541891991.81</v>
      </c>
      <c r="L6079" s="455">
        <f t="shared" ca="1" si="199"/>
        <v>-3.5422069595970028E+16</v>
      </c>
      <c r="M6079" s="471">
        <f t="shared" si="201"/>
        <v>0.05</v>
      </c>
      <c r="N6079" s="475">
        <f t="shared" si="202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00"/>
        <v>-3.5422069595970028E+16</v>
      </c>
      <c r="J6080" s="455">
        <f t="array" ref="J6080">IFERROR(INDEX('Retirement Calculator'!K:K,MATCH('Lorri 401b'!N6080,'Retirement Calculator'!A:A,0),0),0)</f>
        <v>0</v>
      </c>
      <c r="K6080" s="455">
        <f t="shared" ca="1" si="198"/>
        <v>-147591956649875.09</v>
      </c>
      <c r="L6080" s="455">
        <f t="shared" ca="1" si="199"/>
        <v>-3.5569661552619904E+16</v>
      </c>
      <c r="M6080" s="471">
        <f t="shared" si="201"/>
        <v>0.05</v>
      </c>
      <c r="N6080" s="475">
        <f t="shared" si="202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00"/>
        <v>-3.5569661552619904E+16</v>
      </c>
      <c r="J6081" s="455">
        <f t="array" ref="J6081">IFERROR(INDEX('Retirement Calculator'!K:K,MATCH('Lorri 401b'!N6081,'Retirement Calculator'!A:A,0),0),0)</f>
        <v>0</v>
      </c>
      <c r="K6081" s="455">
        <f t="shared" ca="1" si="198"/>
        <v>-148206923135916.25</v>
      </c>
      <c r="L6081" s="455">
        <f t="shared" ca="1" si="199"/>
        <v>-3.571786847575582E+16</v>
      </c>
      <c r="M6081" s="471">
        <f t="shared" si="201"/>
        <v>0.05</v>
      </c>
      <c r="N6081" s="475">
        <f t="shared" si="202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00"/>
        <v>-3.571786847575582E+16</v>
      </c>
      <c r="J6082" s="455">
        <f t="array" ref="J6082">IFERROR(INDEX('Retirement Calculator'!K:K,MATCH('Lorri 401b'!N6082,'Retirement Calculator'!A:A,0),0),0)</f>
        <v>0</v>
      </c>
      <c r="K6082" s="455">
        <f t="shared" ca="1" si="198"/>
        <v>-148824451982315.91</v>
      </c>
      <c r="L6082" s="455">
        <f t="shared" ca="1" si="199"/>
        <v>-3.5866692927738136E+16</v>
      </c>
      <c r="M6082" s="471">
        <f t="shared" si="201"/>
        <v>0.05</v>
      </c>
      <c r="N6082" s="475">
        <f t="shared" si="202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00"/>
        <v>-3.5866692927738136E+16</v>
      </c>
      <c r="J6083" s="455">
        <f t="array" ref="J6083">IFERROR(INDEX('Retirement Calculator'!K:K,MATCH('Lorri 401b'!N6083,'Retirement Calculator'!A:A,0),0),0)</f>
        <v>0</v>
      </c>
      <c r="K6083" s="455">
        <f t="shared" ca="1" si="198"/>
        <v>-149444553865575.56</v>
      </c>
      <c r="L6083" s="455">
        <f t="shared" ca="1" si="199"/>
        <v>-3.6016137481603712E+16</v>
      </c>
      <c r="M6083" s="471">
        <f t="shared" si="201"/>
        <v>0.05</v>
      </c>
      <c r="N6083" s="475">
        <f t="shared" si="202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00"/>
        <v>-3.6016137481603712E+16</v>
      </c>
      <c r="J6084" s="455">
        <f t="array" ref="J6084">IFERROR(INDEX('Retirement Calculator'!K:K,MATCH('Lorri 401b'!N6084,'Retirement Calculator'!A:A,0),0),0)</f>
        <v>0</v>
      </c>
      <c r="K6084" s="455">
        <f t="shared" ca="1" si="198"/>
        <v>-150067239506682.16</v>
      </c>
      <c r="L6084" s="455">
        <f t="shared" ca="1" si="199"/>
        <v>-3.6166204721110392E+16</v>
      </c>
      <c r="M6084" s="471">
        <f t="shared" si="201"/>
        <v>0.05</v>
      </c>
      <c r="N6084" s="475">
        <f t="shared" si="202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00"/>
        <v>-3.6166204721110392E+16</v>
      </c>
      <c r="J6085" s="455">
        <f t="array" ref="J6085">IFERROR(INDEX('Retirement Calculator'!K:K,MATCH('Lorri 401b'!N6085,'Retirement Calculator'!A:A,0),0),0)</f>
        <v>0</v>
      </c>
      <c r="K6085" s="455">
        <f t="shared" ca="1" si="198"/>
        <v>-150692519671293.31</v>
      </c>
      <c r="L6085" s="455">
        <f t="shared" ca="1" si="199"/>
        <v>-3.6316897240781688E+16</v>
      </c>
      <c r="M6085" s="471">
        <f t="shared" si="201"/>
        <v>0.05</v>
      </c>
      <c r="N6085" s="475">
        <f t="shared" si="202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00"/>
        <v>-3.6316897240781688E+16</v>
      </c>
      <c r="J6086" s="455">
        <f t="array" ref="J6086">IFERROR(INDEX('Retirement Calculator'!K:K,MATCH('Lorri 401b'!N6086,'Retirement Calculator'!A:A,0),0),0)</f>
        <v>0</v>
      </c>
      <c r="K6086" s="455">
        <f t="shared" ca="1" si="198"/>
        <v>-151320405169923.69</v>
      </c>
      <c r="L6086" s="455">
        <f t="shared" ca="1" si="199"/>
        <v>-3.6468217645951608E+16</v>
      </c>
      <c r="M6086" s="471">
        <f t="shared" si="201"/>
        <v>0.05</v>
      </c>
      <c r="N6086" s="475">
        <f t="shared" si="202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00"/>
        <v>-3.6468217645951608E+16</v>
      </c>
      <c r="J6087" s="455">
        <f t="array" ref="J6087">IFERROR(INDEX('Retirement Calculator'!K:K,MATCH('Lorri 401b'!N6087,'Retirement Calculator'!A:A,0),0),0)</f>
        <v>0</v>
      </c>
      <c r="K6087" s="455">
        <f t="shared" ca="1" si="198"/>
        <v>-151950906858131.69</v>
      </c>
      <c r="L6087" s="455">
        <f t="shared" ca="1" si="199"/>
        <v>-3.6620168552809736E+16</v>
      </c>
      <c r="M6087" s="471">
        <f t="shared" si="201"/>
        <v>0.05</v>
      </c>
      <c r="N6087" s="475">
        <f t="shared" si="202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00"/>
        <v>-3.6620168552809736E+16</v>
      </c>
      <c r="J6088" s="455">
        <f t="array" ref="J6088">IFERROR(INDEX('Retirement Calculator'!K:K,MATCH('Lorri 401b'!N6088,'Retirement Calculator'!A:A,0),0),0)</f>
        <v>0</v>
      </c>
      <c r="K6088" s="455">
        <f t="shared" ca="1" si="198"/>
        <v>-152584035636707.22</v>
      </c>
      <c r="L6088" s="455">
        <f t="shared" ca="1" si="199"/>
        <v>-3.677275258844644E+16</v>
      </c>
      <c r="M6088" s="471">
        <f t="shared" si="201"/>
        <v>0.05</v>
      </c>
      <c r="N6088" s="475">
        <f t="shared" si="202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00"/>
        <v>-3.677275258844644E+16</v>
      </c>
      <c r="J6089" s="455">
        <f t="array" ref="J6089">IFERROR(INDEX('Retirement Calculator'!K:K,MATCH('Lorri 401b'!N6089,'Retirement Calculator'!A:A,0),0),0)</f>
        <v>0</v>
      </c>
      <c r="K6089" s="455">
        <f t="shared" ca="1" si="198"/>
        <v>-153219802451860.16</v>
      </c>
      <c r="L6089" s="455">
        <f t="shared" ca="1" si="199"/>
        <v>-3.6925972390898304E+16</v>
      </c>
      <c r="M6089" s="471">
        <f t="shared" si="201"/>
        <v>0.05</v>
      </c>
      <c r="N6089" s="475">
        <f t="shared" si="202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00"/>
        <v>-3.6925972390898304E+16</v>
      </c>
      <c r="J6090" s="455">
        <f t="array" ref="J6090">IFERROR(INDEX('Retirement Calculator'!K:K,MATCH('Lorri 401b'!N6090,'Retirement Calculator'!A:A,0),0),0)</f>
        <v>0</v>
      </c>
      <c r="K6090" s="455">
        <f t="shared" ca="1" si="198"/>
        <v>-153858218295409.59</v>
      </c>
      <c r="L6090" s="455">
        <f t="shared" ca="1" si="199"/>
        <v>-3.7079830609193712E+16</v>
      </c>
      <c r="M6090" s="471">
        <f t="shared" si="201"/>
        <v>0.05</v>
      </c>
      <c r="N6090" s="475">
        <f t="shared" si="202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00"/>
        <v>-3.7079830609193712E+16</v>
      </c>
      <c r="J6091" s="455">
        <f t="array" ref="J6091">IFERROR(INDEX('Retirement Calculator'!K:K,MATCH('Lorri 401b'!N6091,'Retirement Calculator'!A:A,0),0),0)</f>
        <v>0</v>
      </c>
      <c r="K6091" s="455">
        <f t="shared" ca="1" si="198"/>
        <v>-154499294204973.81</v>
      </c>
      <c r="L6091" s="455">
        <f t="shared" ca="1" si="199"/>
        <v>-3.7234329903398688E+16</v>
      </c>
      <c r="M6091" s="471">
        <f t="shared" si="201"/>
        <v>0.05</v>
      </c>
      <c r="N6091" s="475">
        <f t="shared" si="202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00"/>
        <v>-3.7234329903398688E+16</v>
      </c>
      <c r="J6092" s="455">
        <f t="array" ref="J6092">IFERROR(INDEX('Retirement Calculator'!K:K,MATCH('Lorri 401b'!N6092,'Retirement Calculator'!A:A,0),0),0)</f>
        <v>0</v>
      </c>
      <c r="K6092" s="455">
        <f t="shared" ca="1" si="198"/>
        <v>-155143041264161.19</v>
      </c>
      <c r="L6092" s="455">
        <f t="shared" ca="1" si="199"/>
        <v>-3.7389472944662848E+16</v>
      </c>
      <c r="M6092" s="471">
        <f t="shared" si="201"/>
        <v>0.05</v>
      </c>
      <c r="N6092" s="475">
        <f t="shared" si="202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00"/>
        <v>-3.7389472944662848E+16</v>
      </c>
      <c r="J6093" s="455">
        <f t="array" ref="J6093">IFERROR(INDEX('Retirement Calculator'!K:K,MATCH('Lorri 401b'!N6093,'Retirement Calculator'!A:A,0),0),0)</f>
        <v>0</v>
      </c>
      <c r="K6093" s="455">
        <f t="shared" ca="1" si="198"/>
        <v>-155789470602761.88</v>
      </c>
      <c r="L6093" s="455">
        <f t="shared" ca="1" si="199"/>
        <v>-3.7545262415265608E+16</v>
      </c>
      <c r="M6093" s="471">
        <f t="shared" si="201"/>
        <v>0.05</v>
      </c>
      <c r="N6093" s="475">
        <f t="shared" si="202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00"/>
        <v>-3.7545262415265608E+16</v>
      </c>
      <c r="J6094" s="455">
        <f t="array" ref="J6094">IFERROR(INDEX('Retirement Calculator'!K:K,MATCH('Lorri 401b'!N6094,'Retirement Calculator'!A:A,0),0),0)</f>
        <v>0</v>
      </c>
      <c r="K6094" s="455">
        <f t="shared" ca="1" si="198"/>
        <v>-156438593396940.03</v>
      </c>
      <c r="L6094" s="455">
        <f t="shared" ca="1" si="199"/>
        <v>-3.7701701008662552E+16</v>
      </c>
      <c r="M6094" s="471">
        <f t="shared" si="201"/>
        <v>0.05</v>
      </c>
      <c r="N6094" s="475">
        <f t="shared" si="202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00"/>
        <v>-3.7701701008662552E+16</v>
      </c>
      <c r="J6095" s="455">
        <f t="array" ref="J6095">IFERROR(INDEX('Retirement Calculator'!K:K,MATCH('Lorri 401b'!N6095,'Retirement Calculator'!A:A,0),0),0)</f>
        <v>0</v>
      </c>
      <c r="K6095" s="455">
        <f t="shared" ca="1" si="198"/>
        <v>-157090420869427.31</v>
      </c>
      <c r="L6095" s="455">
        <f t="shared" ca="1" si="199"/>
        <v>-3.7858791429531976E+16</v>
      </c>
      <c r="M6095" s="471">
        <f t="shared" si="201"/>
        <v>0.05</v>
      </c>
      <c r="N6095" s="475">
        <f t="shared" si="202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00"/>
        <v>-3.7858791429531976E+16</v>
      </c>
      <c r="J6096" s="455">
        <f t="array" ref="J6096">IFERROR(INDEX('Retirement Calculator'!K:K,MATCH('Lorri 401b'!N6096,'Retirement Calculator'!A:A,0),0),0)</f>
        <v>0</v>
      </c>
      <c r="K6096" s="455">
        <f t="shared" ca="1" si="198"/>
        <v>-157744964289716.56</v>
      </c>
      <c r="L6096" s="455">
        <f t="shared" ca="1" si="199"/>
        <v>-3.8016536393821696E+16</v>
      </c>
      <c r="M6096" s="471">
        <f t="shared" si="201"/>
        <v>0.05</v>
      </c>
      <c r="N6096" s="475">
        <f t="shared" si="202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00"/>
        <v>-3.8016536393821696E+16</v>
      </c>
      <c r="J6097" s="455">
        <f t="array" ref="J6097">IFERROR(INDEX('Retirement Calculator'!K:K,MATCH('Lorri 401b'!N6097,'Retirement Calculator'!A:A,0),0),0)</f>
        <v>0</v>
      </c>
      <c r="K6097" s="455">
        <f t="shared" ca="1" si="198"/>
        <v>-158402234974257.06</v>
      </c>
      <c r="L6097" s="455">
        <f t="shared" ca="1" si="199"/>
        <v>-3.8174938628795952E+16</v>
      </c>
      <c r="M6097" s="471">
        <f t="shared" si="201"/>
        <v>0.05</v>
      </c>
      <c r="N6097" s="475">
        <f t="shared" si="202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00"/>
        <v>-3.8174938628795952E+16</v>
      </c>
      <c r="J6098" s="455">
        <f t="array" ref="J6098">IFERROR(INDEX('Retirement Calculator'!K:K,MATCH('Lorri 401b'!N6098,'Retirement Calculator'!A:A,0),0),0)</f>
        <v>0</v>
      </c>
      <c r="K6098" s="455">
        <f t="shared" ca="1" si="198"/>
        <v>-159062244286649.81</v>
      </c>
      <c r="L6098" s="455">
        <f t="shared" ca="1" si="199"/>
        <v>-3.83340008730826E+16</v>
      </c>
      <c r="M6098" s="471">
        <f t="shared" si="201"/>
        <v>0.05</v>
      </c>
      <c r="N6098" s="475">
        <f t="shared" si="202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00"/>
        <v>-3.83340008730826E+16</v>
      </c>
      <c r="J6099" s="455">
        <f t="array" ref="J6099">IFERROR(INDEX('Retirement Calculator'!K:K,MATCH('Lorri 401b'!N6099,'Retirement Calculator'!A:A,0),0),0)</f>
        <v>0</v>
      </c>
      <c r="K6099" s="455">
        <f t="shared" ca="1" si="198"/>
        <v>-159725003637844.16</v>
      </c>
      <c r="L6099" s="455">
        <f t="shared" ca="1" si="199"/>
        <v>-3.8493725876720448E+16</v>
      </c>
      <c r="M6099" s="471">
        <f t="shared" si="201"/>
        <v>0.05</v>
      </c>
      <c r="N6099" s="475">
        <f t="shared" si="202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00"/>
        <v>-3.8493725876720448E+16</v>
      </c>
      <c r="J6100" s="455">
        <f t="array" ref="J6100">IFERROR(INDEX('Retirement Calculator'!K:K,MATCH('Lorri 401b'!N6100,'Retirement Calculator'!A:A,0),0),0)</f>
        <v>0</v>
      </c>
      <c r="K6100" s="455">
        <f t="shared" ca="1" si="198"/>
        <v>-160390524486335.19</v>
      </c>
      <c r="L6100" s="455">
        <f t="shared" ca="1" si="199"/>
        <v>-3.8654116401206784E+16</v>
      </c>
      <c r="M6100" s="471">
        <f t="shared" si="201"/>
        <v>0.05</v>
      </c>
      <c r="N6100" s="475">
        <f t="shared" si="202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00"/>
        <v>-3.8654116401206784E+16</v>
      </c>
      <c r="J6101" s="455">
        <f t="array" ref="J6101">IFERROR(INDEX('Retirement Calculator'!K:K,MATCH('Lorri 401b'!N6101,'Retirement Calculator'!A:A,0),0),0)</f>
        <v>0</v>
      </c>
      <c r="K6101" s="455">
        <f t="shared" ca="1" si="198"/>
        <v>-161058818338361.59</v>
      </c>
      <c r="L6101" s="455">
        <f t="shared" ca="1" si="199"/>
        <v>-3.8815175219545144E+16</v>
      </c>
      <c r="M6101" s="471">
        <f t="shared" si="201"/>
        <v>0.05</v>
      </c>
      <c r="N6101" s="475">
        <f t="shared" si="202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00"/>
        <v>-3.8815175219545144E+16</v>
      </c>
      <c r="J6102" s="455">
        <f t="array" ref="J6102">IFERROR(INDEX('Retirement Calculator'!K:K,MATCH('Lorri 401b'!N6102,'Retirement Calculator'!A:A,0),0),0)</f>
        <v>0</v>
      </c>
      <c r="K6102" s="455">
        <f t="shared" ca="1" si="198"/>
        <v>-161729896748104.75</v>
      </c>
      <c r="L6102" s="455">
        <f t="shared" ca="1" si="199"/>
        <v>-3.8976905116293248E+16</v>
      </c>
      <c r="M6102" s="471">
        <f t="shared" si="201"/>
        <v>0.05</v>
      </c>
      <c r="N6102" s="475">
        <f t="shared" si="202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00"/>
        <v>-3.8976905116293248E+16</v>
      </c>
      <c r="J6103" s="455">
        <f t="array" ref="J6103">IFERROR(INDEX('Retirement Calculator'!K:K,MATCH('Lorri 401b'!N6103,'Retirement Calculator'!A:A,0),0),0)</f>
        <v>0</v>
      </c>
      <c r="K6103" s="455">
        <f t="shared" ca="1" si="198"/>
        <v>-162403771317888.53</v>
      </c>
      <c r="L6103" s="455">
        <f t="shared" ca="1" si="199"/>
        <v>-3.9139308887611136E+16</v>
      </c>
      <c r="M6103" s="471">
        <f t="shared" si="201"/>
        <v>0.05</v>
      </c>
      <c r="N6103" s="475">
        <f t="shared" si="202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00"/>
        <v>-3.9139308887611136E+16</v>
      </c>
      <c r="J6104" s="455">
        <f t="array" ref="J6104">IFERROR(INDEX('Retirement Calculator'!K:K,MATCH('Lorri 401b'!N6104,'Retirement Calculator'!A:A,0),0),0)</f>
        <v>0</v>
      </c>
      <c r="K6104" s="455">
        <f t="shared" ca="1" si="198"/>
        <v>-163080453698379.72</v>
      </c>
      <c r="L6104" s="455">
        <f t="shared" ca="1" si="199"/>
        <v>-3.9302389341309512E+16</v>
      </c>
      <c r="M6104" s="471">
        <f t="shared" si="201"/>
        <v>0.05</v>
      </c>
      <c r="N6104" s="475">
        <f t="shared" si="202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00"/>
        <v>-3.9302389341309512E+16</v>
      </c>
      <c r="J6105" s="455">
        <f t="array" ref="J6105">IFERROR(INDEX('Retirement Calculator'!K:K,MATCH('Lorri 401b'!N6105,'Retirement Calculator'!A:A,0),0),0)</f>
        <v>0</v>
      </c>
      <c r="K6105" s="455">
        <f t="shared" ca="1" si="198"/>
        <v>-163759955588789.63</v>
      </c>
      <c r="L6105" s="455">
        <f t="shared" ca="1" si="199"/>
        <v>-3.9466149296898304E+16</v>
      </c>
      <c r="M6105" s="471">
        <f t="shared" si="201"/>
        <v>0.05</v>
      </c>
      <c r="N6105" s="475">
        <f t="shared" si="202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00"/>
        <v>-3.9466149296898304E+16</v>
      </c>
      <c r="J6106" s="455">
        <f t="array" ref="J6106">IFERROR(INDEX('Retirement Calculator'!K:K,MATCH('Lorri 401b'!N6106,'Retirement Calculator'!A:A,0),0),0)</f>
        <v>0</v>
      </c>
      <c r="K6106" s="455">
        <f t="shared" ca="1" si="198"/>
        <v>-164442288737076.25</v>
      </c>
      <c r="L6106" s="455">
        <f t="shared" ca="1" si="199"/>
        <v>-3.9630591585635384E+16</v>
      </c>
      <c r="M6106" s="471">
        <f t="shared" si="201"/>
        <v>0.05</v>
      </c>
      <c r="N6106" s="475">
        <f t="shared" si="202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00"/>
        <v>-3.9630591585635384E+16</v>
      </c>
      <c r="J6107" s="455">
        <f t="array" ref="J6107">IFERROR(INDEX('Retirement Calculator'!K:K,MATCH('Lorri 401b'!N6107,'Retirement Calculator'!A:A,0),0),0)</f>
        <v>0</v>
      </c>
      <c r="K6107" s="455">
        <f t="shared" ca="1" si="198"/>
        <v>-165127464940147.44</v>
      </c>
      <c r="L6107" s="455">
        <f t="shared" ca="1" si="199"/>
        <v>-3.9795719050575528E+16</v>
      </c>
      <c r="M6107" s="471">
        <f t="shared" si="201"/>
        <v>0.05</v>
      </c>
      <c r="N6107" s="475">
        <f t="shared" si="202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00"/>
        <v>-3.9795719050575528E+16</v>
      </c>
      <c r="J6108" s="455">
        <f t="array" ref="J6108">IFERROR(INDEX('Retirement Calculator'!K:K,MATCH('Lorri 401b'!N6108,'Retirement Calculator'!A:A,0),0),0)</f>
        <v>0</v>
      </c>
      <c r="K6108" s="455">
        <f t="shared" ca="1" si="198"/>
        <v>-165815496044064.69</v>
      </c>
      <c r="L6108" s="455">
        <f t="shared" ca="1" si="199"/>
        <v>-3.9961534546619592E+16</v>
      </c>
      <c r="M6108" s="471">
        <f t="shared" si="201"/>
        <v>0.05</v>
      </c>
      <c r="N6108" s="475">
        <f t="shared" si="202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00"/>
        <v>-3.9961534546619592E+16</v>
      </c>
      <c r="J6109" s="455">
        <f t="array" ref="J6109">IFERROR(INDEX('Retirement Calculator'!K:K,MATCH('Lorri 401b'!N6109,'Retirement Calculator'!A:A,0),0),0)</f>
        <v>0</v>
      </c>
      <c r="K6109" s="455">
        <f t="shared" ca="1" si="198"/>
        <v>-166506393944248.31</v>
      </c>
      <c r="L6109" s="455">
        <f t="shared" ca="1" si="199"/>
        <v>-4.012804094056384E+16</v>
      </c>
      <c r="M6109" s="471">
        <f t="shared" si="201"/>
        <v>0.05</v>
      </c>
      <c r="N6109" s="475">
        <f t="shared" si="202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00"/>
        <v>-4.012804094056384E+16</v>
      </c>
      <c r="J6110" s="455">
        <f t="array" ref="J6110">IFERROR(INDEX('Retirement Calculator'!K:K,MATCH('Lorri 401b'!N6110,'Retirement Calculator'!A:A,0),0),0)</f>
        <v>0</v>
      </c>
      <c r="K6110" s="455">
        <f t="shared" ca="1" si="198"/>
        <v>-167200170585682.66</v>
      </c>
      <c r="L6110" s="455">
        <f t="shared" ca="1" si="199"/>
        <v>-4.029524111114952E+16</v>
      </c>
      <c r="M6110" s="471">
        <f t="shared" si="201"/>
        <v>0.05</v>
      </c>
      <c r="N6110" s="475">
        <f t="shared" si="202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00"/>
        <v>-4.029524111114952E+16</v>
      </c>
      <c r="J6111" s="455">
        <f t="array" ref="J6111">IFERROR(INDEX('Retirement Calculator'!K:K,MATCH('Lorri 401b'!N6111,'Retirement Calculator'!A:A,0),0),0)</f>
        <v>0</v>
      </c>
      <c r="K6111" s="455">
        <f t="shared" ca="1" si="198"/>
        <v>-167896837963123</v>
      </c>
      <c r="L6111" s="455">
        <f t="shared" ca="1" si="199"/>
        <v>-4.046313794911264E+16</v>
      </c>
      <c r="M6111" s="471">
        <f t="shared" si="201"/>
        <v>0.05</v>
      </c>
      <c r="N6111" s="475">
        <f t="shared" si="202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00"/>
        <v>-4.046313794911264E+16</v>
      </c>
      <c r="J6112" s="455">
        <f t="array" ref="J6112">IFERROR(INDEX('Retirement Calculator'!K:K,MATCH('Lorri 401b'!N6112,'Retirement Calculator'!A:A,0),0),0)</f>
        <v>0</v>
      </c>
      <c r="K6112" s="455">
        <f t="shared" ca="1" si="198"/>
        <v>-168596408121302.66</v>
      </c>
      <c r="L6112" s="455">
        <f t="shared" ca="1" si="199"/>
        <v>-4.0631734357233944E+16</v>
      </c>
      <c r="M6112" s="471">
        <f t="shared" si="201"/>
        <v>0.05</v>
      </c>
      <c r="N6112" s="475">
        <f t="shared" si="202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00"/>
        <v>-4.0631734357233944E+16</v>
      </c>
      <c r="J6113" s="455">
        <f t="array" ref="J6113">IFERROR(INDEX('Retirement Calculator'!K:K,MATCH('Lorri 401b'!N6113,'Retirement Calculator'!A:A,0),0),0)</f>
        <v>0</v>
      </c>
      <c r="K6113" s="455">
        <f t="shared" ca="1" si="198"/>
        <v>-169298893155141.44</v>
      </c>
      <c r="L6113" s="455">
        <f t="shared" ca="1" si="199"/>
        <v>-4.0801033250389088E+16</v>
      </c>
      <c r="M6113" s="471">
        <f t="shared" si="201"/>
        <v>0.05</v>
      </c>
      <c r="N6113" s="475">
        <f t="shared" si="202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00"/>
        <v>-4.0801033250389088E+16</v>
      </c>
      <c r="J6114" s="455">
        <f t="array" ref="J6114">IFERROR(INDEX('Retirement Calculator'!K:K,MATCH('Lorri 401b'!N6114,'Retirement Calculator'!A:A,0),0),0)</f>
        <v>0</v>
      </c>
      <c r="K6114" s="455">
        <f t="shared" ca="1" si="198"/>
        <v>-170004305209954.53</v>
      </c>
      <c r="L6114" s="455">
        <f t="shared" ca="1" si="199"/>
        <v>-4.097103755559904E+16</v>
      </c>
      <c r="M6114" s="471">
        <f t="shared" si="201"/>
        <v>0.05</v>
      </c>
      <c r="N6114" s="475">
        <f t="shared" si="202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00"/>
        <v>-4.097103755559904E+16</v>
      </c>
      <c r="J6115" s="455">
        <f t="array" ref="J6115">IFERROR(INDEX('Retirement Calculator'!K:K,MATCH('Lorri 401b'!N6115,'Retirement Calculator'!A:A,0),0),0)</f>
        <v>0</v>
      </c>
      <c r="K6115" s="455">
        <f t="shared" ca="1" si="198"/>
        <v>-170712656481662.66</v>
      </c>
      <c r="L6115" s="455">
        <f t="shared" ca="1" si="199"/>
        <v>-4.1141750212080704E+16</v>
      </c>
      <c r="M6115" s="471">
        <f t="shared" si="201"/>
        <v>0.05</v>
      </c>
      <c r="N6115" s="475">
        <f t="shared" si="202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00"/>
        <v>-4.1141750212080704E+16</v>
      </c>
      <c r="J6116" s="455">
        <f t="array" ref="J6116">IFERROR(INDEX('Retirement Calculator'!K:K,MATCH('Lorri 401b'!N6116,'Retirement Calculator'!A:A,0),0),0)</f>
        <v>0</v>
      </c>
      <c r="K6116" s="455">
        <f t="shared" ca="1" si="198"/>
        <v>-171423959217002.94</v>
      </c>
      <c r="L6116" s="455">
        <f t="shared" ca="1" si="199"/>
        <v>-4.1313174171297704E+16</v>
      </c>
      <c r="M6116" s="471">
        <f t="shared" si="201"/>
        <v>0.05</v>
      </c>
      <c r="N6116" s="475">
        <f t="shared" si="202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00"/>
        <v>-4.1313174171297704E+16</v>
      </c>
      <c r="J6117" s="455">
        <f t="array" ref="J6117">IFERROR(INDEX('Retirement Calculator'!K:K,MATCH('Lorri 401b'!N6117,'Retirement Calculator'!A:A,0),0),0)</f>
        <v>0</v>
      </c>
      <c r="K6117" s="455">
        <f t="shared" ca="1" si="198"/>
        <v>-172138225713740.44</v>
      </c>
      <c r="L6117" s="455">
        <f t="shared" ca="1" si="199"/>
        <v>-4.1485312397011448E+16</v>
      </c>
      <c r="M6117" s="471">
        <f t="shared" si="201"/>
        <v>0.05</v>
      </c>
      <c r="N6117" s="475">
        <f t="shared" si="202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00"/>
        <v>-4.1485312397011448E+16</v>
      </c>
      <c r="J6118" s="455">
        <f t="array" ref="J6118">IFERROR(INDEX('Retirement Calculator'!K:K,MATCH('Lorri 401b'!N6118,'Retirement Calculator'!A:A,0),0),0)</f>
        <v>0</v>
      </c>
      <c r="K6118" s="455">
        <f t="shared" ca="1" si="198"/>
        <v>-172855468320881.03</v>
      </c>
      <c r="L6118" s="455">
        <f t="shared" ca="1" si="199"/>
        <v>-4.1658167865332328E+16</v>
      </c>
      <c r="M6118" s="471">
        <f t="shared" si="201"/>
        <v>0.05</v>
      </c>
      <c r="N6118" s="475">
        <f t="shared" si="202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00"/>
        <v>-4.1658167865332328E+16</v>
      </c>
      <c r="J6119" s="455">
        <f t="array" ref="J6119">IFERROR(INDEX('Retirement Calculator'!K:K,MATCH('Lorri 401b'!N6119,'Retirement Calculator'!A:A,0),0),0)</f>
        <v>0</v>
      </c>
      <c r="K6119" s="455">
        <f t="shared" ca="1" si="198"/>
        <v>-173575699438884.69</v>
      </c>
      <c r="L6119" s="455">
        <f t="shared" ca="1" si="199"/>
        <v>-4.1831743564771216E+16</v>
      </c>
      <c r="M6119" s="471">
        <f t="shared" si="201"/>
        <v>0.05</v>
      </c>
      <c r="N6119" s="475">
        <f t="shared" si="202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00"/>
        <v>-4.1831743564771216E+16</v>
      </c>
      <c r="J6120" s="455">
        <f t="array" ref="J6120">IFERROR(INDEX('Retirement Calculator'!K:K,MATCH('Lorri 401b'!N6120,'Retirement Calculator'!A:A,0),0),0)</f>
        <v>0</v>
      </c>
      <c r="K6120" s="455">
        <f t="shared" ca="1" si="198"/>
        <v>-174298931519880.06</v>
      </c>
      <c r="L6120" s="455">
        <f t="shared" ca="1" si="199"/>
        <v>-4.2006042496291096E+16</v>
      </c>
      <c r="M6120" s="471">
        <f t="shared" si="201"/>
        <v>0.05</v>
      </c>
      <c r="N6120" s="475">
        <f t="shared" si="202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00"/>
        <v>-4.2006042496291096E+16</v>
      </c>
      <c r="J6121" s="455">
        <f t="array" ref="J6121">IFERROR(INDEX('Retirement Calculator'!K:K,MATCH('Lorri 401b'!N6121,'Retirement Calculator'!A:A,0),0),0)</f>
        <v>0</v>
      </c>
      <c r="K6121" s="455">
        <f t="shared" ca="1" si="198"/>
        <v>-175025177067879.56</v>
      </c>
      <c r="L6121" s="455">
        <f t="shared" ca="1" si="199"/>
        <v>-4.2181067673358976E+16</v>
      </c>
      <c r="M6121" s="471">
        <f t="shared" si="201"/>
        <v>0.05</v>
      </c>
      <c r="N6121" s="475">
        <f t="shared" si="202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00"/>
        <v>-4.2181067673358976E+16</v>
      </c>
      <c r="J6122" s="455">
        <f t="array" ref="J6122">IFERROR(INDEX('Retirement Calculator'!K:K,MATCH('Lorri 401b'!N6122,'Retirement Calculator'!A:A,0),0),0)</f>
        <v>0</v>
      </c>
      <c r="K6122" s="455">
        <f t="shared" ca="1" si="198"/>
        <v>-175754448638995.72</v>
      </c>
      <c r="L6122" s="455">
        <f t="shared" ca="1" si="199"/>
        <v>-4.2356822121997968E+16</v>
      </c>
      <c r="M6122" s="471">
        <f t="shared" si="201"/>
        <v>0.05</v>
      </c>
      <c r="N6122" s="475">
        <f t="shared" si="202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00"/>
        <v>-4.2356822121997968E+16</v>
      </c>
      <c r="J6123" s="455">
        <f t="array" ref="J6123">IFERROR(INDEX('Retirement Calculator'!K:K,MATCH('Lorri 401b'!N6123,'Retirement Calculator'!A:A,0),0),0)</f>
        <v>0</v>
      </c>
      <c r="K6123" s="455">
        <f t="shared" ca="1" si="198"/>
        <v>-176486758841658.19</v>
      </c>
      <c r="L6123" s="455">
        <f t="shared" ca="1" si="199"/>
        <v>-4.2533308880839624E+16</v>
      </c>
      <c r="M6123" s="471">
        <f t="shared" si="201"/>
        <v>0.05</v>
      </c>
      <c r="N6123" s="475">
        <f t="shared" si="202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00"/>
        <v>-4.2533308880839624E+16</v>
      </c>
      <c r="J6124" s="455">
        <f t="array" ref="J6124">IFERROR(INDEX('Retirement Calculator'!K:K,MATCH('Lorri 401b'!N6124,'Retirement Calculator'!A:A,0),0),0)</f>
        <v>0</v>
      </c>
      <c r="K6124" s="455">
        <f t="shared" ca="1" si="198"/>
        <v>-177222120336831.75</v>
      </c>
      <c r="L6124" s="455">
        <f t="shared" ca="1" si="199"/>
        <v>-4.2710531001176456E+16</v>
      </c>
      <c r="M6124" s="471">
        <f t="shared" si="201"/>
        <v>0.05</v>
      </c>
      <c r="N6124" s="475">
        <f t="shared" si="202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00"/>
        <v>-4.2710531001176456E+16</v>
      </c>
      <c r="J6125" s="455">
        <f t="array" ref="J6125">IFERROR(INDEX('Retirement Calculator'!K:K,MATCH('Lorri 401b'!N6125,'Retirement Calculator'!A:A,0),0),0)</f>
        <v>0</v>
      </c>
      <c r="K6125" s="455">
        <f t="shared" ca="1" si="198"/>
        <v>-177960545838235.22</v>
      </c>
      <c r="L6125" s="455">
        <f t="shared" ca="1" si="199"/>
        <v>-4.2888491547014688E+16</v>
      </c>
      <c r="M6125" s="471">
        <f t="shared" si="201"/>
        <v>0.05</v>
      </c>
      <c r="N6125" s="475">
        <f t="shared" si="202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00"/>
        <v>-4.2888491547014688E+16</v>
      </c>
      <c r="J6126" s="455">
        <f t="array" ref="J6126">IFERROR(INDEX('Retirement Calculator'!K:K,MATCH('Lorri 401b'!N6126,'Retirement Calculator'!A:A,0),0),0)</f>
        <v>0</v>
      </c>
      <c r="K6126" s="455">
        <f t="shared" ca="1" si="198"/>
        <v>-178702048112561.19</v>
      </c>
      <c r="L6126" s="455">
        <f t="shared" ca="1" si="199"/>
        <v>-4.3067193595127248E+16</v>
      </c>
      <c r="M6126" s="471">
        <f t="shared" si="201"/>
        <v>0.05</v>
      </c>
      <c r="N6126" s="475">
        <f t="shared" si="202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00"/>
        <v>-4.3067193595127248E+16</v>
      </c>
      <c r="J6127" s="455">
        <f t="array" ref="J6127">IFERROR(INDEX('Retirement Calculator'!K:K,MATCH('Lorri 401b'!N6127,'Retirement Calculator'!A:A,0),0),0)</f>
        <v>0</v>
      </c>
      <c r="K6127" s="455">
        <f t="shared" ca="1" si="198"/>
        <v>-179446639979696.88</v>
      </c>
      <c r="L6127" s="455">
        <f t="shared" ca="1" si="199"/>
        <v>-4.3246640235106944E+16</v>
      </c>
      <c r="M6127" s="471">
        <f t="shared" si="201"/>
        <v>0.05</v>
      </c>
      <c r="N6127" s="475">
        <f t="shared" si="202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00"/>
        <v>-4.3246640235106944E+16</v>
      </c>
      <c r="J6128" s="455">
        <f t="array" ref="J6128">IFERROR(INDEX('Retirement Calculator'!K:K,MATCH('Lorri 401b'!N6128,'Retirement Calculator'!A:A,0),0),0)</f>
        <v>0</v>
      </c>
      <c r="K6128" s="455">
        <f t="shared" ref="K6128:K6250" ca="1" si="203">IPMT(M6128/12,1,12,-I6128+J6128,,0)</f>
        <v>-180194334312945.59</v>
      </c>
      <c r="L6128" s="455">
        <f t="shared" ref="L6128:L6250" ca="1" si="204">I6128-J6128+K6128</f>
        <v>-4.3426834569419888E+16</v>
      </c>
      <c r="M6128" s="471">
        <f t="shared" si="201"/>
        <v>0.05</v>
      </c>
      <c r="N6128" s="475">
        <f t="shared" si="202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05">L6128</f>
        <v>-4.3426834569419888E+16</v>
      </c>
      <c r="J6129" s="455">
        <f t="array" ref="J6129">IFERROR(INDEX('Retirement Calculator'!K:K,MATCH('Lorri 401b'!N6129,'Retirement Calculator'!A:A,0),0),0)</f>
        <v>0</v>
      </c>
      <c r="K6129" s="455">
        <f t="shared" ca="1" si="203"/>
        <v>-180945144039249.53</v>
      </c>
      <c r="L6129" s="455">
        <f t="shared" ca="1" si="204"/>
        <v>-4.3607779713459136E+16</v>
      </c>
      <c r="M6129" s="471">
        <f t="shared" ref="M6129:M6250" si="206">M6128</f>
        <v>0.05</v>
      </c>
      <c r="N6129" s="475">
        <f t="shared" ref="N6129:N6250" si="207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05"/>
        <v>-4.3607779713459136E+16</v>
      </c>
      <c r="J6130" s="455">
        <f t="array" ref="J6130">IFERROR(INDEX('Retirement Calculator'!K:K,MATCH('Lorri 401b'!N6130,'Retirement Calculator'!A:A,0),0),0)</f>
        <v>0</v>
      </c>
      <c r="K6130" s="455">
        <f t="shared" ca="1" si="203"/>
        <v>-181699082139413.06</v>
      </c>
      <c r="L6130" s="455">
        <f t="shared" ca="1" si="204"/>
        <v>-4.3789478795598552E+16</v>
      </c>
      <c r="M6130" s="471">
        <f t="shared" si="206"/>
        <v>0.05</v>
      </c>
      <c r="N6130" s="475">
        <f t="shared" si="207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05"/>
        <v>-4.3789478795598552E+16</v>
      </c>
      <c r="J6131" s="455">
        <f t="array" ref="J6131">IFERROR(INDEX('Retirement Calculator'!K:K,MATCH('Lorri 401b'!N6131,'Retirement Calculator'!A:A,0),0),0)</f>
        <v>0</v>
      </c>
      <c r="K6131" s="455">
        <f t="shared" ca="1" si="203"/>
        <v>-182456161648327.31</v>
      </c>
      <c r="L6131" s="455">
        <f t="shared" ca="1" si="204"/>
        <v>-4.397193495724688E+16</v>
      </c>
      <c r="M6131" s="471">
        <f t="shared" si="206"/>
        <v>0.05</v>
      </c>
      <c r="N6131" s="475">
        <f t="shared" si="207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05"/>
        <v>-4.397193495724688E+16</v>
      </c>
      <c r="J6132" s="455">
        <f t="array" ref="J6132">IFERROR(INDEX('Retirement Calculator'!K:K,MATCH('Lorri 401b'!N6132,'Retirement Calculator'!A:A,0),0),0)</f>
        <v>0</v>
      </c>
      <c r="K6132" s="455">
        <f t="shared" ca="1" si="203"/>
        <v>-183216395655195.34</v>
      </c>
      <c r="L6132" s="455">
        <f t="shared" ca="1" si="204"/>
        <v>-4.4155151352902072E+16</v>
      </c>
      <c r="M6132" s="471">
        <f t="shared" si="206"/>
        <v>0.05</v>
      </c>
      <c r="N6132" s="475">
        <f t="shared" si="207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05"/>
        <v>-4.4155151352902072E+16</v>
      </c>
      <c r="J6133" s="455">
        <f t="array" ref="J6133">IFERROR(INDEX('Retirement Calculator'!K:K,MATCH('Lorri 401b'!N6133,'Retirement Calculator'!A:A,0),0),0)</f>
        <v>0</v>
      </c>
      <c r="K6133" s="455">
        <f t="shared" ca="1" si="203"/>
        <v>-183979797303758.63</v>
      </c>
      <c r="L6133" s="455">
        <f t="shared" ca="1" si="204"/>
        <v>-4.4339131150205832E+16</v>
      </c>
      <c r="M6133" s="471">
        <f t="shared" si="206"/>
        <v>0.05</v>
      </c>
      <c r="N6133" s="475">
        <f t="shared" si="207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05"/>
        <v>-4.4339131150205832E+16</v>
      </c>
      <c r="J6134" s="455">
        <f t="array" ref="J6134">IFERROR(INDEX('Retirement Calculator'!K:K,MATCH('Lorri 401b'!N6134,'Retirement Calculator'!A:A,0),0),0)</f>
        <v>0</v>
      </c>
      <c r="K6134" s="455">
        <f t="shared" ca="1" si="203"/>
        <v>-184746379792524.31</v>
      </c>
      <c r="L6134" s="455">
        <f t="shared" ca="1" si="204"/>
        <v>-4.452387752999836E+16</v>
      </c>
      <c r="M6134" s="471">
        <f t="shared" si="206"/>
        <v>0.05</v>
      </c>
      <c r="N6134" s="475">
        <f t="shared" si="207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05"/>
        <v>-4.452387752999836E+16</v>
      </c>
      <c r="J6135" s="455">
        <f t="array" ref="J6135">IFERROR(INDEX('Retirement Calculator'!K:K,MATCH('Lorri 401b'!N6135,'Retirement Calculator'!A:A,0),0),0)</f>
        <v>0</v>
      </c>
      <c r="K6135" s="455">
        <f t="shared" ca="1" si="203"/>
        <v>-185516156374993.16</v>
      </c>
      <c r="L6135" s="455">
        <f t="shared" ca="1" si="204"/>
        <v>-4.4709393686373352E+16</v>
      </c>
      <c r="M6135" s="471">
        <f t="shared" si="206"/>
        <v>0.05</v>
      </c>
      <c r="N6135" s="475">
        <f t="shared" si="207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05"/>
        <v>-4.4709393686373352E+16</v>
      </c>
      <c r="J6136" s="455">
        <f t="array" ref="J6136">IFERROR(INDEX('Retirement Calculator'!K:K,MATCH('Lorri 401b'!N6136,'Retirement Calculator'!A:A,0),0),0)</f>
        <v>0</v>
      </c>
      <c r="K6136" s="455">
        <f t="shared" ca="1" si="203"/>
        <v>-186289140359888.97</v>
      </c>
      <c r="L6136" s="455">
        <f t="shared" ca="1" si="204"/>
        <v>-4.489568282673324E+16</v>
      </c>
      <c r="M6136" s="471">
        <f t="shared" si="206"/>
        <v>0.05</v>
      </c>
      <c r="N6136" s="475">
        <f t="shared" si="207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05"/>
        <v>-4.489568282673324E+16</v>
      </c>
      <c r="J6137" s="455">
        <f t="array" ref="J6137">IFERROR(INDEX('Retirement Calculator'!K:K,MATCH('Lorri 401b'!N6137,'Retirement Calculator'!A:A,0),0),0)</f>
        <v>0</v>
      </c>
      <c r="K6137" s="455">
        <f t="shared" ca="1" si="203"/>
        <v>-187065345111388.5</v>
      </c>
      <c r="L6137" s="455">
        <f t="shared" ca="1" si="204"/>
        <v>-4.5082748171844632E+16</v>
      </c>
      <c r="M6137" s="471">
        <f t="shared" si="206"/>
        <v>0.05</v>
      </c>
      <c r="N6137" s="475">
        <f t="shared" si="207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05"/>
        <v>-4.5082748171844632E+16</v>
      </c>
      <c r="J6138" s="455">
        <f t="array" ref="J6138">IFERROR(INDEX('Retirement Calculator'!K:K,MATCH('Lorri 401b'!N6138,'Retirement Calculator'!A:A,0),0),0)</f>
        <v>0</v>
      </c>
      <c r="K6138" s="455">
        <f t="shared" ca="1" si="203"/>
        <v>-187844784049352.63</v>
      </c>
      <c r="L6138" s="455">
        <f t="shared" ca="1" si="204"/>
        <v>-4.5270592955893984E+16</v>
      </c>
      <c r="M6138" s="471">
        <f t="shared" si="206"/>
        <v>0.05</v>
      </c>
      <c r="N6138" s="475">
        <f t="shared" si="207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05"/>
        <v>-4.5270592955893984E+16</v>
      </c>
      <c r="J6139" s="455">
        <f t="array" ref="J6139">IFERROR(INDEX('Retirement Calculator'!K:K,MATCH('Lorri 401b'!N6139,'Retirement Calculator'!A:A,0),0),0)</f>
        <v>0</v>
      </c>
      <c r="K6139" s="455">
        <f t="shared" ca="1" si="203"/>
        <v>-188627470649558.25</v>
      </c>
      <c r="L6139" s="455">
        <f t="shared" ca="1" si="204"/>
        <v>-4.5459220426543544E+16</v>
      </c>
      <c r="M6139" s="471">
        <f t="shared" si="206"/>
        <v>0.05</v>
      </c>
      <c r="N6139" s="475">
        <f t="shared" si="207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05"/>
        <v>-4.5459220426543544E+16</v>
      </c>
      <c r="J6140" s="455">
        <f t="array" ref="J6140">IFERROR(INDEX('Retirement Calculator'!K:K,MATCH('Lorri 401b'!N6140,'Retirement Calculator'!A:A,0),0),0)</f>
        <v>0</v>
      </c>
      <c r="K6140" s="455">
        <f t="shared" ca="1" si="203"/>
        <v>-189413418443931.44</v>
      </c>
      <c r="L6140" s="455">
        <f t="shared" ca="1" si="204"/>
        <v>-4.5648633844987472E+16</v>
      </c>
      <c r="M6140" s="471">
        <f t="shared" si="206"/>
        <v>0.05</v>
      </c>
      <c r="N6140" s="475">
        <f t="shared" si="207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05"/>
        <v>-4.5648633844987472E+16</v>
      </c>
      <c r="J6141" s="455">
        <f t="array" ref="J6141">IFERROR(INDEX('Retirement Calculator'!K:K,MATCH('Lorri 401b'!N6141,'Retirement Calculator'!A:A,0),0),0)</f>
        <v>0</v>
      </c>
      <c r="K6141" s="455">
        <f t="shared" ca="1" si="203"/>
        <v>-190202641020781.13</v>
      </c>
      <c r="L6141" s="455">
        <f t="shared" ca="1" si="204"/>
        <v>-4.5838836486008256E+16</v>
      </c>
      <c r="M6141" s="471">
        <f t="shared" si="206"/>
        <v>0.05</v>
      </c>
      <c r="N6141" s="475">
        <f t="shared" si="207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05"/>
        <v>-4.5838836486008256E+16</v>
      </c>
      <c r="J6142" s="455">
        <f t="array" ref="J6142">IFERROR(INDEX('Retirement Calculator'!K:K,MATCH('Lorri 401b'!N6142,'Retirement Calculator'!A:A,0),0),0)</f>
        <v>0</v>
      </c>
      <c r="K6142" s="455">
        <f t="shared" ca="1" si="203"/>
        <v>-190995152025034.41</v>
      </c>
      <c r="L6142" s="455">
        <f t="shared" ca="1" si="204"/>
        <v>-4.6029831638033288E+16</v>
      </c>
      <c r="M6142" s="471">
        <f t="shared" si="206"/>
        <v>0.05</v>
      </c>
      <c r="N6142" s="475">
        <f t="shared" si="207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05"/>
        <v>-4.6029831638033288E+16</v>
      </c>
      <c r="J6143" s="455">
        <f t="array" ref="J6143">IFERROR(INDEX('Retirement Calculator'!K:K,MATCH('Lorri 401b'!N6143,'Retirement Calculator'!A:A,0),0),0)</f>
        <v>0</v>
      </c>
      <c r="K6143" s="455">
        <f t="shared" ca="1" si="203"/>
        <v>-191790965158472.03</v>
      </c>
      <c r="L6143" s="455">
        <f t="shared" ca="1" si="204"/>
        <v>-4.622162260319176E+16</v>
      </c>
      <c r="M6143" s="471">
        <f t="shared" si="206"/>
        <v>0.05</v>
      </c>
      <c r="N6143" s="475">
        <f t="shared" si="207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05"/>
        <v>-4.622162260319176E+16</v>
      </c>
      <c r="J6144" s="455">
        <f t="array" ref="J6144">IFERROR(INDEX('Retirement Calculator'!K:K,MATCH('Lorri 401b'!N6144,'Retirement Calculator'!A:A,0),0),0)</f>
        <v>0</v>
      </c>
      <c r="K6144" s="455">
        <f t="shared" ca="1" si="203"/>
        <v>-192590094179965.66</v>
      </c>
      <c r="L6144" s="455">
        <f t="shared" ca="1" si="204"/>
        <v>-4.6414212697371728E+16</v>
      </c>
      <c r="M6144" s="471">
        <f t="shared" si="206"/>
        <v>0.05</v>
      </c>
      <c r="N6144" s="475">
        <f t="shared" si="207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05"/>
        <v>-4.6414212697371728E+16</v>
      </c>
      <c r="J6145" s="455">
        <f t="array" ref="J6145">IFERROR(INDEX('Retirement Calculator'!K:K,MATCH('Lorri 401b'!N6145,'Retirement Calculator'!A:A,0),0),0)</f>
        <v>0</v>
      </c>
      <c r="K6145" s="455">
        <f t="shared" ca="1" si="203"/>
        <v>-193392552905715.53</v>
      </c>
      <c r="L6145" s="455">
        <f t="shared" ca="1" si="204"/>
        <v>-4.660760525027744E+16</v>
      </c>
      <c r="M6145" s="471">
        <f t="shared" si="206"/>
        <v>0.05</v>
      </c>
      <c r="N6145" s="475">
        <f t="shared" si="207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05"/>
        <v>-4.660760525027744E+16</v>
      </c>
      <c r="J6146" s="455">
        <f t="array" ref="J6146">IFERROR(INDEX('Retirement Calculator'!K:K,MATCH('Lorri 401b'!N6146,'Retirement Calculator'!A:A,0),0),0)</f>
        <v>0</v>
      </c>
      <c r="K6146" s="455">
        <f t="shared" ca="1" si="203"/>
        <v>-194198355209489.34</v>
      </c>
      <c r="L6146" s="455">
        <f t="shared" ca="1" si="204"/>
        <v>-4.6801803605486928E+16</v>
      </c>
      <c r="M6146" s="471">
        <f t="shared" si="206"/>
        <v>0.05</v>
      </c>
      <c r="N6146" s="475">
        <f t="shared" si="207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05"/>
        <v>-4.6801803605486928E+16</v>
      </c>
      <c r="J6147" s="455">
        <f t="array" ref="J6147">IFERROR(INDEX('Retirement Calculator'!K:K,MATCH('Lorri 401b'!N6147,'Retirement Calculator'!A:A,0),0),0)</f>
        <v>0</v>
      </c>
      <c r="K6147" s="455">
        <f t="shared" ca="1" si="203"/>
        <v>-195007515022862.19</v>
      </c>
      <c r="L6147" s="455">
        <f t="shared" ca="1" si="204"/>
        <v>-4.6996811120509792E+16</v>
      </c>
      <c r="M6147" s="471">
        <f t="shared" si="206"/>
        <v>0.05</v>
      </c>
      <c r="N6147" s="475">
        <f t="shared" si="207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05"/>
        <v>-4.6996811120509792E+16</v>
      </c>
      <c r="J6148" s="455">
        <f t="array" ref="J6148">IFERROR(INDEX('Retirement Calculator'!K:K,MATCH('Lorri 401b'!N6148,'Retirement Calculator'!A:A,0),0),0)</f>
        <v>0</v>
      </c>
      <c r="K6148" s="455">
        <f t="shared" ca="1" si="203"/>
        <v>-195820046335457.47</v>
      </c>
      <c r="L6148" s="455">
        <f t="shared" ca="1" si="204"/>
        <v>-4.7192631166845248E+16</v>
      </c>
      <c r="M6148" s="471">
        <f t="shared" si="206"/>
        <v>0.05</v>
      </c>
      <c r="N6148" s="475">
        <f t="shared" si="207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05"/>
        <v>-4.7192631166845248E+16</v>
      </c>
      <c r="J6149" s="455">
        <f t="array" ref="J6149">IFERROR(INDEX('Retirement Calculator'!K:K,MATCH('Lorri 401b'!N6149,'Retirement Calculator'!A:A,0),0),0)</f>
        <v>0</v>
      </c>
      <c r="K6149" s="455">
        <f t="shared" ca="1" si="203"/>
        <v>-196635963195188.53</v>
      </c>
      <c r="L6149" s="455">
        <f t="shared" ca="1" si="204"/>
        <v>-4.738926713004044E+16</v>
      </c>
      <c r="M6149" s="471">
        <f t="shared" si="206"/>
        <v>0.05</v>
      </c>
      <c r="N6149" s="475">
        <f t="shared" si="207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05"/>
        <v>-4.738926713004044E+16</v>
      </c>
      <c r="J6150" s="455">
        <f t="array" ref="J6150">IFERROR(INDEX('Retirement Calculator'!K:K,MATCH('Lorri 401b'!N6150,'Retirement Calculator'!A:A,0),0),0)</f>
        <v>0</v>
      </c>
      <c r="K6150" s="455">
        <f t="shared" ca="1" si="203"/>
        <v>-197455279708501.84</v>
      </c>
      <c r="L6150" s="455">
        <f t="shared" ca="1" si="204"/>
        <v>-4.7586722409748944E+16</v>
      </c>
      <c r="M6150" s="471">
        <f t="shared" si="206"/>
        <v>0.05</v>
      </c>
      <c r="N6150" s="475">
        <f t="shared" si="207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05"/>
        <v>-4.7586722409748944E+16</v>
      </c>
      <c r="J6151" s="455">
        <f t="array" ref="J6151">IFERROR(INDEX('Retirement Calculator'!K:K,MATCH('Lorri 401b'!N6151,'Retirement Calculator'!A:A,0),0),0)</f>
        <v>0</v>
      </c>
      <c r="K6151" s="455">
        <f t="shared" ca="1" si="203"/>
        <v>-198278010040620.59</v>
      </c>
      <c r="L6151" s="455">
        <f t="shared" ca="1" si="204"/>
        <v>-4.7785000419789568E+16</v>
      </c>
      <c r="M6151" s="471">
        <f t="shared" si="206"/>
        <v>0.05</v>
      </c>
      <c r="N6151" s="475">
        <f t="shared" si="207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05"/>
        <v>-4.7785000419789568E+16</v>
      </c>
      <c r="J6152" s="455">
        <f t="array" ref="J6152">IFERROR(INDEX('Retirement Calculator'!K:K,MATCH('Lorri 401b'!N6152,'Retirement Calculator'!A:A,0),0),0)</f>
        <v>0</v>
      </c>
      <c r="K6152" s="455">
        <f t="shared" ca="1" si="203"/>
        <v>-199104168415789.88</v>
      </c>
      <c r="L6152" s="455">
        <f t="shared" ca="1" si="204"/>
        <v>-4.798410458820536E+16</v>
      </c>
      <c r="M6152" s="471">
        <f t="shared" si="206"/>
        <v>0.05</v>
      </c>
      <c r="N6152" s="475">
        <f t="shared" si="207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05"/>
        <v>-4.798410458820536E+16</v>
      </c>
      <c r="J6153" s="455">
        <f t="array" ref="J6153">IFERROR(INDEX('Retirement Calculator'!K:K,MATCH('Lorri 401b'!N6153,'Retirement Calculator'!A:A,0),0),0)</f>
        <v>0</v>
      </c>
      <c r="K6153" s="455">
        <f t="shared" ca="1" si="203"/>
        <v>-199933769117522.34</v>
      </c>
      <c r="L6153" s="455">
        <f t="shared" ca="1" si="204"/>
        <v>-4.818403835732288E+16</v>
      </c>
      <c r="M6153" s="471">
        <f t="shared" si="206"/>
        <v>0.05</v>
      </c>
      <c r="N6153" s="475">
        <f t="shared" si="207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05"/>
        <v>-4.818403835732288E+16</v>
      </c>
      <c r="J6154" s="455">
        <f t="array" ref="J6154">IFERROR(INDEX('Retirement Calculator'!K:K,MATCH('Lorri 401b'!N6154,'Retirement Calculator'!A:A,0),0),0)</f>
        <v>0</v>
      </c>
      <c r="K6154" s="455">
        <f t="shared" ca="1" si="203"/>
        <v>-200766826488845.34</v>
      </c>
      <c r="L6154" s="455">
        <f t="shared" ca="1" si="204"/>
        <v>-4.8384805183811728E+16</v>
      </c>
      <c r="M6154" s="471">
        <f t="shared" si="206"/>
        <v>0.05</v>
      </c>
      <c r="N6154" s="475">
        <f t="shared" si="207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05"/>
        <v>-4.8384805183811728E+16</v>
      </c>
      <c r="J6155" s="455">
        <f t="array" ref="J6155">IFERROR(INDEX('Retirement Calculator'!K:K,MATCH('Lorri 401b'!N6155,'Retirement Calculator'!A:A,0),0),0)</f>
        <v>0</v>
      </c>
      <c r="K6155" s="455">
        <f t="shared" ca="1" si="203"/>
        <v>-201603354932548.88</v>
      </c>
      <c r="L6155" s="455">
        <f t="shared" ca="1" si="204"/>
        <v>-4.858640853874428E+16</v>
      </c>
      <c r="M6155" s="471">
        <f t="shared" si="206"/>
        <v>0.05</v>
      </c>
      <c r="N6155" s="475">
        <f t="shared" si="207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05"/>
        <v>-4.858640853874428E+16</v>
      </c>
      <c r="J6156" s="455">
        <f t="array" ref="J6156">IFERROR(INDEX('Retirement Calculator'!K:K,MATCH('Lorri 401b'!N6156,'Retirement Calculator'!A:A,0),0),0)</f>
        <v>0</v>
      </c>
      <c r="K6156" s="455">
        <f t="shared" ca="1" si="203"/>
        <v>-202443368911434.5</v>
      </c>
      <c r="L6156" s="455">
        <f t="shared" ca="1" si="204"/>
        <v>-4.8788851907655712E+16</v>
      </c>
      <c r="M6156" s="471">
        <f t="shared" si="206"/>
        <v>0.05</v>
      </c>
      <c r="N6156" s="475">
        <f t="shared" si="207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05"/>
        <v>-4.8788851907655712E+16</v>
      </c>
      <c r="J6157" s="455">
        <f t="array" ref="J6157">IFERROR(INDEX('Retirement Calculator'!K:K,MATCH('Lorri 401b'!N6157,'Retirement Calculator'!A:A,0),0),0)</f>
        <v>0</v>
      </c>
      <c r="K6157" s="455">
        <f t="shared" ca="1" si="203"/>
        <v>-203286882948565.47</v>
      </c>
      <c r="L6157" s="455">
        <f t="shared" ca="1" si="204"/>
        <v>-4.899213879060428E+16</v>
      </c>
      <c r="M6157" s="471">
        <f t="shared" si="206"/>
        <v>0.05</v>
      </c>
      <c r="N6157" s="475">
        <f t="shared" si="207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05"/>
        <v>-4.899213879060428E+16</v>
      </c>
      <c r="J6158" s="455">
        <f t="array" ref="J6158">IFERROR(INDEX('Retirement Calculator'!K:K,MATCH('Lorri 401b'!N6158,'Retirement Calculator'!A:A,0),0),0)</f>
        <v>0</v>
      </c>
      <c r="K6158" s="455">
        <f t="shared" ca="1" si="203"/>
        <v>-204133911627517.84</v>
      </c>
      <c r="L6158" s="455">
        <f t="shared" ca="1" si="204"/>
        <v>-4.91962727022318E+16</v>
      </c>
      <c r="M6158" s="471">
        <f t="shared" si="206"/>
        <v>0.05</v>
      </c>
      <c r="N6158" s="475">
        <f t="shared" si="207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05"/>
        <v>-4.91962727022318E+16</v>
      </c>
      <c r="J6159" s="455">
        <f t="array" ref="J6159">IFERROR(INDEX('Retirement Calculator'!K:K,MATCH('Lorri 401b'!N6159,'Retirement Calculator'!A:A,0),0),0)</f>
        <v>0</v>
      </c>
      <c r="K6159" s="455">
        <f t="shared" ca="1" si="203"/>
        <v>-204984469592632.5</v>
      </c>
      <c r="L6159" s="455">
        <f t="shared" ca="1" si="204"/>
        <v>-4.9401257171824432E+16</v>
      </c>
      <c r="M6159" s="471">
        <f t="shared" si="206"/>
        <v>0.05</v>
      </c>
      <c r="N6159" s="475">
        <f t="shared" si="207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05"/>
        <v>-4.9401257171824432E+16</v>
      </c>
      <c r="J6160" s="455">
        <f t="array" ref="J6160">IFERROR(INDEX('Retirement Calculator'!K:K,MATCH('Lorri 401b'!N6160,'Retirement Calculator'!A:A,0),0),0)</f>
        <v>0</v>
      </c>
      <c r="K6160" s="455">
        <f t="shared" ca="1" si="203"/>
        <v>-205838571549268.47</v>
      </c>
      <c r="L6160" s="455">
        <f t="shared" ca="1" si="204"/>
        <v>-4.9607095743373704E+16</v>
      </c>
      <c r="M6160" s="471">
        <f t="shared" si="206"/>
        <v>0.05</v>
      </c>
      <c r="N6160" s="475">
        <f t="shared" si="207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05"/>
        <v>-4.9607095743373704E+16</v>
      </c>
      <c r="J6161" s="455">
        <f t="array" ref="J6161">IFERROR(INDEX('Retirement Calculator'!K:K,MATCH('Lorri 401b'!N6161,'Retirement Calculator'!A:A,0),0),0)</f>
        <v>0</v>
      </c>
      <c r="K6161" s="455">
        <f t="shared" ca="1" si="203"/>
        <v>-206696232264057.09</v>
      </c>
      <c r="L6161" s="455">
        <f t="shared" ca="1" si="204"/>
        <v>-4.981379197563776E+16</v>
      </c>
      <c r="M6161" s="471">
        <f t="shared" si="206"/>
        <v>0.05</v>
      </c>
      <c r="N6161" s="475">
        <f t="shared" si="207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05"/>
        <v>-4.981379197563776E+16</v>
      </c>
      <c r="J6162" s="455">
        <f t="array" ref="J6162">IFERROR(INDEX('Retirement Calculator'!K:K,MATCH('Lorri 401b'!N6162,'Retirement Calculator'!A:A,0),0),0)</f>
        <v>0</v>
      </c>
      <c r="K6162" s="455">
        <f t="shared" ca="1" si="203"/>
        <v>-207557466565157.34</v>
      </c>
      <c r="L6162" s="455">
        <f t="shared" ca="1" si="204"/>
        <v>-5.002134944220292E+16</v>
      </c>
      <c r="M6162" s="471">
        <f t="shared" si="206"/>
        <v>0.05</v>
      </c>
      <c r="N6162" s="475">
        <f t="shared" si="207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05"/>
        <v>-5.002134944220292E+16</v>
      </c>
      <c r="J6163" s="455">
        <f t="array" ref="J6163">IFERROR(INDEX('Retirement Calculator'!K:K,MATCH('Lorri 401b'!N6163,'Retirement Calculator'!A:A,0),0),0)</f>
        <v>0</v>
      </c>
      <c r="K6163" s="455">
        <f t="shared" ca="1" si="203"/>
        <v>-208422289342512.16</v>
      </c>
      <c r="L6163" s="455">
        <f t="shared" ca="1" si="204"/>
        <v>-5.0229771731545432E+16</v>
      </c>
      <c r="M6163" s="471">
        <f t="shared" si="206"/>
        <v>0.05</v>
      </c>
      <c r="N6163" s="475">
        <f t="shared" si="207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05"/>
        <v>-5.0229771731545432E+16</v>
      </c>
      <c r="J6164" s="455">
        <f t="array" ref="J6164">IFERROR(INDEX('Retirement Calculator'!K:K,MATCH('Lorri 401b'!N6164,'Retirement Calculator'!A:A,0),0),0)</f>
        <v>0</v>
      </c>
      <c r="K6164" s="455">
        <f t="shared" ca="1" si="203"/>
        <v>-209290715548105.97</v>
      </c>
      <c r="L6164" s="455">
        <f t="shared" ca="1" si="204"/>
        <v>-5.0439062447093536E+16</v>
      </c>
      <c r="M6164" s="471">
        <f t="shared" si="206"/>
        <v>0.05</v>
      </c>
      <c r="N6164" s="475">
        <f t="shared" si="207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05"/>
        <v>-5.0439062447093536E+16</v>
      </c>
      <c r="J6165" s="455">
        <f t="array" ref="J6165">IFERROR(INDEX('Retirement Calculator'!K:K,MATCH('Lorri 401b'!N6165,'Retirement Calculator'!A:A,0),0),0)</f>
        <v>0</v>
      </c>
      <c r="K6165" s="455">
        <f t="shared" ca="1" si="203"/>
        <v>-210162760196223.06</v>
      </c>
      <c r="L6165" s="455">
        <f t="shared" ca="1" si="204"/>
        <v>-5.064922520728976E+16</v>
      </c>
      <c r="M6165" s="471">
        <f t="shared" si="206"/>
        <v>0.05</v>
      </c>
      <c r="N6165" s="475">
        <f t="shared" si="207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05"/>
        <v>-5.064922520728976E+16</v>
      </c>
      <c r="J6166" s="455">
        <f t="array" ref="J6166">IFERROR(INDEX('Retirement Calculator'!K:K,MATCH('Lorri 401b'!N6166,'Retirement Calculator'!A:A,0),0),0)</f>
        <v>0</v>
      </c>
      <c r="K6166" s="455">
        <f t="shared" ca="1" si="203"/>
        <v>-211038438363707.34</v>
      </c>
      <c r="L6166" s="455">
        <f t="shared" ca="1" si="204"/>
        <v>-5.0860263645653464E+16</v>
      </c>
      <c r="M6166" s="471">
        <f t="shared" si="206"/>
        <v>0.05</v>
      </c>
      <c r="N6166" s="475">
        <f t="shared" si="207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05"/>
        <v>-5.0860263645653464E+16</v>
      </c>
      <c r="J6167" s="455">
        <f t="array" ref="J6167">IFERROR(INDEX('Retirement Calculator'!K:K,MATCH('Lorri 401b'!N6167,'Retirement Calculator'!A:A,0),0),0)</f>
        <v>0</v>
      </c>
      <c r="K6167" s="455">
        <f t="shared" ca="1" si="203"/>
        <v>-211917765190222.75</v>
      </c>
      <c r="L6167" s="455">
        <f t="shared" ca="1" si="204"/>
        <v>-5.1072181410843688E+16</v>
      </c>
      <c r="M6167" s="471">
        <f t="shared" si="206"/>
        <v>0.05</v>
      </c>
      <c r="N6167" s="475">
        <f t="shared" si="207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05"/>
        <v>-5.1072181410843688E+16</v>
      </c>
      <c r="J6168" s="455">
        <f t="array" ref="J6168">IFERROR(INDEX('Retirement Calculator'!K:K,MATCH('Lorri 401b'!N6168,'Retirement Calculator'!A:A,0),0),0)</f>
        <v>0</v>
      </c>
      <c r="K6168" s="455">
        <f t="shared" ca="1" si="203"/>
        <v>-212800755878515.38</v>
      </c>
      <c r="L6168" s="455">
        <f t="shared" ca="1" si="204"/>
        <v>-5.12849821667222E+16</v>
      </c>
      <c r="M6168" s="471">
        <f t="shared" si="206"/>
        <v>0.05</v>
      </c>
      <c r="N6168" s="475">
        <f t="shared" si="207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05"/>
        <v>-5.12849821667222E+16</v>
      </c>
      <c r="J6169" s="455">
        <f t="array" ref="J6169">IFERROR(INDEX('Retirement Calculator'!K:K,MATCH('Lorri 401b'!N6169,'Retirement Calculator'!A:A,0),0),0)</f>
        <v>0</v>
      </c>
      <c r="K6169" s="455">
        <f t="shared" ca="1" si="203"/>
        <v>-213687425694675.84</v>
      </c>
      <c r="L6169" s="455">
        <f t="shared" ca="1" si="204"/>
        <v>-5.1498669592416872E+16</v>
      </c>
      <c r="M6169" s="471">
        <f t="shared" si="206"/>
        <v>0.05</v>
      </c>
      <c r="N6169" s="475">
        <f t="shared" si="207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05"/>
        <v>-5.1498669592416872E+16</v>
      </c>
      <c r="J6170" s="455">
        <f t="array" ref="J6170">IFERROR(INDEX('Retirement Calculator'!K:K,MATCH('Lorri 401b'!N6170,'Retirement Calculator'!A:A,0),0),0)</f>
        <v>0</v>
      </c>
      <c r="K6170" s="455">
        <f t="shared" ca="1" si="203"/>
        <v>-214577789968403.63</v>
      </c>
      <c r="L6170" s="455">
        <f t="shared" ca="1" si="204"/>
        <v>-5.1713247382385272E+16</v>
      </c>
      <c r="M6170" s="471">
        <f t="shared" si="206"/>
        <v>0.05</v>
      </c>
      <c r="N6170" s="475">
        <f t="shared" si="207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05"/>
        <v>-5.1713247382385272E+16</v>
      </c>
      <c r="J6171" s="455">
        <f t="array" ref="J6171">IFERROR(INDEX('Retirement Calculator'!K:K,MATCH('Lorri 401b'!N6171,'Retirement Calculator'!A:A,0),0),0)</f>
        <v>0</v>
      </c>
      <c r="K6171" s="455">
        <f t="shared" ca="1" si="203"/>
        <v>-215471864093271.97</v>
      </c>
      <c r="L6171" s="455">
        <f t="shared" ca="1" si="204"/>
        <v>-5.1928719246478544E+16</v>
      </c>
      <c r="M6171" s="471">
        <f t="shared" si="206"/>
        <v>0.05</v>
      </c>
      <c r="N6171" s="475">
        <f t="shared" si="207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05"/>
        <v>-5.1928719246478544E+16</v>
      </c>
      <c r="J6172" s="455">
        <f t="array" ref="J6172">IFERROR(INDEX('Retirement Calculator'!K:K,MATCH('Lorri 401b'!N6172,'Retirement Calculator'!A:A,0),0),0)</f>
        <v>0</v>
      </c>
      <c r="K6172" s="455">
        <f t="shared" ca="1" si="203"/>
        <v>-216369663526993.94</v>
      </c>
      <c r="L6172" s="455">
        <f t="shared" ca="1" si="204"/>
        <v>-5.2145088910005536E+16</v>
      </c>
      <c r="M6172" s="471">
        <f t="shared" si="206"/>
        <v>0.05</v>
      </c>
      <c r="N6172" s="475">
        <f t="shared" si="207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05"/>
        <v>-5.2145088910005536E+16</v>
      </c>
      <c r="J6173" s="455">
        <f t="array" ref="J6173">IFERROR(INDEX('Retirement Calculator'!K:K,MATCH('Lorri 401b'!N6173,'Retirement Calculator'!A:A,0),0),0)</f>
        <v>0</v>
      </c>
      <c r="K6173" s="455">
        <f t="shared" ca="1" si="203"/>
        <v>-217271203791689.72</v>
      </c>
      <c r="L6173" s="455">
        <f t="shared" ca="1" si="204"/>
        <v>-5.2362360113797224E+16</v>
      </c>
      <c r="M6173" s="471">
        <f t="shared" si="206"/>
        <v>0.05</v>
      </c>
      <c r="N6173" s="475">
        <f t="shared" si="207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05"/>
        <v>-5.2362360113797224E+16</v>
      </c>
      <c r="J6174" s="455">
        <f t="array" ref="J6174">IFERROR(INDEX('Retirement Calculator'!K:K,MATCH('Lorri 401b'!N6174,'Retirement Calculator'!A:A,0),0),0)</f>
        <v>0</v>
      </c>
      <c r="K6174" s="455">
        <f t="shared" ca="1" si="203"/>
        <v>-218176500474155.09</v>
      </c>
      <c r="L6174" s="455">
        <f t="shared" ca="1" si="204"/>
        <v>-5.2580536614271376E+16</v>
      </c>
      <c r="M6174" s="471">
        <f t="shared" si="206"/>
        <v>0.05</v>
      </c>
      <c r="N6174" s="475">
        <f t="shared" si="207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05"/>
        <v>-5.2580536614271376E+16</v>
      </c>
      <c r="J6175" s="455">
        <f t="array" ref="J6175">IFERROR(INDEX('Retirement Calculator'!K:K,MATCH('Lorri 401b'!N6175,'Retirement Calculator'!A:A,0),0),0)</f>
        <v>0</v>
      </c>
      <c r="K6175" s="455">
        <f t="shared" ca="1" si="203"/>
        <v>-219085569226130.72</v>
      </c>
      <c r="L6175" s="455">
        <f t="shared" ca="1" si="204"/>
        <v>-5.2799622183497504E+16</v>
      </c>
      <c r="M6175" s="471">
        <f t="shared" si="206"/>
        <v>0.05</v>
      </c>
      <c r="N6175" s="475">
        <f t="shared" si="207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05"/>
        <v>-5.2799622183497504E+16</v>
      </c>
      <c r="J6176" s="455">
        <f t="array" ref="J6176">IFERROR(INDEX('Retirement Calculator'!K:K,MATCH('Lorri 401b'!N6176,'Retirement Calculator'!A:A,0),0),0)</f>
        <v>0</v>
      </c>
      <c r="K6176" s="455">
        <f t="shared" ca="1" si="203"/>
        <v>-219998425764572.94</v>
      </c>
      <c r="L6176" s="455">
        <f t="shared" ca="1" si="204"/>
        <v>-5.301962060926208E+16</v>
      </c>
      <c r="M6176" s="471">
        <f t="shared" si="206"/>
        <v>0.05</v>
      </c>
      <c r="N6176" s="475">
        <f t="shared" si="207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05"/>
        <v>-5.301962060926208E+16</v>
      </c>
      <c r="J6177" s="455">
        <f t="array" ref="J6177">IFERROR(INDEX('Retirement Calculator'!K:K,MATCH('Lorri 401b'!N6177,'Retirement Calculator'!A:A,0),0),0)</f>
        <v>0</v>
      </c>
      <c r="K6177" s="455">
        <f t="shared" ca="1" si="203"/>
        <v>-220915085871925.34</v>
      </c>
      <c r="L6177" s="455">
        <f t="shared" ca="1" si="204"/>
        <v>-5.3240535695134008E+16</v>
      </c>
      <c r="M6177" s="471">
        <f t="shared" si="206"/>
        <v>0.05</v>
      </c>
      <c r="N6177" s="475">
        <f t="shared" si="207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05"/>
        <v>-5.3240535695134008E+16</v>
      </c>
      <c r="J6178" s="455">
        <f t="array" ref="J6178">IFERROR(INDEX('Retirement Calculator'!K:K,MATCH('Lorri 401b'!N6178,'Retirement Calculator'!A:A,0),0),0)</f>
        <v>0</v>
      </c>
      <c r="K6178" s="455">
        <f t="shared" ca="1" si="203"/>
        <v>-221835565396391.69</v>
      </c>
      <c r="L6178" s="455">
        <f t="shared" ca="1" si="204"/>
        <v>-5.34623712605304E+16</v>
      </c>
      <c r="M6178" s="471">
        <f t="shared" si="206"/>
        <v>0.05</v>
      </c>
      <c r="N6178" s="475">
        <f t="shared" si="207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05"/>
        <v>-5.34623712605304E+16</v>
      </c>
      <c r="J6179" s="455">
        <f t="array" ref="J6179">IFERROR(INDEX('Retirement Calculator'!K:K,MATCH('Lorri 401b'!N6179,'Retirement Calculator'!A:A,0),0),0)</f>
        <v>0</v>
      </c>
      <c r="K6179" s="455">
        <f t="shared" ca="1" si="203"/>
        <v>-222759880252210</v>
      </c>
      <c r="L6179" s="455">
        <f t="shared" ca="1" si="204"/>
        <v>-5.3685131140782608E+16</v>
      </c>
      <c r="M6179" s="471">
        <f t="shared" si="206"/>
        <v>0.05</v>
      </c>
      <c r="N6179" s="475">
        <f t="shared" si="207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05"/>
        <v>-5.3685131140782608E+16</v>
      </c>
      <c r="J6180" s="455">
        <f t="array" ref="J6180">IFERROR(INDEX('Retirement Calculator'!K:K,MATCH('Lorri 401b'!N6180,'Retirement Calculator'!A:A,0),0),0)</f>
        <v>0</v>
      </c>
      <c r="K6180" s="455">
        <f t="shared" ca="1" si="203"/>
        <v>-223688046419927.53</v>
      </c>
      <c r="L6180" s="455">
        <f t="shared" ca="1" si="204"/>
        <v>-5.3908819187202536E+16</v>
      </c>
      <c r="M6180" s="471">
        <f t="shared" si="206"/>
        <v>0.05</v>
      </c>
      <c r="N6180" s="475">
        <f t="shared" si="207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05"/>
        <v>-5.3908819187202536E+16</v>
      </c>
      <c r="J6181" s="455">
        <f t="array" ref="J6181">IFERROR(INDEX('Retirement Calculator'!K:K,MATCH('Lorri 401b'!N6181,'Retirement Calculator'!A:A,0),0),0)</f>
        <v>0</v>
      </c>
      <c r="K6181" s="455">
        <f t="shared" ca="1" si="203"/>
        <v>-224620079946677.22</v>
      </c>
      <c r="L6181" s="455">
        <f t="shared" ca="1" si="204"/>
        <v>-5.4133439267149216E+16</v>
      </c>
      <c r="M6181" s="471">
        <f t="shared" si="206"/>
        <v>0.05</v>
      </c>
      <c r="N6181" s="475">
        <f t="shared" si="207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05"/>
        <v>-5.4133439267149216E+16</v>
      </c>
      <c r="J6182" s="455">
        <f t="array" ref="J6182">IFERROR(INDEX('Retirement Calculator'!K:K,MATCH('Lorri 401b'!N6182,'Retirement Calculator'!A:A,0),0),0)</f>
        <v>0</v>
      </c>
      <c r="K6182" s="455">
        <f t="shared" ca="1" si="203"/>
        <v>-225555996946455.06</v>
      </c>
      <c r="L6182" s="455">
        <f t="shared" ca="1" si="204"/>
        <v>-5.4358995264095672E+16</v>
      </c>
      <c r="M6182" s="471">
        <f t="shared" si="206"/>
        <v>0.05</v>
      </c>
      <c r="N6182" s="475">
        <f t="shared" si="207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05"/>
        <v>-5.4358995264095672E+16</v>
      </c>
      <c r="J6183" s="455">
        <f t="array" ref="J6183">IFERROR(INDEX('Retirement Calculator'!K:K,MATCH('Lorri 401b'!N6183,'Retirement Calculator'!A:A,0),0),0)</f>
        <v>0</v>
      </c>
      <c r="K6183" s="455">
        <f t="shared" ca="1" si="203"/>
        <v>-226495813600398.63</v>
      </c>
      <c r="L6183" s="455">
        <f t="shared" ca="1" si="204"/>
        <v>-5.4585491077696072E+16</v>
      </c>
      <c r="M6183" s="471">
        <f t="shared" si="206"/>
        <v>0.05</v>
      </c>
      <c r="N6183" s="475">
        <f t="shared" si="207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05"/>
        <v>-5.4585491077696072E+16</v>
      </c>
      <c r="J6184" s="455">
        <f t="array" ref="J6184">IFERROR(INDEX('Retirement Calculator'!K:K,MATCH('Lorri 401b'!N6184,'Retirement Calculator'!A:A,0),0),0)</f>
        <v>0</v>
      </c>
      <c r="K6184" s="455">
        <f t="shared" ca="1" si="203"/>
        <v>-227439546157066.97</v>
      </c>
      <c r="L6184" s="455">
        <f t="shared" ca="1" si="204"/>
        <v>-5.4812930623853136E+16</v>
      </c>
      <c r="M6184" s="471">
        <f t="shared" si="206"/>
        <v>0.05</v>
      </c>
      <c r="N6184" s="475">
        <f t="shared" si="207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05"/>
        <v>-5.4812930623853136E+16</v>
      </c>
      <c r="J6185" s="455">
        <f t="array" ref="J6185">IFERROR(INDEX('Retirement Calculator'!K:K,MATCH('Lorri 401b'!N6185,'Retirement Calculator'!A:A,0),0),0)</f>
        <v>0</v>
      </c>
      <c r="K6185" s="455">
        <f t="shared" ca="1" si="203"/>
        <v>-228387210932721.41</v>
      </c>
      <c r="L6185" s="455">
        <f t="shared" ca="1" si="204"/>
        <v>-5.5041317834785856E+16</v>
      </c>
      <c r="M6185" s="471">
        <f t="shared" si="206"/>
        <v>0.05</v>
      </c>
      <c r="N6185" s="475">
        <f t="shared" si="207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05"/>
        <v>-5.5041317834785856E+16</v>
      </c>
      <c r="J6186" s="455">
        <f t="array" ref="J6186">IFERROR(INDEX('Retirement Calculator'!K:K,MATCH('Lorri 401b'!N6186,'Retirement Calculator'!A:A,0),0),0)</f>
        <v>0</v>
      </c>
      <c r="K6186" s="455">
        <f t="shared" ca="1" si="203"/>
        <v>-229338824311607.72</v>
      </c>
      <c r="L6186" s="455">
        <f t="shared" ca="1" si="204"/>
        <v>-5.5270656659097464E+16</v>
      </c>
      <c r="M6186" s="471">
        <f t="shared" si="206"/>
        <v>0.05</v>
      </c>
      <c r="N6186" s="475">
        <f t="shared" si="207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05"/>
        <v>-5.5270656659097464E+16</v>
      </c>
      <c r="J6187" s="455">
        <f t="array" ref="J6187">IFERROR(INDEX('Retirement Calculator'!K:K,MATCH('Lorri 401b'!N6187,'Retirement Calculator'!A:A,0),0),0)</f>
        <v>0</v>
      </c>
      <c r="K6187" s="455">
        <f t="shared" ca="1" si="203"/>
        <v>-230294402746239.44</v>
      </c>
      <c r="L6187" s="455">
        <f t="shared" ca="1" si="204"/>
        <v>-5.5500951061843704E+16</v>
      </c>
      <c r="M6187" s="471">
        <f t="shared" si="206"/>
        <v>0.05</v>
      </c>
      <c r="N6187" s="475">
        <f t="shared" si="207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05"/>
        <v>-5.5500951061843704E+16</v>
      </c>
      <c r="J6188" s="455">
        <f t="array" ref="J6188">IFERROR(INDEX('Retirement Calculator'!K:K,MATCH('Lorri 401b'!N6188,'Retirement Calculator'!A:A,0),0),0)</f>
        <v>0</v>
      </c>
      <c r="K6188" s="455">
        <f t="shared" ca="1" si="203"/>
        <v>-231253962757682.09</v>
      </c>
      <c r="L6188" s="455">
        <f t="shared" ca="1" si="204"/>
        <v>-5.5732205024601384E+16</v>
      </c>
      <c r="M6188" s="471">
        <f t="shared" si="206"/>
        <v>0.05</v>
      </c>
      <c r="N6188" s="475">
        <f t="shared" si="207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05"/>
        <v>-5.5732205024601384E+16</v>
      </c>
      <c r="J6189" s="455">
        <f t="array" ref="J6189">IFERROR(INDEX('Retirement Calculator'!K:K,MATCH('Lorri 401b'!N6189,'Retirement Calculator'!A:A,0),0),0)</f>
        <v>0</v>
      </c>
      <c r="K6189" s="455">
        <f t="shared" ca="1" si="203"/>
        <v>-232217520935839.09</v>
      </c>
      <c r="L6189" s="455">
        <f t="shared" ca="1" si="204"/>
        <v>-5.5964422545537224E+16</v>
      </c>
      <c r="M6189" s="471">
        <f t="shared" si="206"/>
        <v>0.05</v>
      </c>
      <c r="N6189" s="475">
        <f t="shared" si="207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05"/>
        <v>-5.5964422545537224E+16</v>
      </c>
      <c r="J6190" s="455">
        <f t="array" ref="J6190">IFERROR(INDEX('Retirement Calculator'!K:K,MATCH('Lorri 401b'!N6190,'Retirement Calculator'!A:A,0),0),0)</f>
        <v>0</v>
      </c>
      <c r="K6190" s="455">
        <f t="shared" ca="1" si="203"/>
        <v>-233185093939738.44</v>
      </c>
      <c r="L6190" s="455">
        <f t="shared" ca="1" si="204"/>
        <v>-5.619760763947696E+16</v>
      </c>
      <c r="M6190" s="471">
        <f t="shared" si="206"/>
        <v>0.05</v>
      </c>
      <c r="N6190" s="475">
        <f t="shared" si="207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05"/>
        <v>-5.619760763947696E+16</v>
      </c>
      <c r="J6191" s="455">
        <f t="array" ref="J6191">IFERROR(INDEX('Retirement Calculator'!K:K,MATCH('Lorri 401b'!N6191,'Retirement Calculator'!A:A,0),0),0)</f>
        <v>0</v>
      </c>
      <c r="K6191" s="455">
        <f t="shared" ca="1" si="203"/>
        <v>-234156698497820.69</v>
      </c>
      <c r="L6191" s="455">
        <f t="shared" ca="1" si="204"/>
        <v>-5.6431764337974784E+16</v>
      </c>
      <c r="M6191" s="471">
        <f t="shared" si="206"/>
        <v>0.05</v>
      </c>
      <c r="N6191" s="475">
        <f t="shared" si="207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05"/>
        <v>-5.6431764337974784E+16</v>
      </c>
      <c r="J6192" s="455">
        <f t="array" ref="J6192">IFERROR(INDEX('Retirement Calculator'!K:K,MATCH('Lorri 401b'!N6192,'Retirement Calculator'!A:A,0),0),0)</f>
        <v>0</v>
      </c>
      <c r="K6192" s="455">
        <f t="shared" ca="1" si="203"/>
        <v>-235132351408228.25</v>
      </c>
      <c r="L6192" s="455">
        <f t="shared" ca="1" si="204"/>
        <v>-5.6666896689383016E+16</v>
      </c>
      <c r="M6192" s="471">
        <f t="shared" si="206"/>
        <v>0.05</v>
      </c>
      <c r="N6192" s="475">
        <f t="shared" si="207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05"/>
        <v>-5.6666896689383016E+16</v>
      </c>
      <c r="J6193" s="455">
        <f t="array" ref="J6193">IFERROR(INDEX('Retirement Calculator'!K:K,MATCH('Lorri 401b'!N6193,'Retirement Calculator'!A:A,0),0),0)</f>
        <v>0</v>
      </c>
      <c r="K6193" s="455">
        <f t="shared" ca="1" si="203"/>
        <v>-236112069539095.91</v>
      </c>
      <c r="L6193" s="455">
        <f t="shared" ca="1" si="204"/>
        <v>-5.6903008758922112E+16</v>
      </c>
      <c r="M6193" s="471">
        <f t="shared" si="206"/>
        <v>0.05</v>
      </c>
      <c r="N6193" s="475">
        <f t="shared" si="207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05"/>
        <v>-5.6903008758922112E+16</v>
      </c>
      <c r="J6194" s="455">
        <f t="array" ref="J6194">IFERROR(INDEX('Retirement Calculator'!K:K,MATCH('Lorri 401b'!N6194,'Retirement Calculator'!A:A,0),0),0)</f>
        <v>0</v>
      </c>
      <c r="K6194" s="455">
        <f t="shared" ca="1" si="203"/>
        <v>-237095869828842.16</v>
      </c>
      <c r="L6194" s="455">
        <f t="shared" ca="1" si="204"/>
        <v>-5.7140104628750952E+16</v>
      </c>
      <c r="M6194" s="471">
        <f t="shared" si="206"/>
        <v>0.05</v>
      </c>
      <c r="N6194" s="475">
        <f t="shared" si="207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05"/>
        <v>-5.7140104628750952E+16</v>
      </c>
      <c r="J6195" s="455">
        <f t="array" ref="J6195">IFERROR(INDEX('Retirement Calculator'!K:K,MATCH('Lorri 401b'!N6195,'Retirement Calculator'!A:A,0),0),0)</f>
        <v>0</v>
      </c>
      <c r="K6195" s="455">
        <f t="shared" ca="1" si="203"/>
        <v>-238083769286462.28</v>
      </c>
      <c r="L6195" s="455">
        <f t="shared" ca="1" si="204"/>
        <v>-5.7378188398037416E+16</v>
      </c>
      <c r="M6195" s="471">
        <f t="shared" si="206"/>
        <v>0.05</v>
      </c>
      <c r="N6195" s="475">
        <f t="shared" si="207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05"/>
        <v>-5.7378188398037416E+16</v>
      </c>
      <c r="J6196" s="455">
        <f t="array" ref="J6196">IFERROR(INDEX('Retirement Calculator'!K:K,MATCH('Lorri 401b'!N6196,'Retirement Calculator'!A:A,0),0),0)</f>
        <v>0</v>
      </c>
      <c r="K6196" s="455">
        <f t="shared" ca="1" si="203"/>
        <v>-239075784991822.56</v>
      </c>
      <c r="L6196" s="455">
        <f t="shared" ca="1" si="204"/>
        <v>-5.761726418302924E+16</v>
      </c>
      <c r="M6196" s="471">
        <f t="shared" si="206"/>
        <v>0.05</v>
      </c>
      <c r="N6196" s="475">
        <f t="shared" si="207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05"/>
        <v>-5.761726418302924E+16</v>
      </c>
      <c r="J6197" s="455">
        <f t="array" ref="J6197">IFERROR(INDEX('Retirement Calculator'!K:K,MATCH('Lorri 401b'!N6197,'Retirement Calculator'!A:A,0),0),0)</f>
        <v>0</v>
      </c>
      <c r="K6197" s="455">
        <f t="shared" ca="1" si="203"/>
        <v>-240071934095955.19</v>
      </c>
      <c r="L6197" s="455">
        <f t="shared" ca="1" si="204"/>
        <v>-5.7857336117125192E+16</v>
      </c>
      <c r="M6197" s="471">
        <f t="shared" si="206"/>
        <v>0.05</v>
      </c>
      <c r="N6197" s="475">
        <f t="shared" si="207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05"/>
        <v>-5.7857336117125192E+16</v>
      </c>
      <c r="J6198" s="455">
        <f t="array" ref="J6198">IFERROR(INDEX('Retirement Calculator'!K:K,MATCH('Lorri 401b'!N6198,'Retirement Calculator'!A:A,0),0),0)</f>
        <v>0</v>
      </c>
      <c r="K6198" s="455">
        <f t="shared" ca="1" si="203"/>
        <v>-241072233821354.94</v>
      </c>
      <c r="L6198" s="455">
        <f t="shared" ca="1" si="204"/>
        <v>-5.8098408350946544E+16</v>
      </c>
      <c r="M6198" s="471">
        <f t="shared" si="206"/>
        <v>0.05</v>
      </c>
      <c r="N6198" s="475">
        <f t="shared" si="207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05"/>
        <v>-5.8098408350946544E+16</v>
      </c>
      <c r="J6199" s="455">
        <f t="array" ref="J6199">IFERROR(INDEX('Retirement Calculator'!K:K,MATCH('Lorri 401b'!N6199,'Retirement Calculator'!A:A,0),0),0)</f>
        <v>0</v>
      </c>
      <c r="K6199" s="455">
        <f t="shared" ca="1" si="203"/>
        <v>-242076701462277.22</v>
      </c>
      <c r="L6199" s="455">
        <f t="shared" ca="1" si="204"/>
        <v>-5.8340485052408824E+16</v>
      </c>
      <c r="M6199" s="471">
        <f t="shared" si="206"/>
        <v>0.05</v>
      </c>
      <c r="N6199" s="475">
        <f t="shared" si="207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05"/>
        <v>-5.8340485052408824E+16</v>
      </c>
      <c r="J6200" s="455">
        <f t="array" ref="J6200">IFERROR(INDEX('Retirement Calculator'!K:K,MATCH('Lorri 401b'!N6200,'Retirement Calculator'!A:A,0),0),0)</f>
        <v>0</v>
      </c>
      <c r="K6200" s="455">
        <f t="shared" ca="1" si="203"/>
        <v>-243085354385036.72</v>
      </c>
      <c r="L6200" s="455">
        <f t="shared" ca="1" si="204"/>
        <v>-5.8583570406793864E+16</v>
      </c>
      <c r="M6200" s="471">
        <f t="shared" si="206"/>
        <v>0.05</v>
      </c>
      <c r="N6200" s="475">
        <f t="shared" si="207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05"/>
        <v>-5.8583570406793864E+16</v>
      </c>
      <c r="J6201" s="455">
        <f t="array" ref="J6201">IFERROR(INDEX('Retirement Calculator'!K:K,MATCH('Lorri 401b'!N6201,'Retirement Calculator'!A:A,0),0),0)</f>
        <v>0</v>
      </c>
      <c r="K6201" s="455">
        <f t="shared" ca="1" si="203"/>
        <v>-244098210028307.75</v>
      </c>
      <c r="L6201" s="455">
        <f t="shared" ca="1" si="204"/>
        <v>-5.8827668616822168E+16</v>
      </c>
      <c r="M6201" s="471">
        <f t="shared" si="206"/>
        <v>0.05</v>
      </c>
      <c r="N6201" s="475">
        <f t="shared" si="207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05"/>
        <v>-5.8827668616822168E+16</v>
      </c>
      <c r="J6202" s="455">
        <f t="array" ref="J6202">IFERROR(INDEX('Retirement Calculator'!K:K,MATCH('Lorri 401b'!N6202,'Retirement Calculator'!A:A,0),0),0)</f>
        <v>0</v>
      </c>
      <c r="K6202" s="455">
        <f t="shared" ca="1" si="203"/>
        <v>-245115285903425.72</v>
      </c>
      <c r="L6202" s="455">
        <f t="shared" ca="1" si="204"/>
        <v>-5.9072783902725592E+16</v>
      </c>
      <c r="M6202" s="471">
        <f t="shared" si="206"/>
        <v>0.05</v>
      </c>
      <c r="N6202" s="475">
        <f t="shared" si="207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05"/>
        <v>-5.9072783902725592E+16</v>
      </c>
      <c r="J6203" s="455">
        <f t="array" ref="J6203">IFERROR(INDEX('Retirement Calculator'!K:K,MATCH('Lorri 401b'!N6203,'Retirement Calculator'!A:A,0),0),0)</f>
        <v>0</v>
      </c>
      <c r="K6203" s="455">
        <f t="shared" ca="1" si="203"/>
        <v>-246136599594690</v>
      </c>
      <c r="L6203" s="455">
        <f t="shared" ca="1" si="204"/>
        <v>-5.931892050232028E+16</v>
      </c>
      <c r="M6203" s="471">
        <f t="shared" si="206"/>
        <v>0.05</v>
      </c>
      <c r="N6203" s="475">
        <f t="shared" si="207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05"/>
        <v>-5.931892050232028E+16</v>
      </c>
      <c r="J6204" s="455">
        <f t="array" ref="J6204">IFERROR(INDEX('Retirement Calculator'!K:K,MATCH('Lorri 401b'!N6204,'Retirement Calculator'!A:A,0),0),0)</f>
        <v>0</v>
      </c>
      <c r="K6204" s="455">
        <f t="shared" ca="1" si="203"/>
        <v>-247162168759667.84</v>
      </c>
      <c r="L6204" s="455">
        <f t="shared" ca="1" si="204"/>
        <v>-5.9566082671079944E+16</v>
      </c>
      <c r="M6204" s="471">
        <f t="shared" si="206"/>
        <v>0.05</v>
      </c>
      <c r="N6204" s="475">
        <f t="shared" si="207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05"/>
        <v>-5.9566082671079944E+16</v>
      </c>
      <c r="J6205" s="455">
        <f t="array" ref="J6205">IFERROR(INDEX('Retirement Calculator'!K:K,MATCH('Lorri 401b'!N6205,'Retirement Calculator'!A:A,0),0),0)</f>
        <v>0</v>
      </c>
      <c r="K6205" s="455">
        <f t="shared" ca="1" si="203"/>
        <v>-248192011129499.78</v>
      </c>
      <c r="L6205" s="455">
        <f t="shared" ca="1" si="204"/>
        <v>-5.981427468220944E+16</v>
      </c>
      <c r="M6205" s="471">
        <f t="shared" si="206"/>
        <v>0.05</v>
      </c>
      <c r="N6205" s="475">
        <f t="shared" si="207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05"/>
        <v>-5.981427468220944E+16</v>
      </c>
      <c r="J6206" s="455">
        <f t="array" ref="J6206">IFERROR(INDEX('Retirement Calculator'!K:K,MATCH('Lorri 401b'!N6206,'Retirement Calculator'!A:A,0),0),0)</f>
        <v>0</v>
      </c>
      <c r="K6206" s="455">
        <f t="shared" ca="1" si="203"/>
        <v>-249226144509206</v>
      </c>
      <c r="L6206" s="455">
        <f t="shared" ca="1" si="204"/>
        <v>-6.0063500826718648E+16</v>
      </c>
      <c r="M6206" s="471">
        <f t="shared" si="206"/>
        <v>0.05</v>
      </c>
      <c r="N6206" s="475">
        <f t="shared" si="207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05"/>
        <v>-6.0063500826718648E+16</v>
      </c>
      <c r="J6207" s="455">
        <f t="array" ref="J6207">IFERROR(INDEX('Retirement Calculator'!K:K,MATCH('Lorri 401b'!N6207,'Retirement Calculator'!A:A,0),0),0)</f>
        <v>0</v>
      </c>
      <c r="K6207" s="455">
        <f t="shared" ca="1" si="203"/>
        <v>-250264586777994.38</v>
      </c>
      <c r="L6207" s="455">
        <f t="shared" ca="1" si="204"/>
        <v>-6.031376541349664E+16</v>
      </c>
      <c r="M6207" s="471">
        <f t="shared" si="206"/>
        <v>0.05</v>
      </c>
      <c r="N6207" s="475">
        <f t="shared" si="207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05"/>
        <v>-6.031376541349664E+16</v>
      </c>
      <c r="J6208" s="455">
        <f t="array" ref="J6208">IFERROR(INDEX('Retirement Calculator'!K:K,MATCH('Lorri 401b'!N6208,'Retirement Calculator'!A:A,0),0),0)</f>
        <v>0</v>
      </c>
      <c r="K6208" s="455">
        <f t="shared" ca="1" si="203"/>
        <v>-251307355889569.34</v>
      </c>
      <c r="L6208" s="455">
        <f t="shared" ca="1" si="204"/>
        <v>-6.0565072769386208E+16</v>
      </c>
      <c r="M6208" s="471">
        <f t="shared" si="206"/>
        <v>0.05</v>
      </c>
      <c r="N6208" s="475">
        <f t="shared" si="207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05"/>
        <v>-6.0565072769386208E+16</v>
      </c>
      <c r="J6209" s="455">
        <f t="array" ref="J6209">IFERROR(INDEX('Retirement Calculator'!K:K,MATCH('Lorri 401b'!N6209,'Retirement Calculator'!A:A,0),0),0)</f>
        <v>0</v>
      </c>
      <c r="K6209" s="455">
        <f t="shared" ca="1" si="203"/>
        <v>-252354469872442.53</v>
      </c>
      <c r="L6209" s="455">
        <f t="shared" ca="1" si="204"/>
        <v>-6.0817427239258648E+16</v>
      </c>
      <c r="M6209" s="471">
        <f t="shared" si="206"/>
        <v>0.05</v>
      </c>
      <c r="N6209" s="475">
        <f t="shared" si="207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05"/>
        <v>-6.0817427239258648E+16</v>
      </c>
      <c r="J6210" s="455">
        <f t="array" ref="J6210">IFERROR(INDEX('Retirement Calculator'!K:K,MATCH('Lorri 401b'!N6210,'Retirement Calculator'!A:A,0),0),0)</f>
        <v>0</v>
      </c>
      <c r="K6210" s="455">
        <f t="shared" ca="1" si="203"/>
        <v>-253405946830244.38</v>
      </c>
      <c r="L6210" s="455">
        <f t="shared" ca="1" si="204"/>
        <v>-6.1070833186088896E+16</v>
      </c>
      <c r="M6210" s="471">
        <f t="shared" si="206"/>
        <v>0.05</v>
      </c>
      <c r="N6210" s="475">
        <f t="shared" si="207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05"/>
        <v>-6.1070833186088896E+16</v>
      </c>
      <c r="J6211" s="455">
        <f t="array" ref="J6211">IFERROR(INDEX('Retirement Calculator'!K:K,MATCH('Lorri 401b'!N6211,'Retirement Calculator'!A:A,0),0),0)</f>
        <v>0</v>
      </c>
      <c r="K6211" s="455">
        <f t="shared" ca="1" si="203"/>
        <v>-254461804942037.03</v>
      </c>
      <c r="L6211" s="455">
        <f t="shared" ca="1" si="204"/>
        <v>-6.1325294991030936E+16</v>
      </c>
      <c r="M6211" s="471">
        <f t="shared" si="206"/>
        <v>0.05</v>
      </c>
      <c r="N6211" s="475">
        <f t="shared" si="207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05"/>
        <v>-6.1325294991030936E+16</v>
      </c>
      <c r="J6212" s="455">
        <f t="array" ref="J6212">IFERROR(INDEX('Retirement Calculator'!K:K,MATCH('Lorri 401b'!N6212,'Retirement Calculator'!A:A,0),0),0)</f>
        <v>0</v>
      </c>
      <c r="K6212" s="455">
        <f t="shared" ca="1" si="203"/>
        <v>-255522062462628.88</v>
      </c>
      <c r="L6212" s="455">
        <f t="shared" ca="1" si="204"/>
        <v>-6.1580817053493568E+16</v>
      </c>
      <c r="M6212" s="471">
        <f t="shared" si="206"/>
        <v>0.05</v>
      </c>
      <c r="N6212" s="475">
        <f t="shared" si="207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05"/>
        <v>-6.1580817053493568E+16</v>
      </c>
      <c r="J6213" s="455">
        <f t="array" ref="J6213">IFERROR(INDEX('Retirement Calculator'!K:K,MATCH('Lorri 401b'!N6213,'Retirement Calculator'!A:A,0),0),0)</f>
        <v>0</v>
      </c>
      <c r="K6213" s="455">
        <f t="shared" ca="1" si="203"/>
        <v>-256586737722889.84</v>
      </c>
      <c r="L6213" s="455">
        <f t="shared" ca="1" si="204"/>
        <v>-6.1837403791216456E+16</v>
      </c>
      <c r="M6213" s="471">
        <f t="shared" si="206"/>
        <v>0.05</v>
      </c>
      <c r="N6213" s="475">
        <f t="shared" si="207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05"/>
        <v>-6.1837403791216456E+16</v>
      </c>
      <c r="J6214" s="455">
        <f t="array" ref="J6214">IFERROR(INDEX('Retirement Calculator'!K:K,MATCH('Lorri 401b'!N6214,'Retirement Calculator'!A:A,0),0),0)</f>
        <v>0</v>
      </c>
      <c r="K6214" s="455">
        <f t="shared" ca="1" si="203"/>
        <v>-257655849130068.56</v>
      </c>
      <c r="L6214" s="455">
        <f t="shared" ca="1" si="204"/>
        <v>-6.2095059640346528E+16</v>
      </c>
      <c r="M6214" s="471">
        <f t="shared" si="206"/>
        <v>0.05</v>
      </c>
      <c r="N6214" s="475">
        <f t="shared" si="207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05"/>
        <v>-6.2095059640346528E+16</v>
      </c>
      <c r="J6215" s="455">
        <f t="array" ref="J6215">IFERROR(INDEX('Retirement Calculator'!K:K,MATCH('Lorri 401b'!N6215,'Retirement Calculator'!A:A,0),0),0)</f>
        <v>0</v>
      </c>
      <c r="K6215" s="455">
        <f t="shared" ca="1" si="203"/>
        <v>-258729415168110.53</v>
      </c>
      <c r="L6215" s="455">
        <f t="shared" ca="1" si="204"/>
        <v>-6.235378905551464E+16</v>
      </c>
      <c r="M6215" s="471">
        <f t="shared" si="206"/>
        <v>0.05</v>
      </c>
      <c r="N6215" s="475">
        <f t="shared" si="207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05"/>
        <v>-6.235378905551464E+16</v>
      </c>
      <c r="J6216" s="455">
        <f t="array" ref="J6216">IFERROR(INDEX('Retirement Calculator'!K:K,MATCH('Lorri 401b'!N6216,'Retirement Calculator'!A:A,0),0),0)</f>
        <v>0</v>
      </c>
      <c r="K6216" s="455">
        <f t="shared" ca="1" si="203"/>
        <v>-259807454397977.63</v>
      </c>
      <c r="L6216" s="455">
        <f t="shared" ca="1" si="204"/>
        <v>-6.2613596509912616E+16</v>
      </c>
      <c r="M6216" s="471">
        <f t="shared" si="206"/>
        <v>0.05</v>
      </c>
      <c r="N6216" s="475">
        <f t="shared" si="207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05"/>
        <v>-6.2613596509912616E+16</v>
      </c>
      <c r="J6217" s="455">
        <f t="array" ref="J6217">IFERROR(INDEX('Retirement Calculator'!K:K,MATCH('Lorri 401b'!N6217,'Retirement Calculator'!A:A,0),0),0)</f>
        <v>0</v>
      </c>
      <c r="K6217" s="455">
        <f t="shared" ca="1" si="203"/>
        <v>-260889985457969.22</v>
      </c>
      <c r="L6217" s="455">
        <f t="shared" ca="1" si="204"/>
        <v>-6.2874486495370584E+16</v>
      </c>
      <c r="M6217" s="471">
        <f t="shared" si="206"/>
        <v>0.05</v>
      </c>
      <c r="N6217" s="475">
        <f t="shared" si="207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05"/>
        <v>-6.2874486495370584E+16</v>
      </c>
      <c r="J6218" s="455">
        <f t="array" ref="J6218">IFERROR(INDEX('Retirement Calculator'!K:K,MATCH('Lorri 401b'!N6218,'Retirement Calculator'!A:A,0),0),0)</f>
        <v>0</v>
      </c>
      <c r="K6218" s="455">
        <f t="shared" ca="1" si="203"/>
        <v>-261977027064044.09</v>
      </c>
      <c r="L6218" s="455">
        <f t="shared" ca="1" si="204"/>
        <v>-6.3136463522434632E+16</v>
      </c>
      <c r="M6218" s="471">
        <f t="shared" si="206"/>
        <v>0.05</v>
      </c>
      <c r="N6218" s="475">
        <f t="shared" si="207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05"/>
        <v>-6.3136463522434632E+16</v>
      </c>
      <c r="J6219" s="455">
        <f t="array" ref="J6219">IFERROR(INDEX('Retirement Calculator'!K:K,MATCH('Lorri 401b'!N6219,'Retirement Calculator'!A:A,0),0),0)</f>
        <v>0</v>
      </c>
      <c r="K6219" s="455">
        <f t="shared" ca="1" si="203"/>
        <v>-263068598010144.28</v>
      </c>
      <c r="L6219" s="455">
        <f t="shared" ca="1" si="204"/>
        <v>-6.3399532120444776E+16</v>
      </c>
      <c r="M6219" s="471">
        <f t="shared" si="206"/>
        <v>0.05</v>
      </c>
      <c r="N6219" s="475">
        <f t="shared" si="207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05"/>
        <v>-6.3399532120444776E+16</v>
      </c>
      <c r="J6220" s="455">
        <f t="array" ref="J6220">IFERROR(INDEX('Retirement Calculator'!K:K,MATCH('Lorri 401b'!N6220,'Retirement Calculator'!A:A,0),0),0)</f>
        <v>0</v>
      </c>
      <c r="K6220" s="455">
        <f t="shared" ca="1" si="203"/>
        <v>-264164717168519.88</v>
      </c>
      <c r="L6220" s="455">
        <f t="shared" ca="1" si="204"/>
        <v>-6.3663696837613296E+16</v>
      </c>
      <c r="M6220" s="471">
        <f t="shared" si="206"/>
        <v>0.05</v>
      </c>
      <c r="N6220" s="475">
        <f t="shared" si="207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05"/>
        <v>-6.3663696837613296E+16</v>
      </c>
      <c r="J6221" s="455">
        <f t="array" ref="J6221">IFERROR(INDEX('Retirement Calculator'!K:K,MATCH('Lorri 401b'!N6221,'Retirement Calculator'!A:A,0),0),0)</f>
        <v>0</v>
      </c>
      <c r="K6221" s="455">
        <f t="shared" ca="1" si="203"/>
        <v>-265265403490055.41</v>
      </c>
      <c r="L6221" s="455">
        <f t="shared" ca="1" si="204"/>
        <v>-6.3928962241103352E+16</v>
      </c>
      <c r="M6221" s="471">
        <f t="shared" si="206"/>
        <v>0.05</v>
      </c>
      <c r="N6221" s="475">
        <f t="shared" si="207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05"/>
        <v>-6.3928962241103352E+16</v>
      </c>
      <c r="J6222" s="455">
        <f t="array" ref="J6222">IFERROR(INDEX('Retirement Calculator'!K:K,MATCH('Lorri 401b'!N6222,'Retirement Calculator'!A:A,0),0),0)</f>
        <v>0</v>
      </c>
      <c r="K6222" s="455">
        <f t="shared" ca="1" si="203"/>
        <v>-266370676004597.25</v>
      </c>
      <c r="L6222" s="455">
        <f t="shared" ca="1" si="204"/>
        <v>-6.4195332917107952E+16</v>
      </c>
      <c r="M6222" s="471">
        <f t="shared" si="206"/>
        <v>0.05</v>
      </c>
      <c r="N6222" s="475">
        <f t="shared" si="207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05"/>
        <v>-6.4195332917107952E+16</v>
      </c>
      <c r="J6223" s="455">
        <f t="array" ref="J6223">IFERROR(INDEX('Retirement Calculator'!K:K,MATCH('Lorri 401b'!N6223,'Retirement Calculator'!A:A,0),0),0)</f>
        <v>0</v>
      </c>
      <c r="K6223" s="455">
        <f t="shared" ca="1" si="203"/>
        <v>-267480553821283.09</v>
      </c>
      <c r="L6223" s="455">
        <f t="shared" ca="1" si="204"/>
        <v>-6.4462813470929232E+16</v>
      </c>
      <c r="M6223" s="471">
        <f t="shared" si="206"/>
        <v>0.05</v>
      </c>
      <c r="N6223" s="475">
        <f t="shared" si="207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05"/>
        <v>-6.4462813470929232E+16</v>
      </c>
      <c r="J6224" s="455">
        <f t="array" ref="J6224">IFERROR(INDEX('Retirement Calculator'!K:K,MATCH('Lorri 401b'!N6224,'Retirement Calculator'!A:A,0),0),0)</f>
        <v>0</v>
      </c>
      <c r="K6224" s="455">
        <f t="shared" ca="1" si="203"/>
        <v>-268595056128871.78</v>
      </c>
      <c r="L6224" s="455">
        <f t="shared" ca="1" si="204"/>
        <v>-6.4731408527058104E+16</v>
      </c>
      <c r="M6224" s="471">
        <f t="shared" si="206"/>
        <v>0.05</v>
      </c>
      <c r="N6224" s="475">
        <f t="shared" si="207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05"/>
        <v>-6.4731408527058104E+16</v>
      </c>
      <c r="J6225" s="455">
        <f t="array" ref="J6225">IFERROR(INDEX('Retirement Calculator'!K:K,MATCH('Lorri 401b'!N6225,'Retirement Calculator'!A:A,0),0),0)</f>
        <v>0</v>
      </c>
      <c r="K6225" s="455">
        <f t="shared" ca="1" si="203"/>
        <v>-269714202196075.41</v>
      </c>
      <c r="L6225" s="455">
        <f t="shared" ca="1" si="204"/>
        <v>-6.5001122729254176E+16</v>
      </c>
      <c r="M6225" s="471">
        <f t="shared" si="206"/>
        <v>0.05</v>
      </c>
      <c r="N6225" s="475">
        <f t="shared" si="207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05"/>
        <v>-6.5001122729254176E+16</v>
      </c>
      <c r="J6226" s="455">
        <f t="array" ref="J6226">IFERROR(INDEX('Retirement Calculator'!K:K,MATCH('Lorri 401b'!N6226,'Retirement Calculator'!A:A,0),0),0)</f>
        <v>0</v>
      </c>
      <c r="K6226" s="455">
        <f t="shared" ca="1" si="203"/>
        <v>-270838011371892.41</v>
      </c>
      <c r="L6226" s="455">
        <f t="shared" ca="1" si="204"/>
        <v>-6.5271960740626072E+16</v>
      </c>
      <c r="M6226" s="471">
        <f t="shared" si="206"/>
        <v>0.05</v>
      </c>
      <c r="N6226" s="475">
        <f t="shared" si="207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05"/>
        <v>-6.5271960740626072E+16</v>
      </c>
      <c r="J6227" s="455">
        <f t="array" ref="J6227">IFERROR(INDEX('Retirement Calculator'!K:K,MATCH('Lorri 401b'!N6227,'Retirement Calculator'!A:A,0),0),0)</f>
        <v>0</v>
      </c>
      <c r="K6227" s="455">
        <f t="shared" ca="1" si="203"/>
        <v>-271966503085941.97</v>
      </c>
      <c r="L6227" s="455">
        <f t="shared" ca="1" si="204"/>
        <v>-6.5543927243712016E+16</v>
      </c>
      <c r="M6227" s="471">
        <f t="shared" si="206"/>
        <v>0.05</v>
      </c>
      <c r="N6227" s="475">
        <f t="shared" si="207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05"/>
        <v>-6.5543927243712016E+16</v>
      </c>
      <c r="J6228" s="455">
        <f t="array" ref="J6228">IFERROR(INDEX('Retirement Calculator'!K:K,MATCH('Lorri 401b'!N6228,'Retirement Calculator'!A:A,0),0),0)</f>
        <v>0</v>
      </c>
      <c r="K6228" s="455">
        <f t="shared" ca="1" si="203"/>
        <v>-273099696848800.06</v>
      </c>
      <c r="L6228" s="455">
        <f t="shared" ca="1" si="204"/>
        <v>-6.5817026940560816E+16</v>
      </c>
      <c r="M6228" s="471">
        <f t="shared" si="206"/>
        <v>0.05</v>
      </c>
      <c r="N6228" s="475">
        <f t="shared" si="207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05"/>
        <v>-6.5817026940560816E+16</v>
      </c>
      <c r="J6229" s="455">
        <f t="array" ref="J6229">IFERROR(INDEX('Retirement Calculator'!K:K,MATCH('Lorri 401b'!N6229,'Retirement Calculator'!A:A,0),0),0)</f>
        <v>0</v>
      </c>
      <c r="K6229" s="455">
        <f t="shared" ca="1" si="203"/>
        <v>-274237612252336.72</v>
      </c>
      <c r="L6229" s="455">
        <f t="shared" ca="1" si="204"/>
        <v>-6.6091264552813152E+16</v>
      </c>
      <c r="M6229" s="471">
        <f t="shared" si="206"/>
        <v>0.05</v>
      </c>
      <c r="N6229" s="475">
        <f t="shared" si="207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05"/>
        <v>-6.6091264552813152E+16</v>
      </c>
      <c r="J6230" s="455">
        <f t="array" ref="J6230">IFERROR(INDEX('Retirement Calculator'!K:K,MATCH('Lorri 401b'!N6230,'Retirement Calculator'!A:A,0),0),0)</f>
        <v>0</v>
      </c>
      <c r="K6230" s="455">
        <f t="shared" ca="1" si="203"/>
        <v>-275380268970054.78</v>
      </c>
      <c r="L6230" s="455">
        <f t="shared" ca="1" si="204"/>
        <v>-6.6366644821783208E+16</v>
      </c>
      <c r="M6230" s="471">
        <f t="shared" si="206"/>
        <v>0.05</v>
      </c>
      <c r="N6230" s="475">
        <f t="shared" si="207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05"/>
        <v>-6.6366644821783208E+16</v>
      </c>
      <c r="J6231" s="455">
        <f t="array" ref="J6231">IFERROR(INDEX('Retirement Calculator'!K:K,MATCH('Lorri 401b'!N6231,'Retirement Calculator'!A:A,0),0),0)</f>
        <v>0</v>
      </c>
      <c r="K6231" s="455">
        <f t="shared" ca="1" si="203"/>
        <v>-276527686757430.03</v>
      </c>
      <c r="L6231" s="455">
        <f t="shared" ca="1" si="204"/>
        <v>-6.664317250854064E+16</v>
      </c>
      <c r="M6231" s="471">
        <f t="shared" si="206"/>
        <v>0.05</v>
      </c>
      <c r="N6231" s="475">
        <f t="shared" si="207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05"/>
        <v>-6.664317250854064E+16</v>
      </c>
      <c r="J6232" s="455">
        <f t="array" ref="J6232">IFERROR(INDEX('Retirement Calculator'!K:K,MATCH('Lorri 401b'!N6232,'Retirement Calculator'!A:A,0),0),0)</f>
        <v>0</v>
      </c>
      <c r="K6232" s="455">
        <f t="shared" ca="1" si="203"/>
        <v>-277679885452252.66</v>
      </c>
      <c r="L6232" s="455">
        <f t="shared" ca="1" si="204"/>
        <v>-6.6920852393992896E+16</v>
      </c>
      <c r="M6232" s="471">
        <f t="shared" si="206"/>
        <v>0.05</v>
      </c>
      <c r="N6232" s="475">
        <f t="shared" si="207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05"/>
        <v>-6.6920852393992896E+16</v>
      </c>
      <c r="J6233" s="455">
        <f t="array" ref="J6233">IFERROR(INDEX('Retirement Calculator'!K:K,MATCH('Lorri 401b'!N6233,'Retirement Calculator'!A:A,0),0),0)</f>
        <v>0</v>
      </c>
      <c r="K6233" s="455">
        <f t="shared" ca="1" si="203"/>
        <v>-278836884974970.44</v>
      </c>
      <c r="L6233" s="455">
        <f t="shared" ca="1" si="204"/>
        <v>-6.7199689278967864E+16</v>
      </c>
      <c r="M6233" s="471">
        <f t="shared" si="206"/>
        <v>0.05</v>
      </c>
      <c r="N6233" s="475">
        <f t="shared" si="207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05"/>
        <v>-6.7199689278967864E+16</v>
      </c>
      <c r="J6234" s="455">
        <f t="array" ref="J6234">IFERROR(INDEX('Retirement Calculator'!K:K,MATCH('Lorri 401b'!N6234,'Retirement Calculator'!A:A,0),0),0)</f>
        <v>0</v>
      </c>
      <c r="K6234" s="455">
        <f t="shared" ca="1" si="203"/>
        <v>-279998705329032.75</v>
      </c>
      <c r="L6234" s="455">
        <f t="shared" ca="1" si="204"/>
        <v>-6.7479687984296896E+16</v>
      </c>
      <c r="M6234" s="471">
        <f t="shared" si="206"/>
        <v>0.05</v>
      </c>
      <c r="N6234" s="475">
        <f t="shared" si="207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05"/>
        <v>-6.7479687984296896E+16</v>
      </c>
      <c r="J6235" s="455">
        <f t="array" ref="J6235">IFERROR(INDEX('Retirement Calculator'!K:K,MATCH('Lorri 401b'!N6235,'Retirement Calculator'!A:A,0),0),0)</f>
        <v>0</v>
      </c>
      <c r="K6235" s="455">
        <f t="shared" ca="1" si="203"/>
        <v>-281165366601237.03</v>
      </c>
      <c r="L6235" s="455">
        <f t="shared" ca="1" si="204"/>
        <v>-6.7760853350898136E+16</v>
      </c>
      <c r="M6235" s="471">
        <f t="shared" si="206"/>
        <v>0.05</v>
      </c>
      <c r="N6235" s="475">
        <f t="shared" si="207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05"/>
        <v>-6.7760853350898136E+16</v>
      </c>
      <c r="J6236" s="455">
        <f t="array" ref="J6236">IFERROR(INDEX('Retirement Calculator'!K:K,MATCH('Lorri 401b'!N6236,'Retirement Calculator'!A:A,0),0),0)</f>
        <v>0</v>
      </c>
      <c r="K6236" s="455">
        <f t="shared" ca="1" si="203"/>
        <v>-282336888962075.56</v>
      </c>
      <c r="L6236" s="455">
        <f t="shared" ca="1" si="204"/>
        <v>-6.8043190239860208E+16</v>
      </c>
      <c r="M6236" s="471">
        <f t="shared" si="206"/>
        <v>0.05</v>
      </c>
      <c r="N6236" s="475">
        <f t="shared" si="207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05"/>
        <v>-6.8043190239860208E+16</v>
      </c>
      <c r="J6237" s="455">
        <f t="array" ref="J6237">IFERROR(INDEX('Retirement Calculator'!K:K,MATCH('Lorri 401b'!N6237,'Retirement Calculator'!A:A,0),0),0)</f>
        <v>0</v>
      </c>
      <c r="K6237" s="455">
        <f t="shared" ca="1" si="203"/>
        <v>-283513292666084.19</v>
      </c>
      <c r="L6237" s="455">
        <f t="shared" ca="1" si="204"/>
        <v>-6.8326703532526296E+16</v>
      </c>
      <c r="M6237" s="471">
        <f t="shared" si="206"/>
        <v>0.05</v>
      </c>
      <c r="N6237" s="475">
        <f t="shared" si="207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05"/>
        <v>-6.8326703532526296E+16</v>
      </c>
      <c r="J6238" s="455">
        <f t="array" ref="J6238">IFERROR(INDEX('Retirement Calculator'!K:K,MATCH('Lorri 401b'!N6238,'Retirement Calculator'!A:A,0),0),0)</f>
        <v>0</v>
      </c>
      <c r="K6238" s="455">
        <f t="shared" ca="1" si="203"/>
        <v>-284694598052192.88</v>
      </c>
      <c r="L6238" s="455">
        <f t="shared" ca="1" si="204"/>
        <v>-6.8611398130578488E+16</v>
      </c>
      <c r="M6238" s="471">
        <f t="shared" si="206"/>
        <v>0.05</v>
      </c>
      <c r="N6238" s="475">
        <f t="shared" si="207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05"/>
        <v>-6.8611398130578488E+16</v>
      </c>
      <c r="J6239" s="455">
        <f t="array" ref="J6239">IFERROR(INDEX('Retirement Calculator'!K:K,MATCH('Lorri 401b'!N6239,'Retirement Calculator'!A:A,0),0),0)</f>
        <v>0</v>
      </c>
      <c r="K6239" s="455">
        <f t="shared" ca="1" si="203"/>
        <v>-285880825544077</v>
      </c>
      <c r="L6239" s="455">
        <f t="shared" ca="1" si="204"/>
        <v>-6.8897278956122568E+16</v>
      </c>
      <c r="M6239" s="471">
        <f t="shared" si="206"/>
        <v>0.05</v>
      </c>
      <c r="N6239" s="475">
        <f t="shared" si="207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05"/>
        <v>-6.8897278956122568E+16</v>
      </c>
      <c r="J6240" s="455">
        <f t="array" ref="J6240">IFERROR(INDEX('Retirement Calculator'!K:K,MATCH('Lorri 401b'!N6240,'Retirement Calculator'!A:A,0),0),0)</f>
        <v>0</v>
      </c>
      <c r="K6240" s="455">
        <f t="shared" ca="1" si="203"/>
        <v>-287071995650510.69</v>
      </c>
      <c r="L6240" s="455">
        <f t="shared" ca="1" si="204"/>
        <v>-6.918435095177308E+16</v>
      </c>
      <c r="M6240" s="471">
        <f t="shared" si="206"/>
        <v>0.05</v>
      </c>
      <c r="N6240" s="475">
        <f t="shared" si="207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05"/>
        <v>-6.918435095177308E+16</v>
      </c>
      <c r="J6241" s="455">
        <f t="array" ref="J6241">IFERROR(INDEX('Retirement Calculator'!K:K,MATCH('Lorri 401b'!N6241,'Retirement Calculator'!A:A,0),0),0)</f>
        <v>0</v>
      </c>
      <c r="K6241" s="455">
        <f t="shared" ca="1" si="203"/>
        <v>-288268128965721.13</v>
      </c>
      <c r="L6241" s="455">
        <f t="shared" ca="1" si="204"/>
        <v>-6.94726190807388E+16</v>
      </c>
      <c r="M6241" s="471">
        <f t="shared" si="206"/>
        <v>0.05</v>
      </c>
      <c r="N6241" s="475">
        <f t="shared" si="207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05"/>
        <v>-6.94726190807388E+16</v>
      </c>
      <c r="J6242" s="455">
        <f t="array" ref="J6242">IFERROR(INDEX('Retirement Calculator'!K:K,MATCH('Lorri 401b'!N6242,'Retirement Calculator'!A:A,0),0),0)</f>
        <v>0</v>
      </c>
      <c r="K6242" s="455">
        <f t="shared" ca="1" si="203"/>
        <v>-289469246169745</v>
      </c>
      <c r="L6242" s="455">
        <f t="shared" ca="1" si="204"/>
        <v>-6.9762088326908544E+16</v>
      </c>
      <c r="M6242" s="471">
        <f t="shared" si="206"/>
        <v>0.05</v>
      </c>
      <c r="N6242" s="475">
        <f t="shared" si="207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05"/>
        <v>-6.9762088326908544E+16</v>
      </c>
      <c r="J6243" s="455">
        <f t="array" ref="J6243">IFERROR(INDEX('Retirement Calculator'!K:K,MATCH('Lorri 401b'!N6243,'Retirement Calculator'!A:A,0),0),0)</f>
        <v>0</v>
      </c>
      <c r="K6243" s="455">
        <f t="shared" ca="1" si="203"/>
        <v>-290675368028785.63</v>
      </c>
      <c r="L6243" s="455">
        <f t="shared" ca="1" si="204"/>
        <v>-7.0052763694937328E+16</v>
      </c>
      <c r="M6243" s="471">
        <f t="shared" si="206"/>
        <v>0.05</v>
      </c>
      <c r="N6243" s="475">
        <f t="shared" si="207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05"/>
        <v>-7.0052763694937328E+16</v>
      </c>
      <c r="J6244" s="455">
        <f t="array" ref="J6244">IFERROR(INDEX('Retirement Calculator'!K:K,MATCH('Lorri 401b'!N6244,'Retirement Calculator'!A:A,0),0),0)</f>
        <v>0</v>
      </c>
      <c r="K6244" s="455">
        <f t="shared" ca="1" si="203"/>
        <v>-291886515395572.19</v>
      </c>
      <c r="L6244" s="455">
        <f t="shared" ca="1" si="204"/>
        <v>-7.0344650210332904E+16</v>
      </c>
      <c r="M6244" s="471">
        <f t="shared" si="206"/>
        <v>0.05</v>
      </c>
      <c r="N6244" s="475">
        <f t="shared" si="207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05"/>
        <v>-7.0344650210332904E+16</v>
      </c>
      <c r="J6245" s="455">
        <f t="array" ref="J6245">IFERROR(INDEX('Retirement Calculator'!K:K,MATCH('Lorri 401b'!N6245,'Retirement Calculator'!A:A,0),0),0)</f>
        <v>0</v>
      </c>
      <c r="K6245" s="455">
        <f t="shared" ca="1" si="203"/>
        <v>-293102709209720.44</v>
      </c>
      <c r="L6245" s="455">
        <f t="shared" ca="1" si="204"/>
        <v>-7.0637752919542624E+16</v>
      </c>
      <c r="M6245" s="471">
        <f t="shared" si="206"/>
        <v>0.05</v>
      </c>
      <c r="N6245" s="475">
        <f t="shared" si="207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05"/>
        <v>-7.0637752919542624E+16</v>
      </c>
      <c r="J6246" s="455">
        <f t="array" ref="J6246">IFERROR(INDEX('Retirement Calculator'!K:K,MATCH('Lorri 401b'!N6246,'Retirement Calculator'!A:A,0),0),0)</f>
        <v>0</v>
      </c>
      <c r="K6246" s="455">
        <f t="shared" ca="1" si="203"/>
        <v>-294323970498094.25</v>
      </c>
      <c r="L6246" s="455">
        <f t="shared" ca="1" si="204"/>
        <v>-7.093207689004072E+16</v>
      </c>
      <c r="M6246" s="471">
        <f t="shared" si="206"/>
        <v>0.05</v>
      </c>
      <c r="N6246" s="475">
        <f t="shared" si="207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05"/>
        <v>-7.093207689004072E+16</v>
      </c>
      <c r="J6247" s="455">
        <f t="array" ref="J6247">IFERROR(INDEX('Retirement Calculator'!K:K,MATCH('Lorri 401b'!N6247,'Retirement Calculator'!A:A,0),0),0)</f>
        <v>0</v>
      </c>
      <c r="K6247" s="455">
        <f t="shared" ca="1" si="203"/>
        <v>-295550320375169.69</v>
      </c>
      <c r="L6247" s="455">
        <f t="shared" ca="1" si="204"/>
        <v>-7.1227627210415888E+16</v>
      </c>
      <c r="M6247" s="471">
        <f t="shared" si="206"/>
        <v>0.05</v>
      </c>
      <c r="N6247" s="475">
        <f t="shared" si="207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05"/>
        <v>-7.1227627210415888E+16</v>
      </c>
      <c r="J6248" s="455">
        <f t="array" ref="J6248">IFERROR(INDEX('Retirement Calculator'!K:K,MATCH('Lorri 401b'!N6248,'Retirement Calculator'!A:A,0),0),0)</f>
        <v>0</v>
      </c>
      <c r="K6248" s="455">
        <f t="shared" ca="1" si="203"/>
        <v>-296781780043399.5</v>
      </c>
      <c r="L6248" s="455">
        <f t="shared" ca="1" si="204"/>
        <v>-7.1524408990459288E+16</v>
      </c>
      <c r="M6248" s="471">
        <f t="shared" si="206"/>
        <v>0.05</v>
      </c>
      <c r="N6248" s="475">
        <f t="shared" si="207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05"/>
        <v>-7.1524408990459288E+16</v>
      </c>
      <c r="J6249" s="455">
        <f t="array" ref="J6249">IFERROR(INDEX('Retirement Calculator'!K:K,MATCH('Lorri 401b'!N6249,'Retirement Calculator'!A:A,0),0),0)</f>
        <v>0</v>
      </c>
      <c r="K6249" s="455">
        <f t="shared" ca="1" si="203"/>
        <v>-298018370793580.38</v>
      </c>
      <c r="L6249" s="455">
        <f t="shared" ca="1" si="204"/>
        <v>-7.1822427361252872E+16</v>
      </c>
      <c r="M6249" s="471">
        <f t="shared" si="206"/>
        <v>0.05</v>
      </c>
      <c r="N6249" s="475">
        <f t="shared" si="207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05"/>
        <v>-7.1822427361252872E+16</v>
      </c>
      <c r="J6250" s="455">
        <f t="array" ref="J6250">IFERROR(INDEX('Retirement Calculator'!K:K,MATCH('Lorri 401b'!N6250,'Retirement Calculator'!A:A,0),0),0)</f>
        <v>0</v>
      </c>
      <c r="K6250" s="455">
        <f t="shared" ca="1" si="203"/>
        <v>-299260114005220.31</v>
      </c>
      <c r="L6250" s="455">
        <f t="shared" ca="1" si="204"/>
        <v>-7.2121687475258096E+16</v>
      </c>
      <c r="M6250" s="471">
        <f t="shared" si="206"/>
        <v>0.05</v>
      </c>
      <c r="N6250" s="475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/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76"/>
      <c r="B1" s="476"/>
      <c r="C1" s="477" t="s">
        <v>668</v>
      </c>
      <c r="D1" s="477">
        <v>3063</v>
      </c>
      <c r="E1" s="306"/>
      <c r="F1" s="306"/>
      <c r="G1" s="306"/>
      <c r="H1" s="306"/>
      <c r="I1" s="306"/>
      <c r="J1" s="306"/>
      <c r="K1" s="306"/>
      <c r="L1" s="306"/>
      <c r="M1" s="306" t="s">
        <v>669</v>
      </c>
    </row>
    <row r="2" spans="1:13" ht="11.25" customHeight="1" x14ac:dyDescent="0.3">
      <c r="A2" s="476"/>
      <c r="B2" s="476"/>
      <c r="C2" s="477" t="s">
        <v>670</v>
      </c>
      <c r="D2" s="477">
        <v>24</v>
      </c>
      <c r="E2" s="306"/>
      <c r="F2" s="306"/>
      <c r="G2" s="306"/>
      <c r="H2" s="306"/>
      <c r="I2" s="306"/>
      <c r="J2" s="306"/>
      <c r="K2" s="306"/>
      <c r="L2" s="306"/>
      <c r="M2" s="416">
        <v>45442</v>
      </c>
    </row>
    <row r="3" spans="1:13" ht="11.25" customHeight="1" x14ac:dyDescent="0.3">
      <c r="A3" s="476"/>
      <c r="B3" s="476"/>
      <c r="C3" s="477" t="s">
        <v>671</v>
      </c>
      <c r="D3" s="412">
        <f>D1/D2</f>
        <v>127.625</v>
      </c>
      <c r="E3" s="306"/>
      <c r="F3" s="306"/>
      <c r="G3" s="306"/>
      <c r="H3" s="306"/>
      <c r="I3" s="306"/>
      <c r="J3" s="306"/>
      <c r="K3" s="306"/>
      <c r="L3" s="306"/>
      <c r="M3" s="416"/>
    </row>
    <row r="4" spans="1:13" ht="11.25" customHeight="1" x14ac:dyDescent="0.3">
      <c r="A4" s="476"/>
      <c r="B4" s="476"/>
      <c r="C4" s="477"/>
      <c r="D4" s="306"/>
      <c r="E4" s="306"/>
      <c r="F4" s="306"/>
      <c r="G4" s="306"/>
      <c r="H4" s="306"/>
      <c r="I4" s="306"/>
      <c r="J4" s="306"/>
      <c r="K4" s="306"/>
      <c r="L4" s="306"/>
      <c r="M4" s="306"/>
    </row>
    <row r="5" spans="1:13" ht="11.25" customHeight="1" x14ac:dyDescent="0.3">
      <c r="A5" s="476" t="s">
        <v>647</v>
      </c>
      <c r="B5" s="476" t="s">
        <v>661</v>
      </c>
      <c r="C5" s="477" t="s">
        <v>672</v>
      </c>
      <c r="D5" s="577" t="s">
        <v>673</v>
      </c>
      <c r="E5" s="562"/>
      <c r="F5" s="577" t="s">
        <v>674</v>
      </c>
      <c r="G5" s="562"/>
      <c r="H5" s="577" t="s">
        <v>675</v>
      </c>
      <c r="I5" s="562"/>
      <c r="J5" s="577" t="s">
        <v>676</v>
      </c>
      <c r="K5" s="562"/>
      <c r="L5" s="306"/>
      <c r="M5" s="306"/>
    </row>
    <row r="6" spans="1:13" ht="11.25" customHeight="1" x14ac:dyDescent="0.3">
      <c r="A6" s="476"/>
      <c r="B6" s="476"/>
      <c r="C6" s="477"/>
      <c r="D6" s="199" t="s">
        <v>677</v>
      </c>
      <c r="E6" s="199" t="s">
        <v>162</v>
      </c>
      <c r="F6" s="199" t="s">
        <v>677</v>
      </c>
      <c r="G6" s="199" t="s">
        <v>162</v>
      </c>
      <c r="H6" s="199" t="s">
        <v>677</v>
      </c>
      <c r="I6" s="199" t="s">
        <v>162</v>
      </c>
      <c r="J6" s="199" t="s">
        <v>677</v>
      </c>
      <c r="K6" s="199" t="s">
        <v>162</v>
      </c>
      <c r="L6" s="306"/>
      <c r="M6" s="306"/>
    </row>
    <row r="7" spans="1:13" ht="11.25" customHeight="1" x14ac:dyDescent="0.3">
      <c r="A7" s="476">
        <v>42</v>
      </c>
      <c r="B7" s="476">
        <v>2023</v>
      </c>
      <c r="C7" s="477">
        <v>24</v>
      </c>
      <c r="D7" s="478">
        <v>7111.8</v>
      </c>
      <c r="E7" s="479">
        <f>((((D1/D2)*C7)/360)*0.025)*D7</f>
        <v>1512.7391250000001</v>
      </c>
      <c r="F7" s="478">
        <v>8186.1</v>
      </c>
      <c r="G7" s="479">
        <f>((((D1/D2)*C7)/360)*0.025)*F7</f>
        <v>1741.2516875000001</v>
      </c>
      <c r="H7" s="478">
        <v>9248.7000000000007</v>
      </c>
      <c r="I7" s="479">
        <f>((((D1/D2)*C7)/360)*0.025)*H7</f>
        <v>1967.2755625000002</v>
      </c>
      <c r="J7" s="480">
        <v>10205.700000000001</v>
      </c>
      <c r="K7" s="481">
        <f>((((D1/D2)*C7)/360)*0.025)*J7</f>
        <v>2170.8374375000003</v>
      </c>
      <c r="L7" s="306"/>
      <c r="M7" s="306"/>
    </row>
    <row r="8" spans="1:13" ht="11.25" customHeight="1" x14ac:dyDescent="0.3">
      <c r="A8" s="476">
        <v>43</v>
      </c>
      <c r="B8" s="476">
        <v>2024</v>
      </c>
      <c r="C8" s="477">
        <v>25</v>
      </c>
      <c r="D8" s="478">
        <v>7111.8</v>
      </c>
      <c r="E8" s="479">
        <f>((((D1/D2)*C8)/360)*0.025)*D8</f>
        <v>1575.7699218749999</v>
      </c>
      <c r="F8" s="478">
        <v>8186.1</v>
      </c>
      <c r="G8" s="479">
        <f>((((D1/D2)*C8)/360)*0.025)*F8</f>
        <v>1813.8038411458333</v>
      </c>
      <c r="H8" s="478">
        <v>9248.7000000000007</v>
      </c>
      <c r="I8" s="479">
        <f>((((D1/D2)*C8)/360)*0.025)*H8</f>
        <v>2049.2453776041666</v>
      </c>
      <c r="J8" s="480">
        <v>10205.700000000001</v>
      </c>
      <c r="K8" s="481">
        <f>((((D1/D2)*C8)/360)*0.025)*J8</f>
        <v>2261.2889973958336</v>
      </c>
      <c r="L8" s="306"/>
      <c r="M8" s="306"/>
    </row>
    <row r="9" spans="1:13" ht="11.25" customHeight="1" x14ac:dyDescent="0.3">
      <c r="A9" s="476">
        <v>44</v>
      </c>
      <c r="B9" s="476">
        <v>2025</v>
      </c>
      <c r="C9" s="477">
        <v>26</v>
      </c>
      <c r="D9" s="478">
        <v>7111.8</v>
      </c>
      <c r="E9" s="479">
        <f>((((D1/D2)*C9)/360)*0.025)*D9</f>
        <v>1638.8007187500002</v>
      </c>
      <c r="F9" s="478">
        <v>8447.1</v>
      </c>
      <c r="G9" s="479">
        <f>((((D1/D2)*C9)/360)*0.025)*F9</f>
        <v>1946.4992760416669</v>
      </c>
      <c r="H9" s="478">
        <v>9629.7000000000007</v>
      </c>
      <c r="I9" s="479">
        <f>((((D1/D2)*C9)/360)*0.025)*H9</f>
        <v>2219.0105572916668</v>
      </c>
      <c r="J9" s="480">
        <v>10597.2</v>
      </c>
      <c r="K9" s="481">
        <f>((((D1/D2)*C9)/360)*0.025)*J9</f>
        <v>2441.9554791666669</v>
      </c>
      <c r="L9" s="306"/>
      <c r="M9" s="306"/>
    </row>
    <row r="10" spans="1:13" ht="11.25" customHeight="1" x14ac:dyDescent="0.3">
      <c r="A10" s="476">
        <v>45</v>
      </c>
      <c r="B10" s="476">
        <v>2026</v>
      </c>
      <c r="C10" s="477">
        <v>27</v>
      </c>
      <c r="D10" s="478">
        <v>7111.8</v>
      </c>
      <c r="E10" s="479">
        <f>((((D1/D2)*C10)/360)*0.025)*D10</f>
        <v>1701.8315156250003</v>
      </c>
      <c r="F10" s="478">
        <v>8447.1</v>
      </c>
      <c r="G10" s="479">
        <f>((((D1/D2)*C10)/360)*0.025)*F10</f>
        <v>2021.3646328125003</v>
      </c>
      <c r="H10" s="478">
        <v>9629.7000000000007</v>
      </c>
      <c r="I10" s="479">
        <f>((((D1/D2)*C10)/360)*0.025)*H10</f>
        <v>2304.3571171875005</v>
      </c>
      <c r="J10" s="480">
        <v>10597.2</v>
      </c>
      <c r="K10" s="481">
        <f>((((D1/D2)*C10)/360)*0.025)*J10</f>
        <v>2535.8768437500003</v>
      </c>
      <c r="L10" s="306"/>
      <c r="M10" s="306"/>
    </row>
    <row r="11" spans="1:13" ht="11.25" customHeight="1" x14ac:dyDescent="0.3">
      <c r="A11" s="476">
        <v>46</v>
      </c>
      <c r="B11" s="476">
        <v>2027</v>
      </c>
      <c r="C11" s="477">
        <v>28</v>
      </c>
      <c r="D11" s="478">
        <v>7111.8</v>
      </c>
      <c r="E11" s="479">
        <f>((((D1/D2)*C11)/360)*0.025)*D11</f>
        <v>1764.8623125000001</v>
      </c>
      <c r="F11" s="478">
        <v>8447.1</v>
      </c>
      <c r="G11" s="479">
        <f>((((D1/D2)*C11)/360)*0.025)*F11</f>
        <v>2096.2299895833335</v>
      </c>
      <c r="H11" s="478">
        <v>9629.7000000000007</v>
      </c>
      <c r="I11" s="479">
        <f>((((D1/D2)*C11)/360)*0.025)*H11</f>
        <v>2389.7036770833338</v>
      </c>
      <c r="J11" s="480">
        <v>10597.2</v>
      </c>
      <c r="K11" s="481">
        <f>((((D1/D2)*C11)/360)*0.025)*J11</f>
        <v>2629.7982083333336</v>
      </c>
      <c r="L11" s="306"/>
      <c r="M11" s="306"/>
    </row>
    <row r="12" spans="1:13" ht="11.25" customHeight="1" x14ac:dyDescent="0.3">
      <c r="A12" s="476">
        <v>47</v>
      </c>
      <c r="B12" s="476">
        <v>2028</v>
      </c>
      <c r="C12" s="477">
        <v>29</v>
      </c>
      <c r="D12" s="478">
        <v>7111.8</v>
      </c>
      <c r="E12" s="479">
        <f>((((D1/D2)*C12)/360)*0.025)*D12</f>
        <v>1827.8931093750002</v>
      </c>
      <c r="F12" s="478">
        <v>8447.1</v>
      </c>
      <c r="G12" s="479">
        <f>((((D1/D2)*C12)/360)*0.025)*F12</f>
        <v>2171.0953463541668</v>
      </c>
      <c r="H12" s="478">
        <v>9629.7000000000007</v>
      </c>
      <c r="I12" s="479">
        <f>((((D1/D2)*C12)/360)*0.025)*H12</f>
        <v>2475.050236979167</v>
      </c>
      <c r="J12" s="480">
        <v>10597.2</v>
      </c>
      <c r="K12" s="481">
        <f>((((D1/D2)*C12)/360)*0.025)*J12</f>
        <v>2723.7195729166669</v>
      </c>
      <c r="L12" s="306"/>
      <c r="M12" s="306"/>
    </row>
    <row r="13" spans="1:13" ht="11.25" customHeight="1" x14ac:dyDescent="0.3">
      <c r="A13" s="476">
        <v>48</v>
      </c>
      <c r="B13" s="476">
        <v>2029</v>
      </c>
      <c r="C13" s="477">
        <v>30</v>
      </c>
      <c r="D13" s="478">
        <v>7111.8</v>
      </c>
      <c r="E13" s="479">
        <f>((((D1/D2)*C13)/360)*0.025)*D13</f>
        <v>1890.9239062499998</v>
      </c>
      <c r="F13" s="478">
        <v>8447.1</v>
      </c>
      <c r="G13" s="479">
        <f>((((D1/D2)*C13)/360)*0.025)*F13</f>
        <v>2245.9607031249998</v>
      </c>
      <c r="H13" s="478">
        <v>9821.7000000000007</v>
      </c>
      <c r="I13" s="479">
        <f>((((D1/D2)*C13)/360)*0.025)*H13</f>
        <v>2611.446796875</v>
      </c>
      <c r="J13" s="480">
        <v>11128.2</v>
      </c>
      <c r="K13" s="481">
        <f>((((D1/D2)*C13)/360)*0.025)*J13</f>
        <v>2958.8260937499999</v>
      </c>
      <c r="L13" s="306"/>
      <c r="M13" s="306"/>
    </row>
    <row r="14" spans="1:13" ht="11.25" customHeight="1" x14ac:dyDescent="0.3">
      <c r="A14" s="476">
        <v>49</v>
      </c>
      <c r="B14" s="476">
        <v>2030</v>
      </c>
      <c r="C14" s="477">
        <v>31</v>
      </c>
      <c r="D14" s="478">
        <v>7111.8</v>
      </c>
      <c r="E14" s="479">
        <f>((((D1/D2)*C14)/360)*0.025)*D14</f>
        <v>1953.9547031250002</v>
      </c>
      <c r="F14" s="478">
        <v>8447.1</v>
      </c>
      <c r="G14" s="479">
        <f>((((D1/D2)*C14)/360)*0.025)*F14</f>
        <v>2320.8260598958336</v>
      </c>
      <c r="H14" s="478">
        <v>9821.7000000000007</v>
      </c>
      <c r="I14" s="479">
        <f>((((D1/D2)*C14)/360)*0.025)*H14</f>
        <v>2698.4950234375001</v>
      </c>
      <c r="J14" s="480">
        <v>11128.2</v>
      </c>
      <c r="K14" s="481">
        <f>((((D1/D2)*C14)/360)*0.025)*J14</f>
        <v>3057.4536302083338</v>
      </c>
      <c r="L14" s="306"/>
      <c r="M14" s="306"/>
    </row>
    <row r="15" spans="1:13" ht="11.25" customHeight="1" x14ac:dyDescent="0.3">
      <c r="A15" s="476">
        <v>50</v>
      </c>
      <c r="B15" s="476">
        <v>2031</v>
      </c>
      <c r="C15" s="477">
        <v>32</v>
      </c>
      <c r="D15" s="478">
        <v>7111.8</v>
      </c>
      <c r="E15" s="479">
        <f>((((D1/D2)*C15)/360)*0.025)*D15</f>
        <v>2016.9855000000002</v>
      </c>
      <c r="F15" s="478">
        <v>8447.1</v>
      </c>
      <c r="G15" s="479">
        <f>((((D1/D2)*C15)/360)*0.025)*F15</f>
        <v>2395.691416666667</v>
      </c>
      <c r="H15" s="478">
        <v>9821.7000000000007</v>
      </c>
      <c r="I15" s="479">
        <f>((((D1/D2)*C15)/360)*0.025)*H15</f>
        <v>2785.5432500000006</v>
      </c>
      <c r="J15" s="480">
        <v>11128.2</v>
      </c>
      <c r="K15" s="481">
        <f>((((D1/D2)*C15)/360)*0.025)*J15</f>
        <v>3156.0811666666673</v>
      </c>
      <c r="L15" s="306"/>
      <c r="M15" s="306"/>
    </row>
    <row r="16" spans="1:13" ht="11.25" customHeight="1" x14ac:dyDescent="0.3">
      <c r="A16" s="476">
        <v>51</v>
      </c>
      <c r="B16" s="476">
        <v>2032</v>
      </c>
      <c r="C16" s="477">
        <v>33</v>
      </c>
      <c r="D16" s="478">
        <v>7111.8</v>
      </c>
      <c r="E16" s="479">
        <f>((((D1/D2)*C16)/360)*0.025)*D16</f>
        <v>2080.0162968750001</v>
      </c>
      <c r="F16" s="478">
        <v>8447.1</v>
      </c>
      <c r="G16" s="479">
        <f>((((D1/D2)*C16)/360)*0.025)*F16</f>
        <v>2470.5567734374999</v>
      </c>
      <c r="H16" s="478">
        <v>9821.7000000000007</v>
      </c>
      <c r="I16" s="479">
        <f>((((D1/D2)*C16)/360)*0.025)*H16</f>
        <v>2872.5914765625002</v>
      </c>
      <c r="J16" s="480">
        <v>11128.2</v>
      </c>
      <c r="K16" s="481">
        <f>((((D1/D2)*C16)/360)*0.025)*J16</f>
        <v>3254.7087031250003</v>
      </c>
      <c r="L16" s="306"/>
      <c r="M16" s="306"/>
    </row>
    <row r="17" spans="1:11" ht="11.25" customHeight="1" x14ac:dyDescent="0.3">
      <c r="A17" s="476">
        <v>52</v>
      </c>
      <c r="B17" s="476">
        <v>2033</v>
      </c>
      <c r="C17" s="477">
        <v>34</v>
      </c>
      <c r="D17" s="478">
        <v>7111.8</v>
      </c>
      <c r="E17" s="479">
        <f>((((D1/D2)*C17)/360)*0.025)*D17</f>
        <v>2143.0470937500004</v>
      </c>
      <c r="F17" s="478">
        <v>8447.1</v>
      </c>
      <c r="G17" s="479">
        <f>((((D1/D2)*C17)/360)*0.025)*F17</f>
        <v>2545.4221302083338</v>
      </c>
      <c r="H17" s="478">
        <v>9821.7000000000007</v>
      </c>
      <c r="I17" s="479">
        <f>((((D1/D2)*C17)/360)*0.025)*H17</f>
        <v>2959.6397031250003</v>
      </c>
      <c r="J17" s="480">
        <v>11683.5</v>
      </c>
      <c r="K17" s="481">
        <f>((((D1/D2)*C17)/360)*0.025)*J17</f>
        <v>3520.6685677083337</v>
      </c>
    </row>
    <row r="18" spans="1:11" ht="11.25" customHeight="1" x14ac:dyDescent="0.3">
      <c r="A18" s="476">
        <v>53</v>
      </c>
      <c r="B18" s="476">
        <v>2034</v>
      </c>
      <c r="C18" s="477">
        <v>35</v>
      </c>
      <c r="D18" s="478">
        <v>7111.8</v>
      </c>
      <c r="E18" s="479">
        <f>((((D1/D2)*C18)/360)*0.025)*D18</f>
        <v>2206.0778906250002</v>
      </c>
      <c r="F18" s="478">
        <v>8447.1</v>
      </c>
      <c r="G18" s="479">
        <f>((((D1/D2)*C18)/360)*0.025)*F18</f>
        <v>2620.2874869791667</v>
      </c>
      <c r="H18" s="478">
        <v>9821.7000000000007</v>
      </c>
      <c r="I18" s="479">
        <f>((((D1/D2)*C18)/360)*0.025)*H18</f>
        <v>3046.6879296875004</v>
      </c>
      <c r="J18" s="480">
        <v>11683.5</v>
      </c>
      <c r="K18" s="481">
        <f>((((D1/D2)*C18)/360)*0.025)*J18</f>
        <v>3624.2176432291667</v>
      </c>
    </row>
    <row r="19" spans="1:11" ht="11.25" customHeight="1" x14ac:dyDescent="0.3">
      <c r="A19" s="476">
        <v>54</v>
      </c>
      <c r="B19" s="476">
        <v>2035</v>
      </c>
      <c r="C19" s="477">
        <v>36</v>
      </c>
      <c r="D19" s="478">
        <v>7111.8</v>
      </c>
      <c r="E19" s="479">
        <f>((((D1/D2)*C19)/360)*0.025)*D19</f>
        <v>2269.1086875000001</v>
      </c>
      <c r="F19" s="478">
        <v>8447.1</v>
      </c>
      <c r="G19" s="479">
        <f>((((D1/D2)*C19)/360)*0.025)*F19</f>
        <v>2695.1528437500006</v>
      </c>
      <c r="H19" s="478">
        <v>9821.7000000000007</v>
      </c>
      <c r="I19" s="479">
        <f>((((D1/D2)*C19)/360)*0.025)*H19</f>
        <v>3133.7361562500005</v>
      </c>
      <c r="J19" s="480">
        <v>11683.5</v>
      </c>
      <c r="K19" s="481">
        <f>((((D1/D2)*C19)/360)*0.025)*J19</f>
        <v>3727.7667187500001</v>
      </c>
    </row>
    <row r="20" spans="1:11" ht="11.25" customHeight="1" x14ac:dyDescent="0.3">
      <c r="A20" s="476">
        <v>55</v>
      </c>
      <c r="B20" s="476">
        <v>2036</v>
      </c>
      <c r="C20" s="477">
        <v>37</v>
      </c>
      <c r="D20" s="478">
        <v>7111.8</v>
      </c>
      <c r="E20" s="479">
        <f>((((D1/D2)*C20)/360)*0.025)*D20</f>
        <v>2332.1394843750004</v>
      </c>
      <c r="F20" s="478">
        <v>8447.1</v>
      </c>
      <c r="G20" s="479">
        <f>((((D1/D2)*C20)/360)*0.025)*F20</f>
        <v>2770.0182005208339</v>
      </c>
      <c r="H20" s="478">
        <v>9821.7000000000007</v>
      </c>
      <c r="I20" s="479">
        <f>((((D1/D2)*C20)/360)*0.025)*H20</f>
        <v>3220.7843828125006</v>
      </c>
      <c r="J20" s="480">
        <v>11683.5</v>
      </c>
      <c r="K20" s="481">
        <f>((((D1/D2)*C20)/360)*0.025)*J20</f>
        <v>3831.315794270834</v>
      </c>
    </row>
    <row r="21" spans="1:11" ht="11.25" customHeight="1" x14ac:dyDescent="0.3">
      <c r="A21" s="476">
        <v>56</v>
      </c>
      <c r="B21" s="476">
        <v>2037</v>
      </c>
      <c r="C21" s="477">
        <v>38</v>
      </c>
      <c r="D21" s="478">
        <v>7111.8</v>
      </c>
      <c r="E21" s="479">
        <f>((((D1/D2)*C21)/360)*0.025)*D21</f>
        <v>2395.1702812500002</v>
      </c>
      <c r="F21" s="478">
        <v>8447.1</v>
      </c>
      <c r="G21" s="479">
        <f>((((D1/D2)*C21)/360)*0.025)*F21</f>
        <v>2844.8835572916669</v>
      </c>
      <c r="H21" s="478">
        <v>9821.7000000000007</v>
      </c>
      <c r="I21" s="479">
        <f>((((D1/D2)*C21)/360)*0.025)*H21</f>
        <v>3307.8326093750006</v>
      </c>
      <c r="J21" s="480">
        <v>12269.1</v>
      </c>
      <c r="K21" s="481">
        <f>((((D1/D2)*C21)/360)*0.025)*J21</f>
        <v>4132.0880364583336</v>
      </c>
    </row>
    <row r="22" spans="1:11" ht="11.25" customHeight="1" x14ac:dyDescent="0.3">
      <c r="A22" s="476">
        <v>57</v>
      </c>
      <c r="B22" s="476">
        <v>2038</v>
      </c>
      <c r="C22" s="477">
        <v>39</v>
      </c>
      <c r="D22" s="478">
        <v>7111.8</v>
      </c>
      <c r="E22" s="479">
        <f>((((D1/D2)*C22)/360)*0.025)*D22</f>
        <v>2458.2010781250005</v>
      </c>
      <c r="F22" s="478">
        <v>8447.1</v>
      </c>
      <c r="G22" s="479">
        <f>((((D1/D2)*C22)/360)*0.025)*F22</f>
        <v>2919.7489140625007</v>
      </c>
      <c r="H22" s="478">
        <v>9821.7000000000007</v>
      </c>
      <c r="I22" s="479">
        <f>((((D1/D2)*C22)/360)*0.025)*H22</f>
        <v>3394.8808359375007</v>
      </c>
      <c r="J22" s="480">
        <v>12269.1</v>
      </c>
      <c r="K22" s="481">
        <f>((((D1/D2)*C22)/360)*0.025)*J22</f>
        <v>4240.8271953125004</v>
      </c>
    </row>
    <row r="23" spans="1:11" ht="11.25" customHeight="1" x14ac:dyDescent="0.3">
      <c r="A23" s="476">
        <v>58</v>
      </c>
      <c r="B23" s="476">
        <v>2039</v>
      </c>
      <c r="C23" s="477">
        <v>40</v>
      </c>
      <c r="D23" s="478">
        <v>7111.8</v>
      </c>
      <c r="E23" s="482">
        <f>((((D1/D2)*C23)/360)*0.025)*D23</f>
        <v>2521.2318750000004</v>
      </c>
      <c r="F23" s="478">
        <v>8447.1</v>
      </c>
      <c r="G23" s="482">
        <f>((((D1/D2)*C23)/360)*0.025)*F23</f>
        <v>2994.6142708333336</v>
      </c>
      <c r="H23" s="478">
        <v>9821.7000000000007</v>
      </c>
      <c r="I23" s="482">
        <f>((((D1/D2)*C23)/360)*0.025)*H23</f>
        <v>3481.9290625000003</v>
      </c>
      <c r="J23" s="480">
        <v>12269.1</v>
      </c>
      <c r="K23" s="483">
        <f>((((D1/D2)*C23)/360)*0.025)*J23</f>
        <v>4349.5663541666672</v>
      </c>
    </row>
    <row r="24" spans="1:11" ht="11.25" customHeight="1" x14ac:dyDescent="0.3">
      <c r="A24" s="476">
        <v>59</v>
      </c>
      <c r="B24" s="476">
        <v>2040</v>
      </c>
      <c r="C24" s="477">
        <v>41</v>
      </c>
      <c r="D24" s="478">
        <v>7111.8</v>
      </c>
      <c r="E24" s="482">
        <f>((((D1/D2)*C24)/360)*0.025)*D24</f>
        <v>2584.2626718749998</v>
      </c>
      <c r="F24" s="478">
        <v>8447.1</v>
      </c>
      <c r="G24" s="482">
        <f>((((D1/D2)*C24)/360)*0.025)*F24</f>
        <v>3069.4796276041666</v>
      </c>
      <c r="H24" s="478">
        <v>9821.7000000000007</v>
      </c>
      <c r="I24" s="482">
        <f>((((D1/D2)*C24)/360)*0.025)*H24</f>
        <v>3568.9772890624999</v>
      </c>
      <c r="J24" s="480">
        <v>12269.1</v>
      </c>
      <c r="K24" s="483">
        <f>((((D1/D2)*C24)/360)*0.025)*J24</f>
        <v>4458.3055130208331</v>
      </c>
    </row>
    <row r="25" spans="1:11" ht="11.25" customHeight="1" x14ac:dyDescent="0.3">
      <c r="A25" s="476">
        <v>60</v>
      </c>
      <c r="B25" s="476">
        <v>2041</v>
      </c>
      <c r="C25" s="477">
        <v>42</v>
      </c>
      <c r="D25" s="478">
        <v>7111.8</v>
      </c>
      <c r="E25" s="479">
        <f>((((D1/D2)*C25)/360)*0.025)*D25</f>
        <v>2647.2934687500001</v>
      </c>
      <c r="F25" s="478">
        <v>8447.1</v>
      </c>
      <c r="G25" s="479">
        <f>((((D1/D2)*C25)/360)*0.025)*F25</f>
        <v>3144.3449843750004</v>
      </c>
      <c r="H25" s="478">
        <v>9821.7000000000007</v>
      </c>
      <c r="I25" s="479">
        <f>((((D1/D2)*C25)/360)*0.025)*H25</f>
        <v>3656.0255156250005</v>
      </c>
      <c r="J25" s="480">
        <v>12269.1</v>
      </c>
      <c r="K25" s="481">
        <f>((((D1/D2)*C25)/360)*0.025)*J25</f>
        <v>4567.0446718749999</v>
      </c>
    </row>
    <row r="26" spans="1:11" ht="11.25" customHeight="1" x14ac:dyDescent="0.3">
      <c r="A26" s="476">
        <v>61</v>
      </c>
      <c r="B26" s="476">
        <v>2042</v>
      </c>
      <c r="C26" s="477">
        <v>43</v>
      </c>
      <c r="D26" s="478">
        <v>7111.8</v>
      </c>
      <c r="E26" s="479">
        <f>((((D1/D2)*C26)/360)*0.025)*D26</f>
        <v>2710.3242656250004</v>
      </c>
      <c r="F26" s="478">
        <v>8447.1</v>
      </c>
      <c r="G26" s="479">
        <f>((((D1/D2)*C26)/360)*0.025)*F26</f>
        <v>3219.2103411458338</v>
      </c>
      <c r="H26" s="478">
        <v>9821.7000000000007</v>
      </c>
      <c r="I26" s="479">
        <f>((((D1/D2)*C26)/360)*0.025)*H26</f>
        <v>3743.0737421875006</v>
      </c>
      <c r="J26" s="480">
        <v>12269.1</v>
      </c>
      <c r="K26" s="481">
        <f>((((D1/D2)*C26)/360)*0.025)*J26</f>
        <v>4675.7838307291677</v>
      </c>
    </row>
    <row r="27" spans="1:11" ht="11.25" customHeight="1" x14ac:dyDescent="0.3">
      <c r="A27" s="476">
        <v>62</v>
      </c>
      <c r="B27" s="476">
        <v>2043</v>
      </c>
      <c r="C27" s="477">
        <v>44</v>
      </c>
      <c r="D27" s="478">
        <v>7111.8</v>
      </c>
      <c r="E27" s="479">
        <f>((((D1/D2)*C27)/360)*0.025)*D27</f>
        <v>2773.3550625000003</v>
      </c>
      <c r="F27" s="478">
        <v>8447.1</v>
      </c>
      <c r="G27" s="479">
        <f>((((D1/D2)*C27)/360)*0.025)*F27</f>
        <v>3294.0756979166667</v>
      </c>
      <c r="H27" s="478">
        <v>9821.7000000000007</v>
      </c>
      <c r="I27" s="479">
        <f>((((D1/D2)*C27)/360)*0.025)*H27</f>
        <v>3830.1219687500002</v>
      </c>
      <c r="J27" s="480">
        <v>12269.1</v>
      </c>
      <c r="K27" s="481">
        <f>((((D1/D2)*C27)/360)*0.025)*J27</f>
        <v>4784.5229895833336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/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84"/>
      <c r="B1" s="484" t="s">
        <v>678</v>
      </c>
      <c r="C1" s="484" t="s">
        <v>679</v>
      </c>
      <c r="D1" s="484" t="s">
        <v>680</v>
      </c>
      <c r="E1" s="484" t="s">
        <v>681</v>
      </c>
      <c r="F1" s="484" t="s">
        <v>682</v>
      </c>
      <c r="G1" s="484"/>
      <c r="H1" s="484"/>
    </row>
    <row r="2" spans="1:8" ht="11.25" customHeight="1" x14ac:dyDescent="0.3">
      <c r="A2" s="484" t="s">
        <v>683</v>
      </c>
      <c r="B2" s="306" t="s">
        <v>684</v>
      </c>
      <c r="C2" s="484" t="s">
        <v>685</v>
      </c>
      <c r="D2" s="484"/>
      <c r="E2" s="484" t="s">
        <v>686</v>
      </c>
      <c r="F2" s="484"/>
      <c r="G2" s="484"/>
      <c r="H2" s="484"/>
    </row>
    <row r="3" spans="1:8" ht="11.25" customHeight="1" x14ac:dyDescent="0.3">
      <c r="A3" s="484" t="s">
        <v>687</v>
      </c>
      <c r="B3" s="484" t="s">
        <v>688</v>
      </c>
      <c r="C3" s="484" t="s">
        <v>689</v>
      </c>
      <c r="D3" s="484"/>
      <c r="E3" s="484"/>
      <c r="F3" s="484"/>
      <c r="G3" s="484"/>
      <c r="H3" s="484"/>
    </row>
    <row r="4" spans="1:8" ht="11.25" customHeight="1" x14ac:dyDescent="0.3">
      <c r="A4" s="484" t="s">
        <v>690</v>
      </c>
      <c r="B4" s="485" t="s">
        <v>691</v>
      </c>
      <c r="C4" s="484" t="s">
        <v>692</v>
      </c>
      <c r="D4" s="484"/>
      <c r="E4" s="484" t="s">
        <v>693</v>
      </c>
      <c r="F4" s="484"/>
      <c r="G4" s="484"/>
      <c r="H4" s="484"/>
    </row>
    <row r="5" spans="1:8" ht="11.25" customHeight="1" x14ac:dyDescent="0.3">
      <c r="A5" s="484" t="s">
        <v>690</v>
      </c>
      <c r="B5" s="484" t="s">
        <v>694</v>
      </c>
      <c r="C5" s="484" t="s">
        <v>695</v>
      </c>
      <c r="D5" s="484"/>
      <c r="E5" s="484" t="s">
        <v>693</v>
      </c>
      <c r="F5" s="484"/>
      <c r="G5" s="484"/>
      <c r="H5" s="484"/>
    </row>
    <row r="6" spans="1:8" ht="11.25" customHeight="1" x14ac:dyDescent="0.3">
      <c r="A6" s="484" t="s">
        <v>624</v>
      </c>
      <c r="B6" s="484" t="s">
        <v>696</v>
      </c>
      <c r="C6" s="484" t="s">
        <v>697</v>
      </c>
      <c r="D6" s="484"/>
      <c r="E6" s="306" t="s">
        <v>698</v>
      </c>
      <c r="F6" s="484"/>
      <c r="G6" s="484"/>
      <c r="H6" s="484"/>
    </row>
    <row r="7" spans="1:8" ht="11.25" customHeight="1" x14ac:dyDescent="0.3">
      <c r="A7" s="484" t="s">
        <v>185</v>
      </c>
      <c r="B7" s="484" t="s">
        <v>699</v>
      </c>
      <c r="C7" s="484" t="s">
        <v>700</v>
      </c>
      <c r="D7" s="484"/>
      <c r="E7" s="484" t="s">
        <v>701</v>
      </c>
      <c r="F7" s="484"/>
      <c r="G7" s="484"/>
      <c r="H7" s="484"/>
    </row>
    <row r="8" spans="1:8" ht="11.25" customHeight="1" x14ac:dyDescent="0.3">
      <c r="A8" s="484" t="s">
        <v>185</v>
      </c>
      <c r="B8" s="484" t="s">
        <v>691</v>
      </c>
      <c r="C8" s="484" t="s">
        <v>702</v>
      </c>
      <c r="D8" s="484"/>
      <c r="E8" s="484"/>
      <c r="F8" s="484"/>
      <c r="G8" s="484"/>
      <c r="H8" s="484"/>
    </row>
    <row r="9" spans="1:8" ht="11.25" customHeight="1" x14ac:dyDescent="0.3">
      <c r="A9" s="484" t="s">
        <v>703</v>
      </c>
      <c r="B9" s="306" t="s">
        <v>704</v>
      </c>
      <c r="C9" s="484" t="s">
        <v>702</v>
      </c>
      <c r="D9" s="484"/>
      <c r="E9" s="484" t="s">
        <v>705</v>
      </c>
      <c r="F9" s="484"/>
      <c r="G9" s="484"/>
      <c r="H9" s="484"/>
    </row>
    <row r="10" spans="1:8" ht="11.25" customHeight="1" x14ac:dyDescent="0.3">
      <c r="A10" s="484" t="s">
        <v>706</v>
      </c>
      <c r="B10" s="484" t="s">
        <v>695</v>
      </c>
      <c r="C10" s="486" t="s">
        <v>707</v>
      </c>
      <c r="D10" s="486"/>
      <c r="E10" s="306" t="s">
        <v>708</v>
      </c>
      <c r="F10" s="484"/>
      <c r="G10" s="484"/>
      <c r="H10" s="484"/>
    </row>
    <row r="11" spans="1:8" ht="11.25" customHeight="1" x14ac:dyDescent="0.3">
      <c r="A11" s="484" t="s">
        <v>709</v>
      </c>
      <c r="B11" s="485" t="s">
        <v>710</v>
      </c>
      <c r="C11" s="484" t="s">
        <v>711</v>
      </c>
      <c r="D11" s="484"/>
      <c r="E11" s="487" t="s">
        <v>712</v>
      </c>
      <c r="F11" s="484"/>
      <c r="G11" s="484" t="s">
        <v>713</v>
      </c>
      <c r="H11" s="484" t="s">
        <v>714</v>
      </c>
    </row>
    <row r="12" spans="1:8" ht="11.25" customHeight="1" x14ac:dyDescent="0.3">
      <c r="A12" s="484" t="s">
        <v>715</v>
      </c>
      <c r="B12" s="484" t="s">
        <v>716</v>
      </c>
      <c r="C12" s="484" t="s">
        <v>717</v>
      </c>
      <c r="D12" s="484"/>
      <c r="E12" s="484" t="s">
        <v>718</v>
      </c>
      <c r="F12" s="484"/>
      <c r="G12" s="484"/>
      <c r="H12" s="484"/>
    </row>
    <row r="13" spans="1:8" ht="11.25" customHeight="1" x14ac:dyDescent="0.3">
      <c r="A13" s="484" t="s">
        <v>352</v>
      </c>
      <c r="B13" s="306" t="s">
        <v>684</v>
      </c>
      <c r="C13" s="484" t="s">
        <v>714</v>
      </c>
      <c r="D13" s="484"/>
      <c r="E13" s="485" t="s">
        <v>719</v>
      </c>
      <c r="F13" s="484"/>
      <c r="G13" s="484"/>
      <c r="H13" s="484"/>
    </row>
    <row r="14" spans="1:8" ht="11.25" customHeight="1" x14ac:dyDescent="0.3">
      <c r="A14" s="484" t="s">
        <v>720</v>
      </c>
      <c r="B14" s="484" t="s">
        <v>691</v>
      </c>
      <c r="C14" s="484" t="s">
        <v>692</v>
      </c>
      <c r="D14" s="484"/>
      <c r="E14" s="488" t="s">
        <v>721</v>
      </c>
      <c r="F14" s="484"/>
      <c r="G14" s="484"/>
      <c r="H14" s="484"/>
    </row>
    <row r="15" spans="1:8" ht="11.25" customHeight="1" x14ac:dyDescent="0.3">
      <c r="A15" s="484" t="s">
        <v>722</v>
      </c>
      <c r="B15" s="484" t="s">
        <v>723</v>
      </c>
      <c r="C15" s="484" t="s">
        <v>724</v>
      </c>
      <c r="D15" s="484"/>
      <c r="E15" s="306" t="s">
        <v>725</v>
      </c>
      <c r="F15" s="484"/>
      <c r="G15" s="484"/>
      <c r="H15" s="484"/>
    </row>
    <row r="16" spans="1:8" ht="11.25" customHeight="1" x14ac:dyDescent="0.3">
      <c r="A16" s="484" t="s">
        <v>726</v>
      </c>
      <c r="B16" s="306" t="s">
        <v>684</v>
      </c>
      <c r="C16" s="484" t="s">
        <v>700</v>
      </c>
      <c r="D16" s="484"/>
      <c r="E16" s="484"/>
      <c r="F16" s="484"/>
      <c r="G16" s="484"/>
      <c r="H16" s="484"/>
    </row>
    <row r="17" spans="1:8" ht="11.25" customHeight="1" x14ac:dyDescent="0.3">
      <c r="A17" s="484" t="s">
        <v>727</v>
      </c>
      <c r="B17" s="485" t="s">
        <v>728</v>
      </c>
      <c r="C17" s="484" t="s">
        <v>700</v>
      </c>
      <c r="D17" s="484"/>
      <c r="E17" s="484"/>
      <c r="F17" s="484"/>
      <c r="G17" s="484"/>
      <c r="H17" s="484"/>
    </row>
    <row r="18" spans="1:8" ht="11.25" customHeight="1" x14ac:dyDescent="0.3">
      <c r="A18" s="484" t="s">
        <v>729</v>
      </c>
      <c r="B18" s="484" t="s">
        <v>691</v>
      </c>
      <c r="C18" s="484" t="s">
        <v>730</v>
      </c>
      <c r="D18" s="484"/>
      <c r="E18" s="484" t="s">
        <v>731</v>
      </c>
      <c r="F18" s="484"/>
      <c r="G18" s="484"/>
      <c r="H18" s="484"/>
    </row>
    <row r="19" spans="1:8" ht="11.25" customHeight="1" x14ac:dyDescent="0.3">
      <c r="A19" s="484" t="s">
        <v>732</v>
      </c>
      <c r="B19" s="485" t="s">
        <v>688</v>
      </c>
      <c r="C19" s="484" t="s">
        <v>733</v>
      </c>
      <c r="D19" s="484"/>
      <c r="E19" s="487" t="s">
        <v>734</v>
      </c>
      <c r="F19" s="484"/>
      <c r="G19" s="484"/>
      <c r="H19" s="484"/>
    </row>
    <row r="20" spans="1:8" ht="11.25" customHeight="1" x14ac:dyDescent="0.3">
      <c r="A20" s="484" t="s">
        <v>735</v>
      </c>
      <c r="B20" s="484" t="s">
        <v>691</v>
      </c>
      <c r="C20" s="484" t="s">
        <v>733</v>
      </c>
      <c r="D20" s="484"/>
      <c r="E20" s="484" t="s">
        <v>734</v>
      </c>
      <c r="F20" s="484"/>
      <c r="G20" s="484"/>
      <c r="H20" s="484"/>
    </row>
    <row r="21" spans="1:8" ht="11.25" customHeight="1" x14ac:dyDescent="0.3">
      <c r="A21" s="484" t="s">
        <v>736</v>
      </c>
      <c r="B21" s="485" t="s">
        <v>688</v>
      </c>
      <c r="C21" s="484" t="s">
        <v>737</v>
      </c>
      <c r="D21" s="484" t="s">
        <v>738</v>
      </c>
      <c r="E21" s="484"/>
      <c r="F21" s="484"/>
      <c r="G21" s="484"/>
      <c r="H21" s="484"/>
    </row>
    <row r="22" spans="1:8" ht="11.25" customHeight="1" x14ac:dyDescent="0.3">
      <c r="A22" s="484" t="s">
        <v>736</v>
      </c>
      <c r="B22" s="484" t="s">
        <v>739</v>
      </c>
      <c r="C22" s="484" t="s">
        <v>740</v>
      </c>
      <c r="D22" s="484" t="s">
        <v>741</v>
      </c>
      <c r="E22" s="484"/>
      <c r="F22" s="484"/>
      <c r="G22" s="484"/>
      <c r="H22" s="484"/>
    </row>
    <row r="23" spans="1:8" ht="11.25" customHeight="1" x14ac:dyDescent="0.3">
      <c r="A23" s="484" t="s">
        <v>742</v>
      </c>
      <c r="B23" s="484" t="s">
        <v>688</v>
      </c>
      <c r="C23" s="484" t="s">
        <v>700</v>
      </c>
      <c r="D23" s="484"/>
      <c r="E23" s="484"/>
      <c r="F23" s="484"/>
      <c r="G23" s="484"/>
      <c r="H23" s="484"/>
    </row>
    <row r="24" spans="1:8" ht="11.25" customHeight="1" x14ac:dyDescent="0.3">
      <c r="A24" s="484" t="s">
        <v>743</v>
      </c>
      <c r="B24" s="484" t="s">
        <v>744</v>
      </c>
      <c r="C24" s="484" t="s">
        <v>692</v>
      </c>
      <c r="D24" s="484"/>
      <c r="E24" s="306" t="s">
        <v>745</v>
      </c>
      <c r="F24" s="484"/>
      <c r="G24" s="484"/>
      <c r="H24" s="484"/>
    </row>
    <row r="25" spans="1:8" ht="11.25" customHeight="1" x14ac:dyDescent="0.3">
      <c r="A25" s="484" t="s">
        <v>97</v>
      </c>
      <c r="B25" s="484" t="s">
        <v>716</v>
      </c>
      <c r="C25" s="484" t="s">
        <v>746</v>
      </c>
      <c r="D25" s="484"/>
      <c r="E25" s="484" t="s">
        <v>747</v>
      </c>
      <c r="F25" s="484"/>
      <c r="G25" s="484"/>
      <c r="H25" s="484"/>
    </row>
    <row r="26" spans="1:8" ht="11.25" customHeight="1" x14ac:dyDescent="0.3">
      <c r="A26" s="484" t="s">
        <v>748</v>
      </c>
      <c r="B26" s="484" t="s">
        <v>691</v>
      </c>
      <c r="C26" s="484" t="s">
        <v>714</v>
      </c>
      <c r="D26" s="484"/>
      <c r="E26" s="484"/>
      <c r="F26" s="484" t="s">
        <v>749</v>
      </c>
      <c r="G26" s="484" t="s">
        <v>750</v>
      </c>
      <c r="H26" s="484"/>
    </row>
    <row r="27" spans="1:8" ht="11.25" customHeight="1" x14ac:dyDescent="0.3">
      <c r="A27" s="484" t="s">
        <v>751</v>
      </c>
      <c r="B27" s="484" t="s">
        <v>691</v>
      </c>
      <c r="C27" s="484" t="s">
        <v>692</v>
      </c>
      <c r="D27" s="486">
        <v>1116</v>
      </c>
      <c r="E27" s="306" t="s">
        <v>752</v>
      </c>
      <c r="F27" s="484"/>
      <c r="G27" s="484"/>
      <c r="H27" s="484"/>
    </row>
    <row r="28" spans="1:8" ht="11.25" customHeight="1" x14ac:dyDescent="0.3">
      <c r="A28" s="484" t="s">
        <v>753</v>
      </c>
      <c r="B28" s="486">
        <v>4403872289</v>
      </c>
      <c r="C28" s="484" t="s">
        <v>692</v>
      </c>
      <c r="D28" s="484"/>
      <c r="E28" s="484" t="s">
        <v>754</v>
      </c>
      <c r="F28" s="484"/>
      <c r="G28" s="484"/>
      <c r="H28" s="484"/>
    </row>
    <row r="29" spans="1:8" ht="11.25" customHeight="1" x14ac:dyDescent="0.3">
      <c r="A29" s="484" t="s">
        <v>755</v>
      </c>
      <c r="B29" s="306" t="s">
        <v>684</v>
      </c>
      <c r="C29" s="484" t="s">
        <v>700</v>
      </c>
      <c r="D29" s="484"/>
      <c r="E29" s="306" t="s">
        <v>756</v>
      </c>
      <c r="F29" s="484" t="s">
        <v>757</v>
      </c>
      <c r="G29" s="484" t="s">
        <v>758</v>
      </c>
      <c r="H29" s="484"/>
    </row>
    <row r="30" spans="1:8" ht="11.25" customHeight="1" x14ac:dyDescent="0.3">
      <c r="A30" s="484" t="s">
        <v>759</v>
      </c>
      <c r="B30" s="484" t="s">
        <v>716</v>
      </c>
      <c r="C30" s="484" t="s">
        <v>760</v>
      </c>
      <c r="D30" s="484"/>
      <c r="E30" s="484"/>
      <c r="F30" s="484"/>
      <c r="G30" s="484"/>
      <c r="H30" s="484"/>
    </row>
    <row r="31" spans="1:8" ht="11.25" customHeight="1" x14ac:dyDescent="0.3">
      <c r="A31" s="484" t="s">
        <v>761</v>
      </c>
      <c r="B31" s="484" t="s">
        <v>691</v>
      </c>
      <c r="C31" s="484" t="s">
        <v>692</v>
      </c>
      <c r="D31" s="484"/>
      <c r="E31" s="484"/>
      <c r="F31" s="484"/>
      <c r="G31" s="484"/>
      <c r="H31" s="484"/>
    </row>
    <row r="32" spans="1:8" ht="11.25" customHeight="1" x14ac:dyDescent="0.3">
      <c r="A32" s="484" t="s">
        <v>762</v>
      </c>
      <c r="B32" s="484" t="s">
        <v>691</v>
      </c>
      <c r="C32" s="484" t="s">
        <v>714</v>
      </c>
      <c r="D32" s="484"/>
      <c r="E32" s="484"/>
      <c r="F32" s="484"/>
      <c r="G32" s="484"/>
      <c r="H32" s="484"/>
    </row>
    <row r="33" spans="1:8" ht="11.25" customHeight="1" x14ac:dyDescent="0.3">
      <c r="A33" s="484" t="s">
        <v>763</v>
      </c>
      <c r="B33" s="487" t="s">
        <v>764</v>
      </c>
      <c r="C33" s="484" t="s">
        <v>714</v>
      </c>
      <c r="D33" s="484"/>
      <c r="E33" s="484"/>
      <c r="F33" s="484"/>
      <c r="G33" s="484"/>
      <c r="H33" s="484"/>
    </row>
    <row r="34" spans="1:8" ht="11.25" customHeight="1" x14ac:dyDescent="0.3">
      <c r="A34" s="484" t="s">
        <v>765</v>
      </c>
      <c r="B34" s="484" t="s">
        <v>766</v>
      </c>
      <c r="C34" s="484"/>
      <c r="D34" s="484"/>
      <c r="E34" s="484"/>
      <c r="F34" s="484"/>
      <c r="G34" s="484"/>
      <c r="H34" s="484"/>
    </row>
    <row r="35" spans="1:8" ht="11.25" customHeight="1" x14ac:dyDescent="0.3">
      <c r="A35" s="484"/>
      <c r="B35" s="484"/>
      <c r="C35" s="484"/>
      <c r="D35" s="484"/>
      <c r="E35" s="484"/>
      <c r="F35" s="484"/>
      <c r="G35" s="484"/>
      <c r="H35" s="484"/>
    </row>
    <row r="36" spans="1:8" ht="11.25" customHeight="1" x14ac:dyDescent="0.3">
      <c r="A36" s="484"/>
      <c r="B36" s="484"/>
      <c r="C36" s="484"/>
      <c r="D36" s="484"/>
      <c r="E36" s="484"/>
      <c r="F36" s="484" t="s">
        <v>767</v>
      </c>
      <c r="G36" s="484"/>
      <c r="H36" s="484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89"/>
      <c r="C1" s="490"/>
      <c r="E1" s="491"/>
      <c r="G1" s="65"/>
    </row>
    <row r="2" spans="1:10" ht="14.25" customHeight="1" x14ac:dyDescent="0.3">
      <c r="B2" s="489"/>
      <c r="C2" s="490"/>
      <c r="E2" s="491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89"/>
      <c r="C3" s="490"/>
      <c r="E3" s="491" t="s">
        <v>771</v>
      </c>
      <c r="F3" s="92" t="s">
        <v>772</v>
      </c>
      <c r="G3" s="65"/>
      <c r="I3" s="492">
        <v>0.46899999999999997</v>
      </c>
      <c r="J3" s="92" t="s">
        <v>773</v>
      </c>
    </row>
    <row r="4" spans="1:10" ht="14.25" customHeight="1" x14ac:dyDescent="0.3">
      <c r="B4" s="489"/>
      <c r="C4" s="490"/>
      <c r="E4" s="491"/>
      <c r="G4" s="65"/>
    </row>
    <row r="5" spans="1:10" ht="14.25" customHeight="1" x14ac:dyDescent="0.3">
      <c r="B5" s="489"/>
      <c r="C5" s="490"/>
      <c r="E5" s="491"/>
      <c r="G5" s="65"/>
    </row>
    <row r="6" spans="1:10" ht="14.25" customHeight="1" x14ac:dyDescent="0.3">
      <c r="A6" s="92" t="s">
        <v>774</v>
      </c>
      <c r="B6" s="489"/>
      <c r="C6" s="490"/>
      <c r="E6" s="491" t="s">
        <v>775</v>
      </c>
      <c r="F6" s="92" t="s">
        <v>720</v>
      </c>
      <c r="G6" s="65"/>
      <c r="I6" s="493">
        <v>0.46899999999999997</v>
      </c>
      <c r="J6" s="92" t="s">
        <v>773</v>
      </c>
    </row>
    <row r="7" spans="1:10" ht="14.25" customHeight="1" x14ac:dyDescent="0.3">
      <c r="B7" s="489"/>
      <c r="C7" s="490"/>
      <c r="E7" s="491"/>
      <c r="G7" s="65"/>
    </row>
    <row r="8" spans="1:10" ht="14.25" customHeight="1" x14ac:dyDescent="0.3">
      <c r="B8" s="489"/>
      <c r="C8" s="490"/>
      <c r="E8" s="491"/>
      <c r="G8" s="65"/>
    </row>
    <row r="9" spans="1:10" ht="14.25" customHeight="1" x14ac:dyDescent="0.3">
      <c r="B9" s="489"/>
      <c r="C9" s="490"/>
      <c r="E9" s="491"/>
      <c r="G9" s="65"/>
    </row>
    <row r="10" spans="1:10" ht="14.25" customHeight="1" x14ac:dyDescent="0.3">
      <c r="B10" s="489"/>
      <c r="C10" s="490"/>
      <c r="E10" s="491"/>
      <c r="G10" s="65"/>
    </row>
    <row r="11" spans="1:10" ht="14.25" customHeight="1" x14ac:dyDescent="0.3">
      <c r="B11" s="489" t="s">
        <v>776</v>
      </c>
      <c r="C11" s="490" t="s">
        <v>777</v>
      </c>
      <c r="D11" s="86" t="s">
        <v>778</v>
      </c>
      <c r="E11" s="491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89">
        <v>110059119914</v>
      </c>
      <c r="C12" s="494" t="s">
        <v>784</v>
      </c>
      <c r="D12" s="86" t="s">
        <v>772</v>
      </c>
      <c r="E12" s="491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89">
        <v>110154325473</v>
      </c>
      <c r="C13" s="490" t="s">
        <v>786</v>
      </c>
      <c r="D13" s="86" t="s">
        <v>772</v>
      </c>
      <c r="E13" s="491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89"/>
      <c r="C14" s="490"/>
      <c r="E14" s="491"/>
      <c r="G14" s="65"/>
    </row>
    <row r="15" spans="1:10" ht="14.25" customHeight="1" x14ac:dyDescent="0.3">
      <c r="B15" s="489"/>
      <c r="C15" s="490"/>
      <c r="E15" s="491"/>
      <c r="G15" s="65"/>
    </row>
    <row r="16" spans="1:10" ht="14.25" customHeight="1" x14ac:dyDescent="0.3">
      <c r="B16" s="489"/>
      <c r="C16" s="490"/>
      <c r="E16" s="491"/>
      <c r="G16" s="65"/>
    </row>
    <row r="17" spans="2:7" ht="14.25" customHeight="1" x14ac:dyDescent="0.3">
      <c r="B17" s="489"/>
      <c r="C17" s="490"/>
      <c r="E17" s="491"/>
      <c r="G17" s="65"/>
    </row>
    <row r="18" spans="2:7" ht="14.25" customHeight="1" x14ac:dyDescent="0.3">
      <c r="B18" s="489"/>
      <c r="C18" s="490"/>
      <c r="E18" s="491"/>
      <c r="G18" s="65"/>
    </row>
    <row r="19" spans="2:7" ht="14.25" customHeight="1" x14ac:dyDescent="0.3">
      <c r="B19" s="489"/>
      <c r="C19" s="490"/>
      <c r="E19" s="491"/>
      <c r="G19" s="65"/>
    </row>
    <row r="20" spans="2:7" ht="14.25" customHeight="1" x14ac:dyDescent="0.3">
      <c r="B20" s="489"/>
      <c r="C20" s="490"/>
      <c r="E20" s="491"/>
      <c r="G20" s="65"/>
    </row>
    <row r="21" spans="2:7" ht="14.25" customHeight="1" x14ac:dyDescent="0.3">
      <c r="B21" s="489"/>
      <c r="C21" s="490"/>
      <c r="E21" s="491"/>
      <c r="G21" s="65"/>
    </row>
    <row r="22" spans="2:7" ht="14.25" customHeight="1" x14ac:dyDescent="0.3">
      <c r="B22" s="489"/>
      <c r="C22" s="490"/>
      <c r="E22" s="491"/>
      <c r="G22" s="65"/>
    </row>
    <row r="23" spans="2:7" ht="14.25" customHeight="1" x14ac:dyDescent="0.3">
      <c r="B23" s="489"/>
      <c r="C23" s="490"/>
      <c r="E23" s="491"/>
      <c r="G23" s="65"/>
    </row>
    <row r="24" spans="2:7" ht="14.25" customHeight="1" x14ac:dyDescent="0.3">
      <c r="B24" s="489"/>
      <c r="C24" s="490"/>
      <c r="E24" s="491"/>
      <c r="G24" s="65"/>
    </row>
    <row r="25" spans="2:7" ht="14.25" customHeight="1" x14ac:dyDescent="0.3">
      <c r="B25" s="489"/>
      <c r="C25" s="490"/>
      <c r="E25" s="491"/>
      <c r="G25" s="65"/>
    </row>
    <row r="26" spans="2:7" ht="14.25" customHeight="1" x14ac:dyDescent="0.3">
      <c r="B26" s="489"/>
      <c r="C26" s="490"/>
      <c r="E26" s="491"/>
      <c r="G26" s="65"/>
    </row>
    <row r="27" spans="2:7" ht="14.25" customHeight="1" x14ac:dyDescent="0.3">
      <c r="B27" s="489"/>
      <c r="C27" s="490"/>
      <c r="E27" s="491"/>
      <c r="G27" s="65"/>
    </row>
    <row r="28" spans="2:7" ht="14.25" customHeight="1" x14ac:dyDescent="0.3">
      <c r="B28" s="489"/>
      <c r="C28" s="490"/>
      <c r="E28" s="491"/>
      <c r="G28" s="65"/>
    </row>
    <row r="29" spans="2:7" ht="14.25" customHeight="1" x14ac:dyDescent="0.3">
      <c r="B29" s="489"/>
      <c r="C29" s="490"/>
      <c r="E29" s="491"/>
      <c r="G29" s="65"/>
    </row>
    <row r="30" spans="2:7" ht="14.25" customHeight="1" x14ac:dyDescent="0.3">
      <c r="B30" s="489"/>
      <c r="C30" s="490"/>
      <c r="E30" s="491"/>
      <c r="G30" s="65"/>
    </row>
    <row r="31" spans="2:7" ht="14.25" customHeight="1" x14ac:dyDescent="0.3">
      <c r="B31" s="489"/>
      <c r="C31" s="490"/>
      <c r="E31" s="491"/>
      <c r="G31" s="65"/>
    </row>
    <row r="32" spans="2:7" ht="14.25" customHeight="1" x14ac:dyDescent="0.3">
      <c r="B32" s="489"/>
      <c r="C32" s="490"/>
      <c r="E32" s="491"/>
      <c r="G32" s="65"/>
    </row>
    <row r="33" spans="2:7" ht="14.25" customHeight="1" x14ac:dyDescent="0.3">
      <c r="B33" s="489"/>
      <c r="C33" s="490"/>
      <c r="E33" s="491"/>
      <c r="G33" s="65"/>
    </row>
    <row r="34" spans="2:7" ht="14.25" customHeight="1" x14ac:dyDescent="0.3">
      <c r="B34" s="489"/>
      <c r="C34" s="490"/>
      <c r="E34" s="491"/>
      <c r="G34" s="65"/>
    </row>
    <row r="35" spans="2:7" ht="14.25" customHeight="1" x14ac:dyDescent="0.3">
      <c r="B35" s="489"/>
      <c r="C35" s="490"/>
      <c r="E35" s="491"/>
      <c r="G35" s="65"/>
    </row>
    <row r="36" spans="2:7" ht="14.25" customHeight="1" x14ac:dyDescent="0.3">
      <c r="B36" s="489"/>
      <c r="C36" s="490"/>
      <c r="E36" s="491"/>
      <c r="G36" s="65"/>
    </row>
    <row r="37" spans="2:7" ht="14.25" customHeight="1" x14ac:dyDescent="0.3">
      <c r="B37" s="489"/>
      <c r="C37" s="490"/>
      <c r="E37" s="491"/>
      <c r="G37" s="65"/>
    </row>
    <row r="38" spans="2:7" ht="14.25" customHeight="1" x14ac:dyDescent="0.3">
      <c r="B38" s="489"/>
      <c r="C38" s="490"/>
      <c r="E38" s="491"/>
      <c r="G38" s="65"/>
    </row>
    <row r="39" spans="2:7" ht="14.25" customHeight="1" x14ac:dyDescent="0.3">
      <c r="B39" s="489"/>
      <c r="C39" s="490"/>
      <c r="E39" s="491"/>
      <c r="G39" s="65"/>
    </row>
    <row r="40" spans="2:7" ht="14.25" customHeight="1" x14ac:dyDescent="0.3">
      <c r="B40" s="489"/>
      <c r="C40" s="490"/>
      <c r="E40" s="491"/>
      <c r="G40" s="65"/>
    </row>
    <row r="41" spans="2:7" ht="14.25" customHeight="1" x14ac:dyDescent="0.3">
      <c r="B41" s="489"/>
      <c r="C41" s="490"/>
      <c r="E41" s="491"/>
      <c r="G41" s="65"/>
    </row>
    <row r="42" spans="2:7" ht="14.25" customHeight="1" x14ac:dyDescent="0.3">
      <c r="B42" s="489"/>
      <c r="C42" s="490"/>
      <c r="E42" s="491"/>
      <c r="G42" s="65"/>
    </row>
    <row r="43" spans="2:7" ht="14.25" customHeight="1" x14ac:dyDescent="0.3">
      <c r="B43" s="489"/>
      <c r="C43" s="490"/>
      <c r="E43" s="491"/>
      <c r="G43" s="65"/>
    </row>
    <row r="44" spans="2:7" ht="14.25" customHeight="1" x14ac:dyDescent="0.3">
      <c r="B44" s="489"/>
      <c r="C44" s="490"/>
      <c r="E44" s="491"/>
      <c r="G44" s="65"/>
    </row>
    <row r="45" spans="2:7" ht="14.25" customHeight="1" x14ac:dyDescent="0.3">
      <c r="B45" s="489"/>
      <c r="C45" s="490"/>
      <c r="E45" s="491"/>
      <c r="G45" s="65"/>
    </row>
    <row r="46" spans="2:7" ht="14.25" customHeight="1" x14ac:dyDescent="0.3">
      <c r="B46" s="489"/>
      <c r="C46" s="490"/>
      <c r="E46" s="491"/>
      <c r="G46" s="65"/>
    </row>
    <row r="47" spans="2:7" ht="14.25" customHeight="1" x14ac:dyDescent="0.3">
      <c r="B47" s="489"/>
      <c r="C47" s="490"/>
      <c r="E47" s="491"/>
      <c r="G47" s="65"/>
    </row>
    <row r="48" spans="2:7" ht="14.25" customHeight="1" x14ac:dyDescent="0.3">
      <c r="B48" s="489"/>
      <c r="C48" s="490"/>
      <c r="E48" s="491"/>
      <c r="G48" s="65"/>
    </row>
    <row r="49" spans="2:7" ht="14.25" customHeight="1" x14ac:dyDescent="0.3">
      <c r="B49" s="489"/>
      <c r="C49" s="490"/>
      <c r="E49" s="491"/>
      <c r="G49" s="65"/>
    </row>
    <row r="50" spans="2:7" ht="14.25" customHeight="1" x14ac:dyDescent="0.3">
      <c r="B50" s="489"/>
      <c r="C50" s="490"/>
      <c r="E50" s="491"/>
      <c r="G50" s="65"/>
    </row>
    <row r="51" spans="2:7" ht="14.25" customHeight="1" x14ac:dyDescent="0.3">
      <c r="B51" s="489"/>
      <c r="C51" s="490"/>
      <c r="E51" s="491"/>
      <c r="G51" s="65"/>
    </row>
    <row r="52" spans="2:7" ht="14.25" customHeight="1" x14ac:dyDescent="0.3">
      <c r="B52" s="489"/>
      <c r="C52" s="490"/>
      <c r="E52" s="491"/>
      <c r="G52" s="65"/>
    </row>
    <row r="53" spans="2:7" ht="14.25" customHeight="1" x14ac:dyDescent="0.3">
      <c r="B53" s="489"/>
      <c r="C53" s="490"/>
      <c r="E53" s="491"/>
      <c r="G53" s="65"/>
    </row>
    <row r="54" spans="2:7" ht="14.25" customHeight="1" x14ac:dyDescent="0.3">
      <c r="B54" s="489"/>
      <c r="C54" s="490"/>
      <c r="E54" s="491"/>
      <c r="G54" s="65"/>
    </row>
    <row r="55" spans="2:7" ht="14.25" customHeight="1" x14ac:dyDescent="0.3">
      <c r="B55" s="489"/>
      <c r="C55" s="490"/>
      <c r="E55" s="491"/>
      <c r="G55" s="65"/>
    </row>
    <row r="56" spans="2:7" ht="14.25" customHeight="1" x14ac:dyDescent="0.3">
      <c r="B56" s="489"/>
      <c r="C56" s="490"/>
      <c r="E56" s="491"/>
      <c r="G56" s="65"/>
    </row>
    <row r="57" spans="2:7" ht="14.25" customHeight="1" x14ac:dyDescent="0.3">
      <c r="B57" s="489"/>
      <c r="C57" s="490"/>
      <c r="E57" s="491"/>
      <c r="G57" s="65"/>
    </row>
    <row r="58" spans="2:7" ht="14.25" customHeight="1" x14ac:dyDescent="0.3">
      <c r="B58" s="489"/>
      <c r="C58" s="490"/>
      <c r="E58" s="491"/>
      <c r="G58" s="65"/>
    </row>
    <row r="59" spans="2:7" ht="14.25" customHeight="1" x14ac:dyDescent="0.3">
      <c r="B59" s="489"/>
      <c r="C59" s="490"/>
      <c r="E59" s="491"/>
      <c r="G59" s="65"/>
    </row>
    <row r="60" spans="2:7" ht="14.25" customHeight="1" x14ac:dyDescent="0.3">
      <c r="B60" s="489"/>
      <c r="C60" s="490"/>
      <c r="E60" s="491"/>
      <c r="G60" s="65"/>
    </row>
    <row r="61" spans="2:7" ht="14.25" customHeight="1" x14ac:dyDescent="0.3">
      <c r="B61" s="489"/>
      <c r="C61" s="490"/>
      <c r="E61" s="491"/>
      <c r="G61" s="65"/>
    </row>
    <row r="62" spans="2:7" ht="14.25" customHeight="1" x14ac:dyDescent="0.3">
      <c r="B62" s="489"/>
      <c r="C62" s="490"/>
      <c r="E62" s="491"/>
      <c r="G62" s="65"/>
    </row>
    <row r="63" spans="2:7" ht="14.25" customHeight="1" x14ac:dyDescent="0.3">
      <c r="B63" s="489"/>
      <c r="C63" s="490"/>
      <c r="E63" s="491"/>
      <c r="G63" s="65"/>
    </row>
    <row r="64" spans="2:7" ht="14.25" customHeight="1" x14ac:dyDescent="0.3">
      <c r="B64" s="489"/>
      <c r="C64" s="490"/>
      <c r="E64" s="491"/>
      <c r="G64" s="65"/>
    </row>
    <row r="65" spans="2:7" ht="14.25" customHeight="1" x14ac:dyDescent="0.3">
      <c r="B65" s="489"/>
      <c r="C65" s="490"/>
      <c r="E65" s="491"/>
      <c r="G65" s="65"/>
    </row>
    <row r="66" spans="2:7" ht="14.25" customHeight="1" x14ac:dyDescent="0.3">
      <c r="B66" s="489"/>
      <c r="C66" s="490"/>
      <c r="E66" s="491"/>
      <c r="G66" s="65"/>
    </row>
    <row r="67" spans="2:7" ht="14.25" customHeight="1" x14ac:dyDescent="0.3">
      <c r="B67" s="489"/>
      <c r="C67" s="490"/>
      <c r="E67" s="491"/>
      <c r="G67" s="65"/>
    </row>
    <row r="68" spans="2:7" ht="14.25" customHeight="1" x14ac:dyDescent="0.3">
      <c r="B68" s="489"/>
      <c r="C68" s="490"/>
      <c r="E68" s="491"/>
      <c r="G68" s="65"/>
    </row>
    <row r="69" spans="2:7" ht="14.25" customHeight="1" x14ac:dyDescent="0.3">
      <c r="B69" s="489"/>
      <c r="C69" s="490"/>
      <c r="E69" s="491"/>
      <c r="G69" s="65"/>
    </row>
    <row r="70" spans="2:7" ht="14.25" customHeight="1" x14ac:dyDescent="0.3">
      <c r="B70" s="489"/>
      <c r="C70" s="490"/>
      <c r="E70" s="491"/>
      <c r="G70" s="65"/>
    </row>
    <row r="71" spans="2:7" ht="14.25" customHeight="1" x14ac:dyDescent="0.3">
      <c r="B71" s="489"/>
      <c r="C71" s="490"/>
      <c r="E71" s="491"/>
      <c r="G71" s="65"/>
    </row>
    <row r="72" spans="2:7" ht="14.25" customHeight="1" x14ac:dyDescent="0.3">
      <c r="B72" s="489"/>
      <c r="C72" s="490"/>
      <c r="E72" s="491"/>
      <c r="G72" s="65"/>
    </row>
    <row r="73" spans="2:7" ht="14.25" customHeight="1" x14ac:dyDescent="0.3">
      <c r="B73" s="489"/>
      <c r="C73" s="490"/>
      <c r="E73" s="491"/>
      <c r="G73" s="65"/>
    </row>
    <row r="74" spans="2:7" ht="14.25" customHeight="1" x14ac:dyDescent="0.3">
      <c r="B74" s="489"/>
      <c r="C74" s="490"/>
      <c r="E74" s="491"/>
      <c r="G74" s="65"/>
    </row>
    <row r="75" spans="2:7" ht="14.25" customHeight="1" x14ac:dyDescent="0.3">
      <c r="B75" s="489"/>
      <c r="C75" s="490"/>
      <c r="E75" s="491"/>
      <c r="G75" s="65"/>
    </row>
    <row r="76" spans="2:7" ht="14.25" customHeight="1" x14ac:dyDescent="0.3">
      <c r="B76" s="489"/>
      <c r="C76" s="490"/>
      <c r="E76" s="491"/>
      <c r="G76" s="65"/>
    </row>
    <row r="77" spans="2:7" ht="14.25" customHeight="1" x14ac:dyDescent="0.3">
      <c r="B77" s="489"/>
      <c r="C77" s="490"/>
      <c r="E77" s="491"/>
      <c r="G77" s="65"/>
    </row>
    <row r="78" spans="2:7" ht="14.25" customHeight="1" x14ac:dyDescent="0.3">
      <c r="B78" s="489"/>
      <c r="C78" s="490"/>
      <c r="E78" s="491"/>
      <c r="G78" s="65"/>
    </row>
    <row r="79" spans="2:7" ht="14.25" customHeight="1" x14ac:dyDescent="0.3">
      <c r="B79" s="489"/>
      <c r="C79" s="490"/>
      <c r="E79" s="491"/>
      <c r="G79" s="65"/>
    </row>
    <row r="80" spans="2:7" ht="14.25" customHeight="1" x14ac:dyDescent="0.3">
      <c r="B80" s="489"/>
      <c r="C80" s="490"/>
      <c r="E80" s="491"/>
      <c r="G80" s="65"/>
    </row>
    <row r="81" spans="2:7" ht="14.25" customHeight="1" x14ac:dyDescent="0.3">
      <c r="B81" s="489"/>
      <c r="C81" s="490"/>
      <c r="E81" s="491"/>
      <c r="G81" s="65"/>
    </row>
    <row r="82" spans="2:7" ht="14.25" customHeight="1" x14ac:dyDescent="0.3">
      <c r="B82" s="489"/>
      <c r="C82" s="490"/>
      <c r="E82" s="491"/>
      <c r="G82" s="65"/>
    </row>
    <row r="83" spans="2:7" ht="14.25" customHeight="1" x14ac:dyDescent="0.3">
      <c r="B83" s="489"/>
      <c r="C83" s="490"/>
      <c r="E83" s="491"/>
      <c r="G83" s="65"/>
    </row>
    <row r="84" spans="2:7" ht="14.25" customHeight="1" x14ac:dyDescent="0.3">
      <c r="B84" s="489"/>
      <c r="C84" s="490"/>
      <c r="E84" s="491"/>
      <c r="G84" s="65"/>
    </row>
    <row r="85" spans="2:7" ht="14.25" customHeight="1" x14ac:dyDescent="0.3">
      <c r="B85" s="489"/>
      <c r="C85" s="490"/>
      <c r="E85" s="491"/>
      <c r="G85" s="65"/>
    </row>
    <row r="86" spans="2:7" ht="14.25" customHeight="1" x14ac:dyDescent="0.3">
      <c r="B86" s="489"/>
      <c r="C86" s="490"/>
      <c r="E86" s="491"/>
      <c r="G86" s="65"/>
    </row>
    <row r="87" spans="2:7" ht="14.25" customHeight="1" x14ac:dyDescent="0.3">
      <c r="B87" s="489"/>
      <c r="C87" s="490"/>
      <c r="E87" s="491"/>
      <c r="G87" s="65"/>
    </row>
    <row r="88" spans="2:7" ht="14.25" customHeight="1" x14ac:dyDescent="0.3">
      <c r="B88" s="489"/>
      <c r="C88" s="490"/>
      <c r="E88" s="491"/>
      <c r="G88" s="65"/>
    </row>
    <row r="89" spans="2:7" ht="14.25" customHeight="1" x14ac:dyDescent="0.3">
      <c r="B89" s="489"/>
      <c r="C89" s="490"/>
      <c r="E89" s="491"/>
      <c r="G89" s="65"/>
    </row>
    <row r="90" spans="2:7" ht="14.25" customHeight="1" x14ac:dyDescent="0.3">
      <c r="B90" s="489"/>
      <c r="C90" s="490"/>
      <c r="E90" s="491"/>
      <c r="G90" s="65"/>
    </row>
    <row r="91" spans="2:7" ht="14.25" customHeight="1" x14ac:dyDescent="0.3">
      <c r="B91" s="489"/>
      <c r="C91" s="490"/>
      <c r="E91" s="491"/>
      <c r="G91" s="65"/>
    </row>
    <row r="92" spans="2:7" ht="14.25" customHeight="1" x14ac:dyDescent="0.3">
      <c r="B92" s="489"/>
      <c r="C92" s="490"/>
      <c r="E92" s="491"/>
      <c r="G92" s="65"/>
    </row>
    <row r="93" spans="2:7" ht="14.25" customHeight="1" x14ac:dyDescent="0.3">
      <c r="B93" s="489"/>
      <c r="C93" s="490"/>
      <c r="E93" s="491"/>
      <c r="G93" s="65"/>
    </row>
    <row r="94" spans="2:7" ht="14.25" customHeight="1" x14ac:dyDescent="0.3">
      <c r="B94" s="489"/>
      <c r="C94" s="490"/>
      <c r="E94" s="491"/>
      <c r="G94" s="65"/>
    </row>
    <row r="95" spans="2:7" ht="14.25" customHeight="1" x14ac:dyDescent="0.3">
      <c r="B95" s="489"/>
      <c r="C95" s="490"/>
      <c r="E95" s="491"/>
      <c r="G95" s="65"/>
    </row>
    <row r="96" spans="2:7" ht="14.25" customHeight="1" x14ac:dyDescent="0.3">
      <c r="B96" s="489"/>
      <c r="C96" s="490"/>
      <c r="E96" s="491"/>
      <c r="G96" s="65"/>
    </row>
    <row r="97" spans="2:7" ht="14.25" customHeight="1" x14ac:dyDescent="0.3">
      <c r="B97" s="489"/>
      <c r="C97" s="490"/>
      <c r="E97" s="491"/>
      <c r="G97" s="65"/>
    </row>
    <row r="98" spans="2:7" ht="14.25" customHeight="1" x14ac:dyDescent="0.3">
      <c r="B98" s="489"/>
      <c r="C98" s="490"/>
      <c r="E98" s="491"/>
      <c r="G98" s="65"/>
    </row>
    <row r="99" spans="2:7" ht="14.25" customHeight="1" x14ac:dyDescent="0.3">
      <c r="B99" s="489"/>
      <c r="C99" s="490"/>
      <c r="E99" s="491"/>
      <c r="G99" s="65"/>
    </row>
    <row r="100" spans="2:7" ht="14.25" customHeight="1" x14ac:dyDescent="0.3">
      <c r="B100" s="489"/>
      <c r="C100" s="490"/>
      <c r="E100" s="491"/>
      <c r="G100" s="65"/>
    </row>
    <row r="101" spans="2:7" ht="14.25" customHeight="1" x14ac:dyDescent="0.3">
      <c r="B101" s="489"/>
      <c r="C101" s="490"/>
      <c r="E101" s="491"/>
      <c r="G101" s="65"/>
    </row>
    <row r="102" spans="2:7" ht="14.25" customHeight="1" x14ac:dyDescent="0.3">
      <c r="B102" s="489"/>
      <c r="C102" s="490"/>
      <c r="E102" s="491"/>
      <c r="G102" s="65"/>
    </row>
    <row r="103" spans="2:7" ht="14.25" customHeight="1" x14ac:dyDescent="0.3">
      <c r="B103" s="489"/>
      <c r="C103" s="490"/>
      <c r="E103" s="491"/>
      <c r="G103" s="65"/>
    </row>
    <row r="104" spans="2:7" ht="14.25" customHeight="1" x14ac:dyDescent="0.3">
      <c r="B104" s="489"/>
      <c r="C104" s="490"/>
      <c r="E104" s="491"/>
      <c r="G104" s="65"/>
    </row>
    <row r="105" spans="2:7" ht="14.25" customHeight="1" x14ac:dyDescent="0.3">
      <c r="B105" s="489"/>
      <c r="C105" s="490"/>
      <c r="E105" s="491"/>
      <c r="G105" s="65"/>
    </row>
    <row r="106" spans="2:7" ht="14.25" customHeight="1" x14ac:dyDescent="0.3">
      <c r="B106" s="489"/>
      <c r="C106" s="490"/>
      <c r="E106" s="491"/>
      <c r="G106" s="65"/>
    </row>
    <row r="107" spans="2:7" ht="14.25" customHeight="1" x14ac:dyDescent="0.3">
      <c r="B107" s="489"/>
      <c r="C107" s="490"/>
      <c r="E107" s="491"/>
      <c r="G107" s="65"/>
    </row>
    <row r="108" spans="2:7" ht="14.25" customHeight="1" x14ac:dyDescent="0.3">
      <c r="B108" s="489"/>
      <c r="C108" s="490"/>
      <c r="E108" s="491"/>
      <c r="G108" s="65"/>
    </row>
    <row r="109" spans="2:7" ht="14.25" customHeight="1" x14ac:dyDescent="0.3">
      <c r="B109" s="489"/>
      <c r="C109" s="490"/>
      <c r="E109" s="491"/>
      <c r="G109" s="65"/>
    </row>
    <row r="110" spans="2:7" ht="14.25" customHeight="1" x14ac:dyDescent="0.3">
      <c r="B110" s="489"/>
      <c r="C110" s="490"/>
      <c r="E110" s="491"/>
      <c r="G110" s="65"/>
    </row>
    <row r="111" spans="2:7" ht="14.25" customHeight="1" x14ac:dyDescent="0.3">
      <c r="B111" s="489"/>
      <c r="C111" s="490"/>
      <c r="E111" s="491"/>
      <c r="G111" s="65"/>
    </row>
    <row r="112" spans="2:7" ht="14.25" customHeight="1" x14ac:dyDescent="0.3">
      <c r="B112" s="489"/>
      <c r="C112" s="490"/>
      <c r="E112" s="491"/>
      <c r="G112" s="65"/>
    </row>
    <row r="113" spans="2:7" ht="14.25" customHeight="1" x14ac:dyDescent="0.3">
      <c r="B113" s="489"/>
      <c r="C113" s="490"/>
      <c r="E113" s="491"/>
      <c r="G113" s="65"/>
    </row>
    <row r="114" spans="2:7" ht="14.25" customHeight="1" x14ac:dyDescent="0.3">
      <c r="B114" s="489"/>
      <c r="C114" s="490"/>
      <c r="E114" s="491"/>
      <c r="G114" s="65"/>
    </row>
    <row r="115" spans="2:7" ht="14.25" customHeight="1" x14ac:dyDescent="0.3">
      <c r="B115" s="489"/>
      <c r="C115" s="490"/>
      <c r="E115" s="491"/>
      <c r="G115" s="65"/>
    </row>
    <row r="116" spans="2:7" ht="14.25" customHeight="1" x14ac:dyDescent="0.3">
      <c r="B116" s="489"/>
      <c r="C116" s="490"/>
      <c r="E116" s="491"/>
      <c r="G116" s="65"/>
    </row>
    <row r="117" spans="2:7" ht="14.25" customHeight="1" x14ac:dyDescent="0.3">
      <c r="B117" s="489"/>
      <c r="C117" s="490"/>
      <c r="E117" s="491"/>
      <c r="G117" s="65"/>
    </row>
    <row r="118" spans="2:7" ht="14.25" customHeight="1" x14ac:dyDescent="0.3">
      <c r="B118" s="489"/>
      <c r="C118" s="490"/>
      <c r="E118" s="491"/>
      <c r="G118" s="65"/>
    </row>
    <row r="119" spans="2:7" ht="14.25" customHeight="1" x14ac:dyDescent="0.3">
      <c r="B119" s="489"/>
      <c r="C119" s="490"/>
      <c r="E119" s="491"/>
      <c r="G119" s="65"/>
    </row>
    <row r="120" spans="2:7" ht="14.25" customHeight="1" x14ac:dyDescent="0.3">
      <c r="B120" s="489"/>
      <c r="C120" s="490"/>
      <c r="E120" s="491"/>
      <c r="G120" s="65"/>
    </row>
    <row r="121" spans="2:7" ht="14.25" customHeight="1" x14ac:dyDescent="0.3">
      <c r="B121" s="489"/>
      <c r="C121" s="490"/>
      <c r="E121" s="491"/>
      <c r="G121" s="65"/>
    </row>
    <row r="122" spans="2:7" ht="14.25" customHeight="1" x14ac:dyDescent="0.3">
      <c r="B122" s="489"/>
      <c r="C122" s="490"/>
      <c r="E122" s="491"/>
      <c r="G122" s="65"/>
    </row>
    <row r="123" spans="2:7" ht="14.25" customHeight="1" x14ac:dyDescent="0.3">
      <c r="B123" s="489"/>
      <c r="C123" s="490"/>
      <c r="E123" s="491"/>
      <c r="G123" s="65"/>
    </row>
    <row r="124" spans="2:7" ht="14.25" customHeight="1" x14ac:dyDescent="0.3">
      <c r="B124" s="489"/>
      <c r="C124" s="490"/>
      <c r="E124" s="491"/>
      <c r="G124" s="65"/>
    </row>
    <row r="125" spans="2:7" ht="14.25" customHeight="1" x14ac:dyDescent="0.3">
      <c r="B125" s="489"/>
      <c r="C125" s="490"/>
      <c r="E125" s="491"/>
      <c r="G125" s="65"/>
    </row>
    <row r="126" spans="2:7" ht="14.25" customHeight="1" x14ac:dyDescent="0.3">
      <c r="B126" s="489"/>
      <c r="C126" s="490"/>
      <c r="E126" s="491"/>
      <c r="G126" s="65"/>
    </row>
    <row r="127" spans="2:7" ht="14.25" customHeight="1" x14ac:dyDescent="0.3">
      <c r="B127" s="489"/>
      <c r="C127" s="490"/>
      <c r="E127" s="491"/>
      <c r="G127" s="65"/>
    </row>
    <row r="128" spans="2:7" ht="14.25" customHeight="1" x14ac:dyDescent="0.3">
      <c r="B128" s="489"/>
      <c r="C128" s="490"/>
      <c r="E128" s="491"/>
      <c r="G128" s="65"/>
    </row>
    <row r="129" spans="2:7" ht="14.25" customHeight="1" x14ac:dyDescent="0.3">
      <c r="B129" s="489"/>
      <c r="C129" s="490"/>
      <c r="E129" s="491"/>
      <c r="G129" s="65"/>
    </row>
    <row r="130" spans="2:7" ht="14.25" customHeight="1" x14ac:dyDescent="0.3">
      <c r="B130" s="489"/>
      <c r="C130" s="490"/>
      <c r="E130" s="491"/>
      <c r="G130" s="65"/>
    </row>
    <row r="131" spans="2:7" ht="14.25" customHeight="1" x14ac:dyDescent="0.3">
      <c r="B131" s="489"/>
      <c r="C131" s="490"/>
      <c r="E131" s="491"/>
      <c r="G131" s="65"/>
    </row>
    <row r="132" spans="2:7" ht="14.25" customHeight="1" x14ac:dyDescent="0.3">
      <c r="B132" s="489"/>
      <c r="C132" s="490"/>
      <c r="E132" s="491"/>
      <c r="G132" s="65"/>
    </row>
    <row r="133" spans="2:7" ht="14.25" customHeight="1" x14ac:dyDescent="0.3">
      <c r="B133" s="489"/>
      <c r="C133" s="490"/>
      <c r="E133" s="491"/>
      <c r="G133" s="65"/>
    </row>
    <row r="134" spans="2:7" ht="14.25" customHeight="1" x14ac:dyDescent="0.3">
      <c r="B134" s="489"/>
      <c r="C134" s="490"/>
      <c r="E134" s="491"/>
      <c r="G134" s="65"/>
    </row>
    <row r="135" spans="2:7" ht="14.25" customHeight="1" x14ac:dyDescent="0.3">
      <c r="B135" s="489"/>
      <c r="C135" s="490"/>
      <c r="E135" s="491"/>
      <c r="G135" s="65"/>
    </row>
    <row r="136" spans="2:7" ht="14.25" customHeight="1" x14ac:dyDescent="0.3">
      <c r="B136" s="489"/>
      <c r="C136" s="490"/>
      <c r="E136" s="491"/>
      <c r="G136" s="65"/>
    </row>
    <row r="137" spans="2:7" ht="14.25" customHeight="1" x14ac:dyDescent="0.3">
      <c r="B137" s="489"/>
      <c r="C137" s="490"/>
      <c r="E137" s="491"/>
      <c r="G137" s="65"/>
    </row>
    <row r="138" spans="2:7" ht="14.25" customHeight="1" x14ac:dyDescent="0.3">
      <c r="B138" s="489"/>
      <c r="C138" s="490"/>
      <c r="E138" s="491"/>
      <c r="G138" s="65"/>
    </row>
    <row r="139" spans="2:7" ht="14.25" customHeight="1" x14ac:dyDescent="0.3">
      <c r="B139" s="489"/>
      <c r="C139" s="490"/>
      <c r="E139" s="491"/>
      <c r="G139" s="65"/>
    </row>
    <row r="140" spans="2:7" ht="14.25" customHeight="1" x14ac:dyDescent="0.3">
      <c r="B140" s="489"/>
      <c r="C140" s="490"/>
      <c r="E140" s="491"/>
      <c r="G140" s="65"/>
    </row>
    <row r="141" spans="2:7" ht="14.25" customHeight="1" x14ac:dyDescent="0.3">
      <c r="B141" s="489"/>
      <c r="C141" s="490"/>
      <c r="E141" s="491"/>
      <c r="G141" s="65"/>
    </row>
    <row r="142" spans="2:7" ht="14.25" customHeight="1" x14ac:dyDescent="0.3">
      <c r="B142" s="489"/>
      <c r="C142" s="490"/>
      <c r="E142" s="491"/>
      <c r="G142" s="65"/>
    </row>
    <row r="143" spans="2:7" ht="14.25" customHeight="1" x14ac:dyDescent="0.3">
      <c r="B143" s="489"/>
      <c r="C143" s="490"/>
      <c r="E143" s="491"/>
      <c r="G143" s="65"/>
    </row>
    <row r="144" spans="2:7" ht="14.25" customHeight="1" x14ac:dyDescent="0.3">
      <c r="B144" s="489"/>
      <c r="C144" s="490"/>
      <c r="E144" s="491"/>
      <c r="G144" s="65"/>
    </row>
    <row r="145" spans="2:7" ht="14.25" customHeight="1" x14ac:dyDescent="0.3">
      <c r="B145" s="489"/>
      <c r="C145" s="490"/>
      <c r="E145" s="491"/>
      <c r="G145" s="65"/>
    </row>
    <row r="146" spans="2:7" ht="14.25" customHeight="1" x14ac:dyDescent="0.3">
      <c r="B146" s="489"/>
      <c r="C146" s="490"/>
      <c r="E146" s="491"/>
      <c r="G146" s="65"/>
    </row>
    <row r="147" spans="2:7" ht="14.25" customHeight="1" x14ac:dyDescent="0.3">
      <c r="B147" s="489"/>
      <c r="C147" s="490"/>
      <c r="E147" s="491"/>
      <c r="G147" s="65"/>
    </row>
    <row r="148" spans="2:7" ht="14.25" customHeight="1" x14ac:dyDescent="0.3">
      <c r="B148" s="489"/>
      <c r="C148" s="490"/>
      <c r="E148" s="491"/>
      <c r="G148" s="65"/>
    </row>
    <row r="149" spans="2:7" ht="14.25" customHeight="1" x14ac:dyDescent="0.3">
      <c r="B149" s="489"/>
      <c r="C149" s="490"/>
      <c r="E149" s="491"/>
      <c r="G149" s="65"/>
    </row>
    <row r="150" spans="2:7" ht="14.25" customHeight="1" x14ac:dyDescent="0.3">
      <c r="B150" s="489"/>
      <c r="C150" s="490"/>
      <c r="E150" s="491"/>
      <c r="G150" s="65"/>
    </row>
    <row r="151" spans="2:7" ht="14.25" customHeight="1" x14ac:dyDescent="0.3">
      <c r="B151" s="489"/>
      <c r="C151" s="490"/>
      <c r="E151" s="491"/>
      <c r="G151" s="65"/>
    </row>
    <row r="152" spans="2:7" ht="14.25" customHeight="1" x14ac:dyDescent="0.3">
      <c r="B152" s="489"/>
      <c r="C152" s="490"/>
      <c r="E152" s="491"/>
      <c r="G152" s="65"/>
    </row>
    <row r="153" spans="2:7" ht="14.25" customHeight="1" x14ac:dyDescent="0.3">
      <c r="B153" s="489"/>
      <c r="C153" s="490"/>
      <c r="E153" s="491"/>
      <c r="G153" s="65"/>
    </row>
    <row r="154" spans="2:7" ht="14.25" customHeight="1" x14ac:dyDescent="0.3">
      <c r="B154" s="489"/>
      <c r="C154" s="490"/>
      <c r="E154" s="491"/>
      <c r="G154" s="65"/>
    </row>
    <row r="155" spans="2:7" ht="14.25" customHeight="1" x14ac:dyDescent="0.3">
      <c r="B155" s="489"/>
      <c r="C155" s="490"/>
      <c r="E155" s="491"/>
      <c r="G155" s="65"/>
    </row>
    <row r="156" spans="2:7" ht="14.25" customHeight="1" x14ac:dyDescent="0.3">
      <c r="B156" s="489"/>
      <c r="C156" s="490"/>
      <c r="E156" s="491"/>
      <c r="G156" s="65"/>
    </row>
    <row r="157" spans="2:7" ht="14.25" customHeight="1" x14ac:dyDescent="0.3">
      <c r="B157" s="489"/>
      <c r="C157" s="490"/>
      <c r="E157" s="491"/>
      <c r="G157" s="65"/>
    </row>
    <row r="158" spans="2:7" ht="14.25" customHeight="1" x14ac:dyDescent="0.3">
      <c r="B158" s="489"/>
      <c r="C158" s="490"/>
      <c r="E158" s="491"/>
      <c r="G158" s="65"/>
    </row>
    <row r="159" spans="2:7" ht="14.25" customHeight="1" x14ac:dyDescent="0.3">
      <c r="B159" s="489"/>
      <c r="C159" s="490"/>
      <c r="E159" s="491"/>
      <c r="G159" s="65"/>
    </row>
    <row r="160" spans="2:7" ht="14.25" customHeight="1" x14ac:dyDescent="0.3">
      <c r="B160" s="489"/>
      <c r="C160" s="490"/>
      <c r="E160" s="491"/>
      <c r="G160" s="65"/>
    </row>
    <row r="161" spans="2:7" ht="14.25" customHeight="1" x14ac:dyDescent="0.3">
      <c r="B161" s="489"/>
      <c r="C161" s="490"/>
      <c r="E161" s="491"/>
      <c r="G161" s="65"/>
    </row>
    <row r="162" spans="2:7" ht="14.25" customHeight="1" x14ac:dyDescent="0.3">
      <c r="B162" s="489"/>
      <c r="C162" s="490"/>
      <c r="E162" s="491"/>
      <c r="G162" s="65"/>
    </row>
    <row r="163" spans="2:7" ht="14.25" customHeight="1" x14ac:dyDescent="0.3">
      <c r="B163" s="489"/>
      <c r="C163" s="490"/>
      <c r="E163" s="491"/>
      <c r="G163" s="65"/>
    </row>
    <row r="164" spans="2:7" ht="14.25" customHeight="1" x14ac:dyDescent="0.3">
      <c r="B164" s="489"/>
      <c r="C164" s="490"/>
      <c r="E164" s="491"/>
      <c r="G164" s="65"/>
    </row>
    <row r="165" spans="2:7" ht="14.25" customHeight="1" x14ac:dyDescent="0.3">
      <c r="B165" s="489"/>
      <c r="C165" s="490"/>
      <c r="E165" s="491"/>
      <c r="G165" s="65"/>
    </row>
    <row r="166" spans="2:7" ht="14.25" customHeight="1" x14ac:dyDescent="0.3">
      <c r="B166" s="489"/>
      <c r="C166" s="490"/>
      <c r="E166" s="491"/>
      <c r="G166" s="65"/>
    </row>
    <row r="167" spans="2:7" ht="14.25" customHeight="1" x14ac:dyDescent="0.3">
      <c r="B167" s="489"/>
      <c r="C167" s="490"/>
      <c r="E167" s="491"/>
      <c r="G167" s="65"/>
    </row>
    <row r="168" spans="2:7" ht="14.25" customHeight="1" x14ac:dyDescent="0.3">
      <c r="B168" s="489"/>
      <c r="C168" s="490"/>
      <c r="E168" s="491"/>
      <c r="G168" s="65"/>
    </row>
    <row r="169" spans="2:7" ht="14.25" customHeight="1" x14ac:dyDescent="0.3">
      <c r="B169" s="489"/>
      <c r="C169" s="490"/>
      <c r="E169" s="491"/>
      <c r="G169" s="65"/>
    </row>
    <row r="170" spans="2:7" ht="14.25" customHeight="1" x14ac:dyDescent="0.3">
      <c r="B170" s="489"/>
      <c r="C170" s="490"/>
      <c r="E170" s="491"/>
      <c r="G170" s="65"/>
    </row>
    <row r="171" spans="2:7" ht="14.25" customHeight="1" x14ac:dyDescent="0.3">
      <c r="B171" s="489"/>
      <c r="C171" s="490"/>
      <c r="E171" s="491"/>
      <c r="G171" s="65"/>
    </row>
    <row r="172" spans="2:7" ht="14.25" customHeight="1" x14ac:dyDescent="0.3">
      <c r="B172" s="489"/>
      <c r="C172" s="490"/>
      <c r="E172" s="491"/>
      <c r="G172" s="65"/>
    </row>
    <row r="173" spans="2:7" ht="14.25" customHeight="1" x14ac:dyDescent="0.3">
      <c r="B173" s="489"/>
      <c r="C173" s="490"/>
      <c r="E173" s="491"/>
      <c r="G173" s="65"/>
    </row>
    <row r="174" spans="2:7" ht="14.25" customHeight="1" x14ac:dyDescent="0.3">
      <c r="B174" s="489"/>
      <c r="C174" s="490"/>
      <c r="E174" s="491"/>
      <c r="G174" s="65"/>
    </row>
    <row r="175" spans="2:7" ht="14.25" customHeight="1" x14ac:dyDescent="0.3">
      <c r="B175" s="489"/>
      <c r="C175" s="490"/>
      <c r="E175" s="491"/>
      <c r="G175" s="65"/>
    </row>
    <row r="176" spans="2:7" ht="14.25" customHeight="1" x14ac:dyDescent="0.3">
      <c r="B176" s="489"/>
      <c r="C176" s="490"/>
      <c r="E176" s="491"/>
      <c r="G176" s="65"/>
    </row>
    <row r="177" spans="2:7" ht="14.25" customHeight="1" x14ac:dyDescent="0.3">
      <c r="B177" s="489"/>
      <c r="C177" s="490"/>
      <c r="E177" s="491"/>
      <c r="G177" s="65"/>
    </row>
    <row r="178" spans="2:7" ht="14.25" customHeight="1" x14ac:dyDescent="0.3">
      <c r="B178" s="489"/>
      <c r="C178" s="490"/>
      <c r="E178" s="491"/>
      <c r="G178" s="65"/>
    </row>
    <row r="179" spans="2:7" ht="14.25" customHeight="1" x14ac:dyDescent="0.3">
      <c r="B179" s="489"/>
      <c r="C179" s="490"/>
      <c r="E179" s="491"/>
      <c r="G179" s="65"/>
    </row>
    <row r="180" spans="2:7" ht="14.25" customHeight="1" x14ac:dyDescent="0.3">
      <c r="B180" s="489"/>
      <c r="C180" s="490"/>
      <c r="E180" s="491"/>
      <c r="G180" s="65"/>
    </row>
    <row r="181" spans="2:7" ht="14.25" customHeight="1" x14ac:dyDescent="0.3">
      <c r="B181" s="489"/>
      <c r="C181" s="490"/>
      <c r="E181" s="491"/>
      <c r="G181" s="65"/>
    </row>
    <row r="182" spans="2:7" ht="14.25" customHeight="1" x14ac:dyDescent="0.3">
      <c r="B182" s="489"/>
      <c r="C182" s="490"/>
      <c r="E182" s="491"/>
      <c r="G182" s="65"/>
    </row>
    <row r="183" spans="2:7" ht="14.25" customHeight="1" x14ac:dyDescent="0.3">
      <c r="B183" s="489"/>
      <c r="C183" s="490"/>
      <c r="E183" s="491"/>
      <c r="G183" s="65"/>
    </row>
    <row r="184" spans="2:7" ht="14.25" customHeight="1" x14ac:dyDescent="0.3">
      <c r="B184" s="489"/>
      <c r="C184" s="490"/>
      <c r="E184" s="491"/>
      <c r="G184" s="65"/>
    </row>
    <row r="185" spans="2:7" ht="14.25" customHeight="1" x14ac:dyDescent="0.3">
      <c r="B185" s="489"/>
      <c r="C185" s="490"/>
      <c r="E185" s="491"/>
      <c r="G185" s="65"/>
    </row>
    <row r="186" spans="2:7" ht="14.25" customHeight="1" x14ac:dyDescent="0.3">
      <c r="B186" s="489"/>
      <c r="C186" s="490"/>
      <c r="E186" s="491"/>
      <c r="G186" s="65"/>
    </row>
    <row r="187" spans="2:7" ht="14.25" customHeight="1" x14ac:dyDescent="0.3">
      <c r="B187" s="489"/>
      <c r="C187" s="490"/>
      <c r="E187" s="491"/>
      <c r="G187" s="65"/>
    </row>
    <row r="188" spans="2:7" ht="14.25" customHeight="1" x14ac:dyDescent="0.3">
      <c r="B188" s="489"/>
      <c r="C188" s="490"/>
      <c r="E188" s="491"/>
      <c r="G188" s="65"/>
    </row>
    <row r="189" spans="2:7" ht="14.25" customHeight="1" x14ac:dyDescent="0.3">
      <c r="B189" s="489"/>
      <c r="C189" s="490"/>
      <c r="E189" s="491"/>
      <c r="G189" s="65"/>
    </row>
    <row r="190" spans="2:7" ht="14.25" customHeight="1" x14ac:dyDescent="0.3">
      <c r="B190" s="489"/>
      <c r="C190" s="490"/>
      <c r="E190" s="491"/>
      <c r="G190" s="65"/>
    </row>
    <row r="191" spans="2:7" ht="14.25" customHeight="1" x14ac:dyDescent="0.3">
      <c r="B191" s="489"/>
      <c r="C191" s="490"/>
      <c r="E191" s="491"/>
      <c r="G191" s="65"/>
    </row>
    <row r="192" spans="2:7" ht="14.25" customHeight="1" x14ac:dyDescent="0.3">
      <c r="B192" s="489"/>
      <c r="C192" s="490"/>
      <c r="E192" s="491"/>
      <c r="G192" s="65"/>
    </row>
    <row r="193" spans="2:7" ht="14.25" customHeight="1" x14ac:dyDescent="0.3">
      <c r="B193" s="489"/>
      <c r="C193" s="490"/>
      <c r="E193" s="491"/>
      <c r="G193" s="65"/>
    </row>
    <row r="194" spans="2:7" ht="14.25" customHeight="1" x14ac:dyDescent="0.3">
      <c r="B194" s="489"/>
      <c r="C194" s="490"/>
      <c r="E194" s="491"/>
      <c r="G194" s="65"/>
    </row>
    <row r="195" spans="2:7" ht="14.25" customHeight="1" x14ac:dyDescent="0.3">
      <c r="B195" s="489"/>
      <c r="C195" s="490"/>
      <c r="E195" s="491"/>
      <c r="G195" s="65"/>
    </row>
    <row r="196" spans="2:7" ht="14.25" customHeight="1" x14ac:dyDescent="0.3">
      <c r="B196" s="489"/>
      <c r="C196" s="490"/>
      <c r="E196" s="491"/>
      <c r="G196" s="65"/>
    </row>
    <row r="197" spans="2:7" ht="14.25" customHeight="1" x14ac:dyDescent="0.3">
      <c r="B197" s="489"/>
      <c r="C197" s="490"/>
      <c r="E197" s="491"/>
      <c r="G197" s="65"/>
    </row>
    <row r="198" spans="2:7" ht="14.25" customHeight="1" x14ac:dyDescent="0.3">
      <c r="B198" s="489"/>
      <c r="C198" s="490"/>
      <c r="E198" s="491"/>
      <c r="G198" s="65"/>
    </row>
    <row r="199" spans="2:7" ht="14.25" customHeight="1" x14ac:dyDescent="0.3">
      <c r="B199" s="489"/>
      <c r="C199" s="490"/>
      <c r="E199" s="491"/>
      <c r="G199" s="65"/>
    </row>
    <row r="200" spans="2:7" ht="14.25" customHeight="1" x14ac:dyDescent="0.3">
      <c r="B200" s="489"/>
      <c r="C200" s="490"/>
      <c r="E200" s="491"/>
      <c r="G200" s="65"/>
    </row>
    <row r="201" spans="2:7" ht="14.25" customHeight="1" x14ac:dyDescent="0.3">
      <c r="B201" s="489"/>
      <c r="C201" s="490"/>
      <c r="E201" s="491"/>
      <c r="G201" s="65"/>
    </row>
    <row r="202" spans="2:7" ht="14.25" customHeight="1" x14ac:dyDescent="0.3">
      <c r="B202" s="489"/>
      <c r="C202" s="490"/>
      <c r="E202" s="491"/>
      <c r="G202" s="65"/>
    </row>
    <row r="203" spans="2:7" ht="14.25" customHeight="1" x14ac:dyDescent="0.3">
      <c r="B203" s="489"/>
      <c r="C203" s="490"/>
      <c r="E203" s="491"/>
      <c r="G203" s="65"/>
    </row>
    <row r="204" spans="2:7" ht="14.25" customHeight="1" x14ac:dyDescent="0.3">
      <c r="B204" s="489"/>
      <c r="C204" s="490"/>
      <c r="E204" s="491"/>
      <c r="G204" s="65"/>
    </row>
    <row r="205" spans="2:7" ht="14.25" customHeight="1" x14ac:dyDescent="0.3">
      <c r="B205" s="489"/>
      <c r="C205" s="490"/>
      <c r="E205" s="491"/>
      <c r="G205" s="65"/>
    </row>
    <row r="206" spans="2:7" ht="14.25" customHeight="1" x14ac:dyDescent="0.3">
      <c r="B206" s="489"/>
      <c r="C206" s="490"/>
      <c r="E206" s="491"/>
      <c r="G206" s="65"/>
    </row>
    <row r="207" spans="2:7" ht="14.25" customHeight="1" x14ac:dyDescent="0.3">
      <c r="B207" s="489"/>
      <c r="C207" s="490"/>
      <c r="E207" s="491"/>
      <c r="G207" s="65"/>
    </row>
    <row r="208" spans="2:7" ht="14.25" customHeight="1" x14ac:dyDescent="0.3">
      <c r="B208" s="489"/>
      <c r="C208" s="490"/>
      <c r="E208" s="491"/>
      <c r="G208" s="65"/>
    </row>
    <row r="209" spans="2:7" ht="14.25" customHeight="1" x14ac:dyDescent="0.3">
      <c r="B209" s="489"/>
      <c r="C209" s="490"/>
      <c r="E209" s="491"/>
      <c r="G209" s="65"/>
    </row>
    <row r="210" spans="2:7" ht="14.25" customHeight="1" x14ac:dyDescent="0.3">
      <c r="B210" s="489"/>
      <c r="C210" s="490"/>
      <c r="E210" s="491"/>
      <c r="G210" s="65"/>
    </row>
    <row r="211" spans="2:7" ht="14.25" customHeight="1" x14ac:dyDescent="0.3">
      <c r="B211" s="489"/>
      <c r="C211" s="490"/>
      <c r="E211" s="491"/>
      <c r="G211" s="65"/>
    </row>
    <row r="212" spans="2:7" ht="14.25" customHeight="1" x14ac:dyDescent="0.3">
      <c r="B212" s="489"/>
      <c r="C212" s="490"/>
      <c r="E212" s="491"/>
      <c r="G212" s="65"/>
    </row>
    <row r="213" spans="2:7" ht="14.25" customHeight="1" x14ac:dyDescent="0.3">
      <c r="B213" s="489"/>
      <c r="C213" s="490"/>
      <c r="E213" s="491"/>
      <c r="G213" s="65"/>
    </row>
    <row r="214" spans="2:7" ht="14.25" customHeight="1" x14ac:dyDescent="0.3">
      <c r="B214" s="489"/>
      <c r="C214" s="490"/>
      <c r="E214" s="491"/>
      <c r="G214" s="65"/>
    </row>
    <row r="215" spans="2:7" ht="14.25" customHeight="1" x14ac:dyDescent="0.3">
      <c r="B215" s="489"/>
      <c r="C215" s="490"/>
      <c r="E215" s="491"/>
      <c r="G215" s="65"/>
    </row>
    <row r="216" spans="2:7" ht="14.25" customHeight="1" x14ac:dyDescent="0.3">
      <c r="B216" s="489"/>
      <c r="C216" s="490"/>
      <c r="E216" s="491"/>
      <c r="G216" s="65"/>
    </row>
    <row r="217" spans="2:7" ht="14.25" customHeight="1" x14ac:dyDescent="0.3">
      <c r="B217" s="489"/>
      <c r="C217" s="490"/>
      <c r="E217" s="491"/>
      <c r="G217" s="65"/>
    </row>
    <row r="218" spans="2:7" ht="14.25" customHeight="1" x14ac:dyDescent="0.3">
      <c r="B218" s="489"/>
      <c r="C218" s="490"/>
      <c r="E218" s="491"/>
      <c r="G218" s="65"/>
    </row>
    <row r="219" spans="2:7" ht="14.25" customHeight="1" x14ac:dyDescent="0.3">
      <c r="B219" s="489"/>
      <c r="C219" s="490"/>
      <c r="E219" s="491"/>
      <c r="G219" s="65"/>
    </row>
    <row r="220" spans="2:7" ht="14.25" customHeight="1" x14ac:dyDescent="0.3">
      <c r="B220" s="489"/>
      <c r="C220" s="490"/>
      <c r="E220" s="491"/>
      <c r="G220" s="65"/>
    </row>
    <row r="221" spans="2:7" ht="14.25" customHeight="1" x14ac:dyDescent="0.3">
      <c r="B221" s="489"/>
      <c r="C221" s="490"/>
      <c r="E221" s="491"/>
      <c r="G221" s="65"/>
    </row>
    <row r="222" spans="2:7" ht="14.25" customHeight="1" x14ac:dyDescent="0.3">
      <c r="B222" s="489"/>
      <c r="C222" s="490"/>
      <c r="E222" s="491"/>
      <c r="G222" s="65"/>
    </row>
    <row r="223" spans="2:7" ht="14.25" customHeight="1" x14ac:dyDescent="0.3">
      <c r="B223" s="489"/>
      <c r="C223" s="490"/>
      <c r="E223" s="491"/>
      <c r="G223" s="65"/>
    </row>
    <row r="224" spans="2:7" ht="14.25" customHeight="1" x14ac:dyDescent="0.3">
      <c r="B224" s="489"/>
      <c r="C224" s="490"/>
      <c r="E224" s="491"/>
      <c r="G224" s="65"/>
    </row>
    <row r="225" spans="2:7" ht="14.25" customHeight="1" x14ac:dyDescent="0.3">
      <c r="B225" s="489"/>
      <c r="C225" s="490"/>
      <c r="E225" s="491"/>
      <c r="G225" s="65"/>
    </row>
    <row r="226" spans="2:7" ht="14.25" customHeight="1" x14ac:dyDescent="0.3">
      <c r="B226" s="489"/>
      <c r="C226" s="490"/>
      <c r="E226" s="491"/>
      <c r="G226" s="65"/>
    </row>
    <row r="227" spans="2:7" ht="14.25" customHeight="1" x14ac:dyDescent="0.3">
      <c r="B227" s="489"/>
      <c r="C227" s="490"/>
      <c r="E227" s="491"/>
      <c r="G227" s="65"/>
    </row>
    <row r="228" spans="2:7" ht="14.25" customHeight="1" x14ac:dyDescent="0.3">
      <c r="B228" s="489"/>
      <c r="C228" s="490"/>
      <c r="E228" s="491"/>
      <c r="G228" s="65"/>
    </row>
    <row r="229" spans="2:7" ht="14.25" customHeight="1" x14ac:dyDescent="0.3">
      <c r="B229" s="489"/>
      <c r="C229" s="490"/>
      <c r="E229" s="491"/>
      <c r="G229" s="65"/>
    </row>
    <row r="230" spans="2:7" ht="14.25" customHeight="1" x14ac:dyDescent="0.3">
      <c r="B230" s="489"/>
      <c r="C230" s="490"/>
      <c r="E230" s="491"/>
      <c r="G230" s="65"/>
    </row>
    <row r="231" spans="2:7" ht="14.25" customHeight="1" x14ac:dyDescent="0.3">
      <c r="B231" s="489"/>
      <c r="C231" s="490"/>
      <c r="E231" s="491"/>
      <c r="G231" s="65"/>
    </row>
    <row r="232" spans="2:7" ht="14.25" customHeight="1" x14ac:dyDescent="0.3">
      <c r="B232" s="489"/>
      <c r="C232" s="490"/>
      <c r="E232" s="491"/>
      <c r="G232" s="65"/>
    </row>
    <row r="233" spans="2:7" ht="14.25" customHeight="1" x14ac:dyDescent="0.3">
      <c r="B233" s="489"/>
      <c r="C233" s="490"/>
      <c r="E233" s="491"/>
      <c r="G233" s="65"/>
    </row>
    <row r="234" spans="2:7" ht="14.25" customHeight="1" x14ac:dyDescent="0.3">
      <c r="B234" s="489"/>
      <c r="C234" s="490"/>
      <c r="E234" s="491"/>
      <c r="G234" s="65"/>
    </row>
    <row r="235" spans="2:7" ht="14.25" customHeight="1" x14ac:dyDescent="0.3">
      <c r="B235" s="489"/>
      <c r="C235" s="490"/>
      <c r="E235" s="491"/>
      <c r="G235" s="65"/>
    </row>
    <row r="236" spans="2:7" ht="14.25" customHeight="1" x14ac:dyDescent="0.3">
      <c r="B236" s="489"/>
      <c r="C236" s="490"/>
      <c r="E236" s="491"/>
      <c r="G236" s="65"/>
    </row>
    <row r="237" spans="2:7" ht="14.25" customHeight="1" x14ac:dyDescent="0.3">
      <c r="B237" s="489"/>
      <c r="C237" s="490"/>
      <c r="E237" s="491"/>
      <c r="G237" s="65"/>
    </row>
    <row r="238" spans="2:7" ht="14.25" customHeight="1" x14ac:dyDescent="0.3">
      <c r="B238" s="489"/>
      <c r="C238" s="490"/>
      <c r="E238" s="491"/>
      <c r="G238" s="65"/>
    </row>
    <row r="239" spans="2:7" ht="14.25" customHeight="1" x14ac:dyDescent="0.3">
      <c r="B239" s="489"/>
      <c r="C239" s="490"/>
      <c r="E239" s="491"/>
      <c r="G239" s="65"/>
    </row>
    <row r="240" spans="2:7" ht="14.25" customHeight="1" x14ac:dyDescent="0.3">
      <c r="B240" s="489"/>
      <c r="C240" s="490"/>
      <c r="E240" s="491"/>
      <c r="G240" s="65"/>
    </row>
    <row r="241" spans="2:7" ht="14.25" customHeight="1" x14ac:dyDescent="0.3">
      <c r="B241" s="489"/>
      <c r="C241" s="490"/>
      <c r="E241" s="491"/>
      <c r="G241" s="65"/>
    </row>
    <row r="242" spans="2:7" ht="14.25" customHeight="1" x14ac:dyDescent="0.3">
      <c r="B242" s="489"/>
      <c r="C242" s="490"/>
      <c r="E242" s="491"/>
      <c r="G242" s="65"/>
    </row>
    <row r="243" spans="2:7" ht="14.25" customHeight="1" x14ac:dyDescent="0.3">
      <c r="B243" s="489"/>
      <c r="C243" s="490"/>
      <c r="E243" s="491"/>
      <c r="G243" s="65"/>
    </row>
    <row r="244" spans="2:7" ht="14.25" customHeight="1" x14ac:dyDescent="0.3">
      <c r="B244" s="489"/>
      <c r="C244" s="490"/>
      <c r="E244" s="491"/>
      <c r="G244" s="65"/>
    </row>
    <row r="245" spans="2:7" ht="14.25" customHeight="1" x14ac:dyDescent="0.3">
      <c r="B245" s="489"/>
      <c r="C245" s="490"/>
      <c r="E245" s="491"/>
      <c r="G245" s="65"/>
    </row>
    <row r="246" spans="2:7" ht="14.25" customHeight="1" x14ac:dyDescent="0.3">
      <c r="B246" s="489"/>
      <c r="C246" s="490"/>
      <c r="E246" s="491"/>
      <c r="G246" s="65"/>
    </row>
    <row r="247" spans="2:7" ht="14.25" customHeight="1" x14ac:dyDescent="0.3">
      <c r="B247" s="489"/>
      <c r="C247" s="490"/>
      <c r="E247" s="491"/>
      <c r="G247" s="65"/>
    </row>
    <row r="248" spans="2:7" ht="14.25" customHeight="1" x14ac:dyDescent="0.3">
      <c r="B248" s="489"/>
      <c r="C248" s="490"/>
      <c r="E248" s="491"/>
      <c r="G248" s="65"/>
    </row>
    <row r="249" spans="2:7" ht="14.25" customHeight="1" x14ac:dyDescent="0.3">
      <c r="B249" s="489"/>
      <c r="C249" s="490"/>
      <c r="E249" s="491"/>
      <c r="G249" s="65"/>
    </row>
    <row r="250" spans="2:7" ht="14.25" customHeight="1" x14ac:dyDescent="0.3">
      <c r="B250" s="489"/>
      <c r="C250" s="490"/>
      <c r="E250" s="491"/>
      <c r="G250" s="65"/>
    </row>
    <row r="251" spans="2:7" ht="14.25" customHeight="1" x14ac:dyDescent="0.3">
      <c r="B251" s="489"/>
      <c r="C251" s="490"/>
      <c r="E251" s="491"/>
      <c r="G251" s="65"/>
    </row>
    <row r="252" spans="2:7" ht="14.25" customHeight="1" x14ac:dyDescent="0.3">
      <c r="B252" s="489"/>
      <c r="C252" s="490"/>
      <c r="E252" s="491"/>
      <c r="G252" s="65"/>
    </row>
    <row r="253" spans="2:7" ht="14.25" customHeight="1" x14ac:dyDescent="0.3">
      <c r="B253" s="489"/>
      <c r="C253" s="490"/>
      <c r="E253" s="491"/>
      <c r="G253" s="65"/>
    </row>
    <row r="254" spans="2:7" ht="14.25" customHeight="1" x14ac:dyDescent="0.3">
      <c r="B254" s="489"/>
      <c r="C254" s="490"/>
      <c r="E254" s="491"/>
      <c r="G254" s="65"/>
    </row>
    <row r="255" spans="2:7" ht="14.25" customHeight="1" x14ac:dyDescent="0.3">
      <c r="B255" s="489"/>
      <c r="C255" s="490"/>
      <c r="E255" s="491"/>
      <c r="G255" s="65"/>
    </row>
    <row r="256" spans="2:7" ht="14.25" customHeight="1" x14ac:dyDescent="0.3">
      <c r="B256" s="489"/>
      <c r="C256" s="490"/>
      <c r="E256" s="491"/>
      <c r="G256" s="65"/>
    </row>
    <row r="257" spans="2:7" ht="14.25" customHeight="1" x14ac:dyDescent="0.3">
      <c r="B257" s="489"/>
      <c r="C257" s="490"/>
      <c r="E257" s="491"/>
      <c r="G257" s="65"/>
    </row>
    <row r="258" spans="2:7" ht="14.25" customHeight="1" x14ac:dyDescent="0.3">
      <c r="B258" s="489"/>
      <c r="C258" s="490"/>
      <c r="E258" s="491"/>
      <c r="G258" s="65"/>
    </row>
    <row r="259" spans="2:7" ht="14.25" customHeight="1" x14ac:dyDescent="0.3">
      <c r="B259" s="489"/>
      <c r="C259" s="490"/>
      <c r="E259" s="491"/>
      <c r="G259" s="65"/>
    </row>
    <row r="260" spans="2:7" ht="14.25" customHeight="1" x14ac:dyDescent="0.3">
      <c r="B260" s="489"/>
      <c r="C260" s="490"/>
      <c r="E260" s="491"/>
      <c r="G260" s="65"/>
    </row>
    <row r="261" spans="2:7" ht="14.25" customHeight="1" x14ac:dyDescent="0.3">
      <c r="B261" s="489"/>
      <c r="C261" s="490"/>
      <c r="E261" s="491"/>
      <c r="G261" s="65"/>
    </row>
    <row r="262" spans="2:7" ht="14.25" customHeight="1" x14ac:dyDescent="0.3">
      <c r="B262" s="489"/>
      <c r="C262" s="490"/>
      <c r="E262" s="491"/>
      <c r="G262" s="65"/>
    </row>
    <row r="263" spans="2:7" ht="14.25" customHeight="1" x14ac:dyDescent="0.3">
      <c r="B263" s="489"/>
      <c r="C263" s="490"/>
      <c r="E263" s="491"/>
      <c r="G263" s="65"/>
    </row>
    <row r="264" spans="2:7" ht="14.25" customHeight="1" x14ac:dyDescent="0.3">
      <c r="B264" s="489"/>
      <c r="C264" s="490"/>
      <c r="E264" s="491"/>
      <c r="G264" s="65"/>
    </row>
    <row r="265" spans="2:7" ht="14.25" customHeight="1" x14ac:dyDescent="0.3">
      <c r="B265" s="489"/>
      <c r="C265" s="490"/>
      <c r="E265" s="491"/>
      <c r="G265" s="65"/>
    </row>
    <row r="266" spans="2:7" ht="14.25" customHeight="1" x14ac:dyDescent="0.3">
      <c r="B266" s="489"/>
      <c r="C266" s="490"/>
      <c r="E266" s="491"/>
      <c r="G266" s="65"/>
    </row>
    <row r="267" spans="2:7" ht="14.25" customHeight="1" x14ac:dyDescent="0.3">
      <c r="B267" s="489"/>
      <c r="C267" s="490"/>
      <c r="E267" s="491"/>
      <c r="G267" s="65"/>
    </row>
    <row r="268" spans="2:7" ht="14.25" customHeight="1" x14ac:dyDescent="0.3">
      <c r="B268" s="489"/>
      <c r="C268" s="490"/>
      <c r="E268" s="491"/>
      <c r="G268" s="65"/>
    </row>
    <row r="269" spans="2:7" ht="14.25" customHeight="1" x14ac:dyDescent="0.3">
      <c r="B269" s="489"/>
      <c r="C269" s="490"/>
      <c r="E269" s="491"/>
      <c r="G269" s="65"/>
    </row>
    <row r="270" spans="2:7" ht="14.25" customHeight="1" x14ac:dyDescent="0.3">
      <c r="B270" s="489"/>
      <c r="C270" s="490"/>
      <c r="E270" s="491"/>
      <c r="G270" s="65"/>
    </row>
    <row r="271" spans="2:7" ht="14.25" customHeight="1" x14ac:dyDescent="0.3">
      <c r="B271" s="489"/>
      <c r="C271" s="490"/>
      <c r="E271" s="491"/>
      <c r="G271" s="65"/>
    </row>
    <row r="272" spans="2:7" ht="14.25" customHeight="1" x14ac:dyDescent="0.3">
      <c r="B272" s="489"/>
      <c r="C272" s="490"/>
      <c r="E272" s="491"/>
      <c r="G272" s="65"/>
    </row>
    <row r="273" spans="2:7" ht="14.25" customHeight="1" x14ac:dyDescent="0.3">
      <c r="B273" s="489"/>
      <c r="C273" s="490"/>
      <c r="E273" s="491"/>
      <c r="G273" s="65"/>
    </row>
    <row r="274" spans="2:7" ht="14.25" customHeight="1" x14ac:dyDescent="0.3">
      <c r="B274" s="489"/>
      <c r="C274" s="490"/>
      <c r="E274" s="491"/>
      <c r="G274" s="65"/>
    </row>
    <row r="275" spans="2:7" ht="14.25" customHeight="1" x14ac:dyDescent="0.3">
      <c r="B275" s="489"/>
      <c r="C275" s="490"/>
      <c r="E275" s="491"/>
      <c r="G275" s="65"/>
    </row>
    <row r="276" spans="2:7" ht="14.25" customHeight="1" x14ac:dyDescent="0.3">
      <c r="B276" s="489"/>
      <c r="C276" s="490"/>
      <c r="E276" s="491"/>
      <c r="G276" s="65"/>
    </row>
    <row r="277" spans="2:7" ht="14.25" customHeight="1" x14ac:dyDescent="0.3">
      <c r="B277" s="489"/>
      <c r="C277" s="490"/>
      <c r="E277" s="491"/>
      <c r="G277" s="65"/>
    </row>
    <row r="278" spans="2:7" ht="14.25" customHeight="1" x14ac:dyDescent="0.3">
      <c r="B278" s="489"/>
      <c r="C278" s="490"/>
      <c r="E278" s="491"/>
      <c r="G278" s="65"/>
    </row>
    <row r="279" spans="2:7" ht="14.25" customHeight="1" x14ac:dyDescent="0.3">
      <c r="B279" s="489"/>
      <c r="C279" s="490"/>
      <c r="E279" s="491"/>
      <c r="G279" s="65"/>
    </row>
    <row r="280" spans="2:7" ht="14.25" customHeight="1" x14ac:dyDescent="0.3">
      <c r="B280" s="489"/>
      <c r="C280" s="490"/>
      <c r="E280" s="491"/>
      <c r="G280" s="65"/>
    </row>
    <row r="281" spans="2:7" ht="14.25" customHeight="1" x14ac:dyDescent="0.3">
      <c r="B281" s="489"/>
      <c r="C281" s="490"/>
      <c r="E281" s="491"/>
      <c r="G281" s="65"/>
    </row>
    <row r="282" spans="2:7" ht="14.25" customHeight="1" x14ac:dyDescent="0.3">
      <c r="B282" s="489"/>
      <c r="C282" s="490"/>
      <c r="E282" s="491"/>
      <c r="G282" s="65"/>
    </row>
    <row r="283" spans="2:7" ht="14.25" customHeight="1" x14ac:dyDescent="0.3">
      <c r="B283" s="489"/>
      <c r="C283" s="490"/>
      <c r="E283" s="491"/>
      <c r="G283" s="65"/>
    </row>
    <row r="284" spans="2:7" ht="14.25" customHeight="1" x14ac:dyDescent="0.3">
      <c r="B284" s="489"/>
      <c r="C284" s="490"/>
      <c r="E284" s="491"/>
      <c r="G284" s="65"/>
    </row>
    <row r="285" spans="2:7" ht="14.25" customHeight="1" x14ac:dyDescent="0.3">
      <c r="B285" s="489"/>
      <c r="C285" s="490"/>
      <c r="E285" s="491"/>
      <c r="G285" s="65"/>
    </row>
    <row r="286" spans="2:7" ht="14.25" customHeight="1" x14ac:dyDescent="0.3">
      <c r="B286" s="489"/>
      <c r="C286" s="490"/>
      <c r="E286" s="491"/>
      <c r="G286" s="65"/>
    </row>
    <row r="287" spans="2:7" ht="14.25" customHeight="1" x14ac:dyDescent="0.3">
      <c r="B287" s="489"/>
      <c r="C287" s="490"/>
      <c r="E287" s="491"/>
      <c r="G287" s="65"/>
    </row>
    <row r="288" spans="2:7" ht="14.25" customHeight="1" x14ac:dyDescent="0.3">
      <c r="B288" s="489"/>
      <c r="C288" s="490"/>
      <c r="E288" s="491"/>
      <c r="G288" s="65"/>
    </row>
    <row r="289" spans="2:7" ht="14.25" customHeight="1" x14ac:dyDescent="0.3">
      <c r="B289" s="489"/>
      <c r="C289" s="490"/>
      <c r="E289" s="491"/>
      <c r="G289" s="65"/>
    </row>
    <row r="290" spans="2:7" ht="14.25" customHeight="1" x14ac:dyDescent="0.3">
      <c r="B290" s="489"/>
      <c r="C290" s="490"/>
      <c r="E290" s="491"/>
      <c r="G290" s="65"/>
    </row>
    <row r="291" spans="2:7" ht="14.25" customHeight="1" x14ac:dyDescent="0.3">
      <c r="B291" s="489"/>
      <c r="C291" s="490"/>
      <c r="E291" s="491"/>
      <c r="G291" s="65"/>
    </row>
    <row r="292" spans="2:7" ht="14.25" customHeight="1" x14ac:dyDescent="0.3">
      <c r="B292" s="489"/>
      <c r="C292" s="490"/>
      <c r="E292" s="491"/>
      <c r="G292" s="65"/>
    </row>
    <row r="293" spans="2:7" ht="14.25" customHeight="1" x14ac:dyDescent="0.3">
      <c r="B293" s="489"/>
      <c r="C293" s="490"/>
      <c r="E293" s="491"/>
      <c r="G293" s="65"/>
    </row>
    <row r="294" spans="2:7" ht="14.25" customHeight="1" x14ac:dyDescent="0.3">
      <c r="B294" s="489"/>
      <c r="C294" s="490"/>
      <c r="E294" s="491"/>
      <c r="G294" s="65"/>
    </row>
    <row r="295" spans="2:7" ht="14.25" customHeight="1" x14ac:dyDescent="0.3">
      <c r="B295" s="489"/>
      <c r="C295" s="490"/>
      <c r="E295" s="491"/>
      <c r="G295" s="65"/>
    </row>
    <row r="296" spans="2:7" ht="14.25" customHeight="1" x14ac:dyDescent="0.3">
      <c r="B296" s="489"/>
      <c r="C296" s="490"/>
      <c r="E296" s="491"/>
      <c r="G296" s="65"/>
    </row>
    <row r="297" spans="2:7" ht="14.25" customHeight="1" x14ac:dyDescent="0.3">
      <c r="B297" s="489"/>
      <c r="C297" s="490"/>
      <c r="E297" s="491"/>
      <c r="G297" s="65"/>
    </row>
    <row r="298" spans="2:7" ht="14.25" customHeight="1" x14ac:dyDescent="0.3">
      <c r="B298" s="489"/>
      <c r="C298" s="490"/>
      <c r="E298" s="491"/>
      <c r="G298" s="65"/>
    </row>
    <row r="299" spans="2:7" ht="14.25" customHeight="1" x14ac:dyDescent="0.3">
      <c r="B299" s="489"/>
      <c r="C299" s="490"/>
      <c r="E299" s="491"/>
      <c r="G299" s="65"/>
    </row>
    <row r="300" spans="2:7" ht="14.25" customHeight="1" x14ac:dyDescent="0.3">
      <c r="B300" s="489"/>
      <c r="C300" s="490"/>
      <c r="E300" s="491"/>
      <c r="G300" s="65"/>
    </row>
    <row r="301" spans="2:7" ht="14.25" customHeight="1" x14ac:dyDescent="0.3">
      <c r="B301" s="489"/>
      <c r="C301" s="490"/>
      <c r="E301" s="491"/>
      <c r="G301" s="65"/>
    </row>
    <row r="302" spans="2:7" ht="14.25" customHeight="1" x14ac:dyDescent="0.3">
      <c r="B302" s="489"/>
      <c r="C302" s="490"/>
      <c r="E302" s="491"/>
      <c r="G302" s="65"/>
    </row>
    <row r="303" spans="2:7" ht="14.25" customHeight="1" x14ac:dyDescent="0.3">
      <c r="B303" s="489"/>
      <c r="C303" s="490"/>
      <c r="E303" s="491"/>
      <c r="G303" s="65"/>
    </row>
    <row r="304" spans="2:7" ht="14.25" customHeight="1" x14ac:dyDescent="0.3">
      <c r="B304" s="489"/>
      <c r="C304" s="490"/>
      <c r="E304" s="491"/>
      <c r="G304" s="65"/>
    </row>
    <row r="305" spans="2:7" ht="14.25" customHeight="1" x14ac:dyDescent="0.3">
      <c r="B305" s="489"/>
      <c r="C305" s="490"/>
      <c r="E305" s="491"/>
      <c r="G305" s="65"/>
    </row>
    <row r="306" spans="2:7" ht="14.25" customHeight="1" x14ac:dyDescent="0.3">
      <c r="B306" s="489"/>
      <c r="C306" s="490"/>
      <c r="E306" s="491"/>
      <c r="G306" s="65"/>
    </row>
    <row r="307" spans="2:7" ht="14.25" customHeight="1" x14ac:dyDescent="0.3">
      <c r="B307" s="489"/>
      <c r="C307" s="490"/>
      <c r="E307" s="491"/>
      <c r="G307" s="65"/>
    </row>
    <row r="308" spans="2:7" ht="14.25" customHeight="1" x14ac:dyDescent="0.3">
      <c r="B308" s="489"/>
      <c r="C308" s="490"/>
      <c r="E308" s="491"/>
      <c r="G308" s="65"/>
    </row>
    <row r="309" spans="2:7" ht="14.25" customHeight="1" x14ac:dyDescent="0.3">
      <c r="B309" s="489"/>
      <c r="C309" s="490"/>
      <c r="E309" s="491"/>
      <c r="G309" s="65"/>
    </row>
    <row r="310" spans="2:7" ht="14.25" customHeight="1" x14ac:dyDescent="0.3">
      <c r="B310" s="489"/>
      <c r="C310" s="490"/>
      <c r="E310" s="491"/>
      <c r="G310" s="65"/>
    </row>
    <row r="311" spans="2:7" ht="14.25" customHeight="1" x14ac:dyDescent="0.3">
      <c r="B311" s="489"/>
      <c r="C311" s="490"/>
      <c r="E311" s="491"/>
      <c r="G311" s="65"/>
    </row>
    <row r="312" spans="2:7" ht="14.25" customHeight="1" x14ac:dyDescent="0.3">
      <c r="B312" s="489"/>
      <c r="C312" s="490"/>
      <c r="E312" s="491"/>
      <c r="G312" s="65"/>
    </row>
    <row r="313" spans="2:7" ht="14.25" customHeight="1" x14ac:dyDescent="0.3">
      <c r="B313" s="489"/>
      <c r="C313" s="490"/>
      <c r="E313" s="491"/>
      <c r="G313" s="65"/>
    </row>
    <row r="314" spans="2:7" ht="14.25" customHeight="1" x14ac:dyDescent="0.3">
      <c r="B314" s="489"/>
      <c r="C314" s="490"/>
      <c r="E314" s="491"/>
      <c r="G314" s="65"/>
    </row>
    <row r="315" spans="2:7" ht="14.25" customHeight="1" x14ac:dyDescent="0.3">
      <c r="B315" s="489"/>
      <c r="C315" s="490"/>
      <c r="E315" s="491"/>
      <c r="G315" s="65"/>
    </row>
    <row r="316" spans="2:7" ht="14.25" customHeight="1" x14ac:dyDescent="0.3">
      <c r="B316" s="489"/>
      <c r="C316" s="490"/>
      <c r="E316" s="491"/>
      <c r="G316" s="65"/>
    </row>
    <row r="317" spans="2:7" ht="14.25" customHeight="1" x14ac:dyDescent="0.3">
      <c r="B317" s="489"/>
      <c r="C317" s="490"/>
      <c r="E317" s="491"/>
      <c r="G317" s="65"/>
    </row>
    <row r="318" spans="2:7" ht="14.25" customHeight="1" x14ac:dyDescent="0.3">
      <c r="B318" s="489"/>
      <c r="C318" s="490"/>
      <c r="E318" s="491"/>
      <c r="G318" s="65"/>
    </row>
    <row r="319" spans="2:7" ht="14.25" customHeight="1" x14ac:dyDescent="0.3">
      <c r="B319" s="489"/>
      <c r="C319" s="490"/>
      <c r="E319" s="491"/>
      <c r="G319" s="65"/>
    </row>
    <row r="320" spans="2:7" ht="14.25" customHeight="1" x14ac:dyDescent="0.3">
      <c r="B320" s="489"/>
      <c r="C320" s="490"/>
      <c r="E320" s="491"/>
      <c r="G320" s="65"/>
    </row>
    <row r="321" spans="2:7" ht="14.25" customHeight="1" x14ac:dyDescent="0.3">
      <c r="B321" s="489"/>
      <c r="C321" s="490"/>
      <c r="E321" s="491"/>
      <c r="G321" s="65"/>
    </row>
    <row r="322" spans="2:7" ht="14.25" customHeight="1" x14ac:dyDescent="0.3">
      <c r="B322" s="489"/>
      <c r="C322" s="490"/>
      <c r="E322" s="491"/>
      <c r="G322" s="65"/>
    </row>
    <row r="323" spans="2:7" ht="14.25" customHeight="1" x14ac:dyDescent="0.3">
      <c r="B323" s="489"/>
      <c r="C323" s="490"/>
      <c r="E323" s="491"/>
      <c r="G323" s="65"/>
    </row>
    <row r="324" spans="2:7" ht="14.25" customHeight="1" x14ac:dyDescent="0.3">
      <c r="B324" s="489"/>
      <c r="C324" s="490"/>
      <c r="E324" s="491"/>
      <c r="G324" s="65"/>
    </row>
    <row r="325" spans="2:7" ht="14.25" customHeight="1" x14ac:dyDescent="0.3">
      <c r="B325" s="489"/>
      <c r="C325" s="490"/>
      <c r="E325" s="491"/>
      <c r="G325" s="65"/>
    </row>
    <row r="326" spans="2:7" ht="14.25" customHeight="1" x14ac:dyDescent="0.3">
      <c r="B326" s="489"/>
      <c r="C326" s="490"/>
      <c r="E326" s="491"/>
      <c r="G326" s="65"/>
    </row>
    <row r="327" spans="2:7" ht="14.25" customHeight="1" x14ac:dyDescent="0.3">
      <c r="B327" s="489"/>
      <c r="C327" s="490"/>
      <c r="E327" s="491"/>
      <c r="G327" s="65"/>
    </row>
    <row r="328" spans="2:7" ht="14.25" customHeight="1" x14ac:dyDescent="0.3">
      <c r="B328" s="489"/>
      <c r="C328" s="490"/>
      <c r="E328" s="491"/>
      <c r="G328" s="65"/>
    </row>
    <row r="329" spans="2:7" ht="14.25" customHeight="1" x14ac:dyDescent="0.3">
      <c r="B329" s="489"/>
      <c r="C329" s="490"/>
      <c r="E329" s="491"/>
      <c r="G329" s="65"/>
    </row>
    <row r="330" spans="2:7" ht="14.25" customHeight="1" x14ac:dyDescent="0.3">
      <c r="B330" s="489"/>
      <c r="C330" s="490"/>
      <c r="E330" s="491"/>
      <c r="G330" s="65"/>
    </row>
    <row r="331" spans="2:7" ht="14.25" customHeight="1" x14ac:dyDescent="0.3">
      <c r="B331" s="489"/>
      <c r="C331" s="490"/>
      <c r="E331" s="491"/>
      <c r="G331" s="65"/>
    </row>
    <row r="332" spans="2:7" ht="14.25" customHeight="1" x14ac:dyDescent="0.3">
      <c r="B332" s="489"/>
      <c r="C332" s="490"/>
      <c r="E332" s="491"/>
      <c r="G332" s="65"/>
    </row>
    <row r="333" spans="2:7" ht="14.25" customHeight="1" x14ac:dyDescent="0.3">
      <c r="B333" s="489"/>
      <c r="C333" s="490"/>
      <c r="E333" s="491"/>
      <c r="G333" s="65"/>
    </row>
    <row r="334" spans="2:7" ht="14.25" customHeight="1" x14ac:dyDescent="0.3">
      <c r="B334" s="489"/>
      <c r="C334" s="490"/>
      <c r="E334" s="491"/>
      <c r="G334" s="65"/>
    </row>
    <row r="335" spans="2:7" ht="14.25" customHeight="1" x14ac:dyDescent="0.3">
      <c r="B335" s="489"/>
      <c r="C335" s="490"/>
      <c r="E335" s="491"/>
      <c r="G335" s="65"/>
    </row>
    <row r="336" spans="2:7" ht="14.25" customHeight="1" x14ac:dyDescent="0.3">
      <c r="B336" s="489"/>
      <c r="C336" s="490"/>
      <c r="E336" s="491"/>
      <c r="G336" s="65"/>
    </row>
    <row r="337" spans="2:7" ht="14.25" customHeight="1" x14ac:dyDescent="0.3">
      <c r="B337" s="489"/>
      <c r="C337" s="490"/>
      <c r="E337" s="491"/>
      <c r="G337" s="65"/>
    </row>
    <row r="338" spans="2:7" ht="14.25" customHeight="1" x14ac:dyDescent="0.3">
      <c r="B338" s="489"/>
      <c r="C338" s="490"/>
      <c r="E338" s="491"/>
      <c r="G338" s="65"/>
    </row>
    <row r="339" spans="2:7" ht="14.25" customHeight="1" x14ac:dyDescent="0.3">
      <c r="B339" s="489"/>
      <c r="C339" s="490"/>
      <c r="E339" s="491"/>
      <c r="G339" s="65"/>
    </row>
    <row r="340" spans="2:7" ht="14.25" customHeight="1" x14ac:dyDescent="0.3">
      <c r="B340" s="489"/>
      <c r="C340" s="490"/>
      <c r="E340" s="491"/>
      <c r="G340" s="65"/>
    </row>
    <row r="341" spans="2:7" ht="14.25" customHeight="1" x14ac:dyDescent="0.3">
      <c r="B341" s="489"/>
      <c r="C341" s="490"/>
      <c r="E341" s="491"/>
      <c r="G341" s="65"/>
    </row>
    <row r="342" spans="2:7" ht="14.25" customHeight="1" x14ac:dyDescent="0.3">
      <c r="B342" s="489"/>
      <c r="C342" s="490"/>
      <c r="E342" s="491"/>
      <c r="G342" s="65"/>
    </row>
    <row r="343" spans="2:7" ht="14.25" customHeight="1" x14ac:dyDescent="0.3">
      <c r="B343" s="489"/>
      <c r="C343" s="490"/>
      <c r="E343" s="491"/>
      <c r="G343" s="65"/>
    </row>
    <row r="344" spans="2:7" ht="14.25" customHeight="1" x14ac:dyDescent="0.3">
      <c r="B344" s="489"/>
      <c r="C344" s="490"/>
      <c r="E344" s="491"/>
      <c r="G344" s="65"/>
    </row>
    <row r="345" spans="2:7" ht="14.25" customHeight="1" x14ac:dyDescent="0.3">
      <c r="B345" s="489"/>
      <c r="C345" s="490"/>
      <c r="E345" s="491"/>
      <c r="G345" s="65"/>
    </row>
    <row r="346" spans="2:7" ht="14.25" customHeight="1" x14ac:dyDescent="0.3">
      <c r="B346" s="489"/>
      <c r="C346" s="490"/>
      <c r="E346" s="491"/>
      <c r="G346" s="65"/>
    </row>
    <row r="347" spans="2:7" ht="14.25" customHeight="1" x14ac:dyDescent="0.3">
      <c r="B347" s="489"/>
      <c r="C347" s="490"/>
      <c r="E347" s="491"/>
      <c r="G347" s="65"/>
    </row>
    <row r="348" spans="2:7" ht="14.25" customHeight="1" x14ac:dyDescent="0.3">
      <c r="B348" s="489"/>
      <c r="C348" s="490"/>
      <c r="E348" s="491"/>
      <c r="G348" s="65"/>
    </row>
    <row r="349" spans="2:7" ht="14.25" customHeight="1" x14ac:dyDescent="0.3">
      <c r="B349" s="489"/>
      <c r="C349" s="490"/>
      <c r="E349" s="491"/>
      <c r="G349" s="65"/>
    </row>
    <row r="350" spans="2:7" ht="14.25" customHeight="1" x14ac:dyDescent="0.3">
      <c r="B350" s="489"/>
      <c r="C350" s="490"/>
      <c r="E350" s="491"/>
      <c r="G350" s="65"/>
    </row>
    <row r="351" spans="2:7" ht="14.25" customHeight="1" x14ac:dyDescent="0.3">
      <c r="B351" s="489"/>
      <c r="C351" s="490"/>
      <c r="E351" s="491"/>
      <c r="G351" s="65"/>
    </row>
    <row r="352" spans="2:7" ht="14.25" customHeight="1" x14ac:dyDescent="0.3">
      <c r="B352" s="489"/>
      <c r="C352" s="490"/>
      <c r="E352" s="491"/>
      <c r="G352" s="65"/>
    </row>
    <row r="353" spans="2:7" ht="14.25" customHeight="1" x14ac:dyDescent="0.3">
      <c r="B353" s="489"/>
      <c r="C353" s="490"/>
      <c r="E353" s="491"/>
      <c r="G353" s="65"/>
    </row>
    <row r="354" spans="2:7" ht="14.25" customHeight="1" x14ac:dyDescent="0.3">
      <c r="B354" s="489"/>
      <c r="C354" s="490"/>
      <c r="E354" s="491"/>
      <c r="G354" s="65"/>
    </row>
    <row r="355" spans="2:7" ht="14.25" customHeight="1" x14ac:dyDescent="0.3">
      <c r="B355" s="489"/>
      <c r="C355" s="490"/>
      <c r="E355" s="491"/>
      <c r="G355" s="65"/>
    </row>
    <row r="356" spans="2:7" ht="14.25" customHeight="1" x14ac:dyDescent="0.3">
      <c r="B356" s="489"/>
      <c r="C356" s="490"/>
      <c r="E356" s="491"/>
      <c r="G356" s="65"/>
    </row>
    <row r="357" spans="2:7" ht="14.25" customHeight="1" x14ac:dyDescent="0.3">
      <c r="B357" s="489"/>
      <c r="C357" s="490"/>
      <c r="E357" s="491"/>
      <c r="G357" s="65"/>
    </row>
    <row r="358" spans="2:7" ht="14.25" customHeight="1" x14ac:dyDescent="0.3">
      <c r="B358" s="489"/>
      <c r="C358" s="490"/>
      <c r="E358" s="491"/>
      <c r="G358" s="65"/>
    </row>
    <row r="359" spans="2:7" ht="14.25" customHeight="1" x14ac:dyDescent="0.3">
      <c r="B359" s="489"/>
      <c r="C359" s="490"/>
      <c r="E359" s="491"/>
      <c r="G359" s="65"/>
    </row>
    <row r="360" spans="2:7" ht="14.25" customHeight="1" x14ac:dyDescent="0.3">
      <c r="B360" s="489"/>
      <c r="C360" s="490"/>
      <c r="E360" s="491"/>
      <c r="G360" s="65"/>
    </row>
    <row r="361" spans="2:7" ht="14.25" customHeight="1" x14ac:dyDescent="0.3">
      <c r="B361" s="489"/>
      <c r="C361" s="490"/>
      <c r="E361" s="491"/>
      <c r="G361" s="65"/>
    </row>
    <row r="362" spans="2:7" ht="14.25" customHeight="1" x14ac:dyDescent="0.3">
      <c r="B362" s="489"/>
      <c r="C362" s="490"/>
      <c r="E362" s="491"/>
      <c r="G362" s="65"/>
    </row>
    <row r="363" spans="2:7" ht="14.25" customHeight="1" x14ac:dyDescent="0.3">
      <c r="B363" s="489"/>
      <c r="C363" s="490"/>
      <c r="E363" s="491"/>
      <c r="G363" s="65"/>
    </row>
    <row r="364" spans="2:7" ht="14.25" customHeight="1" x14ac:dyDescent="0.3">
      <c r="B364" s="489"/>
      <c r="C364" s="490"/>
      <c r="E364" s="491"/>
      <c r="G364" s="65"/>
    </row>
    <row r="365" spans="2:7" ht="14.25" customHeight="1" x14ac:dyDescent="0.3">
      <c r="B365" s="489"/>
      <c r="C365" s="490"/>
      <c r="E365" s="491"/>
      <c r="G365" s="65"/>
    </row>
    <row r="366" spans="2:7" ht="14.25" customHeight="1" x14ac:dyDescent="0.3">
      <c r="B366" s="489"/>
      <c r="C366" s="490"/>
      <c r="E366" s="491"/>
      <c r="G366" s="65"/>
    </row>
    <row r="367" spans="2:7" ht="14.25" customHeight="1" x14ac:dyDescent="0.3">
      <c r="B367" s="489"/>
      <c r="C367" s="490"/>
      <c r="E367" s="491"/>
      <c r="G367" s="65"/>
    </row>
    <row r="368" spans="2:7" ht="14.25" customHeight="1" x14ac:dyDescent="0.3">
      <c r="B368" s="489"/>
      <c r="C368" s="490"/>
      <c r="E368" s="491"/>
      <c r="G368" s="65"/>
    </row>
    <row r="369" spans="2:7" ht="14.25" customHeight="1" x14ac:dyDescent="0.3">
      <c r="B369" s="489"/>
      <c r="C369" s="490"/>
      <c r="E369" s="491"/>
      <c r="G369" s="65"/>
    </row>
    <row r="370" spans="2:7" ht="14.25" customHeight="1" x14ac:dyDescent="0.3">
      <c r="B370" s="489"/>
      <c r="C370" s="490"/>
      <c r="E370" s="491"/>
      <c r="G370" s="65"/>
    </row>
    <row r="371" spans="2:7" ht="14.25" customHeight="1" x14ac:dyDescent="0.3">
      <c r="B371" s="489"/>
      <c r="C371" s="490"/>
      <c r="E371" s="491"/>
      <c r="G371" s="65"/>
    </row>
    <row r="372" spans="2:7" ht="14.25" customHeight="1" x14ac:dyDescent="0.3">
      <c r="B372" s="489"/>
      <c r="C372" s="490"/>
      <c r="E372" s="491"/>
      <c r="G372" s="65"/>
    </row>
    <row r="373" spans="2:7" ht="14.25" customHeight="1" x14ac:dyDescent="0.3">
      <c r="B373" s="489"/>
      <c r="C373" s="490"/>
      <c r="E373" s="491"/>
      <c r="G373" s="65"/>
    </row>
    <row r="374" spans="2:7" ht="14.25" customHeight="1" x14ac:dyDescent="0.3">
      <c r="B374" s="489"/>
      <c r="C374" s="490"/>
      <c r="E374" s="491"/>
      <c r="G374" s="65"/>
    </row>
    <row r="375" spans="2:7" ht="14.25" customHeight="1" x14ac:dyDescent="0.3">
      <c r="B375" s="489"/>
      <c r="C375" s="490"/>
      <c r="E375" s="491"/>
      <c r="G375" s="65"/>
    </row>
    <row r="376" spans="2:7" ht="14.25" customHeight="1" x14ac:dyDescent="0.3">
      <c r="B376" s="489"/>
      <c r="C376" s="490"/>
      <c r="E376" s="491"/>
      <c r="G376" s="65"/>
    </row>
    <row r="377" spans="2:7" ht="14.25" customHeight="1" x14ac:dyDescent="0.3">
      <c r="B377" s="489"/>
      <c r="C377" s="490"/>
      <c r="E377" s="491"/>
      <c r="G377" s="65"/>
    </row>
    <row r="378" spans="2:7" ht="14.25" customHeight="1" x14ac:dyDescent="0.3">
      <c r="B378" s="489"/>
      <c r="C378" s="490"/>
      <c r="E378" s="491"/>
      <c r="G378" s="65"/>
    </row>
    <row r="379" spans="2:7" ht="14.25" customHeight="1" x14ac:dyDescent="0.3">
      <c r="B379" s="489"/>
      <c r="C379" s="490"/>
      <c r="E379" s="491"/>
      <c r="G379" s="65"/>
    </row>
    <row r="380" spans="2:7" ht="14.25" customHeight="1" x14ac:dyDescent="0.3">
      <c r="B380" s="489"/>
      <c r="C380" s="490"/>
      <c r="E380" s="491"/>
      <c r="G380" s="65"/>
    </row>
    <row r="381" spans="2:7" ht="14.25" customHeight="1" x14ac:dyDescent="0.3">
      <c r="B381" s="489"/>
      <c r="C381" s="490"/>
      <c r="E381" s="491"/>
      <c r="G381" s="65"/>
    </row>
    <row r="382" spans="2:7" ht="14.25" customHeight="1" x14ac:dyDescent="0.3">
      <c r="B382" s="489"/>
      <c r="C382" s="490"/>
      <c r="E382" s="491"/>
      <c r="G382" s="65"/>
    </row>
    <row r="383" spans="2:7" ht="14.25" customHeight="1" x14ac:dyDescent="0.3">
      <c r="B383" s="489"/>
      <c r="C383" s="490"/>
      <c r="E383" s="491"/>
      <c r="G383" s="65"/>
    </row>
    <row r="384" spans="2:7" ht="14.25" customHeight="1" x14ac:dyDescent="0.3">
      <c r="B384" s="489"/>
      <c r="C384" s="490"/>
      <c r="E384" s="491"/>
      <c r="G384" s="65"/>
    </row>
    <row r="385" spans="2:7" ht="14.25" customHeight="1" x14ac:dyDescent="0.3">
      <c r="B385" s="489"/>
      <c r="C385" s="490"/>
      <c r="E385" s="491"/>
      <c r="G385" s="65"/>
    </row>
    <row r="386" spans="2:7" ht="14.25" customHeight="1" x14ac:dyDescent="0.3">
      <c r="B386" s="489"/>
      <c r="C386" s="490"/>
      <c r="E386" s="491"/>
      <c r="G386" s="65"/>
    </row>
    <row r="387" spans="2:7" ht="14.25" customHeight="1" x14ac:dyDescent="0.3">
      <c r="B387" s="489"/>
      <c r="C387" s="490"/>
      <c r="E387" s="491"/>
      <c r="G387" s="65"/>
    </row>
    <row r="388" spans="2:7" ht="14.25" customHeight="1" x14ac:dyDescent="0.3">
      <c r="B388" s="489"/>
      <c r="C388" s="490"/>
      <c r="E388" s="491"/>
      <c r="G388" s="65"/>
    </row>
    <row r="389" spans="2:7" ht="14.25" customHeight="1" x14ac:dyDescent="0.3">
      <c r="B389" s="489"/>
      <c r="C389" s="490"/>
      <c r="E389" s="491"/>
      <c r="G389" s="65"/>
    </row>
    <row r="390" spans="2:7" ht="14.25" customHeight="1" x14ac:dyDescent="0.3">
      <c r="B390" s="489"/>
      <c r="C390" s="490"/>
      <c r="E390" s="491"/>
      <c r="G390" s="65"/>
    </row>
    <row r="391" spans="2:7" ht="14.25" customHeight="1" x14ac:dyDescent="0.3">
      <c r="B391" s="489"/>
      <c r="C391" s="490"/>
      <c r="E391" s="491"/>
      <c r="G391" s="65"/>
    </row>
    <row r="392" spans="2:7" ht="14.25" customHeight="1" x14ac:dyDescent="0.3">
      <c r="B392" s="489"/>
      <c r="C392" s="490"/>
      <c r="E392" s="491"/>
      <c r="G392" s="65"/>
    </row>
    <row r="393" spans="2:7" ht="14.25" customHeight="1" x14ac:dyDescent="0.3">
      <c r="B393" s="489"/>
      <c r="C393" s="490"/>
      <c r="E393" s="491"/>
      <c r="G393" s="65"/>
    </row>
    <row r="394" spans="2:7" ht="14.25" customHeight="1" x14ac:dyDescent="0.3">
      <c r="B394" s="489"/>
      <c r="C394" s="490"/>
      <c r="E394" s="491"/>
      <c r="G394" s="65"/>
    </row>
    <row r="395" spans="2:7" ht="14.25" customHeight="1" x14ac:dyDescent="0.3">
      <c r="B395" s="489"/>
      <c r="C395" s="490"/>
      <c r="E395" s="491"/>
      <c r="G395" s="65"/>
    </row>
    <row r="396" spans="2:7" ht="14.25" customHeight="1" x14ac:dyDescent="0.3">
      <c r="B396" s="489"/>
      <c r="C396" s="490"/>
      <c r="E396" s="491"/>
      <c r="G396" s="65"/>
    </row>
    <row r="397" spans="2:7" ht="14.25" customHeight="1" x14ac:dyDescent="0.3">
      <c r="B397" s="489"/>
      <c r="C397" s="490"/>
      <c r="E397" s="491"/>
      <c r="G397" s="65"/>
    </row>
    <row r="398" spans="2:7" ht="14.25" customHeight="1" x14ac:dyDescent="0.3">
      <c r="B398" s="489"/>
      <c r="C398" s="490"/>
      <c r="E398" s="491"/>
      <c r="G398" s="65"/>
    </row>
    <row r="399" spans="2:7" ht="14.25" customHeight="1" x14ac:dyDescent="0.3">
      <c r="B399" s="489"/>
      <c r="C399" s="490"/>
      <c r="E399" s="491"/>
      <c r="G399" s="65"/>
    </row>
    <row r="400" spans="2:7" ht="14.25" customHeight="1" x14ac:dyDescent="0.3">
      <c r="B400" s="489"/>
      <c r="C400" s="490"/>
      <c r="E400" s="491"/>
      <c r="G400" s="65"/>
    </row>
    <row r="401" spans="2:7" ht="14.25" customHeight="1" x14ac:dyDescent="0.3">
      <c r="B401" s="489"/>
      <c r="C401" s="490"/>
      <c r="E401" s="491"/>
      <c r="G401" s="65"/>
    </row>
    <row r="402" spans="2:7" ht="14.25" customHeight="1" x14ac:dyDescent="0.3">
      <c r="B402" s="489"/>
      <c r="C402" s="490"/>
      <c r="E402" s="491"/>
      <c r="G402" s="65"/>
    </row>
    <row r="403" spans="2:7" ht="14.25" customHeight="1" x14ac:dyDescent="0.3">
      <c r="B403" s="489"/>
      <c r="C403" s="490"/>
      <c r="E403" s="491"/>
      <c r="G403" s="65"/>
    </row>
    <row r="404" spans="2:7" ht="14.25" customHeight="1" x14ac:dyDescent="0.3">
      <c r="B404" s="489"/>
      <c r="C404" s="490"/>
      <c r="E404" s="491"/>
      <c r="G404" s="65"/>
    </row>
    <row r="405" spans="2:7" ht="14.25" customHeight="1" x14ac:dyDescent="0.3">
      <c r="B405" s="489"/>
      <c r="C405" s="490"/>
      <c r="E405" s="491"/>
      <c r="G405" s="65"/>
    </row>
    <row r="406" spans="2:7" ht="14.25" customHeight="1" x14ac:dyDescent="0.3">
      <c r="B406" s="489"/>
      <c r="C406" s="490"/>
      <c r="E406" s="491"/>
      <c r="G406" s="65"/>
    </row>
    <row r="407" spans="2:7" ht="14.25" customHeight="1" x14ac:dyDescent="0.3">
      <c r="B407" s="489"/>
      <c r="C407" s="490"/>
      <c r="E407" s="491"/>
      <c r="G407" s="65"/>
    </row>
    <row r="408" spans="2:7" ht="14.25" customHeight="1" x14ac:dyDescent="0.3">
      <c r="B408" s="489"/>
      <c r="C408" s="490"/>
      <c r="E408" s="491"/>
      <c r="G408" s="65"/>
    </row>
    <row r="409" spans="2:7" ht="14.25" customHeight="1" x14ac:dyDescent="0.3">
      <c r="B409" s="489"/>
      <c r="C409" s="490"/>
      <c r="E409" s="491"/>
      <c r="G409" s="65"/>
    </row>
    <row r="410" spans="2:7" ht="14.25" customHeight="1" x14ac:dyDescent="0.3">
      <c r="B410" s="489"/>
      <c r="C410" s="490"/>
      <c r="E410" s="491"/>
      <c r="G410" s="65"/>
    </row>
    <row r="411" spans="2:7" ht="14.25" customHeight="1" x14ac:dyDescent="0.3">
      <c r="B411" s="489"/>
      <c r="C411" s="490"/>
      <c r="E411" s="491"/>
      <c r="G411" s="65"/>
    </row>
    <row r="412" spans="2:7" ht="14.25" customHeight="1" x14ac:dyDescent="0.3">
      <c r="B412" s="489"/>
      <c r="C412" s="490"/>
      <c r="E412" s="491"/>
      <c r="G412" s="65"/>
    </row>
    <row r="413" spans="2:7" ht="14.25" customHeight="1" x14ac:dyDescent="0.3">
      <c r="B413" s="489"/>
      <c r="C413" s="490"/>
      <c r="E413" s="491"/>
      <c r="G413" s="65"/>
    </row>
    <row r="414" spans="2:7" ht="14.25" customHeight="1" x14ac:dyDescent="0.3">
      <c r="B414" s="489"/>
      <c r="C414" s="490"/>
      <c r="E414" s="491"/>
      <c r="G414" s="65"/>
    </row>
    <row r="415" spans="2:7" ht="14.25" customHeight="1" x14ac:dyDescent="0.3">
      <c r="B415" s="489"/>
      <c r="C415" s="490"/>
      <c r="E415" s="491"/>
      <c r="G415" s="65"/>
    </row>
    <row r="416" spans="2:7" ht="14.25" customHeight="1" x14ac:dyDescent="0.3">
      <c r="B416" s="489"/>
      <c r="C416" s="490"/>
      <c r="E416" s="491"/>
      <c r="G416" s="65"/>
    </row>
    <row r="417" spans="2:7" ht="14.25" customHeight="1" x14ac:dyDescent="0.3">
      <c r="B417" s="489"/>
      <c r="C417" s="490"/>
      <c r="E417" s="491"/>
      <c r="G417" s="65"/>
    </row>
    <row r="418" spans="2:7" ht="14.25" customHeight="1" x14ac:dyDescent="0.3">
      <c r="B418" s="489"/>
      <c r="C418" s="490"/>
      <c r="E418" s="491"/>
      <c r="G418" s="65"/>
    </row>
    <row r="419" spans="2:7" ht="14.25" customHeight="1" x14ac:dyDescent="0.3">
      <c r="B419" s="489"/>
      <c r="C419" s="490"/>
      <c r="E419" s="491"/>
      <c r="G419" s="65"/>
    </row>
    <row r="420" spans="2:7" ht="14.25" customHeight="1" x14ac:dyDescent="0.3">
      <c r="B420" s="489"/>
      <c r="C420" s="490"/>
      <c r="E420" s="491"/>
      <c r="G420" s="65"/>
    </row>
    <row r="421" spans="2:7" ht="14.25" customHeight="1" x14ac:dyDescent="0.3">
      <c r="B421" s="489"/>
      <c r="C421" s="490"/>
      <c r="E421" s="491"/>
      <c r="G421" s="65"/>
    </row>
    <row r="422" spans="2:7" ht="14.25" customHeight="1" x14ac:dyDescent="0.3">
      <c r="B422" s="489"/>
      <c r="C422" s="490"/>
      <c r="E422" s="491"/>
      <c r="G422" s="65"/>
    </row>
    <row r="423" spans="2:7" ht="14.25" customHeight="1" x14ac:dyDescent="0.3">
      <c r="B423" s="489"/>
      <c r="C423" s="490"/>
      <c r="E423" s="491"/>
      <c r="G423" s="65"/>
    </row>
    <row r="424" spans="2:7" ht="14.25" customHeight="1" x14ac:dyDescent="0.3">
      <c r="B424" s="489"/>
      <c r="C424" s="490"/>
      <c r="E424" s="491"/>
      <c r="G424" s="65"/>
    </row>
    <row r="425" spans="2:7" ht="14.25" customHeight="1" x14ac:dyDescent="0.3">
      <c r="B425" s="489"/>
      <c r="C425" s="490"/>
      <c r="E425" s="491"/>
      <c r="G425" s="65"/>
    </row>
    <row r="426" spans="2:7" ht="14.25" customHeight="1" x14ac:dyDescent="0.3">
      <c r="B426" s="489"/>
      <c r="C426" s="490"/>
      <c r="E426" s="491"/>
      <c r="G426" s="65"/>
    </row>
    <row r="427" spans="2:7" ht="14.25" customHeight="1" x14ac:dyDescent="0.3">
      <c r="B427" s="489"/>
      <c r="C427" s="490"/>
      <c r="E427" s="491"/>
      <c r="G427" s="65"/>
    </row>
    <row r="428" spans="2:7" ht="14.25" customHeight="1" x14ac:dyDescent="0.3">
      <c r="B428" s="489"/>
      <c r="C428" s="490"/>
      <c r="E428" s="491"/>
      <c r="G428" s="65"/>
    </row>
    <row r="429" spans="2:7" ht="14.25" customHeight="1" x14ac:dyDescent="0.3">
      <c r="B429" s="489"/>
      <c r="C429" s="490"/>
      <c r="E429" s="491"/>
      <c r="G429" s="65"/>
    </row>
    <row r="430" spans="2:7" ht="14.25" customHeight="1" x14ac:dyDescent="0.3">
      <c r="B430" s="489"/>
      <c r="C430" s="490"/>
      <c r="E430" s="491"/>
      <c r="G430" s="65"/>
    </row>
    <row r="431" spans="2:7" ht="14.25" customHeight="1" x14ac:dyDescent="0.3">
      <c r="B431" s="489"/>
      <c r="C431" s="490"/>
      <c r="E431" s="491"/>
      <c r="G431" s="65"/>
    </row>
    <row r="432" spans="2:7" ht="14.25" customHeight="1" x14ac:dyDescent="0.3">
      <c r="B432" s="489"/>
      <c r="C432" s="490"/>
      <c r="E432" s="491"/>
      <c r="G432" s="65"/>
    </row>
    <row r="433" spans="2:7" ht="14.25" customHeight="1" x14ac:dyDescent="0.3">
      <c r="B433" s="489"/>
      <c r="C433" s="490"/>
      <c r="E433" s="491"/>
      <c r="G433" s="65"/>
    </row>
    <row r="434" spans="2:7" ht="14.25" customHeight="1" x14ac:dyDescent="0.3">
      <c r="B434" s="489"/>
      <c r="C434" s="490"/>
      <c r="E434" s="491"/>
      <c r="G434" s="65"/>
    </row>
    <row r="435" spans="2:7" ht="14.25" customHeight="1" x14ac:dyDescent="0.3">
      <c r="B435" s="489"/>
      <c r="C435" s="490"/>
      <c r="E435" s="491"/>
      <c r="G435" s="65"/>
    </row>
    <row r="436" spans="2:7" ht="14.25" customHeight="1" x14ac:dyDescent="0.3">
      <c r="B436" s="489"/>
      <c r="C436" s="490"/>
      <c r="E436" s="491"/>
      <c r="G436" s="65"/>
    </row>
    <row r="437" spans="2:7" ht="14.25" customHeight="1" x14ac:dyDescent="0.3">
      <c r="B437" s="489"/>
      <c r="C437" s="490"/>
      <c r="E437" s="491"/>
      <c r="G437" s="65"/>
    </row>
    <row r="438" spans="2:7" ht="14.25" customHeight="1" x14ac:dyDescent="0.3">
      <c r="B438" s="489"/>
      <c r="C438" s="490"/>
      <c r="E438" s="491"/>
      <c r="G438" s="65"/>
    </row>
    <row r="439" spans="2:7" ht="14.25" customHeight="1" x14ac:dyDescent="0.3">
      <c r="B439" s="489"/>
      <c r="C439" s="490"/>
      <c r="E439" s="491"/>
      <c r="G439" s="65"/>
    </row>
    <row r="440" spans="2:7" ht="14.25" customHeight="1" x14ac:dyDescent="0.3">
      <c r="B440" s="489"/>
      <c r="C440" s="490"/>
      <c r="E440" s="491"/>
      <c r="G440" s="65"/>
    </row>
    <row r="441" spans="2:7" ht="14.25" customHeight="1" x14ac:dyDescent="0.3">
      <c r="B441" s="489"/>
      <c r="C441" s="490"/>
      <c r="E441" s="491"/>
      <c r="G441" s="65"/>
    </row>
    <row r="442" spans="2:7" ht="14.25" customHeight="1" x14ac:dyDescent="0.3">
      <c r="B442" s="489"/>
      <c r="C442" s="490"/>
      <c r="E442" s="491"/>
      <c r="G442" s="65"/>
    </row>
    <row r="443" spans="2:7" ht="14.25" customHeight="1" x14ac:dyDescent="0.3">
      <c r="B443" s="489"/>
      <c r="C443" s="490"/>
      <c r="E443" s="491"/>
      <c r="G443" s="65"/>
    </row>
    <row r="444" spans="2:7" ht="14.25" customHeight="1" x14ac:dyDescent="0.3">
      <c r="B444" s="489"/>
      <c r="C444" s="490"/>
      <c r="E444" s="491"/>
      <c r="G444" s="65"/>
    </row>
    <row r="445" spans="2:7" ht="14.25" customHeight="1" x14ac:dyDescent="0.3">
      <c r="B445" s="489"/>
      <c r="C445" s="490"/>
      <c r="E445" s="491"/>
      <c r="G445" s="65"/>
    </row>
    <row r="446" spans="2:7" ht="14.25" customHeight="1" x14ac:dyDescent="0.3">
      <c r="B446" s="489"/>
      <c r="C446" s="490"/>
      <c r="E446" s="491"/>
      <c r="G446" s="65"/>
    </row>
    <row r="447" spans="2:7" ht="14.25" customHeight="1" x14ac:dyDescent="0.3">
      <c r="B447" s="489"/>
      <c r="C447" s="490"/>
      <c r="E447" s="491"/>
      <c r="G447" s="65"/>
    </row>
    <row r="448" spans="2:7" ht="14.25" customHeight="1" x14ac:dyDescent="0.3">
      <c r="B448" s="489"/>
      <c r="C448" s="490"/>
      <c r="E448" s="491"/>
      <c r="G448" s="65"/>
    </row>
    <row r="449" spans="2:7" ht="14.25" customHeight="1" x14ac:dyDescent="0.3">
      <c r="B449" s="489"/>
      <c r="C449" s="490"/>
      <c r="E449" s="491"/>
      <c r="G449" s="65"/>
    </row>
    <row r="450" spans="2:7" ht="14.25" customHeight="1" x14ac:dyDescent="0.3">
      <c r="B450" s="489"/>
      <c r="C450" s="490"/>
      <c r="E450" s="491"/>
      <c r="G450" s="65"/>
    </row>
    <row r="451" spans="2:7" ht="14.25" customHeight="1" x14ac:dyDescent="0.3">
      <c r="B451" s="489"/>
      <c r="C451" s="490"/>
      <c r="E451" s="491"/>
      <c r="G451" s="65"/>
    </row>
    <row r="452" spans="2:7" ht="14.25" customHeight="1" x14ac:dyDescent="0.3">
      <c r="B452" s="489"/>
      <c r="C452" s="490"/>
      <c r="E452" s="491"/>
      <c r="G452" s="65"/>
    </row>
    <row r="453" spans="2:7" ht="14.25" customHeight="1" x14ac:dyDescent="0.3">
      <c r="B453" s="489"/>
      <c r="C453" s="490"/>
      <c r="E453" s="491"/>
      <c r="G453" s="65"/>
    </row>
    <row r="454" spans="2:7" ht="14.25" customHeight="1" x14ac:dyDescent="0.3">
      <c r="B454" s="489"/>
      <c r="C454" s="490"/>
      <c r="E454" s="491"/>
      <c r="G454" s="65"/>
    </row>
    <row r="455" spans="2:7" ht="14.25" customHeight="1" x14ac:dyDescent="0.3">
      <c r="B455" s="489"/>
      <c r="C455" s="490"/>
      <c r="E455" s="491"/>
      <c r="G455" s="65"/>
    </row>
    <row r="456" spans="2:7" ht="14.25" customHeight="1" x14ac:dyDescent="0.3">
      <c r="B456" s="489"/>
      <c r="C456" s="490"/>
      <c r="E456" s="491"/>
      <c r="G456" s="65"/>
    </row>
    <row r="457" spans="2:7" ht="14.25" customHeight="1" x14ac:dyDescent="0.3">
      <c r="B457" s="489"/>
      <c r="C457" s="490"/>
      <c r="E457" s="491"/>
      <c r="G457" s="65"/>
    </row>
    <row r="458" spans="2:7" ht="14.25" customHeight="1" x14ac:dyDescent="0.3">
      <c r="B458" s="489"/>
      <c r="C458" s="490"/>
      <c r="E458" s="491"/>
      <c r="G458" s="65"/>
    </row>
    <row r="459" spans="2:7" ht="14.25" customHeight="1" x14ac:dyDescent="0.3">
      <c r="B459" s="489"/>
      <c r="C459" s="490"/>
      <c r="E459" s="491"/>
      <c r="G459" s="65"/>
    </row>
    <row r="460" spans="2:7" ht="14.25" customHeight="1" x14ac:dyDescent="0.3">
      <c r="B460" s="489"/>
      <c r="C460" s="490"/>
      <c r="E460" s="491"/>
      <c r="G460" s="65"/>
    </row>
    <row r="461" spans="2:7" ht="14.25" customHeight="1" x14ac:dyDescent="0.3">
      <c r="B461" s="489"/>
      <c r="C461" s="490"/>
      <c r="E461" s="491"/>
      <c r="G461" s="65"/>
    </row>
    <row r="462" spans="2:7" ht="14.25" customHeight="1" x14ac:dyDescent="0.3">
      <c r="B462" s="489"/>
      <c r="C462" s="490"/>
      <c r="E462" s="491"/>
      <c r="G462" s="65"/>
    </row>
    <row r="463" spans="2:7" ht="14.25" customHeight="1" x14ac:dyDescent="0.3">
      <c r="B463" s="489"/>
      <c r="C463" s="490"/>
      <c r="E463" s="491"/>
      <c r="G463" s="65"/>
    </row>
    <row r="464" spans="2:7" ht="14.25" customHeight="1" x14ac:dyDescent="0.3">
      <c r="B464" s="489"/>
      <c r="C464" s="490"/>
      <c r="E464" s="491"/>
      <c r="G464" s="65"/>
    </row>
    <row r="465" spans="2:7" ht="14.25" customHeight="1" x14ac:dyDescent="0.3">
      <c r="B465" s="489"/>
      <c r="C465" s="490"/>
      <c r="E465" s="491"/>
      <c r="G465" s="65"/>
    </row>
    <row r="466" spans="2:7" ht="14.25" customHeight="1" x14ac:dyDescent="0.3">
      <c r="B466" s="489"/>
      <c r="C466" s="490"/>
      <c r="E466" s="491"/>
      <c r="G466" s="65"/>
    </row>
    <row r="467" spans="2:7" ht="14.25" customHeight="1" x14ac:dyDescent="0.3">
      <c r="B467" s="489"/>
      <c r="C467" s="490"/>
      <c r="E467" s="491"/>
      <c r="G467" s="65"/>
    </row>
    <row r="468" spans="2:7" ht="14.25" customHeight="1" x14ac:dyDescent="0.3">
      <c r="B468" s="489"/>
      <c r="C468" s="490"/>
      <c r="E468" s="491"/>
      <c r="G468" s="65"/>
    </row>
    <row r="469" spans="2:7" ht="14.25" customHeight="1" x14ac:dyDescent="0.3">
      <c r="B469" s="489"/>
      <c r="C469" s="490"/>
      <c r="E469" s="491"/>
      <c r="G469" s="65"/>
    </row>
    <row r="470" spans="2:7" ht="14.25" customHeight="1" x14ac:dyDescent="0.3">
      <c r="B470" s="489"/>
      <c r="C470" s="490"/>
      <c r="E470" s="491"/>
      <c r="G470" s="65"/>
    </row>
    <row r="471" spans="2:7" ht="14.25" customHeight="1" x14ac:dyDescent="0.3">
      <c r="B471" s="489"/>
      <c r="C471" s="490"/>
      <c r="E471" s="491"/>
      <c r="G471" s="65"/>
    </row>
    <row r="472" spans="2:7" ht="14.25" customHeight="1" x14ac:dyDescent="0.3">
      <c r="B472" s="489"/>
      <c r="C472" s="490"/>
      <c r="E472" s="491"/>
      <c r="G472" s="65"/>
    </row>
    <row r="473" spans="2:7" ht="14.25" customHeight="1" x14ac:dyDescent="0.3">
      <c r="B473" s="489"/>
      <c r="C473" s="490"/>
      <c r="E473" s="491"/>
      <c r="G473" s="65"/>
    </row>
    <row r="474" spans="2:7" ht="14.25" customHeight="1" x14ac:dyDescent="0.3">
      <c r="B474" s="489"/>
      <c r="C474" s="490"/>
      <c r="E474" s="491"/>
      <c r="G474" s="65"/>
    </row>
    <row r="475" spans="2:7" ht="14.25" customHeight="1" x14ac:dyDescent="0.3">
      <c r="B475" s="489"/>
      <c r="C475" s="490"/>
      <c r="E475" s="491"/>
      <c r="G475" s="65"/>
    </row>
    <row r="476" spans="2:7" ht="14.25" customHeight="1" x14ac:dyDescent="0.3">
      <c r="B476" s="489"/>
      <c r="C476" s="490"/>
      <c r="E476" s="491"/>
      <c r="G476" s="65"/>
    </row>
    <row r="477" spans="2:7" ht="14.25" customHeight="1" x14ac:dyDescent="0.3">
      <c r="B477" s="489"/>
      <c r="C477" s="490"/>
      <c r="E477" s="491"/>
      <c r="G477" s="65"/>
    </row>
    <row r="478" spans="2:7" ht="14.25" customHeight="1" x14ac:dyDescent="0.3">
      <c r="B478" s="489"/>
      <c r="C478" s="490"/>
      <c r="E478" s="491"/>
      <c r="G478" s="65"/>
    </row>
    <row r="479" spans="2:7" ht="14.25" customHeight="1" x14ac:dyDescent="0.3">
      <c r="B479" s="489"/>
      <c r="C479" s="490"/>
      <c r="E479" s="491"/>
      <c r="G479" s="65"/>
    </row>
    <row r="480" spans="2:7" ht="14.25" customHeight="1" x14ac:dyDescent="0.3">
      <c r="B480" s="489"/>
      <c r="C480" s="490"/>
      <c r="E480" s="491"/>
      <c r="G480" s="65"/>
    </row>
    <row r="481" spans="2:7" ht="14.25" customHeight="1" x14ac:dyDescent="0.3">
      <c r="B481" s="489"/>
      <c r="C481" s="490"/>
      <c r="E481" s="491"/>
      <c r="G481" s="65"/>
    </row>
    <row r="482" spans="2:7" ht="14.25" customHeight="1" x14ac:dyDescent="0.3">
      <c r="B482" s="489"/>
      <c r="C482" s="490"/>
      <c r="E482" s="491"/>
      <c r="G482" s="65"/>
    </row>
    <row r="483" spans="2:7" ht="14.25" customHeight="1" x14ac:dyDescent="0.3">
      <c r="B483" s="489"/>
      <c r="C483" s="490"/>
      <c r="E483" s="491"/>
      <c r="G483" s="65"/>
    </row>
    <row r="484" spans="2:7" ht="14.25" customHeight="1" x14ac:dyDescent="0.3">
      <c r="B484" s="489"/>
      <c r="C484" s="490"/>
      <c r="E484" s="491"/>
      <c r="G484" s="65"/>
    </row>
    <row r="485" spans="2:7" ht="14.25" customHeight="1" x14ac:dyDescent="0.3">
      <c r="B485" s="489"/>
      <c r="C485" s="490"/>
      <c r="E485" s="491"/>
      <c r="G485" s="65"/>
    </row>
    <row r="486" spans="2:7" ht="14.25" customHeight="1" x14ac:dyDescent="0.3">
      <c r="B486" s="489"/>
      <c r="C486" s="490"/>
      <c r="E486" s="491"/>
      <c r="G486" s="65"/>
    </row>
    <row r="487" spans="2:7" ht="14.25" customHeight="1" x14ac:dyDescent="0.3">
      <c r="B487" s="489"/>
      <c r="C487" s="490"/>
      <c r="E487" s="491"/>
      <c r="G487" s="65"/>
    </row>
    <row r="488" spans="2:7" ht="14.25" customHeight="1" x14ac:dyDescent="0.3">
      <c r="B488" s="489"/>
      <c r="C488" s="490"/>
      <c r="E488" s="491"/>
      <c r="G488" s="65"/>
    </row>
    <row r="489" spans="2:7" ht="14.25" customHeight="1" x14ac:dyDescent="0.3">
      <c r="B489" s="489"/>
      <c r="C489" s="490"/>
      <c r="E489" s="491"/>
      <c r="G489" s="65"/>
    </row>
    <row r="490" spans="2:7" ht="14.25" customHeight="1" x14ac:dyDescent="0.3">
      <c r="B490" s="489"/>
      <c r="C490" s="490"/>
      <c r="E490" s="491"/>
      <c r="G490" s="65"/>
    </row>
    <row r="491" spans="2:7" ht="14.25" customHeight="1" x14ac:dyDescent="0.3">
      <c r="B491" s="489"/>
      <c r="C491" s="490"/>
      <c r="E491" s="491"/>
      <c r="G491" s="65"/>
    </row>
    <row r="492" spans="2:7" ht="14.25" customHeight="1" x14ac:dyDescent="0.3">
      <c r="B492" s="489"/>
      <c r="C492" s="490"/>
      <c r="E492" s="491"/>
      <c r="G492" s="65"/>
    </row>
    <row r="493" spans="2:7" ht="14.25" customHeight="1" x14ac:dyDescent="0.3">
      <c r="B493" s="489"/>
      <c r="C493" s="490"/>
      <c r="E493" s="491"/>
      <c r="G493" s="65"/>
    </row>
    <row r="494" spans="2:7" ht="14.25" customHeight="1" x14ac:dyDescent="0.3">
      <c r="B494" s="489"/>
      <c r="C494" s="490"/>
      <c r="E494" s="491"/>
      <c r="G494" s="65"/>
    </row>
    <row r="495" spans="2:7" ht="14.25" customHeight="1" x14ac:dyDescent="0.3">
      <c r="B495" s="489"/>
      <c r="C495" s="490"/>
      <c r="E495" s="491"/>
      <c r="G495" s="65"/>
    </row>
    <row r="496" spans="2:7" ht="14.25" customHeight="1" x14ac:dyDescent="0.3">
      <c r="B496" s="489"/>
      <c r="C496" s="490"/>
      <c r="E496" s="491"/>
      <c r="G496" s="65"/>
    </row>
    <row r="497" spans="2:7" ht="14.25" customHeight="1" x14ac:dyDescent="0.3">
      <c r="B497" s="489"/>
      <c r="C497" s="490"/>
      <c r="E497" s="491"/>
      <c r="G497" s="65"/>
    </row>
    <row r="498" spans="2:7" ht="14.25" customHeight="1" x14ac:dyDescent="0.3">
      <c r="B498" s="489"/>
      <c r="C498" s="490"/>
      <c r="E498" s="491"/>
      <c r="G498" s="65"/>
    </row>
    <row r="499" spans="2:7" ht="14.25" customHeight="1" x14ac:dyDescent="0.3">
      <c r="B499" s="489"/>
      <c r="C499" s="490"/>
      <c r="E499" s="491"/>
      <c r="G499" s="65"/>
    </row>
    <row r="500" spans="2:7" ht="14.25" customHeight="1" x14ac:dyDescent="0.3">
      <c r="B500" s="489"/>
      <c r="C500" s="490"/>
      <c r="E500" s="491"/>
      <c r="G500" s="65"/>
    </row>
    <row r="501" spans="2:7" ht="14.25" customHeight="1" x14ac:dyDescent="0.3">
      <c r="B501" s="489"/>
      <c r="C501" s="490"/>
      <c r="E501" s="491"/>
      <c r="G501" s="65"/>
    </row>
    <row r="502" spans="2:7" ht="14.25" customHeight="1" x14ac:dyDescent="0.3">
      <c r="B502" s="489"/>
      <c r="C502" s="490"/>
      <c r="E502" s="491"/>
      <c r="G502" s="65"/>
    </row>
    <row r="503" spans="2:7" ht="14.25" customHeight="1" x14ac:dyDescent="0.3">
      <c r="B503" s="489"/>
      <c r="C503" s="490"/>
      <c r="E503" s="491"/>
      <c r="G503" s="65"/>
    </row>
    <row r="504" spans="2:7" ht="14.25" customHeight="1" x14ac:dyDescent="0.3">
      <c r="B504" s="489"/>
      <c r="C504" s="490"/>
      <c r="E504" s="491"/>
      <c r="G504" s="65"/>
    </row>
    <row r="505" spans="2:7" ht="14.25" customHeight="1" x14ac:dyDescent="0.3">
      <c r="B505" s="489"/>
      <c r="C505" s="490"/>
      <c r="E505" s="491"/>
      <c r="G505" s="65"/>
    </row>
    <row r="506" spans="2:7" ht="14.25" customHeight="1" x14ac:dyDescent="0.3">
      <c r="B506" s="489"/>
      <c r="C506" s="490"/>
      <c r="E506" s="491"/>
      <c r="G506" s="65"/>
    </row>
    <row r="507" spans="2:7" ht="14.25" customHeight="1" x14ac:dyDescent="0.3">
      <c r="B507" s="489"/>
      <c r="C507" s="490"/>
      <c r="E507" s="491"/>
      <c r="G507" s="65"/>
    </row>
    <row r="508" spans="2:7" ht="14.25" customHeight="1" x14ac:dyDescent="0.3">
      <c r="B508" s="489"/>
      <c r="C508" s="490"/>
      <c r="E508" s="491"/>
      <c r="G508" s="65"/>
    </row>
    <row r="509" spans="2:7" ht="14.25" customHeight="1" x14ac:dyDescent="0.3">
      <c r="B509" s="489"/>
      <c r="C509" s="490"/>
      <c r="E509" s="491"/>
      <c r="G509" s="65"/>
    </row>
    <row r="510" spans="2:7" ht="14.25" customHeight="1" x14ac:dyDescent="0.3">
      <c r="B510" s="489"/>
      <c r="C510" s="490"/>
      <c r="E510" s="491"/>
      <c r="G510" s="65"/>
    </row>
    <row r="511" spans="2:7" ht="14.25" customHeight="1" x14ac:dyDescent="0.3">
      <c r="B511" s="489"/>
      <c r="C511" s="490"/>
      <c r="E511" s="491"/>
      <c r="G511" s="65"/>
    </row>
    <row r="512" spans="2:7" ht="14.25" customHeight="1" x14ac:dyDescent="0.3">
      <c r="B512" s="489"/>
      <c r="C512" s="490"/>
      <c r="E512" s="491"/>
      <c r="G512" s="65"/>
    </row>
    <row r="513" spans="2:7" ht="14.25" customHeight="1" x14ac:dyDescent="0.3">
      <c r="B513" s="489"/>
      <c r="C513" s="490"/>
      <c r="E513" s="491"/>
      <c r="G513" s="65"/>
    </row>
    <row r="514" spans="2:7" ht="14.25" customHeight="1" x14ac:dyDescent="0.3">
      <c r="B514" s="489"/>
      <c r="C514" s="490"/>
      <c r="E514" s="491"/>
      <c r="G514" s="65"/>
    </row>
    <row r="515" spans="2:7" ht="14.25" customHeight="1" x14ac:dyDescent="0.3">
      <c r="B515" s="489"/>
      <c r="C515" s="490"/>
      <c r="E515" s="491"/>
      <c r="G515" s="65"/>
    </row>
    <row r="516" spans="2:7" ht="14.25" customHeight="1" x14ac:dyDescent="0.3">
      <c r="B516" s="489"/>
      <c r="C516" s="490"/>
      <c r="E516" s="491"/>
      <c r="G516" s="65"/>
    </row>
    <row r="517" spans="2:7" ht="14.25" customHeight="1" x14ac:dyDescent="0.3">
      <c r="B517" s="489"/>
      <c r="C517" s="490"/>
      <c r="E517" s="491"/>
      <c r="G517" s="65"/>
    </row>
    <row r="518" spans="2:7" ht="14.25" customHeight="1" x14ac:dyDescent="0.3">
      <c r="B518" s="489"/>
      <c r="C518" s="490"/>
      <c r="E518" s="491"/>
      <c r="G518" s="65"/>
    </row>
    <row r="519" spans="2:7" ht="14.25" customHeight="1" x14ac:dyDescent="0.3">
      <c r="B519" s="489"/>
      <c r="C519" s="490"/>
      <c r="E519" s="491"/>
      <c r="G519" s="65"/>
    </row>
    <row r="520" spans="2:7" ht="14.25" customHeight="1" x14ac:dyDescent="0.3">
      <c r="B520" s="489"/>
      <c r="C520" s="490"/>
      <c r="E520" s="491"/>
      <c r="G520" s="65"/>
    </row>
    <row r="521" spans="2:7" ht="14.25" customHeight="1" x14ac:dyDescent="0.3">
      <c r="B521" s="489"/>
      <c r="C521" s="490"/>
      <c r="E521" s="491"/>
      <c r="G521" s="65"/>
    </row>
    <row r="522" spans="2:7" ht="14.25" customHeight="1" x14ac:dyDescent="0.3">
      <c r="B522" s="489"/>
      <c r="C522" s="490"/>
      <c r="E522" s="491"/>
      <c r="G522" s="65"/>
    </row>
    <row r="523" spans="2:7" ht="14.25" customHeight="1" x14ac:dyDescent="0.3">
      <c r="B523" s="489"/>
      <c r="C523" s="490"/>
      <c r="E523" s="491"/>
      <c r="G523" s="65"/>
    </row>
    <row r="524" spans="2:7" ht="14.25" customHeight="1" x14ac:dyDescent="0.3">
      <c r="B524" s="489"/>
      <c r="C524" s="490"/>
      <c r="E524" s="491"/>
      <c r="G524" s="65"/>
    </row>
    <row r="525" spans="2:7" ht="14.25" customHeight="1" x14ac:dyDescent="0.3">
      <c r="B525" s="489"/>
      <c r="C525" s="490"/>
      <c r="E525" s="491"/>
      <c r="G525" s="65"/>
    </row>
    <row r="526" spans="2:7" ht="14.25" customHeight="1" x14ac:dyDescent="0.3">
      <c r="B526" s="489"/>
      <c r="C526" s="490"/>
      <c r="E526" s="491"/>
      <c r="G526" s="65"/>
    </row>
    <row r="527" spans="2:7" ht="14.25" customHeight="1" x14ac:dyDescent="0.3">
      <c r="B527" s="489"/>
      <c r="C527" s="490"/>
      <c r="E527" s="491"/>
      <c r="G527" s="65"/>
    </row>
    <row r="528" spans="2:7" ht="14.25" customHeight="1" x14ac:dyDescent="0.3">
      <c r="B528" s="489"/>
      <c r="C528" s="490"/>
      <c r="E528" s="491"/>
      <c r="G528" s="65"/>
    </row>
    <row r="529" spans="2:7" ht="14.25" customHeight="1" x14ac:dyDescent="0.3">
      <c r="B529" s="489"/>
      <c r="C529" s="490"/>
      <c r="E529" s="491"/>
      <c r="G529" s="65"/>
    </row>
    <row r="530" spans="2:7" ht="14.25" customHeight="1" x14ac:dyDescent="0.3">
      <c r="B530" s="489"/>
      <c r="C530" s="490"/>
      <c r="E530" s="491"/>
      <c r="G530" s="65"/>
    </row>
    <row r="531" spans="2:7" ht="14.25" customHeight="1" x14ac:dyDescent="0.3">
      <c r="B531" s="489"/>
      <c r="C531" s="490"/>
      <c r="E531" s="491"/>
      <c r="G531" s="65"/>
    </row>
    <row r="532" spans="2:7" ht="14.25" customHeight="1" x14ac:dyDescent="0.3">
      <c r="B532" s="489"/>
      <c r="C532" s="490"/>
      <c r="E532" s="491"/>
      <c r="G532" s="65"/>
    </row>
    <row r="533" spans="2:7" ht="14.25" customHeight="1" x14ac:dyDescent="0.3">
      <c r="B533" s="489"/>
      <c r="C533" s="490"/>
      <c r="E533" s="491"/>
      <c r="G533" s="65"/>
    </row>
    <row r="534" spans="2:7" ht="14.25" customHeight="1" x14ac:dyDescent="0.3">
      <c r="B534" s="489"/>
      <c r="C534" s="490"/>
      <c r="E534" s="491"/>
      <c r="G534" s="65"/>
    </row>
    <row r="535" spans="2:7" ht="14.25" customHeight="1" x14ac:dyDescent="0.3">
      <c r="B535" s="489"/>
      <c r="C535" s="490"/>
      <c r="E535" s="491"/>
      <c r="G535" s="65"/>
    </row>
    <row r="536" spans="2:7" ht="14.25" customHeight="1" x14ac:dyDescent="0.3">
      <c r="B536" s="489"/>
      <c r="C536" s="490"/>
      <c r="E536" s="491"/>
      <c r="G536" s="65"/>
    </row>
    <row r="537" spans="2:7" ht="14.25" customHeight="1" x14ac:dyDescent="0.3">
      <c r="B537" s="489"/>
      <c r="C537" s="490"/>
      <c r="E537" s="491"/>
      <c r="G537" s="65"/>
    </row>
    <row r="538" spans="2:7" ht="14.25" customHeight="1" x14ac:dyDescent="0.3">
      <c r="B538" s="489"/>
      <c r="C538" s="490"/>
      <c r="E538" s="491"/>
      <c r="G538" s="65"/>
    </row>
    <row r="539" spans="2:7" ht="14.25" customHeight="1" x14ac:dyDescent="0.3">
      <c r="B539" s="489"/>
      <c r="C539" s="490"/>
      <c r="E539" s="491"/>
      <c r="G539" s="65"/>
    </row>
    <row r="540" spans="2:7" ht="14.25" customHeight="1" x14ac:dyDescent="0.3">
      <c r="B540" s="489"/>
      <c r="C540" s="490"/>
      <c r="E540" s="491"/>
      <c r="G540" s="65"/>
    </row>
    <row r="541" spans="2:7" ht="14.25" customHeight="1" x14ac:dyDescent="0.3">
      <c r="B541" s="489"/>
      <c r="C541" s="490"/>
      <c r="E541" s="491"/>
      <c r="G541" s="65"/>
    </row>
    <row r="542" spans="2:7" ht="14.25" customHeight="1" x14ac:dyDescent="0.3">
      <c r="B542" s="489"/>
      <c r="C542" s="490"/>
      <c r="E542" s="491"/>
      <c r="G542" s="65"/>
    </row>
    <row r="543" spans="2:7" ht="14.25" customHeight="1" x14ac:dyDescent="0.3">
      <c r="B543" s="489"/>
      <c r="C543" s="490"/>
      <c r="E543" s="491"/>
      <c r="G543" s="65"/>
    </row>
    <row r="544" spans="2:7" ht="14.25" customHeight="1" x14ac:dyDescent="0.3">
      <c r="B544" s="489"/>
      <c r="C544" s="490"/>
      <c r="E544" s="491"/>
      <c r="G544" s="65"/>
    </row>
    <row r="545" spans="2:7" ht="14.25" customHeight="1" x14ac:dyDescent="0.3">
      <c r="B545" s="489"/>
      <c r="C545" s="490"/>
      <c r="E545" s="491"/>
      <c r="G545" s="65"/>
    </row>
    <row r="546" spans="2:7" ht="14.25" customHeight="1" x14ac:dyDescent="0.3">
      <c r="B546" s="489"/>
      <c r="C546" s="490"/>
      <c r="E546" s="491"/>
      <c r="G546" s="65"/>
    </row>
    <row r="547" spans="2:7" ht="14.25" customHeight="1" x14ac:dyDescent="0.3">
      <c r="B547" s="489"/>
      <c r="C547" s="490"/>
      <c r="E547" s="491"/>
      <c r="G547" s="65"/>
    </row>
    <row r="548" spans="2:7" ht="14.25" customHeight="1" x14ac:dyDescent="0.3">
      <c r="B548" s="489"/>
      <c r="C548" s="490"/>
      <c r="E548" s="491"/>
      <c r="G548" s="65"/>
    </row>
    <row r="549" spans="2:7" ht="14.25" customHeight="1" x14ac:dyDescent="0.3">
      <c r="B549" s="489"/>
      <c r="C549" s="490"/>
      <c r="E549" s="491"/>
      <c r="G549" s="65"/>
    </row>
    <row r="550" spans="2:7" ht="14.25" customHeight="1" x14ac:dyDescent="0.3">
      <c r="B550" s="489"/>
      <c r="C550" s="490"/>
      <c r="E550" s="491"/>
      <c r="G550" s="65"/>
    </row>
    <row r="551" spans="2:7" ht="14.25" customHeight="1" x14ac:dyDescent="0.3">
      <c r="B551" s="489"/>
      <c r="C551" s="490"/>
      <c r="E551" s="491"/>
      <c r="G551" s="65"/>
    </row>
    <row r="552" spans="2:7" ht="14.25" customHeight="1" x14ac:dyDescent="0.3">
      <c r="B552" s="489"/>
      <c r="C552" s="490"/>
      <c r="E552" s="491"/>
      <c r="G552" s="65"/>
    </row>
    <row r="553" spans="2:7" ht="14.25" customHeight="1" x14ac:dyDescent="0.3">
      <c r="B553" s="489"/>
      <c r="C553" s="490"/>
      <c r="E553" s="491"/>
      <c r="G553" s="65"/>
    </row>
    <row r="554" spans="2:7" ht="14.25" customHeight="1" x14ac:dyDescent="0.3">
      <c r="B554" s="489"/>
      <c r="C554" s="490"/>
      <c r="E554" s="491"/>
      <c r="G554" s="65"/>
    </row>
    <row r="555" spans="2:7" ht="14.25" customHeight="1" x14ac:dyDescent="0.3">
      <c r="B555" s="489"/>
      <c r="C555" s="490"/>
      <c r="E555" s="491"/>
      <c r="G555" s="65"/>
    </row>
    <row r="556" spans="2:7" ht="14.25" customHeight="1" x14ac:dyDescent="0.3">
      <c r="B556" s="489"/>
      <c r="C556" s="490"/>
      <c r="E556" s="491"/>
      <c r="G556" s="65"/>
    </row>
    <row r="557" spans="2:7" ht="14.25" customHeight="1" x14ac:dyDescent="0.3">
      <c r="B557" s="489"/>
      <c r="C557" s="490"/>
      <c r="E557" s="491"/>
      <c r="G557" s="65"/>
    </row>
    <row r="558" spans="2:7" ht="14.25" customHeight="1" x14ac:dyDescent="0.3">
      <c r="B558" s="489"/>
      <c r="C558" s="490"/>
      <c r="E558" s="491"/>
      <c r="G558" s="65"/>
    </row>
    <row r="559" spans="2:7" ht="14.25" customHeight="1" x14ac:dyDescent="0.3">
      <c r="B559" s="489"/>
      <c r="C559" s="490"/>
      <c r="E559" s="491"/>
      <c r="G559" s="65"/>
    </row>
    <row r="560" spans="2:7" ht="14.25" customHeight="1" x14ac:dyDescent="0.3">
      <c r="B560" s="489"/>
      <c r="C560" s="490"/>
      <c r="E560" s="491"/>
      <c r="G560" s="65"/>
    </row>
    <row r="561" spans="2:7" ht="14.25" customHeight="1" x14ac:dyDescent="0.3">
      <c r="B561" s="489"/>
      <c r="C561" s="490"/>
      <c r="E561" s="491"/>
      <c r="G561" s="65"/>
    </row>
    <row r="562" spans="2:7" ht="14.25" customHeight="1" x14ac:dyDescent="0.3">
      <c r="B562" s="489"/>
      <c r="C562" s="490"/>
      <c r="E562" s="491"/>
      <c r="G562" s="65"/>
    </row>
    <row r="563" spans="2:7" ht="14.25" customHeight="1" x14ac:dyDescent="0.3">
      <c r="B563" s="489"/>
      <c r="C563" s="490"/>
      <c r="E563" s="491"/>
      <c r="G563" s="65"/>
    </row>
    <row r="564" spans="2:7" ht="14.25" customHeight="1" x14ac:dyDescent="0.3">
      <c r="B564" s="489"/>
      <c r="C564" s="490"/>
      <c r="E564" s="491"/>
      <c r="G564" s="65"/>
    </row>
    <row r="565" spans="2:7" ht="14.25" customHeight="1" x14ac:dyDescent="0.3">
      <c r="B565" s="489"/>
      <c r="C565" s="490"/>
      <c r="E565" s="491"/>
      <c r="G565" s="65"/>
    </row>
    <row r="566" spans="2:7" ht="14.25" customHeight="1" x14ac:dyDescent="0.3">
      <c r="B566" s="489"/>
      <c r="C566" s="490"/>
      <c r="E566" s="491"/>
      <c r="G566" s="65"/>
    </row>
    <row r="567" spans="2:7" ht="14.25" customHeight="1" x14ac:dyDescent="0.3">
      <c r="B567" s="489"/>
      <c r="C567" s="490"/>
      <c r="E567" s="491"/>
      <c r="G567" s="65"/>
    </row>
    <row r="568" spans="2:7" ht="14.25" customHeight="1" x14ac:dyDescent="0.3">
      <c r="B568" s="489"/>
      <c r="C568" s="490"/>
      <c r="E568" s="491"/>
      <c r="G568" s="65"/>
    </row>
    <row r="569" spans="2:7" ht="14.25" customHeight="1" x14ac:dyDescent="0.3">
      <c r="B569" s="489"/>
      <c r="C569" s="490"/>
      <c r="E569" s="491"/>
      <c r="G569" s="65"/>
    </row>
    <row r="570" spans="2:7" ht="14.25" customHeight="1" x14ac:dyDescent="0.3">
      <c r="B570" s="489"/>
      <c r="C570" s="490"/>
      <c r="E570" s="491"/>
      <c r="G570" s="65"/>
    </row>
    <row r="571" spans="2:7" ht="14.25" customHeight="1" x14ac:dyDescent="0.3">
      <c r="B571" s="489"/>
      <c r="C571" s="490"/>
      <c r="E571" s="491"/>
      <c r="G571" s="65"/>
    </row>
    <row r="572" spans="2:7" ht="14.25" customHeight="1" x14ac:dyDescent="0.3">
      <c r="B572" s="489"/>
      <c r="C572" s="490"/>
      <c r="E572" s="491"/>
      <c r="G572" s="65"/>
    </row>
    <row r="573" spans="2:7" ht="14.25" customHeight="1" x14ac:dyDescent="0.3">
      <c r="B573" s="489"/>
      <c r="C573" s="490"/>
      <c r="E573" s="491"/>
      <c r="G573" s="65"/>
    </row>
    <row r="574" spans="2:7" ht="14.25" customHeight="1" x14ac:dyDescent="0.3">
      <c r="B574" s="489"/>
      <c r="C574" s="490"/>
      <c r="E574" s="491"/>
      <c r="G574" s="65"/>
    </row>
    <row r="575" spans="2:7" ht="14.25" customHeight="1" x14ac:dyDescent="0.3">
      <c r="B575" s="489"/>
      <c r="C575" s="490"/>
      <c r="E575" s="491"/>
      <c r="G575" s="65"/>
    </row>
    <row r="576" spans="2:7" ht="14.25" customHeight="1" x14ac:dyDescent="0.3">
      <c r="B576" s="489"/>
      <c r="C576" s="490"/>
      <c r="E576" s="491"/>
      <c r="G576" s="65"/>
    </row>
    <row r="577" spans="2:7" ht="14.25" customHeight="1" x14ac:dyDescent="0.3">
      <c r="B577" s="489"/>
      <c r="C577" s="490"/>
      <c r="E577" s="491"/>
      <c r="G577" s="65"/>
    </row>
    <row r="578" spans="2:7" ht="14.25" customHeight="1" x14ac:dyDescent="0.3">
      <c r="B578" s="489"/>
      <c r="C578" s="490"/>
      <c r="E578" s="491"/>
      <c r="G578" s="65"/>
    </row>
    <row r="579" spans="2:7" ht="14.25" customHeight="1" x14ac:dyDescent="0.3">
      <c r="B579" s="489"/>
      <c r="C579" s="490"/>
      <c r="E579" s="491"/>
      <c r="G579" s="65"/>
    </row>
    <row r="580" spans="2:7" ht="14.25" customHeight="1" x14ac:dyDescent="0.3">
      <c r="B580" s="489"/>
      <c r="C580" s="490"/>
      <c r="E580" s="491"/>
      <c r="G580" s="65"/>
    </row>
    <row r="581" spans="2:7" ht="14.25" customHeight="1" x14ac:dyDescent="0.3">
      <c r="B581" s="489"/>
      <c r="C581" s="490"/>
      <c r="E581" s="491"/>
      <c r="G581" s="65"/>
    </row>
    <row r="582" spans="2:7" ht="14.25" customHeight="1" x14ac:dyDescent="0.3">
      <c r="B582" s="489"/>
      <c r="C582" s="490"/>
      <c r="E582" s="491"/>
      <c r="G582" s="65"/>
    </row>
    <row r="583" spans="2:7" ht="14.25" customHeight="1" x14ac:dyDescent="0.3">
      <c r="B583" s="489"/>
      <c r="C583" s="490"/>
      <c r="E583" s="491"/>
      <c r="G583" s="65"/>
    </row>
    <row r="584" spans="2:7" ht="14.25" customHeight="1" x14ac:dyDescent="0.3">
      <c r="B584" s="489"/>
      <c r="C584" s="490"/>
      <c r="E584" s="491"/>
      <c r="G584" s="65"/>
    </row>
    <row r="585" spans="2:7" ht="14.25" customHeight="1" x14ac:dyDescent="0.3">
      <c r="B585" s="489"/>
      <c r="C585" s="490"/>
      <c r="E585" s="491"/>
      <c r="G585" s="65"/>
    </row>
    <row r="586" spans="2:7" ht="14.25" customHeight="1" x14ac:dyDescent="0.3">
      <c r="B586" s="489"/>
      <c r="C586" s="490"/>
      <c r="E586" s="491"/>
      <c r="G586" s="65"/>
    </row>
    <row r="587" spans="2:7" ht="14.25" customHeight="1" x14ac:dyDescent="0.3">
      <c r="B587" s="489"/>
      <c r="C587" s="490"/>
      <c r="E587" s="491"/>
      <c r="G587" s="65"/>
    </row>
    <row r="588" spans="2:7" ht="14.25" customHeight="1" x14ac:dyDescent="0.3">
      <c r="B588" s="489"/>
      <c r="C588" s="490"/>
      <c r="E588" s="491"/>
      <c r="G588" s="65"/>
    </row>
    <row r="589" spans="2:7" ht="14.25" customHeight="1" x14ac:dyDescent="0.3">
      <c r="B589" s="489"/>
      <c r="C589" s="490"/>
      <c r="E589" s="491"/>
      <c r="G589" s="65"/>
    </row>
    <row r="590" spans="2:7" ht="14.25" customHeight="1" x14ac:dyDescent="0.3">
      <c r="B590" s="489"/>
      <c r="C590" s="490"/>
      <c r="E590" s="491"/>
      <c r="G590" s="65"/>
    </row>
    <row r="591" spans="2:7" ht="14.25" customHeight="1" x14ac:dyDescent="0.3">
      <c r="B591" s="489"/>
      <c r="C591" s="490"/>
      <c r="E591" s="491"/>
      <c r="G591" s="65"/>
    </row>
    <row r="592" spans="2:7" ht="14.25" customHeight="1" x14ac:dyDescent="0.3">
      <c r="B592" s="489"/>
      <c r="C592" s="490"/>
      <c r="E592" s="491"/>
      <c r="G592" s="65"/>
    </row>
    <row r="593" spans="2:7" ht="14.25" customHeight="1" x14ac:dyDescent="0.3">
      <c r="B593" s="489"/>
      <c r="C593" s="490"/>
      <c r="E593" s="491"/>
      <c r="G593" s="65"/>
    </row>
    <row r="594" spans="2:7" ht="14.25" customHeight="1" x14ac:dyDescent="0.3">
      <c r="B594" s="489"/>
      <c r="C594" s="490"/>
      <c r="E594" s="491"/>
      <c r="G594" s="65"/>
    </row>
    <row r="595" spans="2:7" ht="14.25" customHeight="1" x14ac:dyDescent="0.3">
      <c r="B595" s="489"/>
      <c r="C595" s="490"/>
      <c r="E595" s="491"/>
      <c r="G595" s="65"/>
    </row>
    <row r="596" spans="2:7" ht="14.25" customHeight="1" x14ac:dyDescent="0.3">
      <c r="B596" s="489"/>
      <c r="C596" s="490"/>
      <c r="E596" s="491"/>
      <c r="G596" s="65"/>
    </row>
    <row r="597" spans="2:7" ht="14.25" customHeight="1" x14ac:dyDescent="0.3">
      <c r="B597" s="489"/>
      <c r="C597" s="490"/>
      <c r="E597" s="491"/>
      <c r="G597" s="65"/>
    </row>
    <row r="598" spans="2:7" ht="14.25" customHeight="1" x14ac:dyDescent="0.3">
      <c r="B598" s="489"/>
      <c r="C598" s="490"/>
      <c r="E598" s="491"/>
      <c r="G598" s="65"/>
    </row>
    <row r="599" spans="2:7" ht="14.25" customHeight="1" x14ac:dyDescent="0.3">
      <c r="B599" s="489"/>
      <c r="C599" s="490"/>
      <c r="E599" s="491"/>
      <c r="G599" s="65"/>
    </row>
    <row r="600" spans="2:7" ht="14.25" customHeight="1" x14ac:dyDescent="0.3">
      <c r="B600" s="489"/>
      <c r="C600" s="490"/>
      <c r="E600" s="491"/>
      <c r="G600" s="65"/>
    </row>
    <row r="601" spans="2:7" ht="14.25" customHeight="1" x14ac:dyDescent="0.3">
      <c r="B601" s="489"/>
      <c r="C601" s="490"/>
      <c r="E601" s="491"/>
      <c r="G601" s="65"/>
    </row>
    <row r="602" spans="2:7" ht="14.25" customHeight="1" x14ac:dyDescent="0.3">
      <c r="B602" s="489"/>
      <c r="C602" s="490"/>
      <c r="E602" s="491"/>
      <c r="G602" s="65"/>
    </row>
    <row r="603" spans="2:7" ht="14.25" customHeight="1" x14ac:dyDescent="0.3">
      <c r="B603" s="489"/>
      <c r="C603" s="490"/>
      <c r="E603" s="491"/>
      <c r="G603" s="65"/>
    </row>
    <row r="604" spans="2:7" ht="14.25" customHeight="1" x14ac:dyDescent="0.3">
      <c r="B604" s="489"/>
      <c r="C604" s="490"/>
      <c r="E604" s="491"/>
      <c r="G604" s="65"/>
    </row>
    <row r="605" spans="2:7" ht="14.25" customHeight="1" x14ac:dyDescent="0.3">
      <c r="B605" s="489"/>
      <c r="C605" s="490"/>
      <c r="E605" s="491"/>
      <c r="G605" s="65"/>
    </row>
    <row r="606" spans="2:7" ht="14.25" customHeight="1" x14ac:dyDescent="0.3">
      <c r="B606" s="489"/>
      <c r="C606" s="490"/>
      <c r="E606" s="491"/>
      <c r="G606" s="65"/>
    </row>
    <row r="607" spans="2:7" ht="14.25" customHeight="1" x14ac:dyDescent="0.3">
      <c r="B607" s="489"/>
      <c r="C607" s="490"/>
      <c r="E607" s="491"/>
      <c r="G607" s="65"/>
    </row>
    <row r="608" spans="2:7" ht="14.25" customHeight="1" x14ac:dyDescent="0.3">
      <c r="B608" s="489"/>
      <c r="C608" s="490"/>
      <c r="E608" s="491"/>
      <c r="G608" s="65"/>
    </row>
    <row r="609" spans="2:7" ht="14.25" customHeight="1" x14ac:dyDescent="0.3">
      <c r="B609" s="489"/>
      <c r="C609" s="490"/>
      <c r="E609" s="491"/>
      <c r="G609" s="65"/>
    </row>
    <row r="610" spans="2:7" ht="14.25" customHeight="1" x14ac:dyDescent="0.3">
      <c r="B610" s="489"/>
      <c r="C610" s="490"/>
      <c r="E610" s="491"/>
      <c r="G610" s="65"/>
    </row>
    <row r="611" spans="2:7" ht="14.25" customHeight="1" x14ac:dyDescent="0.3">
      <c r="B611" s="489"/>
      <c r="C611" s="490"/>
      <c r="E611" s="491"/>
      <c r="G611" s="65"/>
    </row>
    <row r="612" spans="2:7" ht="14.25" customHeight="1" x14ac:dyDescent="0.3">
      <c r="B612" s="489"/>
      <c r="C612" s="490"/>
      <c r="E612" s="491"/>
      <c r="G612" s="65"/>
    </row>
    <row r="613" spans="2:7" ht="14.25" customHeight="1" x14ac:dyDescent="0.3">
      <c r="B613" s="489"/>
      <c r="C613" s="490"/>
      <c r="E613" s="491"/>
      <c r="G613" s="65"/>
    </row>
    <row r="614" spans="2:7" ht="14.25" customHeight="1" x14ac:dyDescent="0.3">
      <c r="B614" s="489"/>
      <c r="C614" s="490"/>
      <c r="E614" s="491"/>
      <c r="G614" s="65"/>
    </row>
    <row r="615" spans="2:7" ht="14.25" customHeight="1" x14ac:dyDescent="0.3">
      <c r="B615" s="489"/>
      <c r="C615" s="490"/>
      <c r="E615" s="491"/>
      <c r="G615" s="65"/>
    </row>
    <row r="616" spans="2:7" ht="14.25" customHeight="1" x14ac:dyDescent="0.3">
      <c r="B616" s="489"/>
      <c r="C616" s="490"/>
      <c r="E616" s="491"/>
      <c r="G616" s="65"/>
    </row>
    <row r="617" spans="2:7" ht="14.25" customHeight="1" x14ac:dyDescent="0.3">
      <c r="B617" s="489"/>
      <c r="C617" s="490"/>
      <c r="E617" s="491"/>
      <c r="G617" s="65"/>
    </row>
    <row r="618" spans="2:7" ht="14.25" customHeight="1" x14ac:dyDescent="0.3">
      <c r="B618" s="489"/>
      <c r="C618" s="490"/>
      <c r="E618" s="491"/>
      <c r="G618" s="65"/>
    </row>
    <row r="619" spans="2:7" ht="14.25" customHeight="1" x14ac:dyDescent="0.3">
      <c r="B619" s="489"/>
      <c r="C619" s="490"/>
      <c r="E619" s="491"/>
      <c r="G619" s="65"/>
    </row>
    <row r="620" spans="2:7" ht="14.25" customHeight="1" x14ac:dyDescent="0.3">
      <c r="B620" s="489"/>
      <c r="C620" s="490"/>
      <c r="E620" s="491"/>
      <c r="G620" s="65"/>
    </row>
    <row r="621" spans="2:7" ht="14.25" customHeight="1" x14ac:dyDescent="0.3">
      <c r="B621" s="489"/>
      <c r="C621" s="490"/>
      <c r="E621" s="491"/>
      <c r="G621" s="65"/>
    </row>
    <row r="622" spans="2:7" ht="14.25" customHeight="1" x14ac:dyDescent="0.3">
      <c r="B622" s="489"/>
      <c r="C622" s="490"/>
      <c r="E622" s="491"/>
      <c r="G622" s="65"/>
    </row>
    <row r="623" spans="2:7" ht="14.25" customHeight="1" x14ac:dyDescent="0.3">
      <c r="B623" s="489"/>
      <c r="C623" s="490"/>
      <c r="E623" s="491"/>
      <c r="G623" s="65"/>
    </row>
    <row r="624" spans="2:7" ht="14.25" customHeight="1" x14ac:dyDescent="0.3">
      <c r="B624" s="489"/>
      <c r="C624" s="490"/>
      <c r="E624" s="491"/>
      <c r="G624" s="65"/>
    </row>
    <row r="625" spans="2:7" ht="14.25" customHeight="1" x14ac:dyDescent="0.3">
      <c r="B625" s="489"/>
      <c r="C625" s="490"/>
      <c r="E625" s="491"/>
      <c r="G625" s="65"/>
    </row>
    <row r="626" spans="2:7" ht="14.25" customHeight="1" x14ac:dyDescent="0.3">
      <c r="B626" s="489"/>
      <c r="C626" s="490"/>
      <c r="E626" s="491"/>
      <c r="G626" s="65"/>
    </row>
    <row r="627" spans="2:7" ht="14.25" customHeight="1" x14ac:dyDescent="0.3">
      <c r="B627" s="489"/>
      <c r="C627" s="490"/>
      <c r="E627" s="491"/>
      <c r="G627" s="65"/>
    </row>
    <row r="628" spans="2:7" ht="14.25" customHeight="1" x14ac:dyDescent="0.3">
      <c r="B628" s="489"/>
      <c r="C628" s="490"/>
      <c r="E628" s="491"/>
      <c r="G628" s="65"/>
    </row>
    <row r="629" spans="2:7" ht="14.25" customHeight="1" x14ac:dyDescent="0.3">
      <c r="B629" s="489"/>
      <c r="C629" s="490"/>
      <c r="E629" s="491"/>
      <c r="G629" s="65"/>
    </row>
    <row r="630" spans="2:7" ht="14.25" customHeight="1" x14ac:dyDescent="0.3">
      <c r="B630" s="489"/>
      <c r="C630" s="490"/>
      <c r="E630" s="491"/>
      <c r="G630" s="65"/>
    </row>
    <row r="631" spans="2:7" ht="14.25" customHeight="1" x14ac:dyDescent="0.3">
      <c r="B631" s="489"/>
      <c r="C631" s="490"/>
      <c r="E631" s="491"/>
      <c r="G631" s="65"/>
    </row>
    <row r="632" spans="2:7" ht="14.25" customHeight="1" x14ac:dyDescent="0.3">
      <c r="B632" s="489"/>
      <c r="C632" s="490"/>
      <c r="E632" s="491"/>
      <c r="G632" s="65"/>
    </row>
    <row r="633" spans="2:7" ht="14.25" customHeight="1" x14ac:dyDescent="0.3">
      <c r="B633" s="489"/>
      <c r="C633" s="490"/>
      <c r="E633" s="491"/>
      <c r="G633" s="65"/>
    </row>
    <row r="634" spans="2:7" ht="14.25" customHeight="1" x14ac:dyDescent="0.3">
      <c r="B634" s="489"/>
      <c r="C634" s="490"/>
      <c r="E634" s="491"/>
      <c r="G634" s="65"/>
    </row>
    <row r="635" spans="2:7" ht="14.25" customHeight="1" x14ac:dyDescent="0.3">
      <c r="B635" s="489"/>
      <c r="C635" s="490"/>
      <c r="E635" s="491"/>
      <c r="G635" s="65"/>
    </row>
    <row r="636" spans="2:7" ht="14.25" customHeight="1" x14ac:dyDescent="0.3">
      <c r="B636" s="489"/>
      <c r="C636" s="490"/>
      <c r="E636" s="491"/>
      <c r="G636" s="65"/>
    </row>
    <row r="637" spans="2:7" ht="14.25" customHeight="1" x14ac:dyDescent="0.3">
      <c r="B637" s="489"/>
      <c r="C637" s="490"/>
      <c r="E637" s="491"/>
      <c r="G637" s="65"/>
    </row>
    <row r="638" spans="2:7" ht="14.25" customHeight="1" x14ac:dyDescent="0.3">
      <c r="B638" s="489"/>
      <c r="C638" s="490"/>
      <c r="E638" s="491"/>
      <c r="G638" s="65"/>
    </row>
    <row r="639" spans="2:7" ht="14.25" customHeight="1" x14ac:dyDescent="0.3">
      <c r="B639" s="489"/>
      <c r="C639" s="490"/>
      <c r="E639" s="491"/>
      <c r="G639" s="65"/>
    </row>
    <row r="640" spans="2:7" ht="14.25" customHeight="1" x14ac:dyDescent="0.3">
      <c r="B640" s="489"/>
      <c r="C640" s="490"/>
      <c r="E640" s="491"/>
      <c r="G640" s="65"/>
    </row>
    <row r="641" spans="2:7" ht="14.25" customHeight="1" x14ac:dyDescent="0.3">
      <c r="B641" s="489"/>
      <c r="C641" s="490"/>
      <c r="E641" s="491"/>
      <c r="G641" s="65"/>
    </row>
    <row r="642" spans="2:7" ht="14.25" customHeight="1" x14ac:dyDescent="0.3">
      <c r="B642" s="489"/>
      <c r="C642" s="490"/>
      <c r="E642" s="491"/>
      <c r="G642" s="65"/>
    </row>
    <row r="643" spans="2:7" ht="14.25" customHeight="1" x14ac:dyDescent="0.3">
      <c r="B643" s="489"/>
      <c r="C643" s="490"/>
      <c r="E643" s="491"/>
      <c r="G643" s="65"/>
    </row>
    <row r="644" spans="2:7" ht="14.25" customHeight="1" x14ac:dyDescent="0.3">
      <c r="B644" s="489"/>
      <c r="C644" s="490"/>
      <c r="E644" s="491"/>
      <c r="G644" s="65"/>
    </row>
    <row r="645" spans="2:7" ht="14.25" customHeight="1" x14ac:dyDescent="0.3">
      <c r="B645" s="489"/>
      <c r="C645" s="490"/>
      <c r="E645" s="491"/>
      <c r="G645" s="65"/>
    </row>
    <row r="646" spans="2:7" ht="14.25" customHeight="1" x14ac:dyDescent="0.3">
      <c r="B646" s="489"/>
      <c r="C646" s="490"/>
      <c r="E646" s="491"/>
      <c r="G646" s="65"/>
    </row>
    <row r="647" spans="2:7" ht="14.25" customHeight="1" x14ac:dyDescent="0.3">
      <c r="B647" s="489"/>
      <c r="C647" s="490"/>
      <c r="E647" s="491"/>
      <c r="G647" s="65"/>
    </row>
    <row r="648" spans="2:7" ht="14.25" customHeight="1" x14ac:dyDescent="0.3">
      <c r="B648" s="489"/>
      <c r="C648" s="490"/>
      <c r="E648" s="491"/>
      <c r="G648" s="65"/>
    </row>
    <row r="649" spans="2:7" ht="14.25" customHeight="1" x14ac:dyDescent="0.3">
      <c r="B649" s="489"/>
      <c r="C649" s="490"/>
      <c r="E649" s="491"/>
      <c r="G649" s="65"/>
    </row>
    <row r="650" spans="2:7" ht="14.25" customHeight="1" x14ac:dyDescent="0.3">
      <c r="B650" s="489"/>
      <c r="C650" s="490"/>
      <c r="E650" s="491"/>
      <c r="G650" s="65"/>
    </row>
    <row r="651" spans="2:7" ht="14.25" customHeight="1" x14ac:dyDescent="0.3">
      <c r="B651" s="489"/>
      <c r="C651" s="490"/>
      <c r="E651" s="491"/>
      <c r="G651" s="65"/>
    </row>
    <row r="652" spans="2:7" ht="14.25" customHeight="1" x14ac:dyDescent="0.3">
      <c r="B652" s="489"/>
      <c r="C652" s="490"/>
      <c r="E652" s="491"/>
      <c r="G652" s="65"/>
    </row>
    <row r="653" spans="2:7" ht="14.25" customHeight="1" x14ac:dyDescent="0.3">
      <c r="B653" s="489"/>
      <c r="C653" s="490"/>
      <c r="E653" s="491"/>
      <c r="G653" s="65"/>
    </row>
    <row r="654" spans="2:7" ht="14.25" customHeight="1" x14ac:dyDescent="0.3">
      <c r="B654" s="489"/>
      <c r="C654" s="490"/>
      <c r="E654" s="491"/>
      <c r="G654" s="65"/>
    </row>
    <row r="655" spans="2:7" ht="14.25" customHeight="1" x14ac:dyDescent="0.3">
      <c r="B655" s="489"/>
      <c r="C655" s="490"/>
      <c r="E655" s="491"/>
      <c r="G655" s="65"/>
    </row>
    <row r="656" spans="2:7" ht="14.25" customHeight="1" x14ac:dyDescent="0.3">
      <c r="B656" s="489"/>
      <c r="C656" s="490"/>
      <c r="E656" s="491"/>
      <c r="G656" s="65"/>
    </row>
    <row r="657" spans="2:7" ht="14.25" customHeight="1" x14ac:dyDescent="0.3">
      <c r="B657" s="489"/>
      <c r="C657" s="490"/>
      <c r="E657" s="491"/>
      <c r="G657" s="65"/>
    </row>
    <row r="658" spans="2:7" ht="14.25" customHeight="1" x14ac:dyDescent="0.3">
      <c r="B658" s="489"/>
      <c r="C658" s="490"/>
      <c r="E658" s="491"/>
      <c r="G658" s="65"/>
    </row>
    <row r="659" spans="2:7" ht="14.25" customHeight="1" x14ac:dyDescent="0.3">
      <c r="B659" s="489"/>
      <c r="C659" s="490"/>
      <c r="E659" s="491"/>
      <c r="G659" s="65"/>
    </row>
    <row r="660" spans="2:7" ht="14.25" customHeight="1" x14ac:dyDescent="0.3">
      <c r="B660" s="489"/>
      <c r="C660" s="490"/>
      <c r="E660" s="491"/>
      <c r="G660" s="65"/>
    </row>
    <row r="661" spans="2:7" ht="14.25" customHeight="1" x14ac:dyDescent="0.3">
      <c r="B661" s="489"/>
      <c r="C661" s="490"/>
      <c r="E661" s="491"/>
      <c r="G661" s="65"/>
    </row>
    <row r="662" spans="2:7" ht="14.25" customHeight="1" x14ac:dyDescent="0.3">
      <c r="B662" s="489"/>
      <c r="C662" s="490"/>
      <c r="E662" s="491"/>
      <c r="G662" s="65"/>
    </row>
    <row r="663" spans="2:7" ht="14.25" customHeight="1" x14ac:dyDescent="0.3">
      <c r="B663" s="489"/>
      <c r="C663" s="490"/>
      <c r="E663" s="491"/>
      <c r="G663" s="65"/>
    </row>
    <row r="664" spans="2:7" ht="14.25" customHeight="1" x14ac:dyDescent="0.3">
      <c r="B664" s="489"/>
      <c r="C664" s="490"/>
      <c r="E664" s="491"/>
      <c r="G664" s="65"/>
    </row>
    <row r="665" spans="2:7" ht="14.25" customHeight="1" x14ac:dyDescent="0.3">
      <c r="B665" s="489"/>
      <c r="C665" s="490"/>
      <c r="E665" s="491"/>
      <c r="G665" s="65"/>
    </row>
    <row r="666" spans="2:7" ht="14.25" customHeight="1" x14ac:dyDescent="0.3">
      <c r="B666" s="489"/>
      <c r="C666" s="490"/>
      <c r="E666" s="491"/>
      <c r="G666" s="65"/>
    </row>
    <row r="667" spans="2:7" ht="14.25" customHeight="1" x14ac:dyDescent="0.3">
      <c r="B667" s="489"/>
      <c r="C667" s="490"/>
      <c r="E667" s="491"/>
      <c r="G667" s="65"/>
    </row>
    <row r="668" spans="2:7" ht="14.25" customHeight="1" x14ac:dyDescent="0.3">
      <c r="B668" s="489"/>
      <c r="C668" s="490"/>
      <c r="E668" s="491"/>
      <c r="G668" s="65"/>
    </row>
    <row r="669" spans="2:7" ht="14.25" customHeight="1" x14ac:dyDescent="0.3">
      <c r="B669" s="489"/>
      <c r="C669" s="490"/>
      <c r="E669" s="491"/>
      <c r="G669" s="65"/>
    </row>
    <row r="670" spans="2:7" ht="14.25" customHeight="1" x14ac:dyDescent="0.3">
      <c r="B670" s="489"/>
      <c r="C670" s="490"/>
      <c r="E670" s="491"/>
      <c r="G670" s="65"/>
    </row>
    <row r="671" spans="2:7" ht="14.25" customHeight="1" x14ac:dyDescent="0.3">
      <c r="B671" s="489"/>
      <c r="C671" s="490"/>
      <c r="E671" s="491"/>
      <c r="G671" s="65"/>
    </row>
    <row r="672" spans="2:7" ht="14.25" customHeight="1" x14ac:dyDescent="0.3">
      <c r="B672" s="489"/>
      <c r="C672" s="490"/>
      <c r="E672" s="491"/>
      <c r="G672" s="65"/>
    </row>
    <row r="673" spans="2:7" ht="14.25" customHeight="1" x14ac:dyDescent="0.3">
      <c r="B673" s="489"/>
      <c r="C673" s="490"/>
      <c r="E673" s="491"/>
      <c r="G673" s="65"/>
    </row>
    <row r="674" spans="2:7" ht="14.25" customHeight="1" x14ac:dyDescent="0.3">
      <c r="B674" s="489"/>
      <c r="C674" s="490"/>
      <c r="E674" s="491"/>
      <c r="G674" s="65"/>
    </row>
    <row r="675" spans="2:7" ht="14.25" customHeight="1" x14ac:dyDescent="0.3">
      <c r="B675" s="489"/>
      <c r="C675" s="490"/>
      <c r="E675" s="491"/>
      <c r="G675" s="65"/>
    </row>
    <row r="676" spans="2:7" ht="14.25" customHeight="1" x14ac:dyDescent="0.3">
      <c r="B676" s="489"/>
      <c r="C676" s="490"/>
      <c r="E676" s="491"/>
      <c r="G676" s="65"/>
    </row>
    <row r="677" spans="2:7" ht="14.25" customHeight="1" x14ac:dyDescent="0.3">
      <c r="B677" s="489"/>
      <c r="C677" s="490"/>
      <c r="E677" s="491"/>
      <c r="G677" s="65"/>
    </row>
    <row r="678" spans="2:7" ht="14.25" customHeight="1" x14ac:dyDescent="0.3">
      <c r="B678" s="489"/>
      <c r="C678" s="490"/>
      <c r="E678" s="491"/>
      <c r="G678" s="65"/>
    </row>
    <row r="679" spans="2:7" ht="14.25" customHeight="1" x14ac:dyDescent="0.3">
      <c r="B679" s="489"/>
      <c r="C679" s="490"/>
      <c r="E679" s="491"/>
      <c r="G679" s="65"/>
    </row>
    <row r="680" spans="2:7" ht="14.25" customHeight="1" x14ac:dyDescent="0.3">
      <c r="B680" s="489"/>
      <c r="C680" s="490"/>
      <c r="E680" s="491"/>
      <c r="G680" s="65"/>
    </row>
    <row r="681" spans="2:7" ht="14.25" customHeight="1" x14ac:dyDescent="0.3">
      <c r="B681" s="489"/>
      <c r="C681" s="490"/>
      <c r="E681" s="491"/>
      <c r="G681" s="65"/>
    </row>
    <row r="682" spans="2:7" ht="14.25" customHeight="1" x14ac:dyDescent="0.3">
      <c r="B682" s="489"/>
      <c r="C682" s="490"/>
      <c r="E682" s="491"/>
      <c r="G682" s="65"/>
    </row>
    <row r="683" spans="2:7" ht="14.25" customHeight="1" x14ac:dyDescent="0.3">
      <c r="B683" s="489"/>
      <c r="C683" s="490"/>
      <c r="E683" s="491"/>
      <c r="G683" s="65"/>
    </row>
    <row r="684" spans="2:7" ht="14.25" customHeight="1" x14ac:dyDescent="0.3">
      <c r="B684" s="489"/>
      <c r="C684" s="490"/>
      <c r="E684" s="491"/>
      <c r="G684" s="65"/>
    </row>
    <row r="685" spans="2:7" ht="14.25" customHeight="1" x14ac:dyDescent="0.3">
      <c r="B685" s="489"/>
      <c r="C685" s="490"/>
      <c r="E685" s="491"/>
      <c r="G685" s="65"/>
    </row>
    <row r="686" spans="2:7" ht="14.25" customHeight="1" x14ac:dyDescent="0.3">
      <c r="B686" s="489"/>
      <c r="C686" s="490"/>
      <c r="E686" s="491"/>
      <c r="G686" s="65"/>
    </row>
    <row r="687" spans="2:7" ht="14.25" customHeight="1" x14ac:dyDescent="0.3">
      <c r="B687" s="489"/>
      <c r="C687" s="490"/>
      <c r="E687" s="491"/>
      <c r="G687" s="65"/>
    </row>
    <row r="688" spans="2:7" ht="14.25" customHeight="1" x14ac:dyDescent="0.3">
      <c r="B688" s="489"/>
      <c r="C688" s="490"/>
      <c r="E688" s="491"/>
      <c r="G688" s="65"/>
    </row>
    <row r="689" spans="2:7" ht="14.25" customHeight="1" x14ac:dyDescent="0.3">
      <c r="B689" s="489"/>
      <c r="C689" s="490"/>
      <c r="E689" s="491"/>
      <c r="G689" s="65"/>
    </row>
    <row r="690" spans="2:7" ht="14.25" customHeight="1" x14ac:dyDescent="0.3">
      <c r="B690" s="489"/>
      <c r="C690" s="490"/>
      <c r="E690" s="491"/>
      <c r="G690" s="65"/>
    </row>
    <row r="691" spans="2:7" ht="14.25" customHeight="1" x14ac:dyDescent="0.3">
      <c r="B691" s="489"/>
      <c r="C691" s="490"/>
      <c r="E691" s="491"/>
      <c r="G691" s="65"/>
    </row>
    <row r="692" spans="2:7" ht="14.25" customHeight="1" x14ac:dyDescent="0.3">
      <c r="B692" s="489"/>
      <c r="C692" s="490"/>
      <c r="E692" s="491"/>
      <c r="G692" s="65"/>
    </row>
    <row r="693" spans="2:7" ht="14.25" customHeight="1" x14ac:dyDescent="0.3">
      <c r="B693" s="489"/>
      <c r="C693" s="490"/>
      <c r="E693" s="491"/>
      <c r="G693" s="65"/>
    </row>
    <row r="694" spans="2:7" ht="14.25" customHeight="1" x14ac:dyDescent="0.3">
      <c r="B694" s="489"/>
      <c r="C694" s="490"/>
      <c r="E694" s="491"/>
      <c r="G694" s="65"/>
    </row>
    <row r="695" spans="2:7" ht="14.25" customHeight="1" x14ac:dyDescent="0.3">
      <c r="B695" s="489"/>
      <c r="C695" s="490"/>
      <c r="E695" s="491"/>
      <c r="G695" s="65"/>
    </row>
    <row r="696" spans="2:7" ht="14.25" customHeight="1" x14ac:dyDescent="0.3">
      <c r="B696" s="489"/>
      <c r="C696" s="490"/>
      <c r="E696" s="491"/>
      <c r="G696" s="65"/>
    </row>
    <row r="697" spans="2:7" ht="14.25" customHeight="1" x14ac:dyDescent="0.3">
      <c r="B697" s="489"/>
      <c r="C697" s="490"/>
      <c r="E697" s="491"/>
      <c r="G697" s="65"/>
    </row>
    <row r="698" spans="2:7" ht="14.25" customHeight="1" x14ac:dyDescent="0.3">
      <c r="B698" s="489"/>
      <c r="C698" s="490"/>
      <c r="E698" s="491"/>
      <c r="G698" s="65"/>
    </row>
    <row r="699" spans="2:7" ht="14.25" customHeight="1" x14ac:dyDescent="0.3">
      <c r="B699" s="489"/>
      <c r="C699" s="490"/>
      <c r="E699" s="491"/>
      <c r="G699" s="65"/>
    </row>
    <row r="700" spans="2:7" ht="14.25" customHeight="1" x14ac:dyDescent="0.3">
      <c r="B700" s="489"/>
      <c r="C700" s="490"/>
      <c r="E700" s="491"/>
      <c r="G700" s="65"/>
    </row>
    <row r="701" spans="2:7" ht="14.25" customHeight="1" x14ac:dyDescent="0.3">
      <c r="B701" s="489"/>
      <c r="C701" s="490"/>
      <c r="E701" s="491"/>
      <c r="G701" s="65"/>
    </row>
    <row r="702" spans="2:7" ht="14.25" customHeight="1" x14ac:dyDescent="0.3">
      <c r="B702" s="489"/>
      <c r="C702" s="490"/>
      <c r="E702" s="491"/>
      <c r="G702" s="65"/>
    </row>
    <row r="703" spans="2:7" ht="14.25" customHeight="1" x14ac:dyDescent="0.3">
      <c r="B703" s="489"/>
      <c r="C703" s="490"/>
      <c r="E703" s="491"/>
      <c r="G703" s="65"/>
    </row>
    <row r="704" spans="2:7" ht="14.25" customHeight="1" x14ac:dyDescent="0.3">
      <c r="B704" s="489"/>
      <c r="C704" s="490"/>
      <c r="E704" s="491"/>
      <c r="G704" s="65"/>
    </row>
    <row r="705" spans="2:7" ht="14.25" customHeight="1" x14ac:dyDescent="0.3">
      <c r="B705" s="489"/>
      <c r="C705" s="490"/>
      <c r="E705" s="491"/>
      <c r="G705" s="65"/>
    </row>
    <row r="706" spans="2:7" ht="14.25" customHeight="1" x14ac:dyDescent="0.3">
      <c r="B706" s="489"/>
      <c r="C706" s="490"/>
      <c r="E706" s="491"/>
      <c r="G706" s="65"/>
    </row>
    <row r="707" spans="2:7" ht="14.25" customHeight="1" x14ac:dyDescent="0.3">
      <c r="B707" s="489"/>
      <c r="C707" s="490"/>
      <c r="E707" s="491"/>
      <c r="G707" s="65"/>
    </row>
    <row r="708" spans="2:7" ht="14.25" customHeight="1" x14ac:dyDescent="0.3">
      <c r="B708" s="489"/>
      <c r="C708" s="490"/>
      <c r="E708" s="491"/>
      <c r="G708" s="65"/>
    </row>
    <row r="709" spans="2:7" ht="14.25" customHeight="1" x14ac:dyDescent="0.3">
      <c r="B709" s="489"/>
      <c r="C709" s="490"/>
      <c r="E709" s="491"/>
      <c r="G709" s="65"/>
    </row>
    <row r="710" spans="2:7" ht="14.25" customHeight="1" x14ac:dyDescent="0.3">
      <c r="B710" s="489"/>
      <c r="C710" s="490"/>
      <c r="E710" s="491"/>
      <c r="G710" s="65"/>
    </row>
    <row r="711" spans="2:7" ht="14.25" customHeight="1" x14ac:dyDescent="0.3">
      <c r="B711" s="489"/>
      <c r="C711" s="490"/>
      <c r="E711" s="491"/>
      <c r="G711" s="65"/>
    </row>
    <row r="712" spans="2:7" ht="14.25" customHeight="1" x14ac:dyDescent="0.3">
      <c r="B712" s="489"/>
      <c r="C712" s="490"/>
      <c r="E712" s="491"/>
      <c r="G712" s="65"/>
    </row>
    <row r="713" spans="2:7" ht="14.25" customHeight="1" x14ac:dyDescent="0.3">
      <c r="B713" s="489"/>
      <c r="C713" s="490"/>
      <c r="E713" s="491"/>
      <c r="G713" s="65"/>
    </row>
    <row r="714" spans="2:7" ht="14.25" customHeight="1" x14ac:dyDescent="0.3">
      <c r="B714" s="489"/>
      <c r="C714" s="490"/>
      <c r="E714" s="491"/>
      <c r="G714" s="65"/>
    </row>
    <row r="715" spans="2:7" ht="14.25" customHeight="1" x14ac:dyDescent="0.3">
      <c r="B715" s="489"/>
      <c r="C715" s="490"/>
      <c r="E715" s="491"/>
      <c r="G715" s="65"/>
    </row>
    <row r="716" spans="2:7" ht="14.25" customHeight="1" x14ac:dyDescent="0.3">
      <c r="B716" s="489"/>
      <c r="C716" s="490"/>
      <c r="E716" s="491"/>
      <c r="G716" s="65"/>
    </row>
    <row r="717" spans="2:7" ht="14.25" customHeight="1" x14ac:dyDescent="0.3">
      <c r="B717" s="489"/>
      <c r="C717" s="490"/>
      <c r="E717" s="491"/>
      <c r="G717" s="65"/>
    </row>
    <row r="718" spans="2:7" ht="14.25" customHeight="1" x14ac:dyDescent="0.3">
      <c r="B718" s="489"/>
      <c r="C718" s="490"/>
      <c r="E718" s="491"/>
      <c r="G718" s="65"/>
    </row>
    <row r="719" spans="2:7" ht="14.25" customHeight="1" x14ac:dyDescent="0.3">
      <c r="B719" s="489"/>
      <c r="C719" s="490"/>
      <c r="E719" s="491"/>
      <c r="G719" s="65"/>
    </row>
    <row r="720" spans="2:7" ht="14.25" customHeight="1" x14ac:dyDescent="0.3">
      <c r="B720" s="489"/>
      <c r="C720" s="490"/>
      <c r="E720" s="491"/>
      <c r="G720" s="65"/>
    </row>
    <row r="721" spans="2:7" ht="14.25" customHeight="1" x14ac:dyDescent="0.3">
      <c r="B721" s="489"/>
      <c r="C721" s="490"/>
      <c r="E721" s="491"/>
      <c r="G721" s="65"/>
    </row>
    <row r="722" spans="2:7" ht="14.25" customHeight="1" x14ac:dyDescent="0.3">
      <c r="B722" s="489"/>
      <c r="C722" s="490"/>
      <c r="E722" s="491"/>
      <c r="G722" s="65"/>
    </row>
    <row r="723" spans="2:7" ht="14.25" customHeight="1" x14ac:dyDescent="0.3">
      <c r="B723" s="489"/>
      <c r="C723" s="490"/>
      <c r="E723" s="491"/>
      <c r="G723" s="65"/>
    </row>
    <row r="724" spans="2:7" ht="14.25" customHeight="1" x14ac:dyDescent="0.3">
      <c r="B724" s="489"/>
      <c r="C724" s="490"/>
      <c r="E724" s="491"/>
      <c r="G724" s="65"/>
    </row>
    <row r="725" spans="2:7" ht="14.25" customHeight="1" x14ac:dyDescent="0.3">
      <c r="B725" s="489"/>
      <c r="C725" s="490"/>
      <c r="E725" s="491"/>
      <c r="G725" s="65"/>
    </row>
    <row r="726" spans="2:7" ht="14.25" customHeight="1" x14ac:dyDescent="0.3">
      <c r="B726" s="489"/>
      <c r="C726" s="490"/>
      <c r="E726" s="491"/>
      <c r="G726" s="65"/>
    </row>
    <row r="727" spans="2:7" ht="14.25" customHeight="1" x14ac:dyDescent="0.3">
      <c r="B727" s="489"/>
      <c r="C727" s="490"/>
      <c r="E727" s="491"/>
      <c r="G727" s="65"/>
    </row>
    <row r="728" spans="2:7" ht="14.25" customHeight="1" x14ac:dyDescent="0.3">
      <c r="B728" s="489"/>
      <c r="C728" s="490"/>
      <c r="E728" s="491"/>
      <c r="G728" s="65"/>
    </row>
    <row r="729" spans="2:7" ht="14.25" customHeight="1" x14ac:dyDescent="0.3">
      <c r="B729" s="489"/>
      <c r="C729" s="490"/>
      <c r="E729" s="491"/>
      <c r="G729" s="65"/>
    </row>
    <row r="730" spans="2:7" ht="14.25" customHeight="1" x14ac:dyDescent="0.3">
      <c r="B730" s="489"/>
      <c r="C730" s="490"/>
      <c r="E730" s="491"/>
      <c r="G730" s="65"/>
    </row>
    <row r="731" spans="2:7" ht="14.25" customHeight="1" x14ac:dyDescent="0.3">
      <c r="B731" s="489"/>
      <c r="C731" s="490"/>
      <c r="E731" s="491"/>
      <c r="G731" s="65"/>
    </row>
    <row r="732" spans="2:7" ht="14.25" customHeight="1" x14ac:dyDescent="0.3">
      <c r="B732" s="489"/>
      <c r="C732" s="490"/>
      <c r="E732" s="491"/>
      <c r="G732" s="65"/>
    </row>
    <row r="733" spans="2:7" ht="14.25" customHeight="1" x14ac:dyDescent="0.3">
      <c r="B733" s="489"/>
      <c r="C733" s="490"/>
      <c r="E733" s="491"/>
      <c r="G733" s="65"/>
    </row>
    <row r="734" spans="2:7" ht="14.25" customHeight="1" x14ac:dyDescent="0.3">
      <c r="B734" s="489"/>
      <c r="C734" s="490"/>
      <c r="E734" s="491"/>
      <c r="G734" s="65"/>
    </row>
    <row r="735" spans="2:7" ht="14.25" customHeight="1" x14ac:dyDescent="0.3">
      <c r="B735" s="489"/>
      <c r="C735" s="490"/>
      <c r="E735" s="491"/>
      <c r="G735" s="65"/>
    </row>
    <row r="736" spans="2:7" ht="14.25" customHeight="1" x14ac:dyDescent="0.3">
      <c r="B736" s="489"/>
      <c r="C736" s="490"/>
      <c r="E736" s="491"/>
      <c r="G736" s="65"/>
    </row>
    <row r="737" spans="2:7" ht="14.25" customHeight="1" x14ac:dyDescent="0.3">
      <c r="B737" s="489"/>
      <c r="C737" s="490"/>
      <c r="E737" s="491"/>
      <c r="G737" s="65"/>
    </row>
    <row r="738" spans="2:7" ht="14.25" customHeight="1" x14ac:dyDescent="0.3">
      <c r="B738" s="489"/>
      <c r="C738" s="490"/>
      <c r="E738" s="491"/>
      <c r="G738" s="65"/>
    </row>
    <row r="739" spans="2:7" ht="14.25" customHeight="1" x14ac:dyDescent="0.3">
      <c r="B739" s="489"/>
      <c r="C739" s="490"/>
      <c r="E739" s="491"/>
      <c r="G739" s="65"/>
    </row>
    <row r="740" spans="2:7" ht="14.25" customHeight="1" x14ac:dyDescent="0.3">
      <c r="B740" s="489"/>
      <c r="C740" s="490"/>
      <c r="E740" s="491"/>
      <c r="G740" s="65"/>
    </row>
    <row r="741" spans="2:7" ht="14.25" customHeight="1" x14ac:dyDescent="0.3">
      <c r="B741" s="489"/>
      <c r="C741" s="490"/>
      <c r="E741" s="491"/>
      <c r="G741" s="65"/>
    </row>
    <row r="742" spans="2:7" ht="14.25" customHeight="1" x14ac:dyDescent="0.3">
      <c r="B742" s="489"/>
      <c r="C742" s="490"/>
      <c r="E742" s="491"/>
      <c r="G742" s="65"/>
    </row>
    <row r="743" spans="2:7" ht="14.25" customHeight="1" x14ac:dyDescent="0.3">
      <c r="B743" s="489"/>
      <c r="C743" s="490"/>
      <c r="E743" s="491"/>
      <c r="G743" s="65"/>
    </row>
    <row r="744" spans="2:7" ht="14.25" customHeight="1" x14ac:dyDescent="0.3">
      <c r="B744" s="489"/>
      <c r="C744" s="490"/>
      <c r="E744" s="491"/>
      <c r="G744" s="65"/>
    </row>
    <row r="745" spans="2:7" ht="14.25" customHeight="1" x14ac:dyDescent="0.3">
      <c r="B745" s="489"/>
      <c r="C745" s="490"/>
      <c r="E745" s="491"/>
      <c r="G745" s="65"/>
    </row>
    <row r="746" spans="2:7" ht="14.25" customHeight="1" x14ac:dyDescent="0.3">
      <c r="B746" s="489"/>
      <c r="C746" s="490"/>
      <c r="E746" s="491"/>
      <c r="G746" s="65"/>
    </row>
    <row r="747" spans="2:7" ht="14.25" customHeight="1" x14ac:dyDescent="0.3">
      <c r="B747" s="489"/>
      <c r="C747" s="490"/>
      <c r="E747" s="491"/>
      <c r="G747" s="65"/>
    </row>
    <row r="748" spans="2:7" ht="14.25" customHeight="1" x14ac:dyDescent="0.3">
      <c r="B748" s="489"/>
      <c r="C748" s="490"/>
      <c r="E748" s="491"/>
      <c r="G748" s="65"/>
    </row>
    <row r="749" spans="2:7" ht="14.25" customHeight="1" x14ac:dyDescent="0.3">
      <c r="B749" s="489"/>
      <c r="C749" s="490"/>
      <c r="E749" s="491"/>
      <c r="G749" s="65"/>
    </row>
    <row r="750" spans="2:7" ht="14.25" customHeight="1" x14ac:dyDescent="0.3">
      <c r="B750" s="489"/>
      <c r="C750" s="490"/>
      <c r="E750" s="491"/>
      <c r="G750" s="65"/>
    </row>
    <row r="751" spans="2:7" ht="14.25" customHeight="1" x14ac:dyDescent="0.3">
      <c r="B751" s="489"/>
      <c r="C751" s="490"/>
      <c r="E751" s="491"/>
      <c r="G751" s="65"/>
    </row>
    <row r="752" spans="2:7" ht="14.25" customHeight="1" x14ac:dyDescent="0.3">
      <c r="B752" s="489"/>
      <c r="C752" s="490"/>
      <c r="E752" s="491"/>
      <c r="G752" s="65"/>
    </row>
    <row r="753" spans="2:7" ht="14.25" customHeight="1" x14ac:dyDescent="0.3">
      <c r="B753" s="489"/>
      <c r="C753" s="490"/>
      <c r="E753" s="491"/>
      <c r="G753" s="65"/>
    </row>
    <row r="754" spans="2:7" ht="14.25" customHeight="1" x14ac:dyDescent="0.3">
      <c r="B754" s="489"/>
      <c r="C754" s="490"/>
      <c r="E754" s="491"/>
      <c r="G754" s="65"/>
    </row>
    <row r="755" spans="2:7" ht="14.25" customHeight="1" x14ac:dyDescent="0.3">
      <c r="B755" s="489"/>
      <c r="C755" s="490"/>
      <c r="E755" s="491"/>
      <c r="G755" s="65"/>
    </row>
    <row r="756" spans="2:7" ht="14.25" customHeight="1" x14ac:dyDescent="0.3">
      <c r="B756" s="489"/>
      <c r="C756" s="490"/>
      <c r="E756" s="491"/>
      <c r="G756" s="65"/>
    </row>
    <row r="757" spans="2:7" ht="14.25" customHeight="1" x14ac:dyDescent="0.3">
      <c r="B757" s="489"/>
      <c r="C757" s="490"/>
      <c r="E757" s="491"/>
      <c r="G757" s="65"/>
    </row>
    <row r="758" spans="2:7" ht="14.25" customHeight="1" x14ac:dyDescent="0.3">
      <c r="B758" s="489"/>
      <c r="C758" s="490"/>
      <c r="E758" s="491"/>
      <c r="G758" s="65"/>
    </row>
    <row r="759" spans="2:7" ht="14.25" customHeight="1" x14ac:dyDescent="0.3">
      <c r="B759" s="489"/>
      <c r="C759" s="490"/>
      <c r="E759" s="491"/>
      <c r="G759" s="65"/>
    </row>
    <row r="760" spans="2:7" ht="14.25" customHeight="1" x14ac:dyDescent="0.3">
      <c r="B760" s="489"/>
      <c r="C760" s="490"/>
      <c r="E760" s="491"/>
      <c r="G760" s="65"/>
    </row>
    <row r="761" spans="2:7" ht="14.25" customHeight="1" x14ac:dyDescent="0.3">
      <c r="B761" s="489"/>
      <c r="C761" s="490"/>
      <c r="E761" s="491"/>
      <c r="G761" s="65"/>
    </row>
    <row r="762" spans="2:7" ht="14.25" customHeight="1" x14ac:dyDescent="0.3">
      <c r="B762" s="489"/>
      <c r="C762" s="490"/>
      <c r="E762" s="491"/>
      <c r="G762" s="65"/>
    </row>
    <row r="763" spans="2:7" ht="14.25" customHeight="1" x14ac:dyDescent="0.3">
      <c r="B763" s="489"/>
      <c r="C763" s="490"/>
      <c r="E763" s="491"/>
      <c r="G763" s="65"/>
    </row>
    <row r="764" spans="2:7" ht="14.25" customHeight="1" x14ac:dyDescent="0.3">
      <c r="B764" s="489"/>
      <c r="C764" s="490"/>
      <c r="E764" s="491"/>
      <c r="G764" s="65"/>
    </row>
    <row r="765" spans="2:7" ht="14.25" customHeight="1" x14ac:dyDescent="0.3">
      <c r="B765" s="489"/>
      <c r="C765" s="490"/>
      <c r="E765" s="491"/>
      <c r="G765" s="65"/>
    </row>
    <row r="766" spans="2:7" ht="14.25" customHeight="1" x14ac:dyDescent="0.3">
      <c r="B766" s="489"/>
      <c r="C766" s="490"/>
      <c r="E766" s="491"/>
      <c r="G766" s="65"/>
    </row>
    <row r="767" spans="2:7" ht="14.25" customHeight="1" x14ac:dyDescent="0.3">
      <c r="B767" s="489"/>
      <c r="C767" s="490"/>
      <c r="E767" s="491"/>
      <c r="G767" s="65"/>
    </row>
    <row r="768" spans="2:7" ht="14.25" customHeight="1" x14ac:dyDescent="0.3">
      <c r="B768" s="489"/>
      <c r="C768" s="490"/>
      <c r="E768" s="491"/>
      <c r="G768" s="65"/>
    </row>
    <row r="769" spans="2:7" ht="14.25" customHeight="1" x14ac:dyDescent="0.3">
      <c r="B769" s="489"/>
      <c r="C769" s="490"/>
      <c r="E769" s="491"/>
      <c r="G769" s="65"/>
    </row>
    <row r="770" spans="2:7" ht="14.25" customHeight="1" x14ac:dyDescent="0.3">
      <c r="B770" s="489"/>
      <c r="C770" s="490"/>
      <c r="E770" s="491"/>
      <c r="G770" s="65"/>
    </row>
    <row r="771" spans="2:7" ht="14.25" customHeight="1" x14ac:dyDescent="0.3">
      <c r="B771" s="489"/>
      <c r="C771" s="490"/>
      <c r="E771" s="491"/>
      <c r="G771" s="65"/>
    </row>
    <row r="772" spans="2:7" ht="14.25" customHeight="1" x14ac:dyDescent="0.3">
      <c r="B772" s="489"/>
      <c r="C772" s="490"/>
      <c r="E772" s="491"/>
      <c r="G772" s="65"/>
    </row>
    <row r="773" spans="2:7" ht="14.25" customHeight="1" x14ac:dyDescent="0.3">
      <c r="B773" s="489"/>
      <c r="C773" s="490"/>
      <c r="E773" s="491"/>
      <c r="G773" s="65"/>
    </row>
    <row r="774" spans="2:7" ht="14.25" customHeight="1" x14ac:dyDescent="0.3">
      <c r="B774" s="489"/>
      <c r="C774" s="490"/>
      <c r="E774" s="491"/>
      <c r="G774" s="65"/>
    </row>
    <row r="775" spans="2:7" ht="14.25" customHeight="1" x14ac:dyDescent="0.3">
      <c r="B775" s="489"/>
      <c r="C775" s="490"/>
      <c r="E775" s="491"/>
      <c r="G775" s="65"/>
    </row>
    <row r="776" spans="2:7" ht="14.25" customHeight="1" x14ac:dyDescent="0.3">
      <c r="B776" s="489"/>
      <c r="C776" s="490"/>
      <c r="E776" s="491"/>
      <c r="G776" s="65"/>
    </row>
    <row r="777" spans="2:7" ht="14.25" customHeight="1" x14ac:dyDescent="0.3">
      <c r="B777" s="489"/>
      <c r="C777" s="490"/>
      <c r="E777" s="491"/>
      <c r="G777" s="65"/>
    </row>
    <row r="778" spans="2:7" ht="14.25" customHeight="1" x14ac:dyDescent="0.3">
      <c r="B778" s="489"/>
      <c r="C778" s="490"/>
      <c r="E778" s="491"/>
      <c r="G778" s="65"/>
    </row>
    <row r="779" spans="2:7" ht="14.25" customHeight="1" x14ac:dyDescent="0.3">
      <c r="B779" s="489"/>
      <c r="C779" s="490"/>
      <c r="E779" s="491"/>
      <c r="G779" s="65"/>
    </row>
    <row r="780" spans="2:7" ht="14.25" customHeight="1" x14ac:dyDescent="0.3">
      <c r="B780" s="489"/>
      <c r="C780" s="490"/>
      <c r="E780" s="491"/>
      <c r="G780" s="65"/>
    </row>
    <row r="781" spans="2:7" ht="14.25" customHeight="1" x14ac:dyDescent="0.3">
      <c r="B781" s="489"/>
      <c r="C781" s="490"/>
      <c r="E781" s="491"/>
      <c r="G781" s="65"/>
    </row>
    <row r="782" spans="2:7" ht="14.25" customHeight="1" x14ac:dyDescent="0.3">
      <c r="B782" s="489"/>
      <c r="C782" s="490"/>
      <c r="E782" s="491"/>
      <c r="G782" s="65"/>
    </row>
    <row r="783" spans="2:7" ht="14.25" customHeight="1" x14ac:dyDescent="0.3">
      <c r="B783" s="489"/>
      <c r="C783" s="490"/>
      <c r="E783" s="491"/>
      <c r="G783" s="65"/>
    </row>
    <row r="784" spans="2:7" ht="14.25" customHeight="1" x14ac:dyDescent="0.3">
      <c r="B784" s="489"/>
      <c r="C784" s="490"/>
      <c r="E784" s="491"/>
      <c r="G784" s="65"/>
    </row>
    <row r="785" spans="2:7" ht="14.25" customHeight="1" x14ac:dyDescent="0.3">
      <c r="B785" s="489"/>
      <c r="C785" s="490"/>
      <c r="E785" s="491"/>
      <c r="G785" s="65"/>
    </row>
    <row r="786" spans="2:7" ht="14.25" customHeight="1" x14ac:dyDescent="0.3">
      <c r="B786" s="489"/>
      <c r="C786" s="490"/>
      <c r="E786" s="491"/>
      <c r="G786" s="65"/>
    </row>
    <row r="787" spans="2:7" ht="14.25" customHeight="1" x14ac:dyDescent="0.3">
      <c r="B787" s="489"/>
      <c r="C787" s="490"/>
      <c r="E787" s="491"/>
      <c r="G787" s="65"/>
    </row>
    <row r="788" spans="2:7" ht="14.25" customHeight="1" x14ac:dyDescent="0.3">
      <c r="B788" s="489"/>
      <c r="C788" s="490"/>
      <c r="E788" s="491"/>
      <c r="G788" s="65"/>
    </row>
    <row r="789" spans="2:7" ht="14.25" customHeight="1" x14ac:dyDescent="0.3">
      <c r="B789" s="489"/>
      <c r="C789" s="490"/>
      <c r="E789" s="491"/>
      <c r="G789" s="65"/>
    </row>
    <row r="790" spans="2:7" ht="14.25" customHeight="1" x14ac:dyDescent="0.3">
      <c r="B790" s="489"/>
      <c r="C790" s="490"/>
      <c r="E790" s="491"/>
      <c r="G790" s="65"/>
    </row>
    <row r="791" spans="2:7" ht="14.25" customHeight="1" x14ac:dyDescent="0.3">
      <c r="B791" s="489"/>
      <c r="C791" s="490"/>
      <c r="E791" s="491"/>
      <c r="G791" s="65"/>
    </row>
    <row r="792" spans="2:7" ht="14.25" customHeight="1" x14ac:dyDescent="0.3">
      <c r="B792" s="489"/>
      <c r="C792" s="490"/>
      <c r="E792" s="491"/>
      <c r="G792" s="65"/>
    </row>
    <row r="793" spans="2:7" ht="14.25" customHeight="1" x14ac:dyDescent="0.3">
      <c r="B793" s="489"/>
      <c r="C793" s="490"/>
      <c r="E793" s="491"/>
      <c r="G793" s="65"/>
    </row>
    <row r="794" spans="2:7" ht="14.25" customHeight="1" x14ac:dyDescent="0.3">
      <c r="B794" s="489"/>
      <c r="C794" s="490"/>
      <c r="E794" s="491"/>
      <c r="G794" s="65"/>
    </row>
    <row r="795" spans="2:7" ht="14.25" customHeight="1" x14ac:dyDescent="0.3">
      <c r="B795" s="489"/>
      <c r="C795" s="490"/>
      <c r="E795" s="491"/>
      <c r="G795" s="65"/>
    </row>
    <row r="796" spans="2:7" ht="14.25" customHeight="1" x14ac:dyDescent="0.3">
      <c r="B796" s="489"/>
      <c r="C796" s="490"/>
      <c r="E796" s="491"/>
      <c r="G796" s="65"/>
    </row>
    <row r="797" spans="2:7" ht="14.25" customHeight="1" x14ac:dyDescent="0.3">
      <c r="B797" s="489"/>
      <c r="C797" s="490"/>
      <c r="E797" s="491"/>
      <c r="G797" s="65"/>
    </row>
    <row r="798" spans="2:7" ht="14.25" customHeight="1" x14ac:dyDescent="0.3">
      <c r="B798" s="489"/>
      <c r="C798" s="490"/>
      <c r="E798" s="491"/>
      <c r="G798" s="65"/>
    </row>
    <row r="799" spans="2:7" ht="14.25" customHeight="1" x14ac:dyDescent="0.3">
      <c r="B799" s="489"/>
      <c r="C799" s="490"/>
      <c r="E799" s="491"/>
      <c r="G799" s="65"/>
    </row>
    <row r="800" spans="2:7" ht="14.25" customHeight="1" x14ac:dyDescent="0.3">
      <c r="B800" s="489"/>
      <c r="C800" s="490"/>
      <c r="E800" s="491"/>
      <c r="G800" s="65"/>
    </row>
    <row r="801" spans="2:7" ht="14.25" customHeight="1" x14ac:dyDescent="0.3">
      <c r="B801" s="489"/>
      <c r="C801" s="490"/>
      <c r="E801" s="491"/>
      <c r="G801" s="65"/>
    </row>
    <row r="802" spans="2:7" ht="14.25" customHeight="1" x14ac:dyDescent="0.3">
      <c r="B802" s="489"/>
      <c r="C802" s="490"/>
      <c r="E802" s="491"/>
      <c r="G802" s="65"/>
    </row>
    <row r="803" spans="2:7" ht="14.25" customHeight="1" x14ac:dyDescent="0.3">
      <c r="B803" s="489"/>
      <c r="C803" s="490"/>
      <c r="E803" s="491"/>
      <c r="G803" s="65"/>
    </row>
    <row r="804" spans="2:7" ht="14.25" customHeight="1" x14ac:dyDescent="0.3">
      <c r="B804" s="489"/>
      <c r="C804" s="490"/>
      <c r="E804" s="491"/>
      <c r="G804" s="65"/>
    </row>
    <row r="805" spans="2:7" ht="14.25" customHeight="1" x14ac:dyDescent="0.3">
      <c r="B805" s="489"/>
      <c r="C805" s="490"/>
      <c r="E805" s="491"/>
      <c r="G805" s="65"/>
    </row>
    <row r="806" spans="2:7" ht="14.25" customHeight="1" x14ac:dyDescent="0.3">
      <c r="B806" s="489"/>
      <c r="C806" s="490"/>
      <c r="E806" s="491"/>
      <c r="G806" s="65"/>
    </row>
    <row r="807" spans="2:7" ht="14.25" customHeight="1" x14ac:dyDescent="0.3">
      <c r="B807" s="489"/>
      <c r="C807" s="490"/>
      <c r="E807" s="491"/>
      <c r="G807" s="65"/>
    </row>
    <row r="808" spans="2:7" ht="14.25" customHeight="1" x14ac:dyDescent="0.3">
      <c r="B808" s="489"/>
      <c r="C808" s="490"/>
      <c r="E808" s="491"/>
      <c r="G808" s="65"/>
    </row>
    <row r="809" spans="2:7" ht="14.25" customHeight="1" x14ac:dyDescent="0.3">
      <c r="B809" s="489"/>
      <c r="C809" s="490"/>
      <c r="E809" s="491"/>
      <c r="G809" s="65"/>
    </row>
    <row r="810" spans="2:7" ht="14.25" customHeight="1" x14ac:dyDescent="0.3">
      <c r="B810" s="489"/>
      <c r="C810" s="490"/>
      <c r="E810" s="491"/>
      <c r="G810" s="65"/>
    </row>
    <row r="811" spans="2:7" ht="14.25" customHeight="1" x14ac:dyDescent="0.3">
      <c r="B811" s="489"/>
      <c r="C811" s="490"/>
      <c r="E811" s="491"/>
      <c r="G811" s="65"/>
    </row>
    <row r="812" spans="2:7" ht="14.25" customHeight="1" x14ac:dyDescent="0.3">
      <c r="B812" s="489"/>
      <c r="C812" s="490"/>
      <c r="E812" s="491"/>
      <c r="G812" s="65"/>
    </row>
    <row r="813" spans="2:7" ht="14.25" customHeight="1" x14ac:dyDescent="0.3">
      <c r="B813" s="489"/>
      <c r="C813" s="490"/>
      <c r="E813" s="491"/>
      <c r="G813" s="65"/>
    </row>
    <row r="814" spans="2:7" ht="14.25" customHeight="1" x14ac:dyDescent="0.3">
      <c r="B814" s="489"/>
      <c r="C814" s="490"/>
      <c r="E814" s="491"/>
      <c r="G814" s="65"/>
    </row>
    <row r="815" spans="2:7" ht="14.25" customHeight="1" x14ac:dyDescent="0.3">
      <c r="B815" s="489"/>
      <c r="C815" s="490"/>
      <c r="E815" s="491"/>
      <c r="G815" s="65"/>
    </row>
    <row r="816" spans="2:7" ht="14.25" customHeight="1" x14ac:dyDescent="0.3">
      <c r="B816" s="489"/>
      <c r="C816" s="490"/>
      <c r="E816" s="491"/>
      <c r="G816" s="65"/>
    </row>
    <row r="817" spans="2:7" ht="14.25" customHeight="1" x14ac:dyDescent="0.3">
      <c r="B817" s="489"/>
      <c r="C817" s="490"/>
      <c r="E817" s="491"/>
      <c r="G817" s="65"/>
    </row>
    <row r="818" spans="2:7" ht="14.25" customHeight="1" x14ac:dyDescent="0.3">
      <c r="B818" s="489"/>
      <c r="C818" s="490"/>
      <c r="E818" s="491"/>
      <c r="G818" s="65"/>
    </row>
    <row r="819" spans="2:7" ht="14.25" customHeight="1" x14ac:dyDescent="0.3">
      <c r="B819" s="489"/>
      <c r="C819" s="490"/>
      <c r="E819" s="491"/>
      <c r="G819" s="65"/>
    </row>
    <row r="820" spans="2:7" ht="14.25" customHeight="1" x14ac:dyDescent="0.3">
      <c r="B820" s="489"/>
      <c r="C820" s="490"/>
      <c r="E820" s="491"/>
      <c r="G820" s="65"/>
    </row>
    <row r="821" spans="2:7" ht="14.25" customHeight="1" x14ac:dyDescent="0.3">
      <c r="B821" s="489"/>
      <c r="C821" s="490"/>
      <c r="E821" s="491"/>
      <c r="G821" s="65"/>
    </row>
    <row r="822" spans="2:7" ht="14.25" customHeight="1" x14ac:dyDescent="0.3">
      <c r="B822" s="489"/>
      <c r="C822" s="490"/>
      <c r="E822" s="491"/>
      <c r="G822" s="65"/>
    </row>
    <row r="823" spans="2:7" ht="14.25" customHeight="1" x14ac:dyDescent="0.3">
      <c r="B823" s="489"/>
      <c r="C823" s="490"/>
      <c r="E823" s="491"/>
      <c r="G823" s="65"/>
    </row>
    <row r="824" spans="2:7" ht="14.25" customHeight="1" x14ac:dyDescent="0.3">
      <c r="B824" s="489"/>
      <c r="C824" s="490"/>
      <c r="E824" s="491"/>
      <c r="G824" s="65"/>
    </row>
    <row r="825" spans="2:7" ht="14.25" customHeight="1" x14ac:dyDescent="0.3">
      <c r="B825" s="489"/>
      <c r="C825" s="490"/>
      <c r="E825" s="491"/>
      <c r="G825" s="65"/>
    </row>
    <row r="826" spans="2:7" ht="14.25" customHeight="1" x14ac:dyDescent="0.3">
      <c r="B826" s="489"/>
      <c r="C826" s="490"/>
      <c r="E826" s="491"/>
      <c r="G826" s="65"/>
    </row>
    <row r="827" spans="2:7" ht="14.25" customHeight="1" x14ac:dyDescent="0.3">
      <c r="B827" s="489"/>
      <c r="C827" s="490"/>
      <c r="E827" s="491"/>
      <c r="G827" s="65"/>
    </row>
    <row r="828" spans="2:7" ht="14.25" customHeight="1" x14ac:dyDescent="0.3">
      <c r="B828" s="489"/>
      <c r="C828" s="490"/>
      <c r="E828" s="491"/>
      <c r="G828" s="65"/>
    </row>
    <row r="829" spans="2:7" ht="14.25" customHeight="1" x14ac:dyDescent="0.3">
      <c r="B829" s="489"/>
      <c r="C829" s="490"/>
      <c r="E829" s="491"/>
      <c r="G829" s="65"/>
    </row>
    <row r="830" spans="2:7" ht="14.25" customHeight="1" x14ac:dyDescent="0.3">
      <c r="B830" s="489"/>
      <c r="C830" s="490"/>
      <c r="E830" s="491"/>
      <c r="G830" s="65"/>
    </row>
    <row r="831" spans="2:7" ht="14.25" customHeight="1" x14ac:dyDescent="0.3">
      <c r="B831" s="489"/>
      <c r="C831" s="490"/>
      <c r="E831" s="491"/>
      <c r="G831" s="65"/>
    </row>
    <row r="832" spans="2:7" ht="14.25" customHeight="1" x14ac:dyDescent="0.3">
      <c r="B832" s="489"/>
      <c r="C832" s="490"/>
      <c r="E832" s="491"/>
      <c r="G832" s="65"/>
    </row>
    <row r="833" spans="2:7" ht="14.25" customHeight="1" x14ac:dyDescent="0.3">
      <c r="B833" s="489"/>
      <c r="C833" s="490"/>
      <c r="E833" s="491"/>
      <c r="G833" s="65"/>
    </row>
    <row r="834" spans="2:7" ht="14.25" customHeight="1" x14ac:dyDescent="0.3">
      <c r="B834" s="489"/>
      <c r="C834" s="490"/>
      <c r="E834" s="491"/>
      <c r="G834" s="65"/>
    </row>
    <row r="835" spans="2:7" ht="14.25" customHeight="1" x14ac:dyDescent="0.3">
      <c r="B835" s="489"/>
      <c r="C835" s="490"/>
      <c r="E835" s="491"/>
      <c r="G835" s="65"/>
    </row>
    <row r="836" spans="2:7" ht="14.25" customHeight="1" x14ac:dyDescent="0.3">
      <c r="B836" s="489"/>
      <c r="C836" s="490"/>
      <c r="E836" s="491"/>
      <c r="G836" s="65"/>
    </row>
    <row r="837" spans="2:7" ht="14.25" customHeight="1" x14ac:dyDescent="0.3">
      <c r="B837" s="489"/>
      <c r="C837" s="490"/>
      <c r="E837" s="491"/>
      <c r="G837" s="65"/>
    </row>
    <row r="838" spans="2:7" ht="14.25" customHeight="1" x14ac:dyDescent="0.3">
      <c r="B838" s="489"/>
      <c r="C838" s="490"/>
      <c r="E838" s="491"/>
      <c r="G838" s="65"/>
    </row>
    <row r="839" spans="2:7" ht="14.25" customHeight="1" x14ac:dyDescent="0.3">
      <c r="B839" s="489"/>
      <c r="C839" s="490"/>
      <c r="E839" s="491"/>
      <c r="G839" s="65"/>
    </row>
    <row r="840" spans="2:7" ht="14.25" customHeight="1" x14ac:dyDescent="0.3">
      <c r="B840" s="489"/>
      <c r="C840" s="490"/>
      <c r="E840" s="491"/>
      <c r="G840" s="65"/>
    </row>
    <row r="841" spans="2:7" ht="14.25" customHeight="1" x14ac:dyDescent="0.3">
      <c r="B841" s="489"/>
      <c r="C841" s="490"/>
      <c r="E841" s="491"/>
      <c r="G841" s="65"/>
    </row>
    <row r="842" spans="2:7" ht="14.25" customHeight="1" x14ac:dyDescent="0.3">
      <c r="B842" s="489"/>
      <c r="C842" s="490"/>
      <c r="E842" s="491"/>
      <c r="G842" s="65"/>
    </row>
    <row r="843" spans="2:7" ht="14.25" customHeight="1" x14ac:dyDescent="0.3">
      <c r="B843" s="489"/>
      <c r="C843" s="490"/>
      <c r="E843" s="491"/>
      <c r="G843" s="65"/>
    </row>
    <row r="844" spans="2:7" ht="14.25" customHeight="1" x14ac:dyDescent="0.3">
      <c r="B844" s="489"/>
      <c r="C844" s="490"/>
      <c r="E844" s="491"/>
      <c r="G844" s="65"/>
    </row>
    <row r="845" spans="2:7" ht="14.25" customHeight="1" x14ac:dyDescent="0.3">
      <c r="B845" s="489"/>
      <c r="C845" s="490"/>
      <c r="E845" s="491"/>
      <c r="G845" s="65"/>
    </row>
    <row r="846" spans="2:7" ht="14.25" customHeight="1" x14ac:dyDescent="0.3">
      <c r="B846" s="489"/>
      <c r="C846" s="490"/>
      <c r="E846" s="491"/>
      <c r="G846" s="65"/>
    </row>
    <row r="847" spans="2:7" ht="14.25" customHeight="1" x14ac:dyDescent="0.3">
      <c r="B847" s="489"/>
      <c r="C847" s="490"/>
      <c r="E847" s="491"/>
      <c r="G847" s="65"/>
    </row>
    <row r="848" spans="2:7" ht="14.25" customHeight="1" x14ac:dyDescent="0.3">
      <c r="B848" s="489"/>
      <c r="C848" s="490"/>
      <c r="E848" s="491"/>
      <c r="G848" s="65"/>
    </row>
    <row r="849" spans="2:7" ht="14.25" customHeight="1" x14ac:dyDescent="0.3">
      <c r="B849" s="489"/>
      <c r="C849" s="490"/>
      <c r="E849" s="491"/>
      <c r="G849" s="65"/>
    </row>
    <row r="850" spans="2:7" ht="14.25" customHeight="1" x14ac:dyDescent="0.3">
      <c r="B850" s="489"/>
      <c r="C850" s="490"/>
      <c r="E850" s="491"/>
      <c r="G850" s="65"/>
    </row>
    <row r="851" spans="2:7" ht="14.25" customHeight="1" x14ac:dyDescent="0.3">
      <c r="B851" s="489"/>
      <c r="C851" s="490"/>
      <c r="E851" s="491"/>
      <c r="G851" s="65"/>
    </row>
    <row r="852" spans="2:7" ht="14.25" customHeight="1" x14ac:dyDescent="0.3">
      <c r="B852" s="489"/>
      <c r="C852" s="490"/>
      <c r="E852" s="491"/>
      <c r="G852" s="65"/>
    </row>
    <row r="853" spans="2:7" ht="14.25" customHeight="1" x14ac:dyDescent="0.3">
      <c r="B853" s="489"/>
      <c r="C853" s="490"/>
      <c r="E853" s="491"/>
      <c r="G853" s="65"/>
    </row>
    <row r="854" spans="2:7" ht="14.25" customHeight="1" x14ac:dyDescent="0.3">
      <c r="B854" s="489"/>
      <c r="C854" s="490"/>
      <c r="E854" s="491"/>
      <c r="G854" s="65"/>
    </row>
    <row r="855" spans="2:7" ht="14.25" customHeight="1" x14ac:dyDescent="0.3">
      <c r="B855" s="489"/>
      <c r="C855" s="490"/>
      <c r="E855" s="491"/>
      <c r="G855" s="65"/>
    </row>
    <row r="856" spans="2:7" ht="14.25" customHeight="1" x14ac:dyDescent="0.3">
      <c r="B856" s="489"/>
      <c r="C856" s="490"/>
      <c r="E856" s="491"/>
      <c r="G856" s="65"/>
    </row>
    <row r="857" spans="2:7" ht="14.25" customHeight="1" x14ac:dyDescent="0.3">
      <c r="B857" s="489"/>
      <c r="C857" s="490"/>
      <c r="E857" s="491"/>
      <c r="G857" s="65"/>
    </row>
    <row r="858" spans="2:7" ht="14.25" customHeight="1" x14ac:dyDescent="0.3">
      <c r="B858" s="489"/>
      <c r="C858" s="490"/>
      <c r="E858" s="491"/>
      <c r="G858" s="65"/>
    </row>
    <row r="859" spans="2:7" ht="14.25" customHeight="1" x14ac:dyDescent="0.3">
      <c r="B859" s="489"/>
      <c r="C859" s="490"/>
      <c r="E859" s="491"/>
      <c r="G859" s="65"/>
    </row>
    <row r="860" spans="2:7" ht="14.25" customHeight="1" x14ac:dyDescent="0.3">
      <c r="B860" s="489"/>
      <c r="C860" s="490"/>
      <c r="E860" s="491"/>
      <c r="G860" s="65"/>
    </row>
    <row r="861" spans="2:7" ht="14.25" customHeight="1" x14ac:dyDescent="0.3">
      <c r="B861" s="489"/>
      <c r="C861" s="490"/>
      <c r="E861" s="491"/>
      <c r="G861" s="65"/>
    </row>
    <row r="862" spans="2:7" ht="14.25" customHeight="1" x14ac:dyDescent="0.3">
      <c r="B862" s="489"/>
      <c r="C862" s="490"/>
      <c r="E862" s="491"/>
      <c r="G862" s="65"/>
    </row>
    <row r="863" spans="2:7" ht="14.25" customHeight="1" x14ac:dyDescent="0.3">
      <c r="B863" s="489"/>
      <c r="C863" s="490"/>
      <c r="E863" s="491"/>
      <c r="G863" s="65"/>
    </row>
    <row r="864" spans="2:7" ht="14.25" customHeight="1" x14ac:dyDescent="0.3">
      <c r="B864" s="489"/>
      <c r="C864" s="490"/>
      <c r="E864" s="491"/>
      <c r="G864" s="65"/>
    </row>
    <row r="865" spans="2:7" ht="14.25" customHeight="1" x14ac:dyDescent="0.3">
      <c r="B865" s="489"/>
      <c r="C865" s="490"/>
      <c r="E865" s="491"/>
      <c r="G865" s="65"/>
    </row>
    <row r="866" spans="2:7" ht="14.25" customHeight="1" x14ac:dyDescent="0.3">
      <c r="B866" s="489"/>
      <c r="C866" s="490"/>
      <c r="E866" s="491"/>
      <c r="G866" s="65"/>
    </row>
    <row r="867" spans="2:7" ht="14.25" customHeight="1" x14ac:dyDescent="0.3">
      <c r="B867" s="489"/>
      <c r="C867" s="490"/>
      <c r="E867" s="491"/>
      <c r="G867" s="65"/>
    </row>
    <row r="868" spans="2:7" ht="14.25" customHeight="1" x14ac:dyDescent="0.3">
      <c r="B868" s="489"/>
      <c r="C868" s="490"/>
      <c r="E868" s="491"/>
      <c r="G868" s="65"/>
    </row>
    <row r="869" spans="2:7" ht="14.25" customHeight="1" x14ac:dyDescent="0.3">
      <c r="B869" s="489"/>
      <c r="C869" s="490"/>
      <c r="E869" s="491"/>
      <c r="G869" s="65"/>
    </row>
    <row r="870" spans="2:7" ht="14.25" customHeight="1" x14ac:dyDescent="0.3">
      <c r="B870" s="489"/>
      <c r="C870" s="490"/>
      <c r="E870" s="491"/>
      <c r="G870" s="65"/>
    </row>
    <row r="871" spans="2:7" ht="14.25" customHeight="1" x14ac:dyDescent="0.3">
      <c r="B871" s="489"/>
      <c r="C871" s="490"/>
      <c r="E871" s="491"/>
      <c r="G871" s="65"/>
    </row>
    <row r="872" spans="2:7" ht="14.25" customHeight="1" x14ac:dyDescent="0.3">
      <c r="B872" s="489"/>
      <c r="C872" s="490"/>
      <c r="E872" s="491"/>
      <c r="G872" s="65"/>
    </row>
    <row r="873" spans="2:7" ht="14.25" customHeight="1" x14ac:dyDescent="0.3">
      <c r="B873" s="489"/>
      <c r="C873" s="490"/>
      <c r="E873" s="491"/>
      <c r="G873" s="65"/>
    </row>
    <row r="874" spans="2:7" ht="14.25" customHeight="1" x14ac:dyDescent="0.3">
      <c r="B874" s="489"/>
      <c r="C874" s="490"/>
      <c r="E874" s="491"/>
      <c r="G874" s="65"/>
    </row>
    <row r="875" spans="2:7" ht="14.25" customHeight="1" x14ac:dyDescent="0.3">
      <c r="B875" s="489"/>
      <c r="C875" s="490"/>
      <c r="E875" s="491"/>
      <c r="G875" s="65"/>
    </row>
    <row r="876" spans="2:7" ht="14.25" customHeight="1" x14ac:dyDescent="0.3">
      <c r="B876" s="489"/>
      <c r="C876" s="490"/>
      <c r="E876" s="491"/>
      <c r="G876" s="65"/>
    </row>
    <row r="877" spans="2:7" ht="14.25" customHeight="1" x14ac:dyDescent="0.3">
      <c r="B877" s="489"/>
      <c r="C877" s="490"/>
      <c r="E877" s="491"/>
      <c r="G877" s="65"/>
    </row>
    <row r="878" spans="2:7" ht="14.25" customHeight="1" x14ac:dyDescent="0.3">
      <c r="B878" s="489"/>
      <c r="C878" s="490"/>
      <c r="E878" s="491"/>
      <c r="G878" s="65"/>
    </row>
    <row r="879" spans="2:7" ht="14.25" customHeight="1" x14ac:dyDescent="0.3">
      <c r="B879" s="489"/>
      <c r="C879" s="490"/>
      <c r="E879" s="491"/>
      <c r="G879" s="65"/>
    </row>
    <row r="880" spans="2:7" ht="14.25" customHeight="1" x14ac:dyDescent="0.3">
      <c r="B880" s="489"/>
      <c r="C880" s="490"/>
      <c r="E880" s="491"/>
      <c r="G880" s="65"/>
    </row>
    <row r="881" spans="2:7" ht="14.25" customHeight="1" x14ac:dyDescent="0.3">
      <c r="B881" s="489"/>
      <c r="C881" s="490"/>
      <c r="E881" s="491"/>
      <c r="G881" s="65"/>
    </row>
    <row r="882" spans="2:7" ht="14.25" customHeight="1" x14ac:dyDescent="0.3">
      <c r="B882" s="489"/>
      <c r="C882" s="490"/>
      <c r="E882" s="491"/>
      <c r="G882" s="65"/>
    </row>
    <row r="883" spans="2:7" ht="14.25" customHeight="1" x14ac:dyDescent="0.3">
      <c r="B883" s="489"/>
      <c r="C883" s="490"/>
      <c r="E883" s="491"/>
      <c r="G883" s="65"/>
    </row>
    <row r="884" spans="2:7" ht="14.25" customHeight="1" x14ac:dyDescent="0.3">
      <c r="B884" s="489"/>
      <c r="C884" s="490"/>
      <c r="E884" s="491"/>
      <c r="G884" s="65"/>
    </row>
    <row r="885" spans="2:7" ht="14.25" customHeight="1" x14ac:dyDescent="0.3">
      <c r="B885" s="489"/>
      <c r="C885" s="490"/>
      <c r="E885" s="491"/>
      <c r="G885" s="65"/>
    </row>
    <row r="886" spans="2:7" ht="14.25" customHeight="1" x14ac:dyDescent="0.3">
      <c r="B886" s="489"/>
      <c r="C886" s="490"/>
      <c r="E886" s="491"/>
      <c r="G886" s="65"/>
    </row>
    <row r="887" spans="2:7" ht="14.25" customHeight="1" x14ac:dyDescent="0.3">
      <c r="B887" s="489"/>
      <c r="C887" s="490"/>
      <c r="E887" s="491"/>
      <c r="G887" s="65"/>
    </row>
    <row r="888" spans="2:7" ht="14.25" customHeight="1" x14ac:dyDescent="0.3">
      <c r="B888" s="489"/>
      <c r="C888" s="490"/>
      <c r="E888" s="491"/>
      <c r="G888" s="65"/>
    </row>
    <row r="889" spans="2:7" ht="14.25" customHeight="1" x14ac:dyDescent="0.3">
      <c r="B889" s="489"/>
      <c r="C889" s="490"/>
      <c r="E889" s="491"/>
      <c r="G889" s="65"/>
    </row>
    <row r="890" spans="2:7" ht="14.25" customHeight="1" x14ac:dyDescent="0.3">
      <c r="B890" s="489"/>
      <c r="C890" s="490"/>
      <c r="E890" s="491"/>
      <c r="G890" s="65"/>
    </row>
    <row r="891" spans="2:7" ht="14.25" customHeight="1" x14ac:dyDescent="0.3">
      <c r="B891" s="489"/>
      <c r="C891" s="490"/>
      <c r="E891" s="491"/>
      <c r="G891" s="65"/>
    </row>
    <row r="892" spans="2:7" ht="14.25" customHeight="1" x14ac:dyDescent="0.3">
      <c r="B892" s="489"/>
      <c r="C892" s="490"/>
      <c r="E892" s="491"/>
      <c r="G892" s="65"/>
    </row>
    <row r="893" spans="2:7" ht="14.25" customHeight="1" x14ac:dyDescent="0.3">
      <c r="B893" s="489"/>
      <c r="C893" s="490"/>
      <c r="E893" s="491"/>
      <c r="G893" s="65"/>
    </row>
    <row r="894" spans="2:7" ht="14.25" customHeight="1" x14ac:dyDescent="0.3">
      <c r="B894" s="489"/>
      <c r="C894" s="490"/>
      <c r="E894" s="491"/>
      <c r="G894" s="65"/>
    </row>
    <row r="895" spans="2:7" ht="14.25" customHeight="1" x14ac:dyDescent="0.3">
      <c r="B895" s="489"/>
      <c r="C895" s="490"/>
      <c r="E895" s="491"/>
      <c r="G895" s="65"/>
    </row>
    <row r="896" spans="2:7" ht="14.25" customHeight="1" x14ac:dyDescent="0.3">
      <c r="B896" s="489"/>
      <c r="C896" s="490"/>
      <c r="E896" s="491"/>
      <c r="G896" s="65"/>
    </row>
    <row r="897" spans="2:7" ht="14.25" customHeight="1" x14ac:dyDescent="0.3">
      <c r="B897" s="489"/>
      <c r="C897" s="490"/>
      <c r="E897" s="491"/>
      <c r="G897" s="65"/>
    </row>
    <row r="898" spans="2:7" ht="14.25" customHeight="1" x14ac:dyDescent="0.3">
      <c r="B898" s="489"/>
      <c r="C898" s="490"/>
      <c r="E898" s="491"/>
      <c r="G898" s="65"/>
    </row>
    <row r="899" spans="2:7" ht="14.25" customHeight="1" x14ac:dyDescent="0.3">
      <c r="B899" s="489"/>
      <c r="C899" s="490"/>
      <c r="E899" s="491"/>
      <c r="G899" s="65"/>
    </row>
    <row r="900" spans="2:7" ht="14.25" customHeight="1" x14ac:dyDescent="0.3">
      <c r="B900" s="489"/>
      <c r="C900" s="490"/>
      <c r="E900" s="491"/>
      <c r="G900" s="65"/>
    </row>
    <row r="901" spans="2:7" ht="14.25" customHeight="1" x14ac:dyDescent="0.3">
      <c r="B901" s="489"/>
      <c r="C901" s="490"/>
      <c r="E901" s="491"/>
      <c r="G901" s="65"/>
    </row>
    <row r="902" spans="2:7" ht="14.25" customHeight="1" x14ac:dyDescent="0.3">
      <c r="B902" s="489"/>
      <c r="C902" s="490"/>
      <c r="E902" s="491"/>
      <c r="G902" s="65"/>
    </row>
    <row r="903" spans="2:7" ht="14.25" customHeight="1" x14ac:dyDescent="0.3">
      <c r="B903" s="489"/>
      <c r="C903" s="490"/>
      <c r="E903" s="491"/>
      <c r="G903" s="65"/>
    </row>
    <row r="904" spans="2:7" ht="14.25" customHeight="1" x14ac:dyDescent="0.3">
      <c r="B904" s="489"/>
      <c r="C904" s="490"/>
      <c r="E904" s="491"/>
      <c r="G904" s="65"/>
    </row>
    <row r="905" spans="2:7" ht="14.25" customHeight="1" x14ac:dyDescent="0.3">
      <c r="B905" s="489"/>
      <c r="C905" s="490"/>
      <c r="E905" s="491"/>
      <c r="G905" s="65"/>
    </row>
    <row r="906" spans="2:7" ht="14.25" customHeight="1" x14ac:dyDescent="0.3">
      <c r="B906" s="489"/>
      <c r="C906" s="490"/>
      <c r="E906" s="491"/>
      <c r="G906" s="65"/>
    </row>
    <row r="907" spans="2:7" ht="14.25" customHeight="1" x14ac:dyDescent="0.3">
      <c r="B907" s="489"/>
      <c r="C907" s="490"/>
      <c r="E907" s="491"/>
      <c r="G907" s="65"/>
    </row>
    <row r="908" spans="2:7" ht="14.25" customHeight="1" x14ac:dyDescent="0.3">
      <c r="B908" s="489"/>
      <c r="C908" s="490"/>
      <c r="E908" s="491"/>
      <c r="G908" s="65"/>
    </row>
    <row r="909" spans="2:7" ht="14.25" customHeight="1" x14ac:dyDescent="0.3">
      <c r="B909" s="489"/>
      <c r="C909" s="490"/>
      <c r="E909" s="491"/>
      <c r="G909" s="65"/>
    </row>
    <row r="910" spans="2:7" ht="14.25" customHeight="1" x14ac:dyDescent="0.3">
      <c r="B910" s="489"/>
      <c r="C910" s="490"/>
      <c r="E910" s="491"/>
      <c r="G910" s="65"/>
    </row>
    <row r="911" spans="2:7" ht="14.25" customHeight="1" x14ac:dyDescent="0.3">
      <c r="B911" s="489"/>
      <c r="C911" s="490"/>
      <c r="E911" s="491"/>
      <c r="G911" s="65"/>
    </row>
    <row r="912" spans="2:7" ht="14.25" customHeight="1" x14ac:dyDescent="0.3">
      <c r="B912" s="489"/>
      <c r="C912" s="490"/>
      <c r="E912" s="491"/>
      <c r="G912" s="65"/>
    </row>
    <row r="913" spans="2:7" ht="14.25" customHeight="1" x14ac:dyDescent="0.3">
      <c r="B913" s="489"/>
      <c r="C913" s="490"/>
      <c r="E913" s="491"/>
      <c r="G913" s="65"/>
    </row>
    <row r="914" spans="2:7" ht="14.25" customHeight="1" x14ac:dyDescent="0.3">
      <c r="B914" s="489"/>
      <c r="C914" s="490"/>
      <c r="E914" s="491"/>
      <c r="G914" s="65"/>
    </row>
    <row r="915" spans="2:7" ht="14.25" customHeight="1" x14ac:dyDescent="0.3">
      <c r="B915" s="489"/>
      <c r="C915" s="490"/>
      <c r="E915" s="491"/>
      <c r="G915" s="65"/>
    </row>
    <row r="916" spans="2:7" ht="14.25" customHeight="1" x14ac:dyDescent="0.3">
      <c r="B916" s="489"/>
      <c r="C916" s="490"/>
      <c r="E916" s="491"/>
      <c r="G916" s="65"/>
    </row>
    <row r="917" spans="2:7" ht="14.25" customHeight="1" x14ac:dyDescent="0.3">
      <c r="B917" s="489"/>
      <c r="C917" s="490"/>
      <c r="E917" s="491"/>
      <c r="G917" s="65"/>
    </row>
    <row r="918" spans="2:7" ht="14.25" customHeight="1" x14ac:dyDescent="0.3">
      <c r="B918" s="489"/>
      <c r="C918" s="490"/>
      <c r="E918" s="491"/>
      <c r="G918" s="65"/>
    </row>
    <row r="919" spans="2:7" ht="14.25" customHeight="1" x14ac:dyDescent="0.3">
      <c r="B919" s="489"/>
      <c r="C919" s="490"/>
      <c r="E919" s="491"/>
      <c r="G919" s="65"/>
    </row>
    <row r="920" spans="2:7" ht="14.25" customHeight="1" x14ac:dyDescent="0.3">
      <c r="B920" s="489"/>
      <c r="C920" s="490"/>
      <c r="E920" s="491"/>
      <c r="G920" s="65"/>
    </row>
    <row r="921" spans="2:7" ht="14.25" customHeight="1" x14ac:dyDescent="0.3">
      <c r="B921" s="489"/>
      <c r="C921" s="490"/>
      <c r="E921" s="491"/>
      <c r="G921" s="65"/>
    </row>
    <row r="922" spans="2:7" ht="14.25" customHeight="1" x14ac:dyDescent="0.3">
      <c r="B922" s="489"/>
      <c r="C922" s="490"/>
      <c r="E922" s="491"/>
      <c r="G922" s="65"/>
    </row>
    <row r="923" spans="2:7" ht="14.25" customHeight="1" x14ac:dyDescent="0.3">
      <c r="B923" s="489"/>
      <c r="C923" s="490"/>
      <c r="E923" s="491"/>
      <c r="G923" s="65"/>
    </row>
    <row r="924" spans="2:7" ht="14.25" customHeight="1" x14ac:dyDescent="0.3">
      <c r="B924" s="489"/>
      <c r="C924" s="490"/>
      <c r="E924" s="491"/>
      <c r="G924" s="65"/>
    </row>
    <row r="925" spans="2:7" ht="14.25" customHeight="1" x14ac:dyDescent="0.3">
      <c r="B925" s="489"/>
      <c r="C925" s="490"/>
      <c r="E925" s="491"/>
      <c r="G925" s="65"/>
    </row>
    <row r="926" spans="2:7" ht="14.25" customHeight="1" x14ac:dyDescent="0.3">
      <c r="B926" s="489"/>
      <c r="C926" s="490"/>
      <c r="E926" s="491"/>
      <c r="G926" s="65"/>
    </row>
    <row r="927" spans="2:7" ht="14.25" customHeight="1" x14ac:dyDescent="0.3">
      <c r="B927" s="489"/>
      <c r="C927" s="490"/>
      <c r="E927" s="491"/>
      <c r="G927" s="65"/>
    </row>
    <row r="928" spans="2:7" ht="14.25" customHeight="1" x14ac:dyDescent="0.3">
      <c r="B928" s="489"/>
      <c r="C928" s="490"/>
      <c r="E928" s="491"/>
      <c r="G928" s="65"/>
    </row>
    <row r="929" spans="2:7" ht="14.25" customHeight="1" x14ac:dyDescent="0.3">
      <c r="B929" s="489"/>
      <c r="C929" s="490"/>
      <c r="E929" s="491"/>
      <c r="G929" s="65"/>
    </row>
    <row r="930" spans="2:7" ht="14.25" customHeight="1" x14ac:dyDescent="0.3">
      <c r="B930" s="489"/>
      <c r="C930" s="490"/>
      <c r="E930" s="491"/>
      <c r="G930" s="65"/>
    </row>
    <row r="931" spans="2:7" ht="14.25" customHeight="1" x14ac:dyDescent="0.3">
      <c r="B931" s="489"/>
      <c r="C931" s="490"/>
      <c r="E931" s="491"/>
      <c r="G931" s="65"/>
    </row>
    <row r="932" spans="2:7" ht="14.25" customHeight="1" x14ac:dyDescent="0.3">
      <c r="B932" s="489"/>
      <c r="C932" s="490"/>
      <c r="E932" s="491"/>
      <c r="G932" s="65"/>
    </row>
    <row r="933" spans="2:7" ht="14.25" customHeight="1" x14ac:dyDescent="0.3">
      <c r="B933" s="489"/>
      <c r="C933" s="490"/>
      <c r="E933" s="491"/>
      <c r="G933" s="65"/>
    </row>
    <row r="934" spans="2:7" ht="14.25" customHeight="1" x14ac:dyDescent="0.3">
      <c r="B934" s="489"/>
      <c r="C934" s="490"/>
      <c r="E934" s="491"/>
      <c r="G934" s="65"/>
    </row>
    <row r="935" spans="2:7" ht="14.25" customHeight="1" x14ac:dyDescent="0.3">
      <c r="B935" s="489"/>
      <c r="C935" s="490"/>
      <c r="E935" s="491"/>
      <c r="G935" s="65"/>
    </row>
    <row r="936" spans="2:7" ht="14.25" customHeight="1" x14ac:dyDescent="0.3">
      <c r="B936" s="489"/>
      <c r="C936" s="490"/>
      <c r="E936" s="491"/>
      <c r="G936" s="65"/>
    </row>
    <row r="937" spans="2:7" ht="14.25" customHeight="1" x14ac:dyDescent="0.3">
      <c r="B937" s="489"/>
      <c r="C937" s="490"/>
      <c r="E937" s="491"/>
      <c r="G937" s="65"/>
    </row>
    <row r="938" spans="2:7" ht="14.25" customHeight="1" x14ac:dyDescent="0.3">
      <c r="B938" s="489"/>
      <c r="C938" s="490"/>
      <c r="E938" s="491"/>
      <c r="G938" s="65"/>
    </row>
    <row r="939" spans="2:7" ht="14.25" customHeight="1" x14ac:dyDescent="0.3">
      <c r="B939" s="489"/>
      <c r="C939" s="490"/>
      <c r="E939" s="491"/>
      <c r="G939" s="65"/>
    </row>
    <row r="940" spans="2:7" ht="14.25" customHeight="1" x14ac:dyDescent="0.3">
      <c r="B940" s="489"/>
      <c r="C940" s="490"/>
      <c r="E940" s="491"/>
      <c r="G940" s="65"/>
    </row>
    <row r="941" spans="2:7" ht="14.25" customHeight="1" x14ac:dyDescent="0.3">
      <c r="B941" s="489"/>
      <c r="C941" s="490"/>
      <c r="E941" s="491"/>
      <c r="G941" s="65"/>
    </row>
    <row r="942" spans="2:7" ht="14.25" customHeight="1" x14ac:dyDescent="0.3">
      <c r="B942" s="489"/>
      <c r="C942" s="490"/>
      <c r="E942" s="491"/>
      <c r="G942" s="65"/>
    </row>
    <row r="943" spans="2:7" ht="14.25" customHeight="1" x14ac:dyDescent="0.3">
      <c r="B943" s="489"/>
      <c r="C943" s="490"/>
      <c r="E943" s="491"/>
      <c r="G943" s="65"/>
    </row>
    <row r="944" spans="2:7" ht="14.25" customHeight="1" x14ac:dyDescent="0.3">
      <c r="B944" s="489"/>
      <c r="C944" s="490"/>
      <c r="E944" s="491"/>
      <c r="G944" s="65"/>
    </row>
    <row r="945" spans="2:7" ht="14.25" customHeight="1" x14ac:dyDescent="0.3">
      <c r="B945" s="489"/>
      <c r="C945" s="490"/>
      <c r="E945" s="491"/>
      <c r="G945" s="65"/>
    </row>
    <row r="946" spans="2:7" ht="14.25" customHeight="1" x14ac:dyDescent="0.3">
      <c r="B946" s="489"/>
      <c r="C946" s="490"/>
      <c r="E946" s="491"/>
      <c r="G946" s="65"/>
    </row>
    <row r="947" spans="2:7" ht="14.25" customHeight="1" x14ac:dyDescent="0.3">
      <c r="B947" s="489"/>
      <c r="C947" s="490"/>
      <c r="E947" s="491"/>
      <c r="G947" s="65"/>
    </row>
    <row r="948" spans="2:7" ht="14.25" customHeight="1" x14ac:dyDescent="0.3">
      <c r="B948" s="489"/>
      <c r="C948" s="490"/>
      <c r="E948" s="491"/>
      <c r="G948" s="65"/>
    </row>
    <row r="949" spans="2:7" ht="14.25" customHeight="1" x14ac:dyDescent="0.3">
      <c r="B949" s="489"/>
      <c r="C949" s="490"/>
      <c r="E949" s="491"/>
      <c r="G949" s="65"/>
    </row>
    <row r="950" spans="2:7" ht="14.25" customHeight="1" x14ac:dyDescent="0.3">
      <c r="B950" s="489"/>
      <c r="C950" s="490"/>
      <c r="E950" s="491"/>
      <c r="G950" s="65"/>
    </row>
    <row r="951" spans="2:7" ht="14.25" customHeight="1" x14ac:dyDescent="0.3">
      <c r="B951" s="489"/>
      <c r="C951" s="490"/>
      <c r="E951" s="491"/>
      <c r="G951" s="65"/>
    </row>
    <row r="952" spans="2:7" ht="14.25" customHeight="1" x14ac:dyDescent="0.3">
      <c r="B952" s="489"/>
      <c r="C952" s="490"/>
      <c r="E952" s="491"/>
      <c r="G952" s="65"/>
    </row>
    <row r="953" spans="2:7" ht="14.25" customHeight="1" x14ac:dyDescent="0.3">
      <c r="B953" s="489"/>
      <c r="C953" s="490"/>
      <c r="E953" s="491"/>
      <c r="G953" s="65"/>
    </row>
    <row r="954" spans="2:7" ht="14.25" customHeight="1" x14ac:dyDescent="0.3">
      <c r="B954" s="489"/>
      <c r="C954" s="490"/>
      <c r="E954" s="491"/>
      <c r="G954" s="65"/>
    </row>
    <row r="955" spans="2:7" ht="14.25" customHeight="1" x14ac:dyDescent="0.3">
      <c r="B955" s="489"/>
      <c r="C955" s="490"/>
      <c r="E955" s="491"/>
      <c r="G955" s="65"/>
    </row>
    <row r="956" spans="2:7" ht="14.25" customHeight="1" x14ac:dyDescent="0.3">
      <c r="B956" s="489"/>
      <c r="C956" s="490"/>
      <c r="E956" s="491"/>
      <c r="G956" s="65"/>
    </row>
    <row r="957" spans="2:7" ht="14.25" customHeight="1" x14ac:dyDescent="0.3">
      <c r="B957" s="489"/>
      <c r="C957" s="490"/>
      <c r="E957" s="491"/>
      <c r="G957" s="65"/>
    </row>
    <row r="958" spans="2:7" ht="14.25" customHeight="1" x14ac:dyDescent="0.3">
      <c r="B958" s="489"/>
      <c r="C958" s="490"/>
      <c r="E958" s="491"/>
      <c r="G958" s="65"/>
    </row>
    <row r="959" spans="2:7" ht="14.25" customHeight="1" x14ac:dyDescent="0.3">
      <c r="B959" s="489"/>
      <c r="C959" s="490"/>
      <c r="E959" s="491"/>
      <c r="G959" s="65"/>
    </row>
    <row r="960" spans="2:7" ht="14.25" customHeight="1" x14ac:dyDescent="0.3">
      <c r="B960" s="489"/>
      <c r="C960" s="490"/>
      <c r="E960" s="491"/>
      <c r="G960" s="65"/>
    </row>
    <row r="961" spans="2:7" ht="14.25" customHeight="1" x14ac:dyDescent="0.3">
      <c r="B961" s="489"/>
      <c r="C961" s="490"/>
      <c r="E961" s="491"/>
      <c r="G961" s="65"/>
    </row>
    <row r="962" spans="2:7" ht="14.25" customHeight="1" x14ac:dyDescent="0.3">
      <c r="B962" s="489"/>
      <c r="C962" s="490"/>
      <c r="E962" s="491"/>
      <c r="G962" s="65"/>
    </row>
    <row r="963" spans="2:7" ht="14.25" customHeight="1" x14ac:dyDescent="0.3">
      <c r="B963" s="489"/>
      <c r="C963" s="490"/>
      <c r="E963" s="491"/>
      <c r="G963" s="65"/>
    </row>
    <row r="964" spans="2:7" ht="14.25" customHeight="1" x14ac:dyDescent="0.3">
      <c r="B964" s="489"/>
      <c r="C964" s="490"/>
      <c r="E964" s="491"/>
      <c r="G964" s="65"/>
    </row>
    <row r="965" spans="2:7" ht="14.25" customHeight="1" x14ac:dyDescent="0.3">
      <c r="B965" s="489"/>
      <c r="C965" s="490"/>
      <c r="E965" s="491"/>
      <c r="G965" s="65"/>
    </row>
    <row r="966" spans="2:7" ht="14.25" customHeight="1" x14ac:dyDescent="0.3">
      <c r="B966" s="489"/>
      <c r="C966" s="490"/>
      <c r="E966" s="491"/>
      <c r="G966" s="65"/>
    </row>
    <row r="967" spans="2:7" ht="14.25" customHeight="1" x14ac:dyDescent="0.3">
      <c r="B967" s="489"/>
      <c r="C967" s="490"/>
      <c r="E967" s="491"/>
      <c r="G967" s="65"/>
    </row>
    <row r="968" spans="2:7" ht="14.25" customHeight="1" x14ac:dyDescent="0.3">
      <c r="B968" s="489"/>
      <c r="C968" s="490"/>
      <c r="E968" s="491"/>
      <c r="G968" s="65"/>
    </row>
    <row r="969" spans="2:7" ht="14.25" customHeight="1" x14ac:dyDescent="0.3">
      <c r="B969" s="489"/>
      <c r="C969" s="490"/>
      <c r="E969" s="491"/>
      <c r="G969" s="65"/>
    </row>
    <row r="970" spans="2:7" ht="14.25" customHeight="1" x14ac:dyDescent="0.3">
      <c r="B970" s="489"/>
      <c r="C970" s="490"/>
      <c r="E970" s="491"/>
      <c r="G970" s="65"/>
    </row>
    <row r="971" spans="2:7" ht="14.25" customHeight="1" x14ac:dyDescent="0.3">
      <c r="B971" s="489"/>
      <c r="C971" s="490"/>
      <c r="E971" s="491"/>
      <c r="G971" s="65"/>
    </row>
    <row r="972" spans="2:7" ht="14.25" customHeight="1" x14ac:dyDescent="0.3">
      <c r="B972" s="489"/>
      <c r="C972" s="490"/>
      <c r="E972" s="491"/>
      <c r="G972" s="65"/>
    </row>
    <row r="973" spans="2:7" ht="14.25" customHeight="1" x14ac:dyDescent="0.3">
      <c r="B973" s="489"/>
      <c r="C973" s="490"/>
      <c r="E973" s="491"/>
      <c r="G973" s="65"/>
    </row>
    <row r="974" spans="2:7" ht="14.25" customHeight="1" x14ac:dyDescent="0.3">
      <c r="B974" s="489"/>
      <c r="C974" s="490"/>
      <c r="E974" s="491"/>
      <c r="G974" s="65"/>
    </row>
    <row r="975" spans="2:7" ht="14.25" customHeight="1" x14ac:dyDescent="0.3">
      <c r="B975" s="489"/>
      <c r="C975" s="490"/>
      <c r="E975" s="491"/>
      <c r="G975" s="65"/>
    </row>
    <row r="976" spans="2:7" ht="14.25" customHeight="1" x14ac:dyDescent="0.3">
      <c r="B976" s="489"/>
      <c r="C976" s="490"/>
      <c r="E976" s="491"/>
      <c r="G976" s="65"/>
    </row>
    <row r="977" spans="2:7" ht="14.25" customHeight="1" x14ac:dyDescent="0.3">
      <c r="B977" s="489"/>
      <c r="C977" s="490"/>
      <c r="E977" s="491"/>
      <c r="G977" s="65"/>
    </row>
    <row r="978" spans="2:7" ht="14.25" customHeight="1" x14ac:dyDescent="0.3">
      <c r="B978" s="489"/>
      <c r="C978" s="490"/>
      <c r="E978" s="491"/>
      <c r="G978" s="65"/>
    </row>
    <row r="979" spans="2:7" ht="14.25" customHeight="1" x14ac:dyDescent="0.3">
      <c r="B979" s="489"/>
      <c r="C979" s="490"/>
      <c r="E979" s="491"/>
      <c r="G979" s="65"/>
    </row>
    <row r="980" spans="2:7" ht="14.25" customHeight="1" x14ac:dyDescent="0.3">
      <c r="B980" s="489"/>
      <c r="C980" s="490"/>
      <c r="E980" s="491"/>
      <c r="G980" s="65"/>
    </row>
    <row r="981" spans="2:7" ht="14.25" customHeight="1" x14ac:dyDescent="0.3">
      <c r="B981" s="489"/>
      <c r="C981" s="490"/>
      <c r="E981" s="491"/>
      <c r="G981" s="65"/>
    </row>
    <row r="982" spans="2:7" ht="14.25" customHeight="1" x14ac:dyDescent="0.3">
      <c r="B982" s="489"/>
      <c r="C982" s="490"/>
      <c r="E982" s="491"/>
      <c r="G982" s="65"/>
    </row>
    <row r="983" spans="2:7" ht="14.25" customHeight="1" x14ac:dyDescent="0.3">
      <c r="B983" s="489"/>
      <c r="C983" s="490"/>
      <c r="E983" s="491"/>
      <c r="G983" s="65"/>
    </row>
    <row r="984" spans="2:7" ht="14.25" customHeight="1" x14ac:dyDescent="0.3">
      <c r="B984" s="489"/>
      <c r="C984" s="490"/>
      <c r="E984" s="491"/>
      <c r="G984" s="65"/>
    </row>
    <row r="985" spans="2:7" ht="14.25" customHeight="1" x14ac:dyDescent="0.3">
      <c r="B985" s="489"/>
      <c r="C985" s="490"/>
      <c r="E985" s="491"/>
      <c r="G985" s="65"/>
    </row>
    <row r="986" spans="2:7" ht="14.25" customHeight="1" x14ac:dyDescent="0.3">
      <c r="B986" s="489"/>
      <c r="C986" s="490"/>
      <c r="E986" s="491"/>
      <c r="G986" s="65"/>
    </row>
    <row r="987" spans="2:7" ht="14.25" customHeight="1" x14ac:dyDescent="0.3">
      <c r="B987" s="489"/>
      <c r="C987" s="490"/>
      <c r="E987" s="491"/>
      <c r="G987" s="65"/>
    </row>
    <row r="988" spans="2:7" ht="14.25" customHeight="1" x14ac:dyDescent="0.3">
      <c r="B988" s="489"/>
      <c r="C988" s="490"/>
      <c r="E988" s="491"/>
      <c r="G988" s="65"/>
    </row>
    <row r="989" spans="2:7" ht="14.25" customHeight="1" x14ac:dyDescent="0.3">
      <c r="B989" s="489"/>
      <c r="C989" s="490"/>
      <c r="E989" s="491"/>
      <c r="G989" s="65"/>
    </row>
    <row r="990" spans="2:7" ht="14.25" customHeight="1" x14ac:dyDescent="0.3">
      <c r="B990" s="489"/>
      <c r="C990" s="490"/>
      <c r="E990" s="491"/>
      <c r="G990" s="65"/>
    </row>
    <row r="991" spans="2:7" ht="14.25" customHeight="1" x14ac:dyDescent="0.3">
      <c r="B991" s="489"/>
      <c r="C991" s="490"/>
      <c r="E991" s="491"/>
      <c r="G991" s="65"/>
    </row>
    <row r="992" spans="2:7" ht="14.25" customHeight="1" x14ac:dyDescent="0.3">
      <c r="B992" s="489"/>
      <c r="C992" s="490"/>
      <c r="E992" s="491"/>
      <c r="G992" s="65"/>
    </row>
    <row r="993" spans="2:7" ht="14.25" customHeight="1" x14ac:dyDescent="0.3">
      <c r="B993" s="489"/>
      <c r="C993" s="490"/>
      <c r="E993" s="491"/>
      <c r="G993" s="65"/>
    </row>
    <row r="994" spans="2:7" ht="14.25" customHeight="1" x14ac:dyDescent="0.3">
      <c r="B994" s="489"/>
      <c r="C994" s="490"/>
      <c r="E994" s="491"/>
      <c r="G994" s="65"/>
    </row>
    <row r="995" spans="2:7" ht="14.25" customHeight="1" x14ac:dyDescent="0.3">
      <c r="B995" s="489"/>
      <c r="C995" s="490"/>
      <c r="E995" s="491"/>
      <c r="G995" s="65"/>
    </row>
    <row r="996" spans="2:7" ht="14.25" customHeight="1" x14ac:dyDescent="0.3">
      <c r="B996" s="489"/>
      <c r="C996" s="490"/>
      <c r="E996" s="491"/>
      <c r="G996" s="65"/>
    </row>
    <row r="997" spans="2:7" ht="14.25" customHeight="1" x14ac:dyDescent="0.3">
      <c r="B997" s="489"/>
      <c r="C997" s="490"/>
      <c r="E997" s="491"/>
      <c r="G997" s="65"/>
    </row>
    <row r="998" spans="2:7" ht="14.25" customHeight="1" x14ac:dyDescent="0.3">
      <c r="B998" s="489"/>
      <c r="C998" s="490"/>
      <c r="E998" s="491"/>
      <c r="G998" s="65"/>
    </row>
    <row r="999" spans="2:7" ht="14.25" customHeight="1" x14ac:dyDescent="0.3">
      <c r="B999" s="489"/>
      <c r="C999" s="490"/>
      <c r="E999" s="491"/>
      <c r="G999" s="65"/>
    </row>
    <row r="1000" spans="2:7" ht="14.25" customHeight="1" x14ac:dyDescent="0.3">
      <c r="B1000" s="489"/>
      <c r="C1000" s="490"/>
      <c r="E1000" s="491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95"/>
      <c r="C1" s="578" t="s">
        <v>787</v>
      </c>
      <c r="D1" s="579"/>
      <c r="E1" s="579"/>
      <c r="F1" s="579"/>
      <c r="G1" s="579"/>
      <c r="H1" s="580"/>
      <c r="I1" s="496"/>
      <c r="J1" s="496"/>
      <c r="K1" s="496"/>
      <c r="L1" s="496"/>
      <c r="M1" s="497"/>
      <c r="N1" s="497"/>
      <c r="O1" s="497"/>
      <c r="P1" s="497"/>
      <c r="R1" s="23"/>
      <c r="U1" s="11"/>
    </row>
    <row r="2" spans="1:26" ht="14.25" customHeight="1" x14ac:dyDescent="0.3">
      <c r="A2" s="498" t="s">
        <v>661</v>
      </c>
      <c r="B2" s="499" t="s">
        <v>776</v>
      </c>
      <c r="C2" s="500" t="s">
        <v>788</v>
      </c>
      <c r="D2" s="500" t="s">
        <v>789</v>
      </c>
      <c r="E2" s="500" t="s">
        <v>790</v>
      </c>
      <c r="F2" s="500" t="s">
        <v>791</v>
      </c>
      <c r="G2" s="500" t="s">
        <v>792</v>
      </c>
      <c r="H2" s="500" t="s">
        <v>793</v>
      </c>
      <c r="I2" s="501" t="s">
        <v>794</v>
      </c>
      <c r="J2" s="501" t="s">
        <v>795</v>
      </c>
      <c r="K2" s="501" t="s">
        <v>796</v>
      </c>
      <c r="L2" s="501" t="s">
        <v>797</v>
      </c>
      <c r="M2" s="502" t="s">
        <v>798</v>
      </c>
      <c r="N2" s="502" t="s">
        <v>799</v>
      </c>
      <c r="O2" s="502" t="s">
        <v>796</v>
      </c>
      <c r="P2" s="502" t="s">
        <v>797</v>
      </c>
      <c r="Q2" s="503"/>
      <c r="R2" s="504" t="s">
        <v>800</v>
      </c>
      <c r="S2" s="503"/>
      <c r="T2" s="503"/>
      <c r="U2" s="505"/>
      <c r="V2" s="503"/>
      <c r="W2" s="503"/>
      <c r="X2" s="503"/>
      <c r="Y2" s="503"/>
      <c r="Z2" s="503"/>
    </row>
    <row r="3" spans="1:26" ht="14.25" customHeight="1" x14ac:dyDescent="0.3">
      <c r="A3" s="506">
        <v>2020</v>
      </c>
      <c r="B3" s="507" t="s">
        <v>801</v>
      </c>
      <c r="C3" s="508">
        <v>19.149999999999999</v>
      </c>
      <c r="D3" s="508"/>
      <c r="E3" s="508"/>
      <c r="F3" s="508"/>
      <c r="G3" s="508"/>
      <c r="H3" s="508">
        <v>0</v>
      </c>
      <c r="I3" s="509">
        <v>12452.14</v>
      </c>
      <c r="J3" s="509">
        <v>12025.27</v>
      </c>
      <c r="K3" s="509">
        <v>45.04</v>
      </c>
      <c r="L3" s="509">
        <v>471.91</v>
      </c>
      <c r="M3" s="510">
        <v>0</v>
      </c>
      <c r="N3" s="510">
        <v>0</v>
      </c>
      <c r="O3" s="510">
        <v>0</v>
      </c>
      <c r="P3" s="511">
        <v>0</v>
      </c>
      <c r="R3" s="23"/>
      <c r="U3" s="11"/>
    </row>
    <row r="4" spans="1:26" ht="14.25" customHeight="1" x14ac:dyDescent="0.3">
      <c r="A4" s="512">
        <v>2020</v>
      </c>
      <c r="B4" s="47" t="s">
        <v>802</v>
      </c>
      <c r="C4" s="513">
        <v>0</v>
      </c>
      <c r="D4" s="513"/>
      <c r="E4" s="513"/>
      <c r="F4" s="513"/>
      <c r="G4" s="513"/>
      <c r="H4" s="513">
        <v>0</v>
      </c>
      <c r="I4" s="514">
        <v>3102.37</v>
      </c>
      <c r="J4" s="514">
        <v>2996.68</v>
      </c>
      <c r="K4" s="514">
        <v>4.3</v>
      </c>
      <c r="L4" s="514">
        <v>109.99</v>
      </c>
      <c r="M4" s="515">
        <v>0</v>
      </c>
      <c r="N4" s="515">
        <v>0</v>
      </c>
      <c r="O4" s="515">
        <v>0</v>
      </c>
      <c r="P4" s="516">
        <v>0</v>
      </c>
      <c r="R4" s="23"/>
      <c r="U4" s="11"/>
    </row>
    <row r="5" spans="1:26" ht="14.25" customHeight="1" x14ac:dyDescent="0.3">
      <c r="A5" s="512">
        <v>2020</v>
      </c>
      <c r="B5" s="47" t="s">
        <v>803</v>
      </c>
      <c r="C5" s="513">
        <v>0</v>
      </c>
      <c r="D5" s="513"/>
      <c r="E5" s="513"/>
      <c r="F5" s="513"/>
      <c r="G5" s="513"/>
      <c r="H5" s="513">
        <v>0</v>
      </c>
      <c r="I5" s="514">
        <v>6554.06</v>
      </c>
      <c r="J5" s="514">
        <v>6488.57</v>
      </c>
      <c r="K5" s="514">
        <v>2.2799999999999998</v>
      </c>
      <c r="L5" s="514">
        <v>67.77</v>
      </c>
      <c r="M5" s="515">
        <v>0</v>
      </c>
      <c r="N5" s="515">
        <v>0</v>
      </c>
      <c r="O5" s="515">
        <v>0</v>
      </c>
      <c r="P5" s="516">
        <v>0</v>
      </c>
      <c r="R5" s="23"/>
      <c r="U5" s="11"/>
    </row>
    <row r="6" spans="1:26" ht="14.25" customHeight="1" x14ac:dyDescent="0.3">
      <c r="A6" s="517">
        <v>2020</v>
      </c>
      <c r="B6" s="518" t="s">
        <v>68</v>
      </c>
      <c r="C6" s="519">
        <f t="shared" ref="C6:F6" si="0">SUM(C2:C5)</f>
        <v>19.149999999999999</v>
      </c>
      <c r="D6" s="519">
        <f t="shared" si="0"/>
        <v>0</v>
      </c>
      <c r="E6" s="519">
        <f t="shared" si="0"/>
        <v>0</v>
      </c>
      <c r="F6" s="519">
        <f t="shared" si="0"/>
        <v>0</v>
      </c>
      <c r="G6" s="519"/>
      <c r="H6" s="519">
        <f t="shared" ref="H6:P6" si="1">SUM(H2:H5)</f>
        <v>0</v>
      </c>
      <c r="I6" s="520">
        <f t="shared" si="1"/>
        <v>22108.57</v>
      </c>
      <c r="J6" s="520">
        <f t="shared" si="1"/>
        <v>21510.52</v>
      </c>
      <c r="K6" s="520">
        <f t="shared" si="1"/>
        <v>51.62</v>
      </c>
      <c r="L6" s="520">
        <f t="shared" si="1"/>
        <v>649.66999999999996</v>
      </c>
      <c r="M6" s="521">
        <f t="shared" si="1"/>
        <v>0</v>
      </c>
      <c r="N6" s="521">
        <f t="shared" si="1"/>
        <v>0</v>
      </c>
      <c r="O6" s="521">
        <f t="shared" si="1"/>
        <v>0</v>
      </c>
      <c r="P6" s="522">
        <f t="shared" si="1"/>
        <v>0</v>
      </c>
      <c r="Q6" s="503"/>
      <c r="R6" s="523">
        <f>L6+P6</f>
        <v>649.66999999999996</v>
      </c>
      <c r="S6" s="503"/>
      <c r="T6" s="503"/>
      <c r="U6" s="505"/>
      <c r="V6" s="503"/>
      <c r="W6" s="503"/>
      <c r="X6" s="503"/>
      <c r="Y6" s="503"/>
      <c r="Z6" s="503"/>
    </row>
    <row r="7" spans="1:26" ht="14.25" customHeight="1" x14ac:dyDescent="0.3">
      <c r="A7" s="495"/>
      <c r="C7" s="524"/>
      <c r="D7" s="524"/>
      <c r="E7" s="524"/>
      <c r="F7" s="524"/>
      <c r="G7" s="524"/>
      <c r="H7" s="524"/>
      <c r="I7" s="496"/>
      <c r="J7" s="496"/>
      <c r="K7" s="496"/>
      <c r="L7" s="496"/>
      <c r="M7" s="497"/>
      <c r="N7" s="497"/>
      <c r="O7" s="497"/>
      <c r="P7" s="497"/>
      <c r="R7" s="23"/>
      <c r="U7" s="11"/>
    </row>
    <row r="8" spans="1:26" ht="14.25" customHeight="1" x14ac:dyDescent="0.3">
      <c r="A8" s="506">
        <v>2021</v>
      </c>
      <c r="B8" s="507" t="s">
        <v>804</v>
      </c>
      <c r="C8" s="508">
        <v>45.14</v>
      </c>
      <c r="D8" s="508"/>
      <c r="E8" s="508"/>
      <c r="F8" s="508"/>
      <c r="G8" s="508"/>
      <c r="H8" s="508">
        <v>0.94</v>
      </c>
      <c r="I8" s="509">
        <v>75774.039999999994</v>
      </c>
      <c r="J8" s="509">
        <v>72656.539999999994</v>
      </c>
      <c r="K8" s="509">
        <v>395.57</v>
      </c>
      <c r="L8" s="509">
        <v>3513.07</v>
      </c>
      <c r="M8" s="510">
        <v>1617.32</v>
      </c>
      <c r="N8" s="510">
        <v>1052.6500000000001</v>
      </c>
      <c r="O8" s="510">
        <v>0</v>
      </c>
      <c r="P8" s="511">
        <v>564.66999999999996</v>
      </c>
      <c r="R8" s="23"/>
      <c r="U8" s="11"/>
    </row>
    <row r="9" spans="1:26" ht="14.25" customHeight="1" x14ac:dyDescent="0.3">
      <c r="A9" s="512">
        <v>2021</v>
      </c>
      <c r="B9" s="47" t="s">
        <v>802</v>
      </c>
      <c r="C9" s="513">
        <v>0</v>
      </c>
      <c r="D9" s="513"/>
      <c r="E9" s="513"/>
      <c r="F9" s="513"/>
      <c r="G9" s="513"/>
      <c r="H9" s="513">
        <v>0</v>
      </c>
      <c r="I9" s="514">
        <v>15051.2</v>
      </c>
      <c r="J9" s="514">
        <v>14175.95</v>
      </c>
      <c r="K9" s="514">
        <v>13.41</v>
      </c>
      <c r="L9" s="514">
        <v>888.66</v>
      </c>
      <c r="M9" s="515">
        <v>570.67999999999995</v>
      </c>
      <c r="N9" s="515">
        <v>339.23</v>
      </c>
      <c r="O9" s="515">
        <v>0</v>
      </c>
      <c r="P9" s="516">
        <v>231.45</v>
      </c>
      <c r="R9" s="23"/>
      <c r="U9" s="11"/>
    </row>
    <row r="10" spans="1:26" ht="14.25" customHeight="1" x14ac:dyDescent="0.3">
      <c r="A10" s="512">
        <v>2021</v>
      </c>
      <c r="B10" s="47" t="s">
        <v>803</v>
      </c>
      <c r="C10" s="513">
        <v>0</v>
      </c>
      <c r="D10" s="513"/>
      <c r="E10" s="513"/>
      <c r="F10" s="513"/>
      <c r="G10" s="513"/>
      <c r="H10" s="513">
        <v>0</v>
      </c>
      <c r="I10" s="514">
        <v>11202.69</v>
      </c>
      <c r="J10" s="514">
        <v>10564.64</v>
      </c>
      <c r="K10" s="514">
        <v>15.33</v>
      </c>
      <c r="L10" s="514">
        <v>653.38</v>
      </c>
      <c r="M10" s="515">
        <v>426.17</v>
      </c>
      <c r="N10" s="515">
        <v>253.66</v>
      </c>
      <c r="O10" s="515">
        <v>0</v>
      </c>
      <c r="P10" s="516">
        <v>172.51</v>
      </c>
      <c r="R10" s="23"/>
      <c r="U10" s="11"/>
    </row>
    <row r="11" spans="1:26" ht="14.25" customHeight="1" x14ac:dyDescent="0.3">
      <c r="A11" s="517">
        <v>2021</v>
      </c>
      <c r="B11" s="518" t="s">
        <v>68</v>
      </c>
      <c r="C11" s="519">
        <f t="shared" ref="C11:P11" si="2">SUM(C8:C10)</f>
        <v>45.14</v>
      </c>
      <c r="D11" s="519">
        <f t="shared" si="2"/>
        <v>0</v>
      </c>
      <c r="E11" s="519">
        <f t="shared" si="2"/>
        <v>0</v>
      </c>
      <c r="F11" s="519">
        <f t="shared" si="2"/>
        <v>0</v>
      </c>
      <c r="G11" s="519">
        <f t="shared" si="2"/>
        <v>0</v>
      </c>
      <c r="H11" s="519">
        <f t="shared" si="2"/>
        <v>0.94</v>
      </c>
      <c r="I11" s="520">
        <f t="shared" si="2"/>
        <v>102027.93</v>
      </c>
      <c r="J11" s="520">
        <f t="shared" si="2"/>
        <v>97397.12999999999</v>
      </c>
      <c r="K11" s="520">
        <f t="shared" si="2"/>
        <v>424.31</v>
      </c>
      <c r="L11" s="520">
        <f t="shared" si="2"/>
        <v>5055.1100000000006</v>
      </c>
      <c r="M11" s="521">
        <f t="shared" si="2"/>
        <v>2614.17</v>
      </c>
      <c r="N11" s="521">
        <f t="shared" si="2"/>
        <v>1645.5400000000002</v>
      </c>
      <c r="O11" s="521">
        <f t="shared" si="2"/>
        <v>0</v>
      </c>
      <c r="P11" s="522">
        <f t="shared" si="2"/>
        <v>968.62999999999988</v>
      </c>
      <c r="Q11" s="503"/>
      <c r="R11" s="523">
        <f>L11+P11</f>
        <v>6023.7400000000007</v>
      </c>
      <c r="S11" s="503"/>
      <c r="T11" s="503"/>
      <c r="U11" s="505"/>
      <c r="V11" s="503"/>
      <c r="W11" s="503"/>
      <c r="X11" s="503"/>
      <c r="Y11" s="503"/>
      <c r="Z11" s="503"/>
    </row>
    <row r="12" spans="1:26" ht="14.25" customHeight="1" x14ac:dyDescent="0.3">
      <c r="A12" s="495"/>
      <c r="C12" s="524"/>
      <c r="D12" s="524"/>
      <c r="E12" s="524"/>
      <c r="F12" s="524"/>
      <c r="G12" s="524"/>
      <c r="H12" s="524"/>
      <c r="I12" s="496"/>
      <c r="J12" s="496"/>
      <c r="K12" s="496"/>
      <c r="L12" s="496"/>
      <c r="M12" s="497"/>
      <c r="N12" s="497"/>
      <c r="O12" s="497"/>
      <c r="P12" s="497"/>
      <c r="R12" s="23"/>
      <c r="U12" s="11"/>
    </row>
    <row r="13" spans="1:26" ht="14.25" customHeight="1" x14ac:dyDescent="0.3">
      <c r="A13" s="506">
        <v>2022</v>
      </c>
      <c r="B13" s="507" t="s">
        <v>801</v>
      </c>
      <c r="C13" s="508">
        <v>220.65</v>
      </c>
      <c r="D13" s="508"/>
      <c r="E13" s="508"/>
      <c r="F13" s="508">
        <v>12.93</v>
      </c>
      <c r="G13" s="508">
        <v>0.32</v>
      </c>
      <c r="H13" s="508">
        <v>0</v>
      </c>
      <c r="I13" s="509">
        <v>94983.37</v>
      </c>
      <c r="J13" s="509">
        <v>112827.17</v>
      </c>
      <c r="K13" s="509">
        <v>1902.03</v>
      </c>
      <c r="L13" s="509">
        <v>-15941.77</v>
      </c>
      <c r="M13" s="510">
        <v>22406.02</v>
      </c>
      <c r="N13" s="510">
        <v>29089.68</v>
      </c>
      <c r="O13" s="510">
        <v>2107.16</v>
      </c>
      <c r="P13" s="511">
        <v>-4576.5</v>
      </c>
      <c r="R13" s="23"/>
      <c r="U13" s="11"/>
    </row>
    <row r="14" spans="1:26" ht="14.25" customHeight="1" x14ac:dyDescent="0.3">
      <c r="A14" s="512">
        <v>2022</v>
      </c>
      <c r="B14" s="47" t="s">
        <v>802</v>
      </c>
      <c r="C14" s="513">
        <v>22.14</v>
      </c>
      <c r="D14" s="513"/>
      <c r="E14" s="513"/>
      <c r="F14" s="513">
        <v>1.2</v>
      </c>
      <c r="G14" s="513">
        <v>0.03</v>
      </c>
      <c r="H14" s="513">
        <v>0</v>
      </c>
      <c r="I14" s="514">
        <v>10363.58</v>
      </c>
      <c r="J14" s="514">
        <v>12096.94</v>
      </c>
      <c r="K14" s="514">
        <v>194.48</v>
      </c>
      <c r="L14" s="514">
        <v>-1538.88</v>
      </c>
      <c r="M14" s="515">
        <v>2634.85</v>
      </c>
      <c r="N14" s="515">
        <v>3549.22</v>
      </c>
      <c r="O14" s="515">
        <v>228.25</v>
      </c>
      <c r="P14" s="516">
        <v>-686.12</v>
      </c>
      <c r="R14" s="23"/>
      <c r="U14" s="11"/>
    </row>
    <row r="15" spans="1:26" ht="14.25" customHeight="1" x14ac:dyDescent="0.3">
      <c r="A15" s="512">
        <v>2022</v>
      </c>
      <c r="B15" s="47" t="s">
        <v>803</v>
      </c>
      <c r="C15" s="513">
        <v>22.04</v>
      </c>
      <c r="D15" s="513"/>
      <c r="E15" s="513"/>
      <c r="F15" s="513">
        <v>1.23</v>
      </c>
      <c r="G15" s="513">
        <v>0.03</v>
      </c>
      <c r="H15" s="513">
        <v>0</v>
      </c>
      <c r="I15" s="514">
        <v>9690.0300000000007</v>
      </c>
      <c r="J15" s="514">
        <v>11200.65</v>
      </c>
      <c r="K15" s="514">
        <v>164.55</v>
      </c>
      <c r="L15" s="514">
        <v>-1346.07</v>
      </c>
      <c r="M15" s="515">
        <v>2439.35</v>
      </c>
      <c r="N15" s="515">
        <v>3222.21</v>
      </c>
      <c r="O15" s="515">
        <v>231.38</v>
      </c>
      <c r="P15" s="516">
        <v>-551.48</v>
      </c>
      <c r="R15" s="23"/>
      <c r="S15" s="495">
        <v>2022</v>
      </c>
      <c r="T15" s="495">
        <v>2023</v>
      </c>
      <c r="U15" s="495">
        <v>2024</v>
      </c>
    </row>
    <row r="16" spans="1:26" ht="14.25" customHeight="1" x14ac:dyDescent="0.3">
      <c r="A16" s="517">
        <v>2022</v>
      </c>
      <c r="B16" s="518" t="s">
        <v>68</v>
      </c>
      <c r="C16" s="519">
        <f t="shared" ref="C16:P16" si="3">SUM(C13:C15)</f>
        <v>264.83000000000004</v>
      </c>
      <c r="D16" s="519">
        <f t="shared" si="3"/>
        <v>0</v>
      </c>
      <c r="E16" s="519">
        <f t="shared" si="3"/>
        <v>0</v>
      </c>
      <c r="F16" s="519">
        <f t="shared" si="3"/>
        <v>15.36</v>
      </c>
      <c r="G16" s="519">
        <f t="shared" si="3"/>
        <v>0.38</v>
      </c>
      <c r="H16" s="519">
        <f t="shared" si="3"/>
        <v>0</v>
      </c>
      <c r="I16" s="520">
        <f t="shared" si="3"/>
        <v>115036.98</v>
      </c>
      <c r="J16" s="520">
        <f t="shared" si="3"/>
        <v>136124.76</v>
      </c>
      <c r="K16" s="520">
        <f t="shared" si="3"/>
        <v>2261.06</v>
      </c>
      <c r="L16" s="520">
        <f t="shared" si="3"/>
        <v>-18826.72</v>
      </c>
      <c r="M16" s="521">
        <f t="shared" si="3"/>
        <v>27480.219999999998</v>
      </c>
      <c r="N16" s="521">
        <f t="shared" si="3"/>
        <v>35861.11</v>
      </c>
      <c r="O16" s="521">
        <f t="shared" si="3"/>
        <v>2566.79</v>
      </c>
      <c r="P16" s="522">
        <f t="shared" si="3"/>
        <v>-5814.1</v>
      </c>
      <c r="Q16" s="503"/>
      <c r="R16" s="504">
        <f>L16+P16</f>
        <v>-24640.82</v>
      </c>
      <c r="S16" s="504">
        <v>3000</v>
      </c>
      <c r="T16" s="504">
        <v>1200.55</v>
      </c>
      <c r="U16" s="525">
        <v>3000</v>
      </c>
      <c r="V16" s="503"/>
      <c r="W16" s="503"/>
      <c r="X16" s="503"/>
      <c r="Y16" s="503"/>
      <c r="Z16" s="503"/>
    </row>
    <row r="17" spans="1:26" ht="14.25" customHeight="1" x14ac:dyDescent="0.3">
      <c r="A17" s="495"/>
      <c r="C17" s="524"/>
      <c r="D17" s="524"/>
      <c r="E17" s="524"/>
      <c r="F17" s="524"/>
      <c r="G17" s="524"/>
      <c r="H17" s="524"/>
      <c r="I17" s="496"/>
      <c r="J17" s="496"/>
      <c r="K17" s="496"/>
      <c r="L17" s="496"/>
      <c r="M17" s="497"/>
      <c r="N17" s="497"/>
      <c r="O17" s="497"/>
      <c r="P17" s="497"/>
      <c r="R17" s="23"/>
      <c r="U17" s="11"/>
    </row>
    <row r="18" spans="1:26" ht="14.25" customHeight="1" x14ac:dyDescent="0.3">
      <c r="A18" s="506">
        <v>2023</v>
      </c>
      <c r="B18" s="507" t="s">
        <v>801</v>
      </c>
      <c r="C18" s="508">
        <v>531.49</v>
      </c>
      <c r="D18" s="508"/>
      <c r="E18" s="508">
        <v>1.08</v>
      </c>
      <c r="F18" s="508">
        <v>1.38</v>
      </c>
      <c r="G18" s="508">
        <v>7.34</v>
      </c>
      <c r="H18" s="508">
        <v>1.65</v>
      </c>
      <c r="I18" s="509">
        <v>30169.67</v>
      </c>
      <c r="J18" s="509">
        <v>31517.34</v>
      </c>
      <c r="K18" s="509">
        <v>680.55</v>
      </c>
      <c r="L18" s="509">
        <v>-667.12</v>
      </c>
      <c r="M18" s="510">
        <v>4072.37</v>
      </c>
      <c r="N18" s="510">
        <v>5526.03</v>
      </c>
      <c r="O18" s="510">
        <v>451.77</v>
      </c>
      <c r="P18" s="511">
        <v>-1001.89</v>
      </c>
      <c r="R18" s="23"/>
      <c r="U18" s="11"/>
    </row>
    <row r="19" spans="1:26" ht="14.25" customHeight="1" x14ac:dyDescent="0.3">
      <c r="A19" s="512">
        <v>2023</v>
      </c>
      <c r="B19" s="47" t="s">
        <v>805</v>
      </c>
      <c r="C19" s="513">
        <v>366.19</v>
      </c>
      <c r="D19" s="513"/>
      <c r="E19" s="513"/>
      <c r="F19" s="513"/>
      <c r="G19" s="513">
        <v>3.11</v>
      </c>
      <c r="H19" s="513">
        <v>3.66</v>
      </c>
      <c r="I19" s="514">
        <v>3673.22</v>
      </c>
      <c r="J19" s="514">
        <v>3685.42</v>
      </c>
      <c r="K19" s="514">
        <v>10.91</v>
      </c>
      <c r="L19" s="514">
        <v>-1.29</v>
      </c>
      <c r="M19" s="515">
        <v>610.11</v>
      </c>
      <c r="N19" s="515">
        <v>701.93</v>
      </c>
      <c r="O19" s="515">
        <v>1.48</v>
      </c>
      <c r="P19" s="516">
        <v>-90.34</v>
      </c>
      <c r="R19" s="23"/>
      <c r="U19" s="11"/>
    </row>
    <row r="20" spans="1:26" ht="14.25" customHeight="1" x14ac:dyDescent="0.3">
      <c r="A20" s="512">
        <v>2023</v>
      </c>
      <c r="B20" s="47" t="s">
        <v>802</v>
      </c>
      <c r="C20" s="513">
        <v>36.15</v>
      </c>
      <c r="D20" s="513"/>
      <c r="E20" s="513">
        <v>0.1</v>
      </c>
      <c r="F20" s="513">
        <v>0.13</v>
      </c>
      <c r="G20" s="513">
        <v>0.64</v>
      </c>
      <c r="H20" s="513">
        <v>0.09</v>
      </c>
      <c r="I20" s="514">
        <v>6803.5</v>
      </c>
      <c r="J20" s="514">
        <v>6582.31</v>
      </c>
      <c r="K20" s="514">
        <v>50.59</v>
      </c>
      <c r="L20" s="514">
        <v>271.77999999999997</v>
      </c>
      <c r="M20" s="515">
        <v>830.72</v>
      </c>
      <c r="N20" s="515">
        <v>1041.3599999999999</v>
      </c>
      <c r="O20" s="515">
        <v>60.19</v>
      </c>
      <c r="P20" s="516">
        <v>-150.44999999999999</v>
      </c>
      <c r="R20" s="23"/>
      <c r="U20" s="11"/>
    </row>
    <row r="21" spans="1:26" ht="14.25" customHeight="1" x14ac:dyDescent="0.3">
      <c r="A21" s="512">
        <v>2023</v>
      </c>
      <c r="B21" s="47" t="s">
        <v>803</v>
      </c>
      <c r="C21" s="513">
        <v>56.85</v>
      </c>
      <c r="D21" s="513"/>
      <c r="E21" s="513">
        <v>0.11</v>
      </c>
      <c r="F21" s="513">
        <v>0.15</v>
      </c>
      <c r="G21" s="513">
        <v>0.77</v>
      </c>
      <c r="H21" s="513">
        <v>0.18</v>
      </c>
      <c r="I21" s="514">
        <v>2976.71</v>
      </c>
      <c r="J21" s="514">
        <v>3097.87</v>
      </c>
      <c r="K21" s="514">
        <v>58.34</v>
      </c>
      <c r="L21" s="514">
        <v>-62.82</v>
      </c>
      <c r="M21" s="515">
        <v>441.52</v>
      </c>
      <c r="N21" s="515">
        <v>587.78</v>
      </c>
      <c r="O21" s="515">
        <v>48.94</v>
      </c>
      <c r="P21" s="516">
        <v>-97.32</v>
      </c>
      <c r="R21" s="23"/>
      <c r="S21" s="495">
        <v>2023</v>
      </c>
      <c r="U21" s="11"/>
    </row>
    <row r="22" spans="1:26" ht="14.25" customHeight="1" x14ac:dyDescent="0.3">
      <c r="A22" s="517">
        <v>2023</v>
      </c>
      <c r="B22" s="518" t="s">
        <v>68</v>
      </c>
      <c r="C22" s="519">
        <f>SUM(C18:C21)</f>
        <v>990.68000000000006</v>
      </c>
      <c r="D22" s="519"/>
      <c r="E22" s="519">
        <f t="shared" ref="E22:P22" si="4">SUM(E18:E21)</f>
        <v>1.2900000000000003</v>
      </c>
      <c r="F22" s="519">
        <f t="shared" si="4"/>
        <v>1.6599999999999997</v>
      </c>
      <c r="G22" s="519">
        <f t="shared" si="4"/>
        <v>11.86</v>
      </c>
      <c r="H22" s="519">
        <f t="shared" si="4"/>
        <v>5.58</v>
      </c>
      <c r="I22" s="520">
        <f t="shared" si="4"/>
        <v>43623.1</v>
      </c>
      <c r="J22" s="520">
        <f t="shared" si="4"/>
        <v>44882.94</v>
      </c>
      <c r="K22" s="520">
        <f t="shared" si="4"/>
        <v>800.39</v>
      </c>
      <c r="L22" s="520">
        <f t="shared" si="4"/>
        <v>-459.45</v>
      </c>
      <c r="M22" s="521">
        <f t="shared" si="4"/>
        <v>5954.7199999999993</v>
      </c>
      <c r="N22" s="521">
        <f t="shared" si="4"/>
        <v>7857.0999999999995</v>
      </c>
      <c r="O22" s="521">
        <f t="shared" si="4"/>
        <v>562.38000000000011</v>
      </c>
      <c r="P22" s="522">
        <f t="shared" si="4"/>
        <v>-1340</v>
      </c>
      <c r="Q22" s="503"/>
      <c r="R22" s="523">
        <f>L22+P22</f>
        <v>-1799.45</v>
      </c>
      <c r="S22" s="523">
        <v>1799.45</v>
      </c>
      <c r="T22" s="503"/>
      <c r="U22" s="505"/>
      <c r="V22" s="503"/>
      <c r="W22" s="503"/>
      <c r="X22" s="503"/>
      <c r="Y22" s="503"/>
      <c r="Z22" s="503"/>
    </row>
    <row r="23" spans="1:26" ht="14.25" customHeight="1" x14ac:dyDescent="0.3">
      <c r="A23" s="495"/>
      <c r="C23" s="524"/>
      <c r="D23" s="524"/>
      <c r="E23" s="524"/>
      <c r="F23" s="524"/>
      <c r="G23" s="524"/>
      <c r="H23" s="524"/>
      <c r="I23" s="496"/>
      <c r="J23" s="496"/>
      <c r="K23" s="496"/>
      <c r="L23" s="496"/>
      <c r="M23" s="497"/>
      <c r="N23" s="497"/>
      <c r="O23" s="497"/>
      <c r="P23" s="497"/>
      <c r="R23" s="23"/>
      <c r="U23" s="11"/>
    </row>
    <row r="24" spans="1:26" ht="14.25" customHeight="1" x14ac:dyDescent="0.3">
      <c r="A24" s="526">
        <v>2024</v>
      </c>
      <c r="B24" s="527">
        <v>255006</v>
      </c>
      <c r="C24" s="528">
        <v>1017.8</v>
      </c>
      <c r="D24" s="528">
        <v>0.73</v>
      </c>
      <c r="E24" s="528">
        <v>0</v>
      </c>
      <c r="F24" s="528">
        <v>0</v>
      </c>
      <c r="G24" s="528">
        <v>15.21</v>
      </c>
      <c r="H24" s="528">
        <v>0.88</v>
      </c>
      <c r="I24" s="529">
        <v>14079.67</v>
      </c>
      <c r="J24" s="529">
        <v>13840.06</v>
      </c>
      <c r="K24" s="529">
        <v>106.57</v>
      </c>
      <c r="L24" s="529">
        <v>346.18</v>
      </c>
      <c r="M24" s="530">
        <v>31521.56</v>
      </c>
      <c r="N24" s="530">
        <v>25753.85</v>
      </c>
      <c r="O24" s="530">
        <v>4.93</v>
      </c>
      <c r="P24" s="531">
        <v>5772.64</v>
      </c>
      <c r="Q24" s="503"/>
      <c r="R24" s="504">
        <f>L24+P24</f>
        <v>6118.8200000000006</v>
      </c>
      <c r="S24" s="503"/>
      <c r="T24" s="503"/>
      <c r="U24" s="505"/>
      <c r="V24" s="503"/>
      <c r="W24" s="503"/>
      <c r="X24" s="503"/>
      <c r="Y24" s="503"/>
      <c r="Z24" s="503"/>
    </row>
    <row r="25" spans="1:26" ht="14.25" customHeight="1" x14ac:dyDescent="0.3">
      <c r="A25" s="49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9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9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9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9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9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9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9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9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9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9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9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9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9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9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9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9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9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9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9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9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9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9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9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9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9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9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9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9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9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9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9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9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9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9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9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9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9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9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9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9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9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9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9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9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9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9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9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9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9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9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9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9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9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9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9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9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9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9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9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9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9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9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9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9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9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9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9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9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9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9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9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9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9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9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9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9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9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9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9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9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9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9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9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9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9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9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9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9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9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9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9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9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9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9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9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9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9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9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9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9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9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9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9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9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9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9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9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9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9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9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9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9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9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9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9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9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9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9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9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9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9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9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9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9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9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9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9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9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9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9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9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9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9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9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9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9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9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9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9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9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9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9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9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9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9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9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9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9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9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9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9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9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9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9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9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9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9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9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9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9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9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9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9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9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9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9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9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9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9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9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9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9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9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9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9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9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9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9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9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9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9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9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9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9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9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9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9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9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9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9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9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9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9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9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9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9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9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9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9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9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9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9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9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9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9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9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9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9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9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9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9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9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9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9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9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9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9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9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9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9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9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9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9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9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9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9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9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9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9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9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9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9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9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9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9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9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9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9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9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9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9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9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9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9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9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9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9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9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9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9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9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9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9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9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9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9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9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9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9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9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9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9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9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9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9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9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9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9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9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9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9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9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9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9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9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9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9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9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9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9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9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9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9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9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9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9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9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9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9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9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9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9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9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9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9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9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9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9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9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9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9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9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9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9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9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9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9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9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9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9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9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9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9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9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9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9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9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9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9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9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9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9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9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9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9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9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9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9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9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9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9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9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9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9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9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9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9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9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9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9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9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9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9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9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9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9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9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9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9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9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9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9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9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9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9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9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9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9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9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9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9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9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9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9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9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9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9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9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9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9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9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9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9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9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9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9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9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9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9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9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9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9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9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9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9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9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9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9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9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9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9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9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9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9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9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9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9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9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9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9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9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9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9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9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9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9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9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9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9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9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9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9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9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9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9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9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9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9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9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9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9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9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9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9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9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9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9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9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9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9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9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9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9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9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9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9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9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9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9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9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9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9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9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9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9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9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9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9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9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9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9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9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9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9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9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9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9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9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9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9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9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9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9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9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9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9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9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9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9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9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9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9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9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9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9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9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9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9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9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9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9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9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9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9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9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9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9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9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9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9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9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9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9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9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9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9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9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9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9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9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9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9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9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9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9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9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9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9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9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9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9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9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9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9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9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9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9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9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9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9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9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9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9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9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9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9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9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9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9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9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9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9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9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9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9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9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9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9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9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9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9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9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9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9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9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9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9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9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9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9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9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9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9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9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9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9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9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9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9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9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9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9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9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9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9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9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9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9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9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9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9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9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9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9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9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9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9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9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9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9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9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9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9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9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9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9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9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9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9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9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9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9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9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9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9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9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9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9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9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9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9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9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9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9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9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9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9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9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9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9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9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9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9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9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9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9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9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9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9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9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9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9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9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9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9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9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9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9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9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9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9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9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9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9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9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9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9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9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9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9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9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9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9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9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9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9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9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9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9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9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9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9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9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9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9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9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9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9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9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9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9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9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9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9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9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9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9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9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9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9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9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9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9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9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9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9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9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9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9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9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9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9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9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9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9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9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9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9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9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9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9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9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9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9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9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9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9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9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9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9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9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9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9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9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9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9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9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9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9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9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9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9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9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9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9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9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9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9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9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9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9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9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9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9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9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9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9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9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9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9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9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9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9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9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9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9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9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9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9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9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9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9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9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9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9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9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9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9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9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9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9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9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9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9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9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9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9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9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9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9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9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9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9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9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9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9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9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9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9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9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9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9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9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9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9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9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9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9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9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9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9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9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9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9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9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9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9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9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9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9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9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9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9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9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9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9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9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9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9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9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9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9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9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9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9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9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9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9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9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9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9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9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9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9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9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9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9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9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9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9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9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9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9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9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9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9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9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9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9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9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9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9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9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9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9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9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9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9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9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9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9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9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9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9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9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9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9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9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9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9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9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9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9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9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9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9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9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9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9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9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9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9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9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9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9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9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9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9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9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9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9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9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9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9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9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9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9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9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9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9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9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9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9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9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9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9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9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9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9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9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9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9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9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9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9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9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9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9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9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9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9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9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9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9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9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9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9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9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9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9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9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9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9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9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9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9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9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9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9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9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9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9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9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9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9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9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9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9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9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9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9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9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9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9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9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9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9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9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9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9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9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9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9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9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9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9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9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9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9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9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9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9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9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9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9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9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9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9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9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9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9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9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9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9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9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9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9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9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9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9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9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9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9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9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9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2026-05-20T10:13:48Z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